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5160" tabRatio="584" activeTab="0"/>
  </bookViews>
  <sheets>
    <sheet name="Зима 23, Весна 2023" sheetId="1" r:id="rId1"/>
    <sheet name="Лист1" sheetId="2" r:id="rId2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<sst xmlns="http://schemas.openxmlformats.org/spreadsheetml/2006/main" count="3291" uniqueCount="1314">
  <si>
    <t xml:space="preserve">Starfish Cayo Santa Maria </t>
  </si>
  <si>
    <t>GRAND PREMIUM  VISTA LAGUNA DBL</t>
  </si>
  <si>
    <t>GRAND PREMIUM VISTA LAGUNA SGL</t>
  </si>
  <si>
    <t>SUPERIOR OCEAN  VIEW DBL</t>
  </si>
  <si>
    <t>SUPERIOR  OCEAN  VIEW SGL</t>
  </si>
  <si>
    <t xml:space="preserve">DBL OCEAN VIEW </t>
  </si>
  <si>
    <t xml:space="preserve">SGL OCEAN VIEW </t>
  </si>
  <si>
    <t>SUITE SWIM OUT DBL</t>
  </si>
  <si>
    <t xml:space="preserve">SGL </t>
  </si>
  <si>
    <t>Pullman Cayo Coco</t>
  </si>
  <si>
    <t>DELUXE GARDEN VIEW DBL</t>
  </si>
  <si>
    <t xml:space="preserve">LUXURY JR SUITE DBL </t>
  </si>
  <si>
    <t xml:space="preserve">LUXURY JR SUITE SGL </t>
  </si>
  <si>
    <t>Las Americas</t>
  </si>
  <si>
    <t xml:space="preserve">                                                                    </t>
  </si>
  <si>
    <t xml:space="preserve">Grand Memories Varadero </t>
  </si>
  <si>
    <t>Цены включают 10% комиссии турагентствам от наземного обслуживания,  включая все трансферы.                                                                                                     Внутренний перелёт, турсбор и страховка некомиссионные.</t>
  </si>
  <si>
    <t>DBL DELUXE</t>
  </si>
  <si>
    <t>STD MODERNO DBL</t>
  </si>
  <si>
    <t>STD MODERNO SGL</t>
  </si>
  <si>
    <t>STD COLONIAL DBL</t>
  </si>
  <si>
    <t>STD COLONIAL SGL</t>
  </si>
  <si>
    <t>JR  SUITE MODERNO DBL</t>
  </si>
  <si>
    <t>JR  SUITE MODERNO SGL</t>
  </si>
  <si>
    <t>JR SUITE COLONIAL DBL</t>
  </si>
  <si>
    <t>JR SUITE COLONIAL SGL</t>
  </si>
  <si>
    <t>SUITE  MODERNO DBL</t>
  </si>
  <si>
    <t>SUITE  MODERNO SGL</t>
  </si>
  <si>
    <t>SUITE  COLONIAL DBL</t>
  </si>
  <si>
    <t>SUITE  COLONIAL SGL</t>
  </si>
  <si>
    <t xml:space="preserve">3*  </t>
  </si>
  <si>
    <t xml:space="preserve">DBL  STANDARD </t>
  </si>
  <si>
    <t xml:space="preserve">SGL  STANDARD  </t>
  </si>
  <si>
    <t>Отель</t>
  </si>
  <si>
    <t>JR SUITE DBL</t>
  </si>
  <si>
    <t>5*</t>
  </si>
  <si>
    <t>JR SUITE SGL</t>
  </si>
  <si>
    <t>EXTRA BED</t>
  </si>
  <si>
    <t xml:space="preserve">Paradisus Princesa del Mar              </t>
  </si>
  <si>
    <t>JR SUITE DBL OCEAN VIEW</t>
  </si>
  <si>
    <t>Melia Las Americas</t>
  </si>
  <si>
    <t>DBL</t>
  </si>
  <si>
    <t>SGL</t>
  </si>
  <si>
    <t>DBL  OCEAN  VIEW</t>
  </si>
  <si>
    <t>SGL  OCEAN  VIEW</t>
  </si>
  <si>
    <t xml:space="preserve">Melia Varadero </t>
  </si>
  <si>
    <t>SUITE DBL</t>
  </si>
  <si>
    <t>SUITE SGL</t>
  </si>
  <si>
    <t>Melia Las Antillas</t>
  </si>
  <si>
    <t>4*</t>
  </si>
  <si>
    <t>Sol Palmeras</t>
  </si>
  <si>
    <t>DBL OCEAN  VIEW</t>
  </si>
  <si>
    <t>SUITE  DBL</t>
  </si>
  <si>
    <t>SUITE  SGL</t>
  </si>
  <si>
    <t>Sol Palmeras - Bungalow</t>
  </si>
  <si>
    <t xml:space="preserve">DBL  </t>
  </si>
  <si>
    <t xml:space="preserve">SGL  </t>
  </si>
  <si>
    <t>DBL OCEAN VIEW</t>
  </si>
  <si>
    <t>SGL OCEAN VIEW</t>
  </si>
  <si>
    <t>JR  SUITE  DBL</t>
  </si>
  <si>
    <t>JR  SUITE  SGL</t>
  </si>
  <si>
    <t>CHD + 2 взр (от 2 до 12 лет)</t>
  </si>
  <si>
    <t xml:space="preserve">Iberostar Laguna Azul    </t>
  </si>
  <si>
    <t>Memories Varadero</t>
  </si>
  <si>
    <t>DELUXE DBL</t>
  </si>
  <si>
    <t>DELUXE SGL</t>
  </si>
  <si>
    <t>CHD + 2 взр  (от 2 до 12 лет)</t>
  </si>
  <si>
    <t>EXTRA  BED</t>
  </si>
  <si>
    <t>Barcelo Solymar</t>
  </si>
  <si>
    <t>Основное здание</t>
  </si>
  <si>
    <t>DBL  SUPERIOR OCEAN  VIEW</t>
  </si>
  <si>
    <t>CHD + 2 взр (до 6 лет)</t>
  </si>
  <si>
    <t>CHD + 2 взр (от 7 до 12 лет)</t>
  </si>
  <si>
    <t>CHD  + 2 взр (от 2 до 12 лет)</t>
  </si>
  <si>
    <t>Kawama</t>
  </si>
  <si>
    <t>Villa Tortuga</t>
  </si>
  <si>
    <t>3*</t>
  </si>
  <si>
    <t>CHD + 2 взр (до 12 лет)</t>
  </si>
  <si>
    <t>Brisas del Caribe</t>
  </si>
  <si>
    <t xml:space="preserve">DBL </t>
  </si>
  <si>
    <t>(вторая линия пляжа)</t>
  </si>
  <si>
    <t>Club Tropical</t>
  </si>
  <si>
    <t>Mar del Sur 2*</t>
  </si>
  <si>
    <t>однокомнатные апартаменты (цена за номер)</t>
  </si>
  <si>
    <t>двухкомнатные апартаменты (цена за номер)</t>
  </si>
  <si>
    <t>Los Delfines 3*</t>
  </si>
  <si>
    <t>BB</t>
  </si>
  <si>
    <t>HB</t>
  </si>
  <si>
    <t xml:space="preserve">Iberostar Grand Hotel Trinidad </t>
  </si>
  <si>
    <t>CHD + 2 взр (от 3 до 12 лет)</t>
  </si>
  <si>
    <t xml:space="preserve">Rancho Luna </t>
  </si>
  <si>
    <t xml:space="preserve">Faro Luna </t>
  </si>
  <si>
    <t>Курорты на островах - отели по системе ALL INCLUSIVE ( "ВСЕ ВКЛЮЧЕНО")</t>
  </si>
  <si>
    <t xml:space="preserve">Iberostar Ensenachos  </t>
  </si>
  <si>
    <t>Park Suite DBL</t>
  </si>
  <si>
    <t>Park Suite SGL</t>
  </si>
  <si>
    <t xml:space="preserve">       Внимание! Отель только для взрослых c 18 лет!  Размещение 3-го взрослого в номере не допускается</t>
  </si>
  <si>
    <t xml:space="preserve">SUITE  DBL </t>
  </si>
  <si>
    <t>Melia Cayo Coco</t>
  </si>
  <si>
    <t>Tryp  Cayo  Coco</t>
  </si>
  <si>
    <t xml:space="preserve">Memories Flamenco </t>
  </si>
  <si>
    <t>Memories Caribe</t>
  </si>
  <si>
    <t>Iberostar Daiquiri</t>
  </si>
  <si>
    <t>ALL INCLUSIVE</t>
  </si>
  <si>
    <t>Paradisus Rio de Oro</t>
  </si>
  <si>
    <t>Sol Rio de Luna y Mares</t>
  </si>
  <si>
    <t>Brisas Guardalavaca</t>
  </si>
  <si>
    <t>DBL VILLA</t>
  </si>
  <si>
    <t>Melia  Santiago  de  Cuba</t>
  </si>
  <si>
    <t>Brisas Sierra Mar</t>
  </si>
  <si>
    <t xml:space="preserve">DBL  TROPICAL  </t>
  </si>
  <si>
    <t xml:space="preserve">SGL  TROPICAL  </t>
  </si>
  <si>
    <t>LA HABANA   -  ГАВАНА</t>
  </si>
  <si>
    <t>Melia Cohiba</t>
  </si>
  <si>
    <t>Melia Habana</t>
  </si>
  <si>
    <t>Tryp  Habana  Libre</t>
  </si>
  <si>
    <t>Nacional</t>
  </si>
  <si>
    <t>Comodoro</t>
  </si>
  <si>
    <t>ОТЕЛИ В ИСТОРИЧЕСКОЙ ЧАСТИ ГАВАНЫ</t>
  </si>
  <si>
    <t>Iberostar Parque Central</t>
  </si>
  <si>
    <t>Santa Isabel 5*</t>
  </si>
  <si>
    <t>Inglaterra</t>
  </si>
  <si>
    <t>Florida 4*</t>
  </si>
  <si>
    <t>Armadores de Santander 4*</t>
  </si>
  <si>
    <t>Ambos Mundos 4*</t>
  </si>
  <si>
    <t>Conde de Villanueva 4*</t>
  </si>
  <si>
    <t>Palacio San Miguel 4*</t>
  </si>
  <si>
    <t>Palacio Marques de Prado Ameno 4*</t>
  </si>
  <si>
    <t>Los Frailes 3*</t>
  </si>
  <si>
    <t>Beltran de Santa Cruz 3*</t>
  </si>
  <si>
    <t>Tejadillo 3*</t>
  </si>
  <si>
    <t>2*</t>
  </si>
  <si>
    <t>Villa Los Pinos</t>
  </si>
  <si>
    <t>Вилла с двумя спальнями (макс. 4 чел.)</t>
  </si>
  <si>
    <t>Вилла с тремя спальнями (макс. 6 чел.)</t>
  </si>
  <si>
    <t>Вилла с четырьмя спальнями (макс. 8 чел.)</t>
  </si>
  <si>
    <t>Atlantico</t>
  </si>
  <si>
    <t>СТОИМОСТЬ УКАЗАНА НА ОДНОГО ЧЕЛОВЕКА В НОМЕРЕ!!!</t>
  </si>
  <si>
    <t>ВО ВСЕХ ТАБЛИЦАХ ПРОЖИВАНИЕ EXTRA BED и CHD + 2 ВЗР  РАССЧИТАНО ТОЛЬКО ДЛЯ СТАНДАРТНЫХ НОМЕРОВ!</t>
  </si>
  <si>
    <t xml:space="preserve">Проживание 1-го ребенка с 1-им взрослым и  2 детей  в одном номере - по запросу. </t>
  </si>
  <si>
    <t>Melia Peninsula Varadero</t>
  </si>
  <si>
    <t>PRIVILEGE DELUXE DBL</t>
  </si>
  <si>
    <t>PRIVILEGE DELUXE SGL</t>
  </si>
  <si>
    <t>BUNGALOW DBL</t>
  </si>
  <si>
    <t>BUNGALOW SGL</t>
  </si>
  <si>
    <t>Royalton Cayo Santa Maria  5*</t>
  </si>
  <si>
    <t>ROYALTON SUITE  DBL</t>
  </si>
  <si>
    <t>JR SUITE SGL OCEAN VIEW</t>
  </si>
  <si>
    <t xml:space="preserve">Melia Marina Varadero </t>
  </si>
  <si>
    <t>DBL THE LEVEL</t>
  </si>
  <si>
    <t>SGL THE LEVEL</t>
  </si>
  <si>
    <t xml:space="preserve">Bungalow Barcelo Solymar </t>
  </si>
  <si>
    <t>DBL SUPERIOR</t>
  </si>
  <si>
    <t>SGL SUPERIOR</t>
  </si>
  <si>
    <t>DBL OCEAN VIEW THE LEVEL</t>
  </si>
  <si>
    <t>DBL MARINA VIEW THE LEVEL</t>
  </si>
  <si>
    <t>SGL MARINA VIEW THE LEVEL</t>
  </si>
  <si>
    <t>Meliá Jardines del Rey</t>
  </si>
  <si>
    <t>JR SUITE OCEAN VIEW DBL</t>
  </si>
  <si>
    <t>JR  SUITE DBL</t>
  </si>
  <si>
    <t>JR  SUITE SGL</t>
  </si>
  <si>
    <t>ROYAL  SUITE DBL</t>
  </si>
  <si>
    <t>ROYAL  SUITE SGL</t>
  </si>
  <si>
    <t>DELUXE  DBL</t>
  </si>
  <si>
    <t>DELUXE  SGL</t>
  </si>
  <si>
    <t>SUITE DBL GARDEN VIEW</t>
  </si>
  <si>
    <t>SUITE SGL GARDEN VIEW</t>
  </si>
  <si>
    <t>Comendador 3*</t>
  </si>
  <si>
    <t>Terral 4* (на набережной Малекон)</t>
  </si>
  <si>
    <t>JR SUITE  DBL</t>
  </si>
  <si>
    <t>JR SUITE  SGL</t>
  </si>
  <si>
    <t>DBL BUNGALOW</t>
  </si>
  <si>
    <t>SGL BUNGALOW</t>
  </si>
  <si>
    <t>Время заселения в гостиницы - 15 или 16 часов</t>
  </si>
  <si>
    <t>Extra BED</t>
  </si>
  <si>
    <t xml:space="preserve">Royalton  Hicacos </t>
  </si>
  <si>
    <t>Starfish  Cuatro  Palmas</t>
  </si>
  <si>
    <t>GRAND SUITE  DBL</t>
  </si>
  <si>
    <t>GRAND SUITE  SGL</t>
  </si>
  <si>
    <t>DBL 1 BEDROOM</t>
  </si>
  <si>
    <t>SGL 1 BEDROOM</t>
  </si>
  <si>
    <t>SGL  DELUXE</t>
  </si>
  <si>
    <t xml:space="preserve"> Внимание! Отель только для взрослых от 16 лет!   Размещение 3-го взрослого в номере не допускается</t>
  </si>
  <si>
    <t>JUNIOR SUITE  DBL  ROYAL SERVICE</t>
  </si>
  <si>
    <t>JUNIOR SUITE  SGL  ROYAL SERVICE</t>
  </si>
  <si>
    <t xml:space="preserve">Junior Suite Ocean View  DBL  Royal Service  </t>
  </si>
  <si>
    <t>Memories Miramar Habana</t>
  </si>
  <si>
    <t>PRIVILEGE  SUITE DBL</t>
  </si>
  <si>
    <t>PRIVILEGE  SUITE SGL</t>
  </si>
  <si>
    <t>DBL  Южное крыло</t>
  </si>
  <si>
    <t>SGL  Южное крыло</t>
  </si>
  <si>
    <t>EXTRA BED Южное крыло</t>
  </si>
  <si>
    <t>DBL  Северное крыло</t>
  </si>
  <si>
    <t>SGL Северное крыло</t>
  </si>
  <si>
    <t>EXTRA BED Северное крыло</t>
  </si>
  <si>
    <t>Memories Jibacoa</t>
  </si>
  <si>
    <t xml:space="preserve"> - Историческая часть Гаваны</t>
  </si>
  <si>
    <t>Варадеро</t>
  </si>
  <si>
    <t>Тринидад</t>
  </si>
  <si>
    <t>Сьенфуэгос</t>
  </si>
  <si>
    <t>Кайо Ларго</t>
  </si>
  <si>
    <t>Кайо Энсеначос</t>
  </si>
  <si>
    <t>Кайо Санта Мария</t>
  </si>
  <si>
    <t>Кайо Коко</t>
  </si>
  <si>
    <t>Кайо Гильермо</t>
  </si>
  <si>
    <t>Сантьяго-де-Куба</t>
  </si>
  <si>
    <t>Трансферы Гавана, Варадеро (цены на остальные трансферы указаны после каждого курорта)</t>
  </si>
  <si>
    <t>HOLGUIN    -  ОЛЬГИН</t>
  </si>
  <si>
    <t>Ольгин</t>
  </si>
  <si>
    <t>ОБЩИЕ УСЛОВИЯ!!! Читать обязательно.</t>
  </si>
  <si>
    <t xml:space="preserve">         Острова:</t>
  </si>
  <si>
    <t xml:space="preserve"> - Восточные пляжи Гаваны</t>
  </si>
  <si>
    <t xml:space="preserve"> - Хибакоа</t>
  </si>
  <si>
    <t>Гавана (осн. часть)</t>
  </si>
  <si>
    <t>DBL CLASSIC</t>
  </si>
  <si>
    <t>SGL CLASSIC</t>
  </si>
  <si>
    <t>DBL CLASSIC OCEAN  VIEW</t>
  </si>
  <si>
    <t>SGL CLASSIC OCEAN  VIEW</t>
  </si>
  <si>
    <t>DBL CLASSIC OCEAN VIEW</t>
  </si>
  <si>
    <t>SGL CLASSIC OCEAN VIEW</t>
  </si>
  <si>
    <t xml:space="preserve">Paradisus Varadero </t>
  </si>
  <si>
    <t xml:space="preserve">DBL CLASSIC MARINA VIEW </t>
  </si>
  <si>
    <t>SGL CLASSIC MARINA VIEW</t>
  </si>
  <si>
    <t xml:space="preserve">JR SUITE DBL ROYAL SERVICE </t>
  </si>
  <si>
    <t xml:space="preserve">JR SUITE SGL ROYAL SERVICE </t>
  </si>
  <si>
    <t xml:space="preserve">JR SUITE DBL OCEAN VIEW ROYAL SERVICE </t>
  </si>
  <si>
    <t>Во всех остальных категориях номеров разрешено размещение только одного ребёнка в номере с двумя взрослыми!</t>
  </si>
  <si>
    <t xml:space="preserve">EXTRA BED  </t>
  </si>
  <si>
    <t xml:space="preserve">Starfish Montehabana </t>
  </si>
  <si>
    <t>DBL Superior</t>
  </si>
  <si>
    <t>SGL Superior</t>
  </si>
  <si>
    <t>Starfish Las  Palmas 3*</t>
  </si>
  <si>
    <t xml:space="preserve">Starfish  Varadero  </t>
  </si>
  <si>
    <t>DBL без балкона</t>
  </si>
  <si>
    <t>SGL без балкона</t>
  </si>
  <si>
    <t>EXTRA  BED без балкона</t>
  </si>
  <si>
    <t>DBL с балконом</t>
  </si>
  <si>
    <t>SGL с балконом</t>
  </si>
  <si>
    <t>EXTRA  BED с балконом</t>
  </si>
  <si>
    <t xml:space="preserve">EXTRA BED STANDARD  </t>
  </si>
  <si>
    <t xml:space="preserve">JR SUITE DBL SUPERIOR </t>
  </si>
  <si>
    <t xml:space="preserve">JR SUITE DBL OCEAN VIEW </t>
  </si>
  <si>
    <t>Habana 612  3*</t>
  </si>
  <si>
    <t xml:space="preserve">Las Cuevas </t>
  </si>
  <si>
    <t>SANTIAGO DE CUBA -   САНТЬЯГО-ДЕ-КУБА</t>
  </si>
  <si>
    <t>Be Live Experience Turquesa</t>
  </si>
  <si>
    <t>Be Live Experience Varadero</t>
  </si>
  <si>
    <t xml:space="preserve">Comodoro  Bungalow Alborada </t>
  </si>
  <si>
    <t xml:space="preserve">   </t>
  </si>
  <si>
    <t xml:space="preserve">В номере Bungalow Suite max 2 взр, в номерах Jr Suite, Suite и Bungalow 1 Bedroom разрешается max: 1 взр+3 реб, 2 взр+2 реб, 3 взр+1 реб (во всех номерах дополнительно ставится только одна допкровать). </t>
  </si>
  <si>
    <t>Superior  Concierge Service SGL (Дом космонавтов)</t>
  </si>
  <si>
    <t>Superior  Concierge Service DBL (Дом космонавтов)</t>
  </si>
  <si>
    <t xml:space="preserve">JR SUITE DBL </t>
  </si>
  <si>
    <t>ROYAL SUITE DBL THE LEVEL</t>
  </si>
  <si>
    <t>GRAND SUITE DBL OCEAN VIEW THE LEVEL</t>
  </si>
  <si>
    <t xml:space="preserve">LUXURY JR SUITE DBL OCEAN VIEW </t>
  </si>
  <si>
    <t>LUXURY JR SUITE SGL OCEAN VIEW</t>
  </si>
  <si>
    <t>Максимальное размещение: в номере Deluxe 2 взр + 2 реб, 3 взр+ 1 реб; в Suite 2 взр+1 реб, 3 взр</t>
  </si>
  <si>
    <t>SUITE DBL POOL VIEW</t>
  </si>
  <si>
    <t>SUITE SGL POOL VIEW</t>
  </si>
  <si>
    <t>DBL cabaña (домик)</t>
  </si>
  <si>
    <t>SGL cabaña (домик)</t>
  </si>
  <si>
    <t>Comodoro  Bungalow Pleamar</t>
  </si>
  <si>
    <t>1 Bedroom DBL</t>
  </si>
  <si>
    <t>1 Bedroom SGL</t>
  </si>
  <si>
    <t>Villa Tropico</t>
  </si>
  <si>
    <t>Raquel 4 *</t>
  </si>
  <si>
    <t>SUITE SWIM OUT SGL</t>
  </si>
  <si>
    <t>Gran Hotel Manzana Kempinski</t>
  </si>
  <si>
    <t>PATIO  DBL</t>
  </si>
  <si>
    <t>PATIO  SGL</t>
  </si>
  <si>
    <t>GRAND DELUXE DBL</t>
  </si>
  <si>
    <t>GRAND DELUXE SGL</t>
  </si>
  <si>
    <t>HAMINGUEY JR SUITE DBL</t>
  </si>
  <si>
    <t>HAMINGUEY JR SUITE SGL</t>
  </si>
  <si>
    <t xml:space="preserve">JR SUITE DBL CONSTANTE </t>
  </si>
  <si>
    <t>SUITE MEZZANINE DBL</t>
  </si>
  <si>
    <t>SUITE MEZZANINE SGL</t>
  </si>
  <si>
    <t>SUITE ESQUINA DBL</t>
  </si>
  <si>
    <t>SUITE ESQUINA SGL</t>
  </si>
  <si>
    <t>CHD + 2 взр (от 0 до 5 лет)</t>
  </si>
  <si>
    <t>Максимальное размещение: Patio и Deluxe - 2 взр, остальные категории номеров - 2 взр+1 реб или 3 взр</t>
  </si>
  <si>
    <t>Минимальное количество проживания в высокий сезон - 2 ночи. ЕР - без питания!</t>
  </si>
  <si>
    <t>SUPERIOR DBL</t>
  </si>
  <si>
    <t>SUPERIOR SGL</t>
  </si>
  <si>
    <t>SUPERIOR OCEAN VIEW SGL</t>
  </si>
  <si>
    <t>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</t>
  </si>
  <si>
    <t xml:space="preserve">Cubanacan                          </t>
  </si>
  <si>
    <t xml:space="preserve">Gran Caribe                          </t>
  </si>
  <si>
    <t xml:space="preserve">Habaguanex                        </t>
  </si>
  <si>
    <t xml:space="preserve">Gran Caribe                        </t>
  </si>
  <si>
    <t xml:space="preserve">Gran Caribe                    </t>
  </si>
  <si>
    <t xml:space="preserve">Habaguanex                    </t>
  </si>
  <si>
    <t xml:space="preserve">Iberostar                   </t>
  </si>
  <si>
    <t xml:space="preserve">Gran Caribe                       </t>
  </si>
  <si>
    <t xml:space="preserve">Cubanacan                      </t>
  </si>
  <si>
    <t xml:space="preserve">Cubanacan                        </t>
  </si>
  <si>
    <t xml:space="preserve">BlueDiamond                     </t>
  </si>
  <si>
    <t xml:space="preserve">BlueDiamond                       </t>
  </si>
  <si>
    <t xml:space="preserve">Iberostar                              </t>
  </si>
  <si>
    <t xml:space="preserve">Iberostar                                 </t>
  </si>
  <si>
    <t xml:space="preserve">BlueDiamond           </t>
  </si>
  <si>
    <t xml:space="preserve">BlueDiamond                          </t>
  </si>
  <si>
    <t xml:space="preserve">BlueDiamond                        </t>
  </si>
  <si>
    <t xml:space="preserve">Iberostar                                  </t>
  </si>
  <si>
    <t xml:space="preserve">Islazul                 </t>
  </si>
  <si>
    <t xml:space="preserve">Islazul                                     </t>
  </si>
  <si>
    <t xml:space="preserve">Islazul                                      </t>
  </si>
  <si>
    <t xml:space="preserve">Gran Caribe                   </t>
  </si>
  <si>
    <t xml:space="preserve">Gran Caribe                      </t>
  </si>
  <si>
    <t xml:space="preserve">BlueDiamond                         </t>
  </si>
  <si>
    <t xml:space="preserve">Gran Caribe                           </t>
  </si>
  <si>
    <t>VILLA DBL</t>
  </si>
  <si>
    <t>VILLA SGL</t>
  </si>
  <si>
    <t xml:space="preserve">Memories Paraiso </t>
  </si>
  <si>
    <t>Iberostar Habana Riviera</t>
  </si>
  <si>
    <t>Iberostar Gran Hotel Packard</t>
  </si>
  <si>
    <t>DBL SUPERIOR OCEAN VIEW</t>
  </si>
  <si>
    <t>DBL STAR PRESTIGE</t>
  </si>
  <si>
    <t>SGL STAR PRESTIGE</t>
  </si>
  <si>
    <t>DBL STAR PRESTIGE OCEAN  VIEW</t>
  </si>
  <si>
    <t>SGL STAR PRESTIGE OCEAN  VIEW</t>
  </si>
  <si>
    <t>SUITE DBL STAR PRESTIGE</t>
  </si>
  <si>
    <t>SUITE SGL STAR PRESTIGE</t>
  </si>
  <si>
    <t xml:space="preserve">GRAND SUITE SGL THE LEVEL  </t>
  </si>
  <si>
    <t xml:space="preserve">GRAND SUITE DBL THE LEVEL  </t>
  </si>
  <si>
    <t>Palacio O`Farril 4*</t>
  </si>
  <si>
    <t>JR SUITE DBL (в Beltran de Santa Cruz и Los Frailes)</t>
  </si>
  <si>
    <t>JR SUITE SGL (в Beltran de Santa Cruz и Los Frailes)</t>
  </si>
  <si>
    <t>SUITE DBL (в Armadores de Santander и Conde de Villanueva)</t>
  </si>
  <si>
    <t>SUITE SGL (в Armadores de Santander и Conde de Villanueva)</t>
  </si>
  <si>
    <t>JR SUITE DBL SUPERIOR</t>
  </si>
  <si>
    <t>JR SUITE SGL SUPERIOR</t>
  </si>
  <si>
    <t>Duplex Suite DBL</t>
  </si>
  <si>
    <t>Duplex Suite SGL</t>
  </si>
  <si>
    <t>GARDEN SUITE DBL THE LEVEL</t>
  </si>
  <si>
    <t>GARDEN SUITE SGL THE LEVEL</t>
  </si>
  <si>
    <t>GARDEN GRAND SUITE DBL THE LEVEL</t>
  </si>
  <si>
    <t>GARDEN GRAND SUITE SGL THE LEVEL</t>
  </si>
  <si>
    <t xml:space="preserve">Номера Royal Service только для взрослых от 18 лет, max 2 взр! В остальных номерах допустимо размещение 3 взр, 2 взр + 2 реб. </t>
  </si>
  <si>
    <t xml:space="preserve">Melia Internacional            </t>
  </si>
  <si>
    <t>DBL THE LEVEL OCEAN VIEW</t>
  </si>
  <si>
    <t>DBL THE LEVEL PREMIUM OCEAN VIEW</t>
  </si>
  <si>
    <t xml:space="preserve">GRAND SUITE DBL </t>
  </si>
  <si>
    <t xml:space="preserve">GRAND SUITE SGL </t>
  </si>
  <si>
    <t>JR SUITE DBL THE LEVEL*</t>
  </si>
  <si>
    <t>JR SUITE DBL OCEAN VIEW THE LEVEL*</t>
  </si>
  <si>
    <t>JR SUITE DBL ROMANCE OCEAN VIEW THE LEVEL*</t>
  </si>
  <si>
    <t xml:space="preserve">DBL OCEAN  VIEW </t>
  </si>
  <si>
    <t xml:space="preserve">SGL OCEAN  VIEW </t>
  </si>
  <si>
    <t xml:space="preserve">DBL SUPERIOR  OCEAN  VIEW </t>
  </si>
  <si>
    <t xml:space="preserve">SGL SUPERIOR  OCEAN  VIEW </t>
  </si>
  <si>
    <t>Villa Palacio Azul Dbl</t>
  </si>
  <si>
    <t>Villa Casa Verde Dbl</t>
  </si>
  <si>
    <t>Villa Perla del Mar Dbl</t>
  </si>
  <si>
    <t>Villa Perla del Mar Jr Suite Dbl Sea View</t>
  </si>
  <si>
    <t>В номере Standard max 2 взр или 2 взр+1 реб, в Villa Palazio Azul и Perla del Mar max 3 взр или 2 взр+1 реб, в Villa Casa Verde и Villa Perla del Mar Jr Suite Sea View max 2 взр</t>
  </si>
  <si>
    <t>Melia San Carlos</t>
  </si>
  <si>
    <t>DBL CLASSIC CITY VIEW</t>
  </si>
  <si>
    <t>В номере Classic и Classic City View max 2 взр или 2 взр+1 инфант</t>
  </si>
  <si>
    <t>Occidental Arenas Blancas</t>
  </si>
  <si>
    <t>Allegro Palma Real</t>
  </si>
  <si>
    <t>вторая линия пляжа</t>
  </si>
  <si>
    <t>JR  SUITE SANCTUARY  DBL*</t>
  </si>
  <si>
    <t>JR SUITE SANCTUARY  SGL*</t>
  </si>
  <si>
    <t>SUITE SANCTUARY DBL*</t>
  </si>
  <si>
    <t>SUITE SANCTUARY SGL*</t>
  </si>
  <si>
    <t xml:space="preserve">Максимальное размещение: в номере STD и Superior 2 взр + 2 реб, 3 взр+ 1 реб; *зона Sanctuary только для взрослых!  - max 2 взр </t>
  </si>
  <si>
    <t>CHD + 2 взр (до 13 лет) (с допкроватью)</t>
  </si>
  <si>
    <t>PATIO SUITE DBL</t>
  </si>
  <si>
    <t>Playa Cayo Santa Maria</t>
  </si>
  <si>
    <t>Sol Cayo Santa Maria</t>
  </si>
  <si>
    <t>Melia Las Dunas</t>
  </si>
  <si>
    <t>Melia Cayo Santa Maria</t>
  </si>
  <si>
    <t>Melia Buenavista</t>
  </si>
  <si>
    <t xml:space="preserve">CHD + 2 взр (до 12 лет)   </t>
  </si>
  <si>
    <t xml:space="preserve">Grand Memories Santa Maria </t>
  </si>
  <si>
    <t>JR SUITE DBL SUPERIOR (OCEAN  VIEW)</t>
  </si>
  <si>
    <t xml:space="preserve">Максимальное размещение: в номере Jr Suite STD и Superior 2 взр + 2 реб, 3 взр; в Suite 3 взр; *зона Sanctuary только для взрослых от 18 лет!  - max 2 взр </t>
  </si>
  <si>
    <t>Максимальное размещение: в номере Jr Suite 2 взр + 2 реб, 3 взр; в Suite 2 взр+1 реб, 3 взр</t>
  </si>
  <si>
    <t>JUNIOR SUITE DBL THE RESERVE</t>
  </si>
  <si>
    <t>JUNIOR SUITE SGL THE RESERVE</t>
  </si>
  <si>
    <t>JUNIOR SUITE DBL THE RESERVE GARDEN SWIM-UP</t>
  </si>
  <si>
    <t>JUNIOR SUITE SGL THE RESERVE GARDEN SWIM-UP</t>
  </si>
  <si>
    <t xml:space="preserve">Melia Las Americas   5* </t>
  </si>
  <si>
    <t>The Level Service</t>
  </si>
  <si>
    <t>Отель для взрослых от 16 лет</t>
  </si>
  <si>
    <t>Havanatur</t>
  </si>
  <si>
    <t>Gran Caribe</t>
  </si>
  <si>
    <t>В даты 24, 25,31 декбря, с 05 по 12.04. и с 28.10 по 02.11. доплата 12 долл с человека, с ребенка 6 долл; Доплата за ужин 20 долл,ребенок 10 долл</t>
  </si>
  <si>
    <t>Доплата за ужин 25 долл с человека, с ребенка 13 долл</t>
  </si>
  <si>
    <t xml:space="preserve">Iberostar Selection Varadero    </t>
  </si>
  <si>
    <t>Iberostar Selection Bella Vista</t>
  </si>
  <si>
    <t xml:space="preserve">FAMILIAR PREMIUM </t>
  </si>
  <si>
    <t>В номерах STD и Jr Suite max 2 взр+2 реб, 3 взр; в номере Familiar min 4 pax, max 6 pax (4 adt+2 реб)</t>
  </si>
  <si>
    <t>третий-шестой человек</t>
  </si>
  <si>
    <t>JR SUITE Ocean Front DBL</t>
  </si>
  <si>
    <t>третий-шестой pax</t>
  </si>
  <si>
    <t xml:space="preserve">В номерах STD и STD Ocean View max 2 взр+1 реб; в номере Familiar min 4 pax, max 6 pax (4 adt+2chd); в номерах Jr Suite и Prestige max 2 взр!  </t>
  </si>
  <si>
    <t>FAMILY ROOM первый-второй pax</t>
  </si>
  <si>
    <t>FAMILY ROOM третий-шестой pax</t>
  </si>
  <si>
    <t>FAMILY ROOM OCEAN VIEW первый-второй pax</t>
  </si>
  <si>
    <t>FAMILY ROOM OCEAN VIEW третий-шестой pax</t>
  </si>
  <si>
    <t>В номере DBL FAMILIAR разрешается размещение минимально: 4 pax,  // максимально 6 pax</t>
  </si>
  <si>
    <t>DBL Bungalow</t>
  </si>
  <si>
    <t>SGL Bungalow</t>
  </si>
  <si>
    <t xml:space="preserve">DBL  Std </t>
  </si>
  <si>
    <t>SGL  Std</t>
  </si>
  <si>
    <t>Memories Trinidad del Mar</t>
  </si>
  <si>
    <t>Blue Daimond</t>
  </si>
  <si>
    <t>DBL Standard</t>
  </si>
  <si>
    <t>SGL Standard</t>
  </si>
  <si>
    <t xml:space="preserve">CHD + 2 взр </t>
  </si>
  <si>
    <t xml:space="preserve">DBL c террасой </t>
  </si>
  <si>
    <t xml:space="preserve">SGL c террасой </t>
  </si>
  <si>
    <t>ВНИМАНИЕ!!!! 1 ребенок+1 взрослый рассчитывается, как DBL</t>
  </si>
  <si>
    <t>SGL VILLA</t>
  </si>
  <si>
    <t>DBL VILLA Mini Suite</t>
  </si>
  <si>
    <t>JR SUITE SGL OCEAN VIEW ROYAL SERVICE</t>
  </si>
  <si>
    <t>JR SUITE SGL THE LEVEL</t>
  </si>
  <si>
    <t>JR SUITE SGL OCEAN VIEW THE LEVEL</t>
  </si>
  <si>
    <t>EXTRA BED (третий pax в номере)</t>
  </si>
  <si>
    <t xml:space="preserve"> 4, 5 и 6-й pax  в номере)</t>
  </si>
  <si>
    <t>Palacio Cueto 5*</t>
  </si>
  <si>
    <t xml:space="preserve">DBL BEACH  </t>
  </si>
  <si>
    <t>SGL BEACH</t>
  </si>
  <si>
    <t xml:space="preserve">DBL  OCEAN VIEW </t>
  </si>
  <si>
    <t xml:space="preserve">SGL  OCEAN VIEW </t>
  </si>
  <si>
    <t>Iberostar Selection  Playa Pilar</t>
  </si>
  <si>
    <t xml:space="preserve">Iberostar </t>
  </si>
  <si>
    <t>FAMILIAR (2 смежных номера)</t>
  </si>
  <si>
    <t>Максимальное размещение во всех типах номеров : 2 взр +2 реб/3 взр. Минимальное размещение в номере Familiar: 4 pax Максимально 6 pax</t>
  </si>
  <si>
    <t>SUITE PARK/PRADO VIEW DBL</t>
  </si>
  <si>
    <t>SUITE PARK/PRADO VIEW SGL</t>
  </si>
  <si>
    <t>JR SUITE PARK/PRADO VIEW DBL</t>
  </si>
  <si>
    <t>JR SUITE PARK /PRADO VIEW SGL</t>
  </si>
  <si>
    <t>STD PARK /PRADO VIEW DBL</t>
  </si>
  <si>
    <t>STD PARK /PRADOVIEW SGL</t>
  </si>
  <si>
    <t>SGL DELUXE</t>
  </si>
  <si>
    <t>DBL DELUXE PRADO</t>
  </si>
  <si>
    <t>DBL DELUXE ATLANTIC VIEW</t>
  </si>
  <si>
    <t xml:space="preserve">SGL DELUXE ATLANTIC  VIEW </t>
  </si>
  <si>
    <t>Iberostar Selection Holguin</t>
  </si>
  <si>
    <t>FAMILY (первый-второй pax)</t>
  </si>
  <si>
    <t>третий - шестой pax</t>
  </si>
  <si>
    <t xml:space="preserve">Blau  Varadero                                       </t>
  </si>
  <si>
    <t>SGL SUPERIOR OCEAN VIEW</t>
  </si>
  <si>
    <t>DBL SELECT  SEA VIEW</t>
  </si>
  <si>
    <t>Paradisus Los Cayos</t>
  </si>
  <si>
    <t>Melia</t>
  </si>
  <si>
    <t>JUNIOR SUITE  DBL</t>
  </si>
  <si>
    <t>JUNIOR SUITE  SGL</t>
  </si>
  <si>
    <t>JUNIOR SUITE  OCEAN VIEW DBL</t>
  </si>
  <si>
    <t>JUNIOR SUITE  OCEAN VIEW SGL</t>
  </si>
  <si>
    <t>THE RESERVE J SUITE  SGL</t>
  </si>
  <si>
    <t>ROYAL SERVISE J SUITE DBL</t>
  </si>
  <si>
    <t>THE RESERVE J SUITE DBL</t>
  </si>
  <si>
    <t>ROYAL SERVISE J SUITE SGL</t>
  </si>
  <si>
    <t>Max размещение в номерах Superior и Superior Ocean View 3 взр+1 реб, 2 взр+2 реб; в номере Suite 3 взр, 2 взр+1 реб</t>
  </si>
  <si>
    <t>Бунгало</t>
  </si>
  <si>
    <t>DBL BGL SUPERIOR</t>
  </si>
  <si>
    <t>SGL BGL SUPERIOR</t>
  </si>
  <si>
    <t>BUNGALOW SUITE  DBL</t>
  </si>
  <si>
    <t>Max размещение в номерах Superior и Superior Ocean View 3 взр,3взр+1 реб; в номере Suite 3 взр, 2 взр+1 реб</t>
  </si>
  <si>
    <t xml:space="preserve">Roc                                   </t>
  </si>
  <si>
    <t>STD DBL</t>
  </si>
  <si>
    <t>SGL STD</t>
  </si>
  <si>
    <t>Be Live</t>
  </si>
  <si>
    <t>Доплата за номер Superior Deluxe 7 долл/чел/ночь</t>
  </si>
  <si>
    <t xml:space="preserve">JR SUITE SGL </t>
  </si>
  <si>
    <t>SUITE DBL OCEAN VIEW</t>
  </si>
  <si>
    <t>SUITE SGL OCEAN VIEW</t>
  </si>
  <si>
    <t>Sol Varadero Beach</t>
  </si>
  <si>
    <t>Melia Jagua</t>
  </si>
  <si>
    <t>Melia La Union</t>
  </si>
  <si>
    <t>ВНИМАНИЕ!!! СКИДКА "РАННЕЕ БРОНИРОВАНИЕ" НЕ РАСПРОСТРАНЯЕТСЯ НА СПЕЦПРЕДЛОЖЕНИЯ В ГОЛУБОМ ФОНЕ</t>
  </si>
  <si>
    <t>CORAL VILLAGE DBL</t>
  </si>
  <si>
    <t>CORAL VILLAGE SGL</t>
  </si>
  <si>
    <t>Islazul</t>
  </si>
  <si>
    <t>Angsana Cayo Santa Maria</t>
  </si>
  <si>
    <t>Banyan Tree</t>
  </si>
  <si>
    <t>SUPERIOR GARDEN VIEW</t>
  </si>
  <si>
    <t>SUPERIOR GARDEN VIEW  SGL</t>
  </si>
  <si>
    <t>SUPERIOR OCEAN VIEW</t>
  </si>
  <si>
    <t>CHD + 2 взр (от 3 до 13 лет)</t>
  </si>
  <si>
    <t>PREMIUM OCEAN FRONT DBL</t>
  </si>
  <si>
    <t xml:space="preserve">DBL THE LEVEL </t>
  </si>
  <si>
    <t xml:space="preserve">SGL THE LEVEL </t>
  </si>
  <si>
    <t>Be Live Los Cactus</t>
  </si>
  <si>
    <t xml:space="preserve">SUITE BAHIA DBL </t>
  </si>
  <si>
    <t xml:space="preserve">SUITE BAHIA SGL </t>
  </si>
  <si>
    <t>CHD+2 взр</t>
  </si>
  <si>
    <t>DBL TRYP</t>
  </si>
  <si>
    <t>SGL TRYP</t>
  </si>
  <si>
    <t>DBL  TRYP PANORAMIC  VIEW</t>
  </si>
  <si>
    <t>SGL  TRYP PANORAMIC  VIEW</t>
  </si>
  <si>
    <t>JR SUITE  Ocean FrontSGL</t>
  </si>
  <si>
    <t>FAMILIAR (первый-второй взр)</t>
  </si>
  <si>
    <t>Cubanacan</t>
  </si>
  <si>
    <t>исторический центр</t>
  </si>
  <si>
    <t xml:space="preserve">JR SUITE SGL CONSTANTE </t>
  </si>
  <si>
    <t>Доплата за завтрак 38 долл- взрослый и 19 долл реб с 6 до 12 лет. Ребенок до 6 лет завтрак бесплатно</t>
  </si>
  <si>
    <t xml:space="preserve">4* </t>
  </si>
  <si>
    <t xml:space="preserve"> San Felix </t>
  </si>
  <si>
    <t>Coral Village Suite для туристов от 14 лет (до 3 взр) // Family Grand Village Suite с двумя спальнями  для туристов от 14 лет (от 4 до 6 взр)</t>
  </si>
  <si>
    <t>Valentin</t>
  </si>
  <si>
    <t xml:space="preserve">Blue Daimond </t>
  </si>
  <si>
    <t>CAYO CRUZ    -  ОСТРОВ  КАЙО  КРУЗ (Атлантический океан - Северное побережье)</t>
  </si>
  <si>
    <t>Iberostar Selection Esmeralda</t>
  </si>
  <si>
    <t>CORAL JR SUITE DBL</t>
  </si>
  <si>
    <t>CORAL JR SUITE SGL</t>
  </si>
  <si>
    <t xml:space="preserve">CORAL JR SUITE DBL OCEAN VIEW </t>
  </si>
  <si>
    <t xml:space="preserve">CORAL LEVEL </t>
  </si>
  <si>
    <t xml:space="preserve">CORAL JR SUITE SGL  OCEAN VIEW </t>
  </si>
  <si>
    <t>для взрослых от 16 лет</t>
  </si>
  <si>
    <t>Kempinski</t>
  </si>
  <si>
    <t>Cayo Guillermo Resort Kempinski</t>
  </si>
  <si>
    <t xml:space="preserve">                         5*</t>
  </si>
  <si>
    <t>DBL Deluxe Ocean View</t>
  </si>
  <si>
    <t>SGL Deluxe Ocean View</t>
  </si>
  <si>
    <t>DBL Deluxe Ocean Front</t>
  </si>
  <si>
    <t>SGL Deluxe Ocean Front</t>
  </si>
  <si>
    <t>DBL Ocean Deluxe Suite</t>
  </si>
  <si>
    <t>SGL Ocean Deluxe Suite</t>
  </si>
  <si>
    <t>DBL Sunset Villa</t>
  </si>
  <si>
    <t>SGL Sunset Villa</t>
  </si>
  <si>
    <t>DBL Playa Pilar Water Villa</t>
  </si>
  <si>
    <t>SGL Playa Pilar Water Villa</t>
  </si>
  <si>
    <t>DBL STD</t>
  </si>
  <si>
    <t>DBL PREMIUM</t>
  </si>
  <si>
    <t>SGL PREMIUM</t>
  </si>
  <si>
    <t xml:space="preserve">SOL ROOM DBL  </t>
  </si>
  <si>
    <t>SUPERIOR ROOM  DBL</t>
  </si>
  <si>
    <t>SUPERIOR ROOM SGL</t>
  </si>
  <si>
    <t>CHD + 2 взр (от 2 до 13 лет)</t>
  </si>
  <si>
    <t xml:space="preserve">В зоне Prestige и в Jr Suite  размещение только для взрослых от 16 лет! </t>
  </si>
  <si>
    <t>1-й CHD + 2 взр (от 2 до 13 лет)</t>
  </si>
  <si>
    <t>2-й CHD + 2 взр (от 2 до 13 лет)</t>
  </si>
  <si>
    <t>Max размещение в номерах Superior и Superior Ocean View 3 взр или 2 взр+1 реб,  в номере JR Suite 3 взр, 2 взр+1 реб</t>
  </si>
  <si>
    <t>DBL ROC PLUS</t>
  </si>
  <si>
    <t>SGL ROC PLUS</t>
  </si>
  <si>
    <t xml:space="preserve">Barlovento </t>
  </si>
  <si>
    <t>Максимальное размещение: 2 взр</t>
  </si>
  <si>
    <t>Roc</t>
  </si>
  <si>
    <t>Playa Caleta)</t>
  </si>
  <si>
    <t>Roc Varadero (ex Puntarena-</t>
  </si>
  <si>
    <t xml:space="preserve">EXTRA BED </t>
  </si>
  <si>
    <t>DBL  ROC PLUS</t>
  </si>
  <si>
    <t>SGL  ROC PLUS</t>
  </si>
  <si>
    <t>Максимальное размещение: 3 взр или 2 взр+1 реб</t>
  </si>
  <si>
    <t>Be Live Experience Las Morlas</t>
  </si>
  <si>
    <t xml:space="preserve">Valentin El Patriarca </t>
  </si>
  <si>
    <t>(ex.Ocean Varadero el Patriarca)</t>
  </si>
  <si>
    <t>В номерах зоны Privilege max размещение 2 чел</t>
  </si>
  <si>
    <t xml:space="preserve">                                                                                                                                                                               </t>
  </si>
  <si>
    <t>STANDARD DBL</t>
  </si>
  <si>
    <t>STANDARD SGL</t>
  </si>
  <si>
    <t>DBL STANDARD</t>
  </si>
  <si>
    <t>SGL STANDARD</t>
  </si>
  <si>
    <t>Максимальное размещение: в номерах Std и Superior 3 взр или 2 взр + 2 реб,в бунгало  3 взр+ 1 реб или 2 взр+2 реб</t>
  </si>
  <si>
    <t>DBL Junior Suite DELUXE</t>
  </si>
  <si>
    <t>SGL Junior Suite DELUXE</t>
  </si>
  <si>
    <t>DBL Junior Suite PREMIUM</t>
  </si>
  <si>
    <t>SGL Junior Suite PREMIUM</t>
  </si>
  <si>
    <t>Mystique Casa Perla</t>
  </si>
  <si>
    <t>Во  всех категория размещение Max 2 чел. ; В номерах Superior Max 3 чел ( скидка на третьего взрослого 15% от стоимости 1/2 DBL)</t>
  </si>
  <si>
    <t>Максимальное размещение: 3 взр,скидка на третьего взрослого  15% от 1/2 DBL</t>
  </si>
  <si>
    <t>Размещение max 2 взр</t>
  </si>
  <si>
    <t>AL</t>
  </si>
  <si>
    <t>Max размещение 3 взр или 2 взр+2 реб</t>
  </si>
  <si>
    <t xml:space="preserve">Starfish Cuatro Palmas </t>
  </si>
  <si>
    <t>Tuxpan</t>
  </si>
  <si>
    <t>CHD + 2 взр (до 12 лет) (с допкроватью)</t>
  </si>
  <si>
    <t>2 CHD + 2 взр (от 2 до 13 лет)</t>
  </si>
  <si>
    <t>DBL  TROPICAL VIEW</t>
  </si>
  <si>
    <t>SGL  TROPICAL VIEW</t>
  </si>
  <si>
    <t>Club Karey 3*</t>
  </si>
  <si>
    <t>Максимальное размещение:  в номере с доп кроватью 3 взр+ 1 реб или 2 взр+2 реб , в однокомн. апартаментах 2 взр+1 реб, в двухкомн.- 4 взр+2 реб</t>
  </si>
  <si>
    <t xml:space="preserve">Trinidad 500 </t>
  </si>
  <si>
    <t>Finca Ma Dolores</t>
  </si>
  <si>
    <t>DBL BGL</t>
  </si>
  <si>
    <t>SGL BGL</t>
  </si>
  <si>
    <t>CHD + 2 взр (от 7 до 13 лет)</t>
  </si>
  <si>
    <t>La Calesa или La Ronda</t>
  </si>
  <si>
    <t>Доплата за ужин 20 долл взрослый, 10 долл реб</t>
  </si>
  <si>
    <t>DBL  BGL</t>
  </si>
  <si>
    <t>CHD  + 2 взр (от 2 до 13 лет)</t>
  </si>
  <si>
    <t xml:space="preserve">SUITE  DBL  </t>
  </si>
  <si>
    <t xml:space="preserve">JR SUITE SANCTUARY  DBL </t>
  </si>
  <si>
    <t>STANDARD OCEAN VIEW  DBL</t>
  </si>
  <si>
    <t xml:space="preserve">SUITE OCEAN VIEW   DBL </t>
  </si>
  <si>
    <t>Grand Aston Cayo Las Brujas</t>
  </si>
  <si>
    <t>Aston</t>
  </si>
  <si>
    <t>GARDEN VIEW  DBL</t>
  </si>
  <si>
    <t>GARDEN VIEW SGL</t>
  </si>
  <si>
    <t>CHD + 2 взр (до 13 лет)</t>
  </si>
  <si>
    <t>OCEAN VIEW DBL</t>
  </si>
  <si>
    <t>OCEAN VIEW SGL</t>
  </si>
  <si>
    <t>ONE -BEDROOM  SUITE DBL</t>
  </si>
  <si>
    <t>ONE -BEDROOM SUITE  SGL</t>
  </si>
  <si>
    <t>FAMILY SUITE DBL</t>
  </si>
  <si>
    <t>Aston Fiesta (зона для взрослых)</t>
  </si>
  <si>
    <t>TWO-BEDROOM SUITE DBL</t>
  </si>
  <si>
    <t>FIESTA GARDEN VIEW  DBL</t>
  </si>
  <si>
    <t>FIESTA GARDEN VIEW SGL</t>
  </si>
  <si>
    <t>FIESTA OCEAN VIEW DBL</t>
  </si>
  <si>
    <t>FIESTA OCEAN VIEW SGL</t>
  </si>
  <si>
    <t>FIESTA POOL ACCESS DBL</t>
  </si>
  <si>
    <t>FIESTA POOL ACCESS   SGL</t>
  </si>
  <si>
    <t>Grand Aston Family  (зона для семей)</t>
  </si>
  <si>
    <t>Grand Aston (зона для взрослых)</t>
  </si>
  <si>
    <t>Максимальное размещение в зоне Grand Aston : 3 взр, в номерах Two bedroom 4 взр ;в зоне Aston Fiesta 2 взр</t>
  </si>
  <si>
    <t xml:space="preserve">Playa Vista Azul (ex.Ocean Vista Azul)  </t>
  </si>
  <si>
    <t>Gaviota</t>
  </si>
  <si>
    <t>PREMIUM DBL</t>
  </si>
  <si>
    <t>PREMIUM SGL</t>
  </si>
  <si>
    <t>PREMIUM OCEAN VIEW DBL</t>
  </si>
  <si>
    <t>PREMIUM OCEAN VIEW  SGL</t>
  </si>
  <si>
    <t>PREMIUM OCEAN FRONT  SGL</t>
  </si>
  <si>
    <t>SUITE PLAYA  DBL</t>
  </si>
  <si>
    <t>SUITE PLAYA| SGL</t>
  </si>
  <si>
    <t>5*(для взрослых от 18 лет)</t>
  </si>
  <si>
    <t>CABANA DELUXE GARDEN VIEW DBL</t>
  </si>
  <si>
    <t>CABANA DELUXE GARDEN VIEW SGL</t>
  </si>
  <si>
    <t>CABANA JR SUITE GARDEN VIEW SGL</t>
  </si>
  <si>
    <t>CABANA JR SUITE GARDEN VIEW DBL</t>
  </si>
  <si>
    <t>CABANA DELUXE OCEAN VIEW DBL</t>
  </si>
  <si>
    <t>CABANA DELUXE OCEAN VIEW SGL</t>
  </si>
  <si>
    <t>CABANA JR SUITE OCEAN VIEW DBL</t>
  </si>
  <si>
    <t>CABANA JR SUITE OCEAN VIEW SGL</t>
  </si>
  <si>
    <t xml:space="preserve">доплата за EXB во всех категориях </t>
  </si>
  <si>
    <t>Минимальное бронирование 3 ночи</t>
  </si>
  <si>
    <t>TRYP DBL</t>
  </si>
  <si>
    <t>TRYP SGL</t>
  </si>
  <si>
    <t>TRYP OCEAN  VIEW DBL</t>
  </si>
  <si>
    <t xml:space="preserve">TRYP OCEAN  VIEW SGL </t>
  </si>
  <si>
    <t>JR SUITE  OCEAN VIEW</t>
  </si>
  <si>
    <t>Во всех категориях номеров максимально размещение 3 взр</t>
  </si>
  <si>
    <t>ROOM  DBL</t>
  </si>
  <si>
    <t>ROOM  SGL</t>
  </si>
  <si>
    <t>Strafish Cayo Guillermo</t>
  </si>
  <si>
    <t>OCEAN VIEW  DBL</t>
  </si>
  <si>
    <t>В категориях номеров STD  максимально разрещение 3 взр или 2 взр+2 реб, в бунгало 2 взр</t>
  </si>
  <si>
    <t xml:space="preserve">STANDARD  DBL </t>
  </si>
  <si>
    <t xml:space="preserve">STANDARD SGL </t>
  </si>
  <si>
    <t>CHD+2 ВЗР (от 2 до 13 лет)</t>
  </si>
  <si>
    <t>STANDARD  SEA VIEW DBL</t>
  </si>
  <si>
    <t>STANDARD SEA VIEW SGL</t>
  </si>
  <si>
    <t>Во всех категориях номеров максимально разрещение 3 взр или  2 взр+2 реб</t>
  </si>
  <si>
    <t>Playa Cayo Coco</t>
  </si>
  <si>
    <t>4+*</t>
  </si>
  <si>
    <t>Playa Paraiso (ex.Pestana Cayo Coco)</t>
  </si>
  <si>
    <t>DBL CORAL (для взрослых от 16 лет)</t>
  </si>
  <si>
    <t>JR SUITE DBL CORAL (для взрослых от 16 лет)</t>
  </si>
  <si>
    <t xml:space="preserve">В номерах STD и STD Ocean View max 2 взр+2 реб, 3 взр; в Familiar min 4 pax max 6 pax; в номерах CORAL max 2 взр!  </t>
  </si>
  <si>
    <t>Iberostar</t>
  </si>
  <si>
    <t>Club Atlantico Guardalavaca</t>
  </si>
  <si>
    <t xml:space="preserve"> DBL</t>
  </si>
  <si>
    <t xml:space="preserve"> SGL</t>
  </si>
  <si>
    <t>Доплата за ужин 20 долл с человека.</t>
  </si>
  <si>
    <t xml:space="preserve">Casa Granda </t>
  </si>
  <si>
    <t>Imperial</t>
  </si>
  <si>
    <t>Доплата за ужин 15 долл</t>
  </si>
  <si>
    <t>CHD + 2 взр (до 5 лет)</t>
  </si>
  <si>
    <t>CHD + 2 взр (от 5 до 12 лет)</t>
  </si>
  <si>
    <t>DELUXE GARDEN SGL</t>
  </si>
  <si>
    <t xml:space="preserve">Accor                                       </t>
  </si>
  <si>
    <t>DELUXE OCEAN FRONT DBL</t>
  </si>
  <si>
    <t>DELUXE OCEAN FRONT SGL</t>
  </si>
  <si>
    <t>Доплата за ужин 25 долл</t>
  </si>
  <si>
    <t>Мах размещение 3 взр или 2 взр+2 реб.</t>
  </si>
  <si>
    <t>Доплата за номер Superior Room - 13 долл за человека в сутки</t>
  </si>
  <si>
    <t>CHD + 2 взр (до 13 лет)   (без допкровати)</t>
  </si>
  <si>
    <t>CHD + 2 взр  (от 2 до 13 лет)</t>
  </si>
  <si>
    <t>Максимальное размещение: 2 взр+2 реб или 3 взр</t>
  </si>
  <si>
    <t>В номерах Cosmos max 2 взр, в остальных категориях максимальное размещение 2 взр+2 реб, 3 взр</t>
  </si>
  <si>
    <t>DBL DELUXE COSMOS PRADO VIEW</t>
  </si>
  <si>
    <t xml:space="preserve">SGL DELUXE COSMOS Prado  VIEW  </t>
  </si>
  <si>
    <t>DBL DELUXE COSMOS  ATLANTIC VIEW</t>
  </si>
  <si>
    <t xml:space="preserve">SGL DELUXE COSMOS  ATLANTIC  VIEW  </t>
  </si>
  <si>
    <t>CHD + 2 взр (до 12 лет)  без дополнительной кровати</t>
  </si>
  <si>
    <t>(бунгало, вторая линия пляжа)</t>
  </si>
  <si>
    <t>CLASSIC PATIO  DBL</t>
  </si>
  <si>
    <t>Gran Hotel Bristol</t>
  </si>
  <si>
    <t>CLASSIC PATIO  SGL</t>
  </si>
  <si>
    <t>LA HABANA CLASSIC ROOM  DBL</t>
  </si>
  <si>
    <t>LA HABANA CLASSIC ROOM  SGL</t>
  </si>
  <si>
    <t>LA HABANA DELUXE ROOM DBL</t>
  </si>
  <si>
    <t>LA HABANA  DELUXE ROOM  SGL</t>
  </si>
  <si>
    <t>LA HABANA GRAN DELUXE ROOM  DBL</t>
  </si>
  <si>
    <t>LA HABANA GRAN DELUXE ROOM  SGL</t>
  </si>
  <si>
    <t>SUITE DELUXE DBL</t>
  </si>
  <si>
    <t>SUITE DELUXE SGL</t>
  </si>
  <si>
    <t>CHD + 2 взр (от 6 до 13 лет)</t>
  </si>
  <si>
    <t xml:space="preserve">Blau Arenal Habana Beach </t>
  </si>
  <si>
    <t>Blau</t>
  </si>
  <si>
    <t>DBL SUPERIOR PLUS</t>
  </si>
  <si>
    <t>SGL SUPERIOR PLUS</t>
  </si>
  <si>
    <t>DBL  JUNIOR SUITE</t>
  </si>
  <si>
    <t>SGL  JUNIOR SUITE</t>
  </si>
  <si>
    <t>Aston Costa Verde Beach Resort</t>
  </si>
  <si>
    <t xml:space="preserve">Aston </t>
  </si>
  <si>
    <t xml:space="preserve">DBL SUPERIOR  </t>
  </si>
  <si>
    <t xml:space="preserve">SGL SUPERIOR  </t>
  </si>
  <si>
    <t xml:space="preserve">DBL SUPERIOR OCEAN  VIEW </t>
  </si>
  <si>
    <t xml:space="preserve">DBL CLUB ROOM </t>
  </si>
  <si>
    <t>SGL CLUB ROOM</t>
  </si>
  <si>
    <t>ASTON SUITE  DBL</t>
  </si>
  <si>
    <t>В номерах max 2 взр+2 реб, 3 взр+1 реб; в Aston Suite 2взр+1 реб или 3 взр+2 реб</t>
  </si>
  <si>
    <t>ex. Playa Costa Verde</t>
  </si>
  <si>
    <t>CHD + 2 взр (до 12 лет)  (без допкровати)</t>
  </si>
  <si>
    <t xml:space="preserve">Palacio San Felipe y Santiago  </t>
  </si>
  <si>
    <t>Максимальное размещение 2 взр+2 реб или 3 взр</t>
  </si>
  <si>
    <t>DELUXE GARDEN EXTRA BED</t>
  </si>
  <si>
    <t>-</t>
  </si>
  <si>
    <t>В Jr Suite размещение max 2 чел , Royal Suite размещение max 2 чел, в Presidential Suite max 4 чел (третий и четвёртый в номере - скидка 15% от 1/2 DBL)</t>
  </si>
  <si>
    <t>STANDARD DBL GARDEN VIEW</t>
  </si>
  <si>
    <t>STANDARD SGL GARDEN VIEW</t>
  </si>
  <si>
    <t>STANDARD DBL SEA VIEW</t>
  </si>
  <si>
    <t>STANDARD SGL SEA VIEW</t>
  </si>
  <si>
    <t>JUNIOR SUITE DBL SEA VIEW</t>
  </si>
  <si>
    <t>JUNIOR SUITE SGL SEA VIEW</t>
  </si>
  <si>
    <t>BEACH CLUB  DBL</t>
  </si>
  <si>
    <t>BEACH CLUB  SGL</t>
  </si>
  <si>
    <t>BEACH CLUB  DBL SEA VIEW</t>
  </si>
  <si>
    <t>Максимальное размещение: 3 взр или 2 взр+2реб</t>
  </si>
  <si>
    <t xml:space="preserve">   22.12.21 - 03.01.22</t>
  </si>
  <si>
    <t xml:space="preserve">  04.01.22 - 31.01.22</t>
  </si>
  <si>
    <t>01.02.22-31.03.22</t>
  </si>
  <si>
    <t>01.04.22-30.04.22</t>
  </si>
  <si>
    <t>от 18 лет</t>
  </si>
  <si>
    <t>JUNIOR SUITE DBL ROYAL SERVICE</t>
  </si>
  <si>
    <t>JUNIOR SUITE SGL ROYAL SERVICE</t>
  </si>
  <si>
    <t>SUITE DBL  ROYAL SERVICE</t>
  </si>
  <si>
    <t>JUNIOR SUITE DBL GARDEN SWIM-UP ROYAL SERVICE</t>
  </si>
  <si>
    <t>JUNIOR SUITE SGL GARDEN SWIM-UP ROYAL SERVICE</t>
  </si>
  <si>
    <t xml:space="preserve">  01.11.21 - 21.12.21</t>
  </si>
  <si>
    <t>Внимание! Отель только для взрослых c 18 лет! Размещение max. 3 взр</t>
  </si>
  <si>
    <t>DBL BUNGALOW  SUITE</t>
  </si>
  <si>
    <t>SGL BUNGALOW SUITE</t>
  </si>
  <si>
    <t>DBL  OCEAN  FRONT</t>
  </si>
  <si>
    <t>SGL  OCEAN  FRONT</t>
  </si>
  <si>
    <t>16+</t>
  </si>
  <si>
    <t>DBL STD con Balcon</t>
  </si>
  <si>
    <t>SGL STD con Balcon</t>
  </si>
  <si>
    <t>18+</t>
  </si>
  <si>
    <t xml:space="preserve">Blue Diamond                        </t>
  </si>
  <si>
    <t>Max размещение в номерах Bungalow Superior 2 взр, 2 взр+2 реб; в номере Bungalow Suite 3 взр, 3 взр+1 реб,2 взр+2реб.</t>
  </si>
  <si>
    <t>Roc Arenas Doradas</t>
  </si>
  <si>
    <t>PRESIDENCIAL  SUITE DBL</t>
  </si>
  <si>
    <t>PRESIDENCIAL  SUITE SGL</t>
  </si>
  <si>
    <t>BEACH CLUB SGL SEA VIEW</t>
  </si>
  <si>
    <t>ВНИМАНИЕ!!! ОТЕЛЬ РАБОТАЕТ БЕЗ ПИТАНИЯ!!! ДОПЛАТА ЗА ЗАВТРАК 20 долл С ЧЕЛОВЕКА/ДЕНЬ, УЖИН 25 долл С ЧЕЛОВЕКА/ДЕНЬ</t>
  </si>
  <si>
    <t>ЗОНА ROYAL SERVISE для взрослых от 18 лет</t>
  </si>
  <si>
    <t>от 16 лет</t>
  </si>
  <si>
    <t>CHD + 2 взр (от 2 до 13лет)</t>
  </si>
  <si>
    <t>JR SUITE VISTA LAGUNA DBL Deluxe Servise</t>
  </si>
  <si>
    <t>JR SUITE VISTA SGL Deluxe Servise</t>
  </si>
  <si>
    <t>GRAND SUITE VISTA   LAGUNA DBL Deluxe Service</t>
  </si>
  <si>
    <t>GRAND SUITE VISTA  LAGUNA SGL Deluxe</t>
  </si>
  <si>
    <t>BUNGALOW MADERA DBL</t>
  </si>
  <si>
    <t>BUNGALOW MADERA SGL</t>
  </si>
  <si>
    <t>DBL THE LEVEL   JR SUITE</t>
  </si>
  <si>
    <t>SGL THE LEVEL   JR SUITE</t>
  </si>
  <si>
    <t>DBL ROC Plus</t>
  </si>
  <si>
    <t>SGL ROC Plus</t>
  </si>
  <si>
    <t xml:space="preserve">Capri                                   </t>
  </si>
  <si>
    <t>Доплата за Panoramic View Dbl - 7 $  с человека в сутки</t>
  </si>
  <si>
    <t>EP</t>
  </si>
  <si>
    <t>Palacio de los Corredores</t>
  </si>
  <si>
    <t>JR SUITE DBL (в Santa Isabel , в Palacio Cueto,в Montehermoso,Corredores)</t>
  </si>
  <si>
    <t>JR SUITE SGL (в Santa Isabel ,в Palacio Cueto, в Моntehermoso,Corredores)</t>
  </si>
  <si>
    <t xml:space="preserve">Roc  Presidente                                  </t>
  </si>
  <si>
    <t>Deauville 3*</t>
  </si>
  <si>
    <t>Neptuno - Triton 3*</t>
  </si>
  <si>
    <t>за номер</t>
  </si>
  <si>
    <t>виллы на территории</t>
  </si>
  <si>
    <t>SOL  ROOM  SGL</t>
  </si>
  <si>
    <t>DBL PROMO</t>
  </si>
  <si>
    <t>SGL PROMO</t>
  </si>
  <si>
    <t xml:space="preserve">Melia </t>
  </si>
  <si>
    <t>Доплата за завтрак 19 долл/чел, ребенок 50%</t>
  </si>
  <si>
    <t xml:space="preserve">Valentin Quinta Avenida </t>
  </si>
  <si>
    <t xml:space="preserve">Valentin </t>
  </si>
  <si>
    <r>
      <t xml:space="preserve">                                                          </t>
    </r>
    <r>
      <rPr>
        <b/>
        <i/>
        <sz val="16"/>
        <color indexed="12"/>
        <rFont val="Arial Cyr"/>
        <family val="0"/>
      </rPr>
      <t xml:space="preserve"> </t>
    </r>
    <r>
      <rPr>
        <b/>
        <i/>
        <sz val="16"/>
        <color indexed="12"/>
        <rFont val="Arial Cyr"/>
        <family val="2"/>
      </rPr>
      <t xml:space="preserve">                VARADERO   -  ВАРАДЕРО </t>
    </r>
    <r>
      <rPr>
        <i/>
        <sz val="16"/>
        <rFont val="Arial Cyr"/>
        <family val="2"/>
      </rPr>
      <t xml:space="preserve">(140 км от Гаваны)                                                            </t>
    </r>
  </si>
  <si>
    <r>
      <t xml:space="preserve">TRINIDAD  -   ТРИНИДАД </t>
    </r>
    <r>
      <rPr>
        <i/>
        <sz val="16"/>
        <rFont val="Arial Cyr"/>
        <family val="2"/>
      </rPr>
      <t>(407 км от Гаваны, Карибское побережье)</t>
    </r>
  </si>
  <si>
    <r>
      <t xml:space="preserve">CIENFUEGOS  -   СЬЕНФУЭГОС </t>
    </r>
    <r>
      <rPr>
        <i/>
        <sz val="16"/>
        <rFont val="Arial Cyr"/>
        <family val="2"/>
      </rPr>
      <t>(336 км от Гаваны, Карибское побережье)</t>
    </r>
  </si>
  <si>
    <r>
      <t xml:space="preserve">                                                                                  CAYO  LARGO  -  ОСТРОВ  КАЙО  ЛАРГО </t>
    </r>
    <r>
      <rPr>
        <i/>
        <sz val="16"/>
        <rFont val="Arial Cyr"/>
        <family val="2"/>
      </rPr>
      <t>(в Карибском море - Южное побережье)</t>
    </r>
  </si>
  <si>
    <r>
      <t xml:space="preserve">CAYO  ENSENACHOS - ОСТРОВ  ЭНСЕНАЧОС </t>
    </r>
    <r>
      <rPr>
        <i/>
        <sz val="16"/>
        <rFont val="Arial Cyr"/>
        <family val="0"/>
      </rPr>
      <t>( в Атлантическом океане - Северное побережье)</t>
    </r>
  </si>
  <si>
    <r>
      <t xml:space="preserve">CAYO COCO    -  ОСТРОВ  КАЙО  КОКО </t>
    </r>
    <r>
      <rPr>
        <i/>
        <sz val="16"/>
        <rFont val="Arial Cyr"/>
        <family val="2"/>
      </rPr>
      <t>(Атлантический океан - Северное побережье)</t>
    </r>
  </si>
  <si>
    <r>
      <t xml:space="preserve">CAYO GUILLERMO  -  ОСТРОВ  КАЙО  ГИЛЬЕРМО </t>
    </r>
    <r>
      <rPr>
        <i/>
        <sz val="16"/>
        <rFont val="Arial Cyr"/>
        <family val="2"/>
      </rPr>
      <t>(</t>
    </r>
    <r>
      <rPr>
        <b/>
        <i/>
        <sz val="16"/>
        <rFont val="Arial Cyr"/>
        <family val="0"/>
      </rPr>
      <t>А</t>
    </r>
    <r>
      <rPr>
        <b/>
        <i/>
        <sz val="16"/>
        <rFont val="Arial Cyr"/>
        <family val="2"/>
      </rPr>
      <t>тлантический океан - Северное Побережье)</t>
    </r>
  </si>
  <si>
    <r>
      <t xml:space="preserve">                                                         PLAYA SANTA MARIA   -  ПЛЯЖ САНТА МАРИЯ </t>
    </r>
    <r>
      <rPr>
        <b/>
        <i/>
        <sz val="16"/>
        <rFont val="Arial Cyr"/>
        <family val="0"/>
      </rPr>
      <t>самый близкий пляж от Гаваны (18 км)</t>
    </r>
  </si>
  <si>
    <r>
      <t xml:space="preserve">JIBACOA -  ХИБАКОА </t>
    </r>
    <r>
      <rPr>
        <b/>
        <i/>
        <sz val="16"/>
        <rFont val="Arial Cyr"/>
        <family val="0"/>
      </rPr>
      <t>(местечко посередине между Гаваной и Варадеро, в 60 км от Гаваны и в 70 км от Варадеро)</t>
    </r>
  </si>
  <si>
    <r>
      <t>Внимание</t>
    </r>
    <r>
      <rPr>
        <b/>
        <i/>
        <sz val="16"/>
        <rFont val="Arial Cyr"/>
        <family val="2"/>
      </rPr>
      <t>: расчетный час в гостиницах Кубы - 12 часов.</t>
    </r>
  </si>
  <si>
    <r>
      <t xml:space="preserve">Для расчета  необходимо включить стоимость туристический сбор  </t>
    </r>
    <r>
      <rPr>
        <b/>
        <i/>
        <u val="single"/>
        <sz val="16"/>
        <color indexed="10"/>
        <rFont val="Arial Cyr"/>
        <family val="0"/>
      </rPr>
      <t>3 долл</t>
    </r>
    <r>
      <rPr>
        <b/>
        <i/>
        <u val="single"/>
        <sz val="16"/>
        <color indexed="12"/>
        <rFont val="Arial Cyr"/>
        <family val="0"/>
      </rPr>
      <t xml:space="preserve"> с человека за весь тур + страховку 1,5 долл  в день </t>
    </r>
  </si>
  <si>
    <t>Максимальное размещение 2взр +2 реб. Или трое взрослых</t>
  </si>
  <si>
    <t xml:space="preserve">Категория LEVEL J SUITE  для взрослых от 18 лет </t>
  </si>
  <si>
    <t>DBL SUPERIOR GARDEN VIEW</t>
  </si>
  <si>
    <t>SGL SUPERIOR GARDEN VIEW</t>
  </si>
  <si>
    <t xml:space="preserve">Sunbeach </t>
  </si>
  <si>
    <t>EP (без питания)</t>
  </si>
  <si>
    <r>
      <t xml:space="preserve">Трансфер групповой отель на Кайо Энсеначос - отель на Варадеро - </t>
    </r>
    <r>
      <rPr>
        <b/>
        <i/>
        <sz val="12"/>
        <color indexed="10"/>
        <rFont val="Arial Cyr"/>
        <family val="0"/>
      </rPr>
      <t>35 долл OW</t>
    </r>
  </si>
  <si>
    <r>
      <t xml:space="preserve">Трансфер групповой отель в Гаване - отель на Кайо Энсеначос - </t>
    </r>
    <r>
      <rPr>
        <b/>
        <i/>
        <sz val="12"/>
        <color indexed="10"/>
        <rFont val="Arial Cyr"/>
        <family val="0"/>
      </rPr>
      <t>35 долл  OW</t>
    </r>
  </si>
  <si>
    <t>При бронировании не менее чем за 30 дней до заезда, скидка 5 USD чел/ночь. Распространяется только на взрослых</t>
  </si>
  <si>
    <t>ROC Laguna del Mar</t>
  </si>
  <si>
    <t>Ex. Labranda</t>
  </si>
  <si>
    <t>DELUXE SEA VIEW DBL</t>
  </si>
  <si>
    <t>DELUXE SEA VIEW  SGL</t>
  </si>
  <si>
    <t>Минимальное бронирование2 ночи</t>
  </si>
  <si>
    <t>SGL+CHD рассчитывается как SGL. Доплата за HABITACION EXCELSIOR CLUB 25 долл/чел/ночь</t>
  </si>
  <si>
    <t>ПРИ БРОНИРОВАНИИ ОТЕЛЯ МИНИМУМ ЗА 30 ДНЕЙ ДО ЗАЕЗДА СКИДКА 5 долл/взр/ночь</t>
  </si>
  <si>
    <r>
      <t xml:space="preserve">Групповые трансферы Гавана - Кайо Коко и обратно от отеля до отеля OW - </t>
    </r>
    <r>
      <rPr>
        <b/>
        <i/>
        <sz val="12"/>
        <color indexed="10"/>
        <rFont val="Arial Cyr"/>
        <family val="0"/>
      </rPr>
      <t>60 долл</t>
    </r>
    <r>
      <rPr>
        <b/>
        <i/>
        <sz val="12"/>
        <rFont val="Arial Cyr"/>
        <family val="0"/>
      </rPr>
      <t xml:space="preserve">       </t>
    </r>
    <r>
      <rPr>
        <b/>
        <i/>
        <sz val="12"/>
        <color indexed="10"/>
        <rFont val="Arial Cyr"/>
        <family val="0"/>
      </rPr>
      <t xml:space="preserve">   </t>
    </r>
    <r>
      <rPr>
        <b/>
        <i/>
        <sz val="12"/>
        <rFont val="Arial Cyr"/>
        <family val="0"/>
      </rPr>
      <t xml:space="preserve">                                                                                                                                    </t>
    </r>
  </si>
  <si>
    <t>CORAL JR SUITE DBL SWIM OUT</t>
  </si>
  <si>
    <t>Максимум размещение 2 взрослых</t>
  </si>
  <si>
    <t>Во всех категориях номеров максимально разрещение 2 взр+2 реб или 3 взр</t>
  </si>
  <si>
    <r>
      <t xml:space="preserve">Трансфер индивидуальный аэропорт Гаваны - Пляж Санта Мария такси (1-2 чел.) - </t>
    </r>
    <r>
      <rPr>
        <b/>
        <i/>
        <sz val="12"/>
        <color indexed="10"/>
        <rFont val="Arial Cyr"/>
        <family val="0"/>
      </rPr>
      <t>50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 xml:space="preserve">60 долл, </t>
    </r>
    <r>
      <rPr>
        <b/>
        <i/>
        <sz val="12"/>
        <rFont val="Arial Cyr"/>
        <family val="0"/>
      </rPr>
      <t>минибас (4-8 чел)</t>
    </r>
    <r>
      <rPr>
        <b/>
        <i/>
        <sz val="12"/>
        <color indexed="10"/>
        <rFont val="Arial Cyr"/>
        <family val="0"/>
      </rPr>
      <t xml:space="preserve"> 90 долл     </t>
    </r>
    <r>
      <rPr>
        <b/>
        <i/>
        <sz val="12"/>
        <rFont val="Arial Cyr"/>
        <family val="0"/>
      </rPr>
      <t xml:space="preserve">  </t>
    </r>
  </si>
  <si>
    <r>
      <t xml:space="preserve">Трансфер индивидуальный аэропорт Гавана - Хибакоа  такси (1-2 чел.) - </t>
    </r>
    <r>
      <rPr>
        <b/>
        <i/>
        <sz val="12"/>
        <color indexed="10"/>
        <rFont val="Arial Cyr"/>
        <family val="0"/>
      </rPr>
      <t>65 долл</t>
    </r>
    <r>
      <rPr>
        <b/>
        <i/>
        <sz val="12"/>
        <rFont val="Arial Cyr"/>
        <family val="0"/>
      </rPr>
      <t>, минивен (3 чел)</t>
    </r>
    <r>
      <rPr>
        <b/>
        <i/>
        <sz val="12"/>
        <color indexed="10"/>
        <rFont val="Arial Cyr"/>
        <family val="0"/>
      </rPr>
      <t xml:space="preserve"> 85 долл, </t>
    </r>
    <r>
      <rPr>
        <b/>
        <i/>
        <sz val="12"/>
        <rFont val="Arial Cyr"/>
        <family val="0"/>
      </rPr>
      <t xml:space="preserve">минибас (4-8 чел) </t>
    </r>
    <r>
      <rPr>
        <b/>
        <i/>
        <sz val="12"/>
        <color indexed="10"/>
        <rFont val="Arial Cyr"/>
        <family val="0"/>
      </rPr>
      <t xml:space="preserve">125 долл     </t>
    </r>
    <r>
      <rPr>
        <b/>
        <i/>
        <sz val="12"/>
        <rFont val="Arial Cyr"/>
        <family val="0"/>
      </rPr>
      <t xml:space="preserve"> </t>
    </r>
  </si>
  <si>
    <r>
      <t xml:space="preserve">                                                                           ОТЕЛИ СИСТЕМЫ "ALL INCLUSIVE" (ВСЕ ВКЛЮЧЕНО)   НА ВАРАДЕРО                       </t>
    </r>
    <r>
      <rPr>
        <i/>
        <sz val="12"/>
        <color indexed="12"/>
        <rFont val="Arial Cyr"/>
        <family val="0"/>
      </rPr>
      <t xml:space="preserve">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</si>
  <si>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 </t>
    </r>
  </si>
  <si>
    <r>
      <t xml:space="preserve">5* (новый отель </t>
    </r>
    <r>
      <rPr>
        <b/>
        <sz val="12"/>
        <color indexed="10"/>
        <rFont val="Arial Cyr"/>
        <family val="0"/>
      </rPr>
      <t>16+</t>
    </r>
    <r>
      <rPr>
        <b/>
        <sz val="12"/>
        <rFont val="Arial Cyr"/>
        <family val="0"/>
      </rPr>
      <t>)</t>
    </r>
  </si>
  <si>
    <r>
      <rPr>
        <i/>
        <sz val="12"/>
        <rFont val="Arial Cyr"/>
        <family val="0"/>
      </rPr>
      <t xml:space="preserve">Barcelo </t>
    </r>
    <r>
      <rPr>
        <i/>
        <sz val="12"/>
        <color indexed="30"/>
        <rFont val="Arial Cyr"/>
        <family val="0"/>
      </rPr>
      <t xml:space="preserve">                                </t>
    </r>
  </si>
  <si>
    <r>
      <rPr>
        <i/>
        <sz val="12"/>
        <rFont val="Arial Cyr"/>
        <family val="0"/>
      </rPr>
      <t xml:space="preserve">Barcelo </t>
    </r>
    <r>
      <rPr>
        <i/>
        <sz val="12"/>
        <color indexed="30"/>
        <rFont val="Arial Cyr"/>
        <family val="0"/>
      </rPr>
      <t xml:space="preserve">                                  </t>
    </r>
  </si>
  <si>
    <r>
      <rPr>
        <i/>
        <sz val="12"/>
        <rFont val="Arial Cyr"/>
        <family val="0"/>
      </rPr>
      <t xml:space="preserve">Blau                            </t>
    </r>
    <r>
      <rPr>
        <b/>
        <sz val="12"/>
        <rFont val="Arial Cyr"/>
        <family val="0"/>
      </rPr>
      <t xml:space="preserve">    </t>
    </r>
  </si>
  <si>
    <r>
      <t xml:space="preserve">4* </t>
    </r>
    <r>
      <rPr>
        <b/>
        <sz val="12"/>
        <color indexed="10"/>
        <rFont val="Arial Cyr"/>
        <family val="0"/>
      </rPr>
      <t xml:space="preserve"> 16+</t>
    </r>
  </si>
  <si>
    <r>
      <t xml:space="preserve">CAYO  SANTA  MARIA - ОСТРОВ  САНТА  МАРИЯ </t>
    </r>
    <r>
      <rPr>
        <i/>
        <sz val="12"/>
        <rFont val="Arial Cyr"/>
        <family val="0"/>
      </rPr>
      <t>( в Атлантическом океане - Северное побережье)</t>
    </r>
  </si>
  <si>
    <r>
      <t xml:space="preserve">Gaviota                  </t>
    </r>
    <r>
      <rPr>
        <sz val="12"/>
        <rFont val="Arial Cyr"/>
        <family val="2"/>
      </rPr>
      <t xml:space="preserve">       </t>
    </r>
    <r>
      <rPr>
        <b/>
        <sz val="12"/>
        <color indexed="12"/>
        <rFont val="Arial Cyr"/>
        <family val="2"/>
      </rPr>
      <t xml:space="preserve">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</si>
  <si>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</si>
  <si>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</si>
  <si>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</t>
    </r>
  </si>
  <si>
    <r>
      <t>GOLDEN VILLA (</t>
    </r>
    <r>
      <rPr>
        <b/>
        <sz val="12"/>
        <color indexed="8"/>
        <rFont val="Arial Cyr"/>
        <family val="0"/>
      </rPr>
      <t>за виллу,  4 взр</t>
    </r>
    <r>
      <rPr>
        <sz val="12"/>
        <color indexed="8"/>
        <rFont val="Arial Cyr"/>
        <family val="0"/>
      </rPr>
      <t xml:space="preserve">) </t>
    </r>
  </si>
  <si>
    <r>
      <t xml:space="preserve">Presidential Water Villa Hemingway </t>
    </r>
    <r>
      <rPr>
        <b/>
        <sz val="12"/>
        <color indexed="10"/>
        <rFont val="Arial Cyr"/>
        <family val="0"/>
      </rPr>
      <t>ПОД ЗАПРОС</t>
    </r>
  </si>
  <si>
    <r>
      <rPr>
        <i/>
        <sz val="12"/>
        <rFont val="Arial Cyr"/>
        <family val="0"/>
      </rPr>
      <t xml:space="preserve">Islazul  </t>
    </r>
    <r>
      <rPr>
        <i/>
        <sz val="12"/>
        <color indexed="12"/>
        <rFont val="Arial Cyr"/>
        <family val="0"/>
      </rPr>
      <t xml:space="preserve">                            </t>
    </r>
  </si>
  <si>
    <r>
      <rPr>
        <i/>
        <sz val="12"/>
        <rFont val="Arial Cyr"/>
        <family val="0"/>
      </rPr>
      <t xml:space="preserve">Roc  </t>
    </r>
    <r>
      <rPr>
        <b/>
        <sz val="12"/>
        <color indexed="48"/>
        <rFont val="Arial Cyr"/>
        <family val="0"/>
      </rPr>
      <t xml:space="preserve">         </t>
    </r>
    <r>
      <rPr>
        <b/>
        <sz val="12"/>
        <color indexed="10"/>
        <rFont val="Arial Cyr"/>
        <family val="0"/>
      </rPr>
      <t xml:space="preserve">                         </t>
    </r>
  </si>
  <si>
    <r>
      <t>2 Bedroom (</t>
    </r>
    <r>
      <rPr>
        <b/>
        <sz val="12"/>
        <rFont val="Arial Cyr"/>
        <family val="0"/>
      </rPr>
      <t>цена за номер, max 4</t>
    </r>
    <r>
      <rPr>
        <sz val="12"/>
        <rFont val="Arial Cyr"/>
        <family val="0"/>
      </rPr>
      <t>)</t>
    </r>
  </si>
  <si>
    <r>
      <t>2 Bedroom (</t>
    </r>
    <r>
      <rPr>
        <b/>
        <sz val="12"/>
        <rFont val="Arial Cyr"/>
        <family val="0"/>
      </rPr>
      <t>цена за номер, max 5</t>
    </r>
    <r>
      <rPr>
        <sz val="12"/>
        <rFont val="Arial Cyr"/>
        <family val="0"/>
      </rPr>
      <t>)</t>
    </r>
  </si>
  <si>
    <r>
      <t xml:space="preserve">SUITE PRESIDENCIAL CAPITOLIO </t>
    </r>
    <r>
      <rPr>
        <b/>
        <sz val="12"/>
        <color indexed="10"/>
        <rFont val="Arial Cyr"/>
        <family val="0"/>
      </rPr>
      <t>под запрос!!!</t>
    </r>
  </si>
  <si>
    <r>
      <rPr>
        <b/>
        <i/>
        <sz val="14"/>
        <color indexed="18"/>
        <rFont val="Arial Cyr"/>
        <family val="0"/>
      </rPr>
      <t xml:space="preserve">Туроператор Havanatour International          </t>
    </r>
    <r>
      <rPr>
        <b/>
        <i/>
        <sz val="14"/>
        <color indexed="48"/>
        <rFont val="Arial Cyr"/>
        <family val="0"/>
      </rPr>
      <t xml:space="preserve">                                  </t>
    </r>
    <r>
      <rPr>
        <b/>
        <i/>
        <sz val="14"/>
        <color indexed="10"/>
        <rFont val="Arial Cyr"/>
        <family val="0"/>
      </rPr>
      <t xml:space="preserve">  </t>
    </r>
    <r>
      <rPr>
        <b/>
        <i/>
        <sz val="14"/>
        <color indexed="48"/>
        <rFont val="Arial Cyr"/>
        <family val="0"/>
      </rPr>
      <t xml:space="preserve"> </t>
    </r>
    <r>
      <rPr>
        <b/>
        <i/>
        <sz val="11"/>
        <color indexed="48"/>
        <rFont val="Arial Cyr"/>
        <family val="0"/>
      </rPr>
      <t xml:space="preserve">                                        </t>
    </r>
  </si>
  <si>
    <r>
      <t>Gran  Caribe</t>
    </r>
    <r>
      <rPr>
        <i/>
        <sz val="12"/>
        <color indexed="48"/>
        <rFont val="Arial Cyr"/>
        <family val="0"/>
      </rPr>
      <t xml:space="preserve">                         </t>
    </r>
  </si>
  <si>
    <t>Sevilla 4*</t>
  </si>
  <si>
    <t>DBL PREMIUM DELUXE PRADO</t>
  </si>
  <si>
    <t>SGL PREMIUM DELUXE  PRADO</t>
  </si>
  <si>
    <t>SGL DELUXE PRADO</t>
  </si>
  <si>
    <t>DBL DELUXE PREMIUM</t>
  </si>
  <si>
    <t>SGL DELUXE PREMIUM</t>
  </si>
  <si>
    <t>(01.11.2022 - 30.04.2023)</t>
  </si>
  <si>
    <t>ЦЕНОВОЙ КАТAЛОГ ЗИМА-ВЕСНА  2023 ГОДА</t>
  </si>
  <si>
    <t xml:space="preserve">                                               ЦЕНОВОЙ КАТAЛОГ  ЗИМА-ВЕСНА  2023 ГОДА         </t>
  </si>
  <si>
    <t xml:space="preserve"> 01.11.22 - 21.12.22</t>
  </si>
  <si>
    <t xml:space="preserve">   22.12.22 - 26.12.22</t>
  </si>
  <si>
    <t xml:space="preserve">  27.12.22 - 02.01.23</t>
  </si>
  <si>
    <t xml:space="preserve">  03.01.23 - 31.01.23</t>
  </si>
  <si>
    <t xml:space="preserve">  01.02.23 - 31.03.23</t>
  </si>
  <si>
    <t xml:space="preserve">  01.04.23 - 30.04.23</t>
  </si>
  <si>
    <t xml:space="preserve">Для расчета  необходимо включить в стоимость туристический сбор  3 долл с человека за весь тур + страховку 1,5 долл  в день </t>
  </si>
  <si>
    <t>,</t>
  </si>
  <si>
    <t>Рождественский и новогодний ужины включены в стоимость</t>
  </si>
  <si>
    <t>Стоимость на категории Garden Suite 2 bdrm The Levelпо запросу</t>
  </si>
  <si>
    <t>Стоимость на категории Junior Suite Familiar по запросу</t>
  </si>
  <si>
    <t>Максимальное размещение 2взр +2 реб. Или 3 взр</t>
  </si>
  <si>
    <t>Стоимость на категории Master Suite RS и Suite Presidencial RS по запросу</t>
  </si>
  <si>
    <t>Максимальное размещение 2 взр и 1 реб. Трое взрослых в номере не допускается.</t>
  </si>
  <si>
    <r>
      <t>JR SUITE DBL THE LEVEL OCEAN VIEW</t>
    </r>
    <r>
      <rPr>
        <b/>
        <sz val="9"/>
        <rFont val="Arial Cyr"/>
        <family val="0"/>
      </rPr>
      <t xml:space="preserve"> (для взрослых)</t>
    </r>
  </si>
  <si>
    <t>Максимальное размещение 2взр +2 реб. Или 3 взрослых</t>
  </si>
  <si>
    <t xml:space="preserve">Стоимость на категорию </t>
  </si>
  <si>
    <t>Penthouse Suite Sea View The Level по запросу</t>
  </si>
  <si>
    <t xml:space="preserve">SOL ROOM SEA VIEW DBL  </t>
  </si>
  <si>
    <t>JUNIOR SUITE DBL</t>
  </si>
  <si>
    <t>JUNIOR SUITE SGL</t>
  </si>
  <si>
    <t>Sol Caribe  Beach</t>
  </si>
  <si>
    <t>Максимальное размещение в Sol Room 2взр +2 реб. Или 3 взр; в Superior  3 взр+1 реб; в J Suite 3 взр+1 реб</t>
  </si>
  <si>
    <t xml:space="preserve">   22.12.22 - 02.01.23</t>
  </si>
  <si>
    <t>В номере DBL STD разрешается размещение 3 взр</t>
  </si>
  <si>
    <t xml:space="preserve">     Внимание! Отель только для взрослых от 16 лет!  </t>
  </si>
  <si>
    <t>При бронировании до 20 января скидка 15%</t>
  </si>
  <si>
    <t>BB(завтраки)</t>
  </si>
  <si>
    <t>DBL  Std (Economica) 2-я линия корпуса Las Palmas</t>
  </si>
  <si>
    <t>SGL  Std (Economica) 2-я линия корпуса Las Palmas</t>
  </si>
  <si>
    <t xml:space="preserve">   22.12.22 - 08.04.23</t>
  </si>
  <si>
    <t xml:space="preserve">  09.04.23 - 30.04.23</t>
  </si>
  <si>
    <t xml:space="preserve">   22.12.22 - 23.12.22</t>
  </si>
  <si>
    <t xml:space="preserve"> 24.12.22 - 02.01.23</t>
  </si>
  <si>
    <t xml:space="preserve">  03.01.23 - 31.03.23</t>
  </si>
  <si>
    <t>При бронировании за 90 дней  до заезда и ранее скидка 20%. EBB 90</t>
  </si>
  <si>
    <t>При бронировании за 60 дней  до заезда и ранее скидка 15%.EBB 60</t>
  </si>
  <si>
    <t>При бронировании за 30 дней  до заезда и ранее скидка 10%.EBB30</t>
  </si>
  <si>
    <t>Доплата за номер Superior 5 долл/чел/ночь</t>
  </si>
  <si>
    <t>3-й взрослый размещается в категории номера с террассой 15% от стоимости 1/2 DBL, скидка на ребенка 30%</t>
  </si>
  <si>
    <t>Максимальное размещение 2взр+1 реб</t>
  </si>
  <si>
    <t>ALL</t>
  </si>
  <si>
    <t>Доплата за ужин 18 долл с человека</t>
  </si>
  <si>
    <r>
      <rPr>
        <i/>
        <sz val="12"/>
        <rFont val="Arial Cyr"/>
        <family val="0"/>
      </rPr>
      <t xml:space="preserve">Melia  </t>
    </r>
    <r>
      <rPr>
        <sz val="12"/>
        <rFont val="Arial Cyr"/>
        <family val="2"/>
      </rPr>
      <t xml:space="preserve">    </t>
    </r>
    <r>
      <rPr>
        <b/>
        <sz val="12"/>
        <color indexed="12"/>
        <rFont val="Arial Cyr"/>
        <family val="2"/>
      </rPr>
      <t xml:space="preserve">         </t>
    </r>
  </si>
  <si>
    <r>
      <rPr>
        <i/>
        <sz val="12"/>
        <rFont val="Arial Cyr"/>
        <family val="0"/>
      </rPr>
      <t>Melia</t>
    </r>
    <r>
      <rPr>
        <sz val="12"/>
        <rFont val="Arial Cyr"/>
        <family val="2"/>
      </rPr>
      <t xml:space="preserve">             </t>
    </r>
    <r>
      <rPr>
        <b/>
        <sz val="12"/>
        <color indexed="12"/>
        <rFont val="Arial Cyr"/>
        <family val="2"/>
      </rPr>
      <t xml:space="preserve">                   </t>
    </r>
  </si>
  <si>
    <t>Доплата за ужин 24 долл взрослый, 12 долл реб</t>
  </si>
  <si>
    <t>Minimum stay 3 ночи</t>
  </si>
  <si>
    <t>Garden Suite DBL</t>
  </si>
  <si>
    <t>Garden Suite SGL</t>
  </si>
  <si>
    <t>FAMILY  (2 номера коннект) (первый-второй pax)</t>
  </si>
  <si>
    <t xml:space="preserve">В номере  Garden и Park Suite возможно размещение 2 взр+2 реб или 3 взр //  Duplex только для взрослых от 18 лет, максимально 3 взр. </t>
  </si>
  <si>
    <t>В номерах Familly (2 смежных номера) min 4 pax, max 6 pax</t>
  </si>
  <si>
    <t>FAMILY(2 habitaciones) CORAL VILLAGE</t>
  </si>
  <si>
    <t>Стоимость вилл по запросу</t>
  </si>
  <si>
    <t>Максимальное размещение 2 взр+2 ребенка или 3 взр</t>
  </si>
  <si>
    <t>SGL   OCEAN  VIEW</t>
  </si>
  <si>
    <t>Максимальное размещение  3 взр</t>
  </si>
  <si>
    <t xml:space="preserve"> В отеле размещение 3-го человека в номере не допускается</t>
  </si>
  <si>
    <t>РАНЕЕ БРОНИРОВАНИЕ ДО 20.01.СКИДКА 30% от указанной цены</t>
  </si>
  <si>
    <t>РАНЕЕ БРОНИРОВАНИЕ ДО 20.01.СКИДКА 15% от указанной цены</t>
  </si>
  <si>
    <t>Максимальное размещение: в номерах  STD и Superior 2 взр + 2 реб, 3 взр; в Suite 2 взр+1 реб или 3 взр</t>
  </si>
  <si>
    <t xml:space="preserve"> 01.11.22 - 25.12.22</t>
  </si>
  <si>
    <t xml:space="preserve">   26.12.22 - 02.01.23</t>
  </si>
  <si>
    <t>Sol  Cayo  Coco</t>
  </si>
  <si>
    <t>SGL OCEAN  VIEW</t>
  </si>
  <si>
    <t xml:space="preserve">DBL STD OCEAN  VIEW </t>
  </si>
  <si>
    <t>Mansion Xanadu</t>
  </si>
  <si>
    <t>HB (завтрак-ужин)</t>
  </si>
  <si>
    <t>CHD + 2 взр (от 0 до 12 лет)</t>
  </si>
  <si>
    <t xml:space="preserve">   22.12.22 - 30.04.23</t>
  </si>
  <si>
    <t>24.12.,25.12.,31.12.</t>
  </si>
  <si>
    <t>В ужин по меню включено:закуска, основное блюдо, дессерт. НАПИТКИ ОПЛАЧИВАЮТСЯ ДОПОЛНИТЕЛЬНО ПО МЕНЮ!!!</t>
  </si>
  <si>
    <t>Включено 18 лунок для гольфа, сумка со снаряжением и гольф-машина</t>
  </si>
  <si>
    <t>ROOM  OCEAN VIEW  DBL</t>
  </si>
  <si>
    <t>ROOM  OCEAN VIEW  SGL</t>
  </si>
  <si>
    <t>SUITE   DBL</t>
  </si>
  <si>
    <t>Максимальное размещение: 2 взр+1 реб в виллах и  2 взр +1 реб или 3 взр в STD. Скидка на третьего взрослого  15% от 1/2 DBL</t>
  </si>
  <si>
    <t xml:space="preserve"> 01.11.22 - 23.12.22</t>
  </si>
  <si>
    <t xml:space="preserve">   24.12.22 - 01.01.23</t>
  </si>
  <si>
    <t xml:space="preserve">  02.01.23 - 31.01.23</t>
  </si>
  <si>
    <t xml:space="preserve">Be Live Experience Tropical </t>
  </si>
  <si>
    <t xml:space="preserve">   24.12.22 - 02.01.23</t>
  </si>
  <si>
    <t xml:space="preserve">  01.02.23 - 15.03.23</t>
  </si>
  <si>
    <t xml:space="preserve">  16.03.23 - 30.04.23</t>
  </si>
  <si>
    <t xml:space="preserve"> 01.11.22 - 30.11.22</t>
  </si>
  <si>
    <t xml:space="preserve">   01.12.22 - 22.12.22</t>
  </si>
  <si>
    <t xml:space="preserve">  23.12.22 -05.01.23</t>
  </si>
  <si>
    <t>Максимальное размещение во всех типах номеров : 2 взр +2 реб/3 взр.Категоря Ocean View только для взрослых.  Минимальное размещение в номере Familiar: 4 pax Максимально 6 pax</t>
  </si>
  <si>
    <t>Camino del Mar</t>
  </si>
  <si>
    <t>(ex. Melia Cayo Guillermo)</t>
  </si>
  <si>
    <t>Max размещение 2взр+1 реб или 3 взр.</t>
  </si>
  <si>
    <t>SGL+реб рассчитывается как SGL</t>
  </si>
  <si>
    <t>Vigia</t>
  </si>
  <si>
    <t>(ex. Sol Cayo Guillermo)</t>
  </si>
  <si>
    <t>Размешение 3-го взрослого в номерах категории  Royal Service  не допускается.Стоимость Garden Villa под запрос</t>
  </si>
  <si>
    <t>Размещение 3-его взрослого допускается в номерах Villa и Mini Suite</t>
  </si>
  <si>
    <t>Доплата за ужин 18 долл с человека,9 долл с ребенка</t>
  </si>
  <si>
    <t>CHD + 2 взр ( с 7 до 13 лет)</t>
  </si>
  <si>
    <t xml:space="preserve">   22.12.22 - 31.03.23</t>
  </si>
  <si>
    <t>Без доп кровати ребенок с 2 взр размещается бесплатно,</t>
  </si>
  <si>
    <t>Доплата за ужин 15 долл. Обязательная доплата в период размещения с 24.12. по 02.01. 19 долл/чел, реб. 50%</t>
  </si>
  <si>
    <t>Доплата за ужин 28 долл взрослый и 14 долл реб</t>
  </si>
  <si>
    <t>В Jr Suite разрешено размещение max 2 чел, во всех остальных номерах максимально разрещение 2 взр+2 реб или 3 взр</t>
  </si>
  <si>
    <t>Во всех категориях номеров максимально разрещение 2 взр+2 реб, 3 взр</t>
  </si>
  <si>
    <t xml:space="preserve">  01.11.21 - 25.12.21</t>
  </si>
  <si>
    <t xml:space="preserve">   26.12.21 - 03.01.22</t>
  </si>
  <si>
    <t xml:space="preserve"> 01.11.22 - 31.03.23</t>
  </si>
  <si>
    <t xml:space="preserve"> 01.04.23 - 30.04.23</t>
  </si>
  <si>
    <t>SGL+CHD рассчитывается как SGL</t>
  </si>
  <si>
    <t xml:space="preserve"> 01.11.22 - 30.12.22</t>
  </si>
  <si>
    <t xml:space="preserve">  01.01.23 - 30.04.23</t>
  </si>
  <si>
    <r>
      <t xml:space="preserve">Доплата за номер Ocean View - 25 долл за номер в сутки, за Executive Floor - 63 долл за номер в сутки. </t>
    </r>
    <r>
      <rPr>
        <b/>
        <sz val="12"/>
        <rFont val="Arial Cyr"/>
        <family val="0"/>
      </rPr>
      <t>Доплата за HB 32 долл с человека</t>
    </r>
  </si>
  <si>
    <t xml:space="preserve">  09.04.23 - 31.01.23</t>
  </si>
  <si>
    <t>Доплата за ужин 19 долл</t>
  </si>
  <si>
    <t>Vedado 3*</t>
  </si>
  <si>
    <t>Доплата за номер Std Ocean View Room -13 долл за номер в сутки.</t>
  </si>
  <si>
    <t>Capri</t>
  </si>
  <si>
    <t xml:space="preserve">   01.12.22 - 21.12.22</t>
  </si>
  <si>
    <t xml:space="preserve">  22.12.22 - 02.01.23</t>
  </si>
  <si>
    <t>Стоимость ужина для взр 23 долл, для реб 18 долл</t>
  </si>
  <si>
    <t>Victoria</t>
  </si>
  <si>
    <t xml:space="preserve">DBL JR SUITE </t>
  </si>
  <si>
    <t>SGL JR SUITE</t>
  </si>
  <si>
    <t>Be Collection La Habana</t>
  </si>
  <si>
    <t xml:space="preserve">DBL SUPERIOR OCEAN VIEW </t>
  </si>
  <si>
    <t xml:space="preserve">SGL SUPERIOR OCEAN VIEW </t>
  </si>
  <si>
    <t>DBL JR SUITE</t>
  </si>
  <si>
    <t xml:space="preserve">  02.01.23 - 30.04.23</t>
  </si>
  <si>
    <t>Максимальное размещение 2 взр+1 реб или 3 взр</t>
  </si>
  <si>
    <t>Доплата за ужин 38 долл</t>
  </si>
  <si>
    <t>22.12.2022-23.12.22</t>
  </si>
  <si>
    <t xml:space="preserve"> 24.12.23 - 02.01.23</t>
  </si>
  <si>
    <t xml:space="preserve"> 03.01.23 - 31.03.23</t>
  </si>
  <si>
    <t xml:space="preserve">   01.12.22 - 23.12.22</t>
  </si>
  <si>
    <t xml:space="preserve">  24.12.22 - 03.01.23</t>
  </si>
  <si>
    <t xml:space="preserve">  04.01.23 - 09.04.23</t>
  </si>
  <si>
    <t xml:space="preserve">  10.04.23 - 30.04.23</t>
  </si>
  <si>
    <t>Размещение максимум 2 взр; в категория JR Suite или Suite max 2 взр+1 реб или 2 взр</t>
  </si>
  <si>
    <t xml:space="preserve"> 01.11.23 - 30.04.23</t>
  </si>
  <si>
    <t>SUITE  DBL( в Santa Isabel, в San Felipe,Palacio de los Corridores)</t>
  </si>
  <si>
    <t>SUITE  SGL ( в Santa Isabel, в San Felipe,Palacio de los Corridores</t>
  </si>
  <si>
    <t>Hostal Valencia 3*</t>
  </si>
  <si>
    <t>Доплата за ужин 25 долл,ребенок 50%</t>
  </si>
  <si>
    <t>Plaza  4*</t>
  </si>
  <si>
    <t>Доплата за ужин 13 долл</t>
  </si>
  <si>
    <t>01.12.22-05.01.2022</t>
  </si>
  <si>
    <t xml:space="preserve">  06.01.23 - 30.04.23</t>
  </si>
  <si>
    <t>При бронировании проживания от 21 ночей и больше скидка 30%</t>
  </si>
  <si>
    <r>
      <t xml:space="preserve">Стоимость дана за виллу в день без питания. </t>
    </r>
    <r>
      <rPr>
        <i/>
        <sz val="12"/>
        <color indexed="10"/>
        <rFont val="Arial Cyr"/>
        <family val="0"/>
      </rPr>
      <t>Доплата за завтрак - 8 $ на человека, завтрак+ужин - 18 $ на человека.</t>
    </r>
  </si>
  <si>
    <t>22.12.2022-02.01.23</t>
  </si>
  <si>
    <t xml:space="preserve"> В номере Suite разрешено размещение max 2 взр. </t>
  </si>
  <si>
    <t>Grand Memories Cayo Largo</t>
  </si>
  <si>
    <t>(ex.Bella Isla Resort)</t>
  </si>
  <si>
    <t xml:space="preserve"> Memories Cayo  Largo</t>
  </si>
  <si>
    <t>(ex.Sol Cayo Largo)</t>
  </si>
  <si>
    <t>Blue Diamond</t>
  </si>
  <si>
    <r>
      <t xml:space="preserve">Starfish Cayo Largo </t>
    </r>
    <r>
      <rPr>
        <b/>
        <sz val="12"/>
        <color indexed="10"/>
        <rFont val="Arial Cyr"/>
        <family val="0"/>
      </rPr>
      <t>(ex.Pelicano)</t>
    </r>
  </si>
  <si>
    <t>Во всех категориях номеров максимально размещение 2 взр+2 реб или 3 взр</t>
  </si>
  <si>
    <t>Во всех категориях номеров кроме виллы максимально размещение 2 взр+2 реб или 3 взр. В Вилле максимум 6 чел. Доплату за 5-го и 6-го человека узнавать у менеджера</t>
  </si>
  <si>
    <t>Стоимость на категории Garden Villa RS и Master Suite 2 bdrm The Reserve по запросу.Стоимость на категории Garden Villa RS и Master Suite 2 bdrm The Reserve по запрос</t>
  </si>
  <si>
    <t>Размещение 3-го взрослого в номере не допускается</t>
  </si>
  <si>
    <r>
      <t xml:space="preserve">Трансфер отель на Кайо Коко - отель на Кайо Гильермо  OW - такси (1-2 чел) </t>
    </r>
    <r>
      <rPr>
        <b/>
        <i/>
        <sz val="12"/>
        <color indexed="10"/>
        <rFont val="Arial Cyr"/>
        <family val="0"/>
      </rPr>
      <t>45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55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100 долл </t>
    </r>
  </si>
  <si>
    <r>
      <t xml:space="preserve">Трансфер отель на Кайо Круз - отель на Кайо Коко OW - такси (1-2 чел) </t>
    </r>
    <r>
      <rPr>
        <b/>
        <i/>
        <sz val="12"/>
        <color indexed="10"/>
        <rFont val="Arial Cyr"/>
        <family val="0"/>
      </rPr>
      <t>65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85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290 долл </t>
    </r>
  </si>
  <si>
    <t xml:space="preserve">   22.12.22 - 05.01.23</t>
  </si>
  <si>
    <t xml:space="preserve">  06.01.23 - 15.01.23</t>
  </si>
  <si>
    <t>Максимальное размещение 3 взр</t>
  </si>
  <si>
    <r>
      <t xml:space="preserve">Трансфер аэропорт Ольгин - отель Гуардалавака  OW - групповой </t>
    </r>
    <r>
      <rPr>
        <b/>
        <i/>
        <sz val="12"/>
        <color indexed="10"/>
        <rFont val="Arial Cyr"/>
        <family val="0"/>
      </rPr>
      <t>18 долл,</t>
    </r>
    <r>
      <rPr>
        <b/>
        <i/>
        <sz val="12"/>
        <rFont val="Arial Cyr"/>
        <family val="0"/>
      </rPr>
      <t xml:space="preserve">  такси (1-2 чел) </t>
    </r>
    <r>
      <rPr>
        <b/>
        <i/>
        <sz val="12"/>
        <color indexed="10"/>
        <rFont val="Arial Cyr"/>
        <family val="0"/>
      </rPr>
      <t>75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98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150 долл </t>
    </r>
  </si>
  <si>
    <r>
      <t xml:space="preserve">Трансфер аэропорт Сантьяго - отель Гуардалавака  OW  такси (1-2 чел) </t>
    </r>
    <r>
      <rPr>
        <b/>
        <i/>
        <sz val="12"/>
        <color indexed="10"/>
        <rFont val="Arial Cyr"/>
        <family val="0"/>
      </rPr>
      <t>175 долл</t>
    </r>
    <r>
      <rPr>
        <b/>
        <i/>
        <sz val="12"/>
        <rFont val="Arial Cyr"/>
        <family val="0"/>
      </rPr>
      <t xml:space="preserve">, минивен (3 чел) </t>
    </r>
    <r>
      <rPr>
        <b/>
        <i/>
        <sz val="12"/>
        <color indexed="10"/>
        <rFont val="Arial Cyr"/>
        <family val="0"/>
      </rPr>
      <t>215 долл</t>
    </r>
    <r>
      <rPr>
        <b/>
        <i/>
        <sz val="12"/>
        <rFont val="Arial Cyr"/>
        <family val="0"/>
      </rPr>
      <t xml:space="preserve">, минибас (4-8 чел) </t>
    </r>
    <r>
      <rPr>
        <b/>
        <i/>
        <sz val="12"/>
        <color indexed="10"/>
        <rFont val="Arial Cyr"/>
        <family val="0"/>
      </rPr>
      <t xml:space="preserve">275 долл </t>
    </r>
  </si>
  <si>
    <r>
      <t xml:space="preserve">Трансферы групповые аэропорт Гаваны - отели Гаваны - 10 долл // такси (1-2 чел) </t>
    </r>
    <r>
      <rPr>
        <b/>
        <i/>
        <sz val="12"/>
        <rFont val="Arial Cyr"/>
        <family val="0"/>
      </rPr>
      <t>-</t>
    </r>
    <r>
      <rPr>
        <b/>
        <i/>
        <sz val="12"/>
        <rFont val="Arial Cyr"/>
        <family val="2"/>
      </rPr>
      <t xml:space="preserve"> 30 долл </t>
    </r>
    <r>
      <rPr>
        <b/>
        <i/>
        <sz val="12"/>
        <rFont val="Arial Cyr"/>
        <family val="0"/>
      </rPr>
      <t xml:space="preserve">// минивен (3 чел) - 50 долл // минибас (4-8 чел) - 85 долл  </t>
    </r>
  </si>
  <si>
    <r>
      <t xml:space="preserve">Трансферы групповые аэропорт Гаваны - отели Варадеро - 25 долл // такси (1-2 чел) - 120 долл </t>
    </r>
    <r>
      <rPr>
        <b/>
        <i/>
        <sz val="12"/>
        <rFont val="Arial Cyr"/>
        <family val="0"/>
      </rPr>
      <t xml:space="preserve">// минивен (3 чел) - 160 долл // минибас (4-8 чел) - 250 долл  </t>
    </r>
  </si>
  <si>
    <r>
      <t xml:space="preserve">Трансферы групповые отели Варадеро - аэропорт Гаваны - 25 долл // такси (1-2 чел) - 120 долл </t>
    </r>
    <r>
      <rPr>
        <b/>
        <i/>
        <sz val="12"/>
        <rFont val="Arial Cyr"/>
        <family val="0"/>
      </rPr>
      <t xml:space="preserve">// минивен (3 чел) - 160 долл // минибас (4-8 чел) - 250 долл  </t>
    </r>
  </si>
  <si>
    <r>
      <t>Трансферы групповые отели Гаваны - отели Варадеро - 20 долл // такси (1-2 чел) - 120 долл</t>
    </r>
    <r>
      <rPr>
        <b/>
        <i/>
        <sz val="12"/>
        <rFont val="Arial Cyr"/>
        <family val="0"/>
      </rPr>
      <t xml:space="preserve"> // минивен (3  чел) - 150 долл // минибас (4-8 чел) -  250 долл  </t>
    </r>
  </si>
  <si>
    <r>
      <t xml:space="preserve">Трансферы  групповые аэропорт Варадеро - отели Варадеро </t>
    </r>
    <r>
      <rPr>
        <b/>
        <i/>
        <sz val="12"/>
        <rFont val="Arial Cyr"/>
        <family val="0"/>
      </rPr>
      <t>- 10 долл</t>
    </r>
    <r>
      <rPr>
        <b/>
        <i/>
        <sz val="12"/>
        <rFont val="Arial Cyr"/>
        <family val="2"/>
      </rPr>
      <t xml:space="preserve"> // такси (1-2 чел) - 45 долл</t>
    </r>
    <r>
      <rPr>
        <b/>
        <i/>
        <sz val="12"/>
        <rFont val="Arial Cyr"/>
        <family val="0"/>
      </rPr>
      <t xml:space="preserve"> // минивен (3 чел) - 55 долл // минибас (4-8 чел) - 100 долл   </t>
    </r>
  </si>
  <si>
    <r>
      <t xml:space="preserve">Трансферы  индивидуальные аэропорт Варадеро - отели Гаваны </t>
    </r>
    <r>
      <rPr>
        <b/>
        <i/>
        <sz val="12"/>
        <rFont val="Arial Cyr"/>
        <family val="0"/>
      </rPr>
      <t>-</t>
    </r>
    <r>
      <rPr>
        <b/>
        <i/>
        <sz val="12"/>
        <rFont val="Arial Cyr"/>
        <family val="2"/>
      </rPr>
      <t xml:space="preserve"> такси (1-2 чел) - 95 долл</t>
    </r>
    <r>
      <rPr>
        <b/>
        <i/>
        <sz val="12"/>
        <rFont val="Arial Cyr"/>
        <family val="0"/>
      </rPr>
      <t xml:space="preserve"> // минивен (3 чел) - 125 долл // минибас (4-8 чел) - 200 долл   </t>
    </r>
  </si>
  <si>
    <t xml:space="preserve">Максимальное размещение  2 взр +1 реб/3 взр.Minimum stay 2 </t>
  </si>
  <si>
    <t>Marazul</t>
  </si>
  <si>
    <t>Максимальное размещение взр+2 реб или 3 взр.Minimum stay 3 ночи</t>
  </si>
  <si>
    <t xml:space="preserve">Скидка 10% на заезды </t>
  </si>
  <si>
    <t xml:space="preserve">Upgradesegún disponibilidad de Patio </t>
  </si>
  <si>
    <t>a Deluxe</t>
  </si>
  <si>
    <t xml:space="preserve">При бронировании от 30 дней до заезда </t>
  </si>
  <si>
    <t>Aston Panorama</t>
  </si>
  <si>
    <t>DBL Deluxe</t>
  </si>
  <si>
    <t>SGL Deluxe</t>
  </si>
  <si>
    <t>DBL Club Rooms</t>
  </si>
  <si>
    <t>SGL Club Rooms</t>
  </si>
  <si>
    <t xml:space="preserve"> 01.11.22 - 30.04.23</t>
  </si>
  <si>
    <t xml:space="preserve"> DBL Aston Suite</t>
  </si>
  <si>
    <t xml:space="preserve"> SGL Aston Suite</t>
  </si>
  <si>
    <t>Доплата за ужин 38 долл взрослый и 19 долл реб</t>
  </si>
  <si>
    <t>Grand Aston La Habana</t>
  </si>
  <si>
    <t>Доплата за ужин 44 долл взрослый и 22 долл реб</t>
  </si>
  <si>
    <t xml:space="preserve">  01.02.23 - 08.04.23</t>
  </si>
  <si>
    <t>Максимальное размещение в зоне Family: 3 взр или 2 взр + 2 реб, в номерах One-bedroom 2 взр+2 реб или 3 взр+1 реб, в Family Suite 5 взр или 3 взр+2 реб.</t>
  </si>
  <si>
    <t>Grand Aston Cayo Paredon</t>
  </si>
  <si>
    <t>JR  SUITE OCEAN VIEW DBL</t>
  </si>
  <si>
    <t>JR SUITE OCEAN VIEW SGL</t>
  </si>
  <si>
    <t>DELUXE GARDEN VIEW  DBL</t>
  </si>
  <si>
    <t>DELUXE GARDEN VIEW SGL</t>
  </si>
  <si>
    <t>DELUXE OCEAN VIEW DBL</t>
  </si>
  <si>
    <t>DELUXE OCEAN VIEW SGL</t>
  </si>
  <si>
    <t xml:space="preserve">   22.12.22 - 27.12.22</t>
  </si>
  <si>
    <t xml:space="preserve">  28.12.22 - 02.01.23</t>
  </si>
  <si>
    <t>CLUB ROOM OCEAN  VIEW  DBL</t>
  </si>
  <si>
    <t>CLUB ROOM OCEAN VIEW SGL</t>
  </si>
  <si>
    <t>JR SUITE GARDEN VIEW DBL</t>
  </si>
  <si>
    <t>JR SUITE GARDEN  VIEW SGL</t>
  </si>
  <si>
    <t>JR SUITE OCEAN VIEW  DBL</t>
  </si>
  <si>
    <t>JR SUITE OCEAN VIEW  SGL</t>
  </si>
  <si>
    <t>ASTON  SUITE DBL</t>
  </si>
  <si>
    <t>Во всех категориях номеров  семейной зоны максимально разрещение 3 взр или  2 взр+2 реб</t>
  </si>
  <si>
    <t>В  категориях номеров зоны для взрослых  максимально разрещение 3 взр,в Aston Suite max 4 взр.</t>
  </si>
  <si>
    <t>Grand Aston Selection (зона для взрослых)</t>
  </si>
  <si>
    <t>4 *</t>
  </si>
  <si>
    <t>La Marina Plaza &amp; Spa</t>
  </si>
  <si>
    <t>Mаксим. размещение в взр+1 реб</t>
  </si>
  <si>
    <t>Playa Pesquero</t>
  </si>
  <si>
    <t>DBL SUPERIOR  PLUS</t>
  </si>
  <si>
    <t>SGL SUPERIOR  PLUS</t>
  </si>
  <si>
    <t>Maксим. размещение2 взр+2 реб или 3 взр.</t>
  </si>
  <si>
    <t>CHD + 2 взр (от 6 до 12 лет)</t>
  </si>
  <si>
    <t>Telegrafo Axel hotel La Habana</t>
  </si>
  <si>
    <t>DBL STD City</t>
  </si>
  <si>
    <t>SGL STD City</t>
  </si>
  <si>
    <t>для туристов от 18+  и  ЛГБТ</t>
  </si>
  <si>
    <t>DBL Premium</t>
  </si>
  <si>
    <t>Axel</t>
  </si>
  <si>
    <t>SGL Premium</t>
  </si>
  <si>
    <t>Max размещение 2 чел</t>
  </si>
  <si>
    <t xml:space="preserve"> 01.11.22 - 28.12.22</t>
  </si>
  <si>
    <t>29.12.22-01.01.23</t>
  </si>
  <si>
    <t xml:space="preserve">  02.01.23 - 31.03.23</t>
  </si>
  <si>
    <t>При бронировании от 3-х ночей. скидка 10%</t>
  </si>
  <si>
    <t>При бронировании за 30 дней до заезда и больше  скидка 15%</t>
  </si>
  <si>
    <t>При бронировании за 60 дней до заезда и больше  скидка 20%</t>
  </si>
  <si>
    <t>При бронировании от 3-х ночей за 30 дней до заезда и больше  скидка 23%</t>
  </si>
  <si>
    <t>При бронировании от 3-х ночей за 60 дней до заезда и больше  скидка 28%</t>
  </si>
  <si>
    <t>Be Live City  Copacabana</t>
  </si>
  <si>
    <t xml:space="preserve"> по 22.12.23</t>
  </si>
  <si>
    <t>Muthu Playa Varadero</t>
  </si>
  <si>
    <t>CHD + 2 взр (от 2 до 14 лет)</t>
  </si>
  <si>
    <t>DBL STANDARD SEA VIEW</t>
  </si>
  <si>
    <t xml:space="preserve">Muthu </t>
  </si>
  <si>
    <t>SGL STANDARD SEA VIEW</t>
  </si>
  <si>
    <t xml:space="preserve">DBL STD </t>
  </si>
  <si>
    <t xml:space="preserve">SGL STD </t>
  </si>
  <si>
    <t xml:space="preserve">EXTRA BED STANDARD </t>
  </si>
  <si>
    <t>Grand Muthu Cayo Guillermo</t>
  </si>
  <si>
    <t>Muthu</t>
  </si>
  <si>
    <t>Grand Muthu Imperial Cayo Guillermo</t>
  </si>
  <si>
    <t>Grand Muthu Rainbow Cayo Guillermo</t>
  </si>
  <si>
    <t>JR SUITE SEA VIEW DBL</t>
  </si>
  <si>
    <t>JR SUITE SEA VIEW  SGL</t>
  </si>
  <si>
    <t>Grand Muthu Almirante Beach</t>
  </si>
  <si>
    <t>DBL SEA VIEW</t>
  </si>
  <si>
    <t>SGL SEA VIEW</t>
  </si>
  <si>
    <t>Максимальное размещение в STD 2 взр+1 реб или 3 взр. В JR Suite 2 взр+2 реб или 3 взр.</t>
  </si>
  <si>
    <t xml:space="preserve">Максимальное размещение в STD 2 взр+2реб или 3 взр. В JR Suite 2 взр+1 реб </t>
  </si>
  <si>
    <t>Максимальное размещение  3 взр.</t>
  </si>
  <si>
    <t>18+ и ЛГБТ</t>
  </si>
  <si>
    <r>
      <t xml:space="preserve"> </t>
    </r>
    <r>
      <rPr>
        <i/>
        <sz val="12"/>
        <rFont val="Arial Cyr"/>
        <family val="0"/>
      </rPr>
      <t>Размещение 3-го взрослого в номере не допускается</t>
    </r>
  </si>
  <si>
    <t>Максимальное размещение: 3 взр или 2 взр+1  реб. SGL+CHD рассчитывается как SGL</t>
  </si>
  <si>
    <t>Максимальное размещение: 3 взр+1 реб  или 2 взр+2 реб. SGL+CHD рассчитывается как SGL</t>
  </si>
  <si>
    <t>Max размещение 3 взр</t>
  </si>
  <si>
    <t>CHD + 2 взр (от 2 до 13 лет) без балкона</t>
  </si>
  <si>
    <t>CHD + 2 взр (от 2 до 13 лет) с балконом</t>
  </si>
  <si>
    <t xml:space="preserve"> 01.11.22 -21.12.22</t>
  </si>
  <si>
    <t xml:space="preserve">Be Live  Cayo Santa Maria </t>
  </si>
  <si>
    <t xml:space="preserve">   22.12.22 - 01.01.23</t>
  </si>
  <si>
    <t xml:space="preserve">JR SUITE OCEAN VIEW SGL  </t>
  </si>
  <si>
    <t>Максимальное размещение: в номерах   2 взр + 2 реб или  3 взр</t>
  </si>
  <si>
    <r>
      <t xml:space="preserve">Трансфер групповой отель в Гаване - отель на Кайо Санта Мария - </t>
    </r>
    <r>
      <rPr>
        <b/>
        <i/>
        <sz val="12"/>
        <color indexed="10"/>
        <rFont val="Arial Cyr"/>
        <family val="0"/>
      </rPr>
      <t>35 долл  OW</t>
    </r>
  </si>
  <si>
    <r>
      <t xml:space="preserve">Трансфер групповой отель на Кайо Санта Мария- отель на Варадеро - </t>
    </r>
    <r>
      <rPr>
        <b/>
        <i/>
        <sz val="12"/>
        <color indexed="10"/>
        <rFont val="Arial Cyr"/>
        <family val="0"/>
      </rPr>
      <t>35 долл OW</t>
    </r>
  </si>
  <si>
    <t>Royalton Habana</t>
  </si>
  <si>
    <t xml:space="preserve">Доплата за ужин 38 долл,ребенок 19 долл. Размещение max 2 взр </t>
  </si>
  <si>
    <t>Доплата за ужин 25 долл, в отеле Terral 38 долл,ребенок 50%.Размещение max 2 взр.</t>
  </si>
  <si>
    <t>Доплата за ужин 25 долл, ребенок 50%.Размещение max 2 взр</t>
  </si>
  <si>
    <t>Доплапта за ужин 20 долл, ребенок 50%.Размещение max 2 взр</t>
  </si>
  <si>
    <t>DBL  LUXURY ROOM HABANA BAY</t>
  </si>
  <si>
    <t>SGL LUXURY ROOM HABANA BAY</t>
  </si>
  <si>
    <t>DBL LUXURY ROOM OCEAN SUNSET</t>
  </si>
  <si>
    <t>SGL LUXURY  ROOM OCEAN SUNSET</t>
  </si>
  <si>
    <t>DBL  LUXURY ROOM SUPERIOR HABANA BAY</t>
  </si>
  <si>
    <t>SGL  LUXURY ROOM SUPERIOR HABANA BAY</t>
  </si>
  <si>
    <t>DBL LUXURY JR SUITE</t>
  </si>
  <si>
    <t>SGL LUXURY JR SUITE</t>
  </si>
  <si>
    <t>DBL LUXURY JR SUITE PLUS OCEAN SUNSET&amp;FORTRESS</t>
  </si>
  <si>
    <t>SGL LUXURY JR SUITE PLUS OCEAN SUNSET&amp;FORTRESS</t>
  </si>
  <si>
    <t>DBL LUXURY SUITE PANORAMIC VIEW</t>
  </si>
  <si>
    <t>SGL SUITE PANORAMIC VIEW</t>
  </si>
  <si>
    <t>Максимальное размещение в номерах Luxury  2 взр и 1 реб без доп.кровати; в номерах Luxury Superior и Jr Suite Luxury 2 взр+1 реб или 3 взр;в номерах Luxury Suite 2 взр+2 реб или 3 взр.</t>
  </si>
  <si>
    <t>Доплата за Diamond Club 33 долл/чел/ночь</t>
  </si>
  <si>
    <t>Стоимость третьего взрослого минус 15% от 1/2 DBL, стоимость ребенка (с 2 до 12 лет) 50% от 1/2 DBL</t>
  </si>
  <si>
    <t>Mystique Regis Habana</t>
  </si>
  <si>
    <t>Новый</t>
  </si>
  <si>
    <t>DBL  DELUXE ROOM</t>
  </si>
  <si>
    <t>SGL DELUXE ROOM</t>
  </si>
  <si>
    <t>DBL DELUXE SUPERIOR ROOM</t>
  </si>
  <si>
    <t>SGL DELUXE SUPERIOR ROOM</t>
  </si>
  <si>
    <t>DBL SUITE PRADO VIEW</t>
  </si>
  <si>
    <t>SGL PRADO VIEW</t>
  </si>
  <si>
    <t>DBL  SUPERIOR TERRACE ROOM DIAMOND CLUB</t>
  </si>
  <si>
    <t>SGL   SUPERIOR TERRACE ROOM DIAMOND CLUB</t>
  </si>
  <si>
    <t>DBL  SUITE TERRACE PANORAMIC VIEW DIAMOND CLUB</t>
  </si>
  <si>
    <t>SGL  SUITE TERRACE PANORAMIC VIEW DIAMOND CLUB</t>
  </si>
  <si>
    <t>Максимальное размещение 2 взр.</t>
  </si>
  <si>
    <r>
      <t xml:space="preserve">Melia             </t>
    </r>
    <r>
      <rPr>
        <b/>
        <i/>
        <sz val="12"/>
        <color indexed="8"/>
        <rFont val="Arial Cyr"/>
        <family val="0"/>
      </rPr>
      <t xml:space="preserve">                   </t>
    </r>
  </si>
  <si>
    <t>Min stay 3 ночи</t>
  </si>
  <si>
    <t>DBL  SUPERIOR</t>
  </si>
  <si>
    <t>Максимум размещения в номерах STD 3 взр или 2 взр+2 реб,в номерах max 2 взр Premium OV и OF . В Suite max 2взр</t>
  </si>
  <si>
    <t xml:space="preserve">ПРИ РАННЕМ БРОНИРОВАНИИ ОТЕЛЯ ДО 28.02 НА ПЕРИОД С 01.04. ПО 30.04 СКИДКА 48% </t>
  </si>
  <si>
    <t xml:space="preserve">ПРИ РАННЕМ БРОНИРОВАНИИ ОТЕЛЯ ДО 30.04 НА ПЕРИОД С 01.04. ПО 30.04 СКИДКА 43% </t>
  </si>
  <si>
    <t>SPECIAL 22/23</t>
  </si>
  <si>
    <t xml:space="preserve">  04.01.23 - 31.03.23</t>
  </si>
  <si>
    <t xml:space="preserve"> 01.11.22 - 18.12.22</t>
  </si>
  <si>
    <t xml:space="preserve"> 19.12.22 - 30.04.23</t>
  </si>
  <si>
    <t xml:space="preserve"> 01.12.22 - 21.12.22</t>
  </si>
  <si>
    <t xml:space="preserve"> DBL Aston JR Suite</t>
  </si>
  <si>
    <t xml:space="preserve"> SGL Aston JR Suite</t>
  </si>
  <si>
    <t xml:space="preserve">SUITE PRADO SGL </t>
  </si>
  <si>
    <t>SUITE PRADO DBL</t>
  </si>
  <si>
    <t>пока закрыт</t>
  </si>
  <si>
    <t>Palacio Montehermoso</t>
  </si>
  <si>
    <t>РАНЕЕ БРОНИРОВАНИЕ ДО 20.01.СКИДКА 10% от указанной цены</t>
  </si>
  <si>
    <t>22.12.2022-01.01.23</t>
  </si>
  <si>
    <t xml:space="preserve"> 02.01.23 - 07.01.23</t>
  </si>
  <si>
    <t xml:space="preserve"> 08.01.23 - 30.04.23</t>
  </si>
  <si>
    <r>
      <t xml:space="preserve">3*  </t>
    </r>
    <r>
      <rPr>
        <b/>
        <sz val="12"/>
        <color indexed="10"/>
        <rFont val="Calibri"/>
        <family val="2"/>
      </rPr>
      <t>RUSCOPFFW до 31.01.</t>
    </r>
  </si>
  <si>
    <t xml:space="preserve">   22.12.22 - 03.01.23</t>
  </si>
  <si>
    <t xml:space="preserve">  06.01.23 - 09.04.23</t>
  </si>
  <si>
    <t xml:space="preserve">  04.01.23 - 31.01.23</t>
  </si>
  <si>
    <t>RUSVARSPR до 31.01.</t>
  </si>
  <si>
    <t>RUSMORFFW до 31.01.</t>
  </si>
  <si>
    <t>SPO-001-INV2223 до 17.01.23</t>
  </si>
  <si>
    <t>Доплата за номер Ocean View - 10 долл за номер в сутки</t>
  </si>
  <si>
    <t xml:space="preserve">  22.12.22 - 31.03.23</t>
  </si>
  <si>
    <t>ПО ОФЕРТЕ ВКЛЮЧЕНЫ ЗАВТРАКИ</t>
  </si>
  <si>
    <t>PROMOTION WINTER SEASON</t>
  </si>
  <si>
    <t>СПЕЦПРЕДЛОЖЕНИЕ!!!</t>
  </si>
  <si>
    <t>СТОИМОСТЬ НОМЕРА SGL или DBL</t>
  </si>
  <si>
    <t>категория Deluxe POOL VIEW</t>
  </si>
  <si>
    <t>при наличии номеров up grade на</t>
  </si>
  <si>
    <t>категории Deluxe OV или Deluxe OF</t>
  </si>
  <si>
    <t xml:space="preserve">575 долл/номер/ночь, </t>
  </si>
  <si>
    <t>ребенок с 2мя взрослыми 88 долл/ночь</t>
  </si>
  <si>
    <t>ПИТАНИЕ ВСЕ ВКЛЮЧЕНО!!</t>
  </si>
  <si>
    <t>бронировать до 31.01.</t>
  </si>
  <si>
    <t xml:space="preserve">Islazul </t>
  </si>
  <si>
    <r>
      <t xml:space="preserve">Lido   </t>
    </r>
    <r>
      <rPr>
        <b/>
        <sz val="12"/>
        <color indexed="10"/>
        <rFont val="Arial Cyr"/>
        <family val="0"/>
      </rPr>
      <t xml:space="preserve"> бронировть до 31.01.</t>
    </r>
  </si>
  <si>
    <r>
      <t xml:space="preserve">Caribbean </t>
    </r>
    <r>
      <rPr>
        <b/>
        <sz val="12"/>
        <color indexed="10"/>
        <rFont val="Arial Cyr"/>
        <family val="0"/>
      </rPr>
      <t xml:space="preserve"> бронировать до 31.01.</t>
    </r>
  </si>
  <si>
    <t>НОВЫЙ ПОКА ЗАКРЫТ</t>
  </si>
  <si>
    <t>HRU.221208.U.1013 до 31.01 (январь)</t>
  </si>
  <si>
    <r>
      <t xml:space="preserve">Iberostar Playa Alameda 4* </t>
    </r>
    <r>
      <rPr>
        <b/>
        <sz val="12"/>
        <color indexed="10"/>
        <rFont val="Arial Cyr"/>
        <family val="0"/>
      </rPr>
      <t>16+</t>
    </r>
  </si>
  <si>
    <t>Iberostar Tainos 4*</t>
  </si>
  <si>
    <t>Iberostar Bella Costa 4*</t>
  </si>
  <si>
    <r>
      <t xml:space="preserve">В категории DBL размещение max 2 взр. В DBL  Ocean View 2 взр + реб . </t>
    </r>
    <r>
      <rPr>
        <b/>
        <i/>
        <sz val="12"/>
        <rFont val="Arial Cyr"/>
        <family val="0"/>
      </rPr>
      <t xml:space="preserve">СТОИМОСТЬ РЕБЕНКА 50% от 1/2 DBL </t>
    </r>
    <r>
      <rPr>
        <i/>
        <sz val="12"/>
        <rFont val="Arial Cyr"/>
        <family val="0"/>
      </rPr>
      <t xml:space="preserve"> В J Suite и Suite max 2 взр. Размещение 3х взрослых не допускается.</t>
    </r>
  </si>
  <si>
    <t>Village Costasur (ex. Club Amigo Costa Sur)</t>
  </si>
  <si>
    <t>Elite Club Vacanze</t>
  </si>
  <si>
    <t>BUNGALOW  DBL</t>
  </si>
  <si>
    <t xml:space="preserve"> 03.01.23 - 30.04.23</t>
  </si>
  <si>
    <t>Максимальное размещение:  в номере STD 2взр+ 1 реб, в номере Bungalow 2 взр+2 реб или 3 взр. 3-й ызрослый считается минус 15% от стоимости 1/2 DBL,SGL+CHD считается по SGL</t>
  </si>
  <si>
    <t xml:space="preserve">  01.02.23 - 30.04.23</t>
  </si>
  <si>
    <t xml:space="preserve">DBL  LUXURY PATIO  ROOM </t>
  </si>
  <si>
    <t xml:space="preserve">SGL LUXURY PATIO ROOM </t>
  </si>
  <si>
    <t>2022ALRU0351</t>
  </si>
  <si>
    <t>до 31.01.</t>
  </si>
  <si>
    <t>Valentin Cayo Cruz</t>
  </si>
  <si>
    <t>5 *</t>
  </si>
  <si>
    <t xml:space="preserve">DELUXE GARDEN VIEW  DBL </t>
  </si>
  <si>
    <t xml:space="preserve">DELUXE GARDEN VIEW SGL </t>
  </si>
  <si>
    <t>DELUXE   SEA VIEW DBL</t>
  </si>
  <si>
    <t>DELUXE SEA VIEW SGL</t>
  </si>
  <si>
    <t>OFERTA бронировать до 31.01.</t>
  </si>
  <si>
    <t>Mаксим. размещение 3 взр</t>
  </si>
  <si>
    <t>Minimum stay по спецпредложению 7  ночей, по контрактным ценам 3 ночи (уточнять у менеджера)</t>
  </si>
  <si>
    <t>откроется после 20.02.</t>
  </si>
  <si>
    <t>221220HAVRUS02VAR</t>
  </si>
  <si>
    <t>SPECIAL PROMO до 15.03.</t>
  </si>
  <si>
    <t>221112HAVRUS02</t>
  </si>
  <si>
    <t>31.03.</t>
  </si>
  <si>
    <t>бронировать до 31.03.</t>
  </si>
  <si>
    <t>CHD + 2 взр (от 2 до 12лет)</t>
  </si>
  <si>
    <t xml:space="preserve"> 03.01.23 - 28.02.23</t>
  </si>
  <si>
    <t xml:space="preserve"> 01.03.23 - 31.03.23</t>
  </si>
  <si>
    <t>Villa Caprice 4*</t>
  </si>
  <si>
    <t>(ex. Villa Iguana) 18+</t>
  </si>
  <si>
    <t>Максимальное размещение 2 взр</t>
  </si>
  <si>
    <t>Villa Linda Mar 4*</t>
  </si>
  <si>
    <t>Максимальное размещение 2 взр+1 реб</t>
  </si>
  <si>
    <t>DBL  STD</t>
  </si>
  <si>
    <t>BUNGALOW  SGL</t>
  </si>
  <si>
    <t xml:space="preserve">BUNGALOW DELUXE DBL </t>
  </si>
  <si>
    <t xml:space="preserve">BUNGALOW DELUXE  SGL </t>
  </si>
  <si>
    <t>SANCTUARY  18+(ex. Villa Bellarena)</t>
  </si>
  <si>
    <t xml:space="preserve"> 01.02.23 - 28.02.23</t>
  </si>
  <si>
    <t>BUNGALOW OCEAN VIEW  DBL</t>
  </si>
  <si>
    <t>BUNGALOW OCEAN VIEW  SGL</t>
  </si>
  <si>
    <t>Максимальное размещение в номерах STD и Bungalow 2 взр+2 ребенка или 3 взр; в Suite 2 взр+1 реб; в Bungalow Deluxe Sanctuary 2 взр</t>
  </si>
  <si>
    <t>ПЕРЕЛЕТЫ ГАВАНА или ВАРАДЕРО-КАЙО ЛАРГО-ГАВАНА или ВАРАДЕРО 290 долл (КОМИССИОННАЯ). Все групповые трансферы включены.</t>
  </si>
  <si>
    <t>РАСПИСАНИЕ и ЦЕНЫ НА ПЕРЕЛЕТЫ ДЕЙСТВИТЕЛЬНЫ ДО 31 МАРТА</t>
  </si>
  <si>
    <t>Без доп кровати ребенок с 2 взр размещается бесплатно</t>
  </si>
  <si>
    <t>откроется 1 января 2024 г.</t>
  </si>
  <si>
    <t>OFERTA бронировать до 28.02.</t>
  </si>
  <si>
    <t>Especial 2023</t>
  </si>
  <si>
    <t>При бронировании до 31.01. на период с 19.01 по 22.01. скидка 25% от указанной цены</t>
  </si>
  <si>
    <t>При бронировании до 31.01. на период с 23.01. по 04.03. скидка 30% от указанной цены</t>
  </si>
  <si>
    <t>При бронировании до 31.01. на период с 05.03. по 16.03. скидка 25% от указанной цены</t>
  </si>
  <si>
    <t>При бронировании до 31.01. на период с 17.03. по 30.04. скидка 30% от указанной цены</t>
  </si>
  <si>
    <t>При бронировании до 31.01. на период с 10.01 по 27.01. скидка 25% от указанной цены</t>
  </si>
  <si>
    <t>При бронировании до 31.01. на период с 28.01 по 30.04. скидка 30% от указанной цены</t>
  </si>
  <si>
    <t>ОТКРЫТИЕ ПЛАНИРУЕТСЯ 15.03.</t>
  </si>
  <si>
    <t>ОТКРЫТИЕ ПЛАНИРУЕТСЯ 01.03.</t>
  </si>
  <si>
    <t>ОТКРЫТИЕ ПЛАНИРУЕТСЯ 15.02.</t>
  </si>
  <si>
    <t>Mystique Trinidad La Popa</t>
  </si>
  <si>
    <r>
      <rPr>
        <b/>
        <sz val="12"/>
        <color indexed="10"/>
        <rFont val="Arial Cyr"/>
        <family val="0"/>
      </rPr>
      <t>2023 ALRU0017</t>
    </r>
    <r>
      <rPr>
        <b/>
        <sz val="12"/>
        <rFont val="Arial Cyr"/>
        <family val="2"/>
      </rPr>
      <t xml:space="preserve">  5*</t>
    </r>
  </si>
  <si>
    <t>2023ALRU0017</t>
  </si>
  <si>
    <r>
      <t xml:space="preserve">Трансферы отель в Тринидаде - отель на Варадеро (OW) - такси (1-2 чел) </t>
    </r>
    <r>
      <rPr>
        <b/>
        <i/>
        <sz val="12"/>
        <color indexed="10"/>
        <rFont val="Arial Cyr"/>
        <family val="0"/>
      </rPr>
      <t>200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 xml:space="preserve">340 долл </t>
    </r>
  </si>
  <si>
    <r>
      <t xml:space="preserve">Трансферы отель в Тринидаде - отель в Сьенфуэгосe (OW) - такси (1-2 чел) </t>
    </r>
    <r>
      <rPr>
        <b/>
        <i/>
        <sz val="12"/>
        <color indexed="10"/>
        <rFont val="Arial Cyr"/>
        <family val="0"/>
      </rPr>
      <t>60 долл</t>
    </r>
    <r>
      <rPr>
        <b/>
        <i/>
        <sz val="12"/>
        <rFont val="Arial Cyr"/>
        <family val="0"/>
      </rPr>
      <t xml:space="preserve">, минибас (3-8 чел) </t>
    </r>
    <r>
      <rPr>
        <b/>
        <i/>
        <sz val="12"/>
        <color indexed="10"/>
        <rFont val="Arial Cyr"/>
        <family val="0"/>
      </rPr>
      <t xml:space="preserve">120 долл </t>
    </r>
  </si>
  <si>
    <r>
      <t xml:space="preserve">Трансферы отель в Тринидаде - аэропорт в Гаване (OW) - такси (1-2 чел) </t>
    </r>
    <r>
      <rPr>
        <b/>
        <i/>
        <sz val="12"/>
        <color indexed="10"/>
        <rFont val="Arial Cyr"/>
        <family val="0"/>
      </rPr>
      <t>270 долл</t>
    </r>
    <r>
      <rPr>
        <b/>
        <i/>
        <sz val="12"/>
        <rFont val="Arial Cyr"/>
        <family val="0"/>
      </rPr>
      <t xml:space="preserve">,минибас (3-8 чел) </t>
    </r>
    <r>
      <rPr>
        <b/>
        <i/>
        <sz val="12"/>
        <color indexed="10"/>
        <rFont val="Arial Cyr"/>
        <family val="0"/>
      </rPr>
      <t xml:space="preserve">430 долл </t>
    </r>
  </si>
  <si>
    <r>
      <t xml:space="preserve">Трансферы отель в Тринидаде - отель на острове Кайо Коко (OW) такси (1-2 чел) </t>
    </r>
    <r>
      <rPr>
        <b/>
        <i/>
        <sz val="12"/>
        <color indexed="10"/>
        <rFont val="Arial Cyr"/>
        <family val="0"/>
      </rPr>
      <t>175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 xml:space="preserve">315 долл </t>
    </r>
  </si>
  <si>
    <r>
      <t xml:space="preserve">Трансферы отель в Тринидаде - отель на острове Санта Мария (OW) такси (1-2 чел) </t>
    </r>
    <r>
      <rPr>
        <b/>
        <i/>
        <sz val="12"/>
        <color indexed="10"/>
        <rFont val="Arial Cyr"/>
        <family val="0"/>
      </rPr>
      <t>150 долл</t>
    </r>
    <r>
      <rPr>
        <b/>
        <i/>
        <sz val="12"/>
        <rFont val="Arial Cyr"/>
        <family val="0"/>
      </rPr>
      <t xml:space="preserve">,минибас (3-8 чел) </t>
    </r>
    <r>
      <rPr>
        <b/>
        <i/>
        <sz val="12"/>
        <color indexed="10"/>
        <rFont val="Arial Cyr"/>
        <family val="0"/>
      </rPr>
      <t xml:space="preserve">350 долл </t>
    </r>
  </si>
  <si>
    <r>
      <t xml:space="preserve">Трансферы отель в Сьенфуэгосe - отель на Варадеро (OW)  - такси (1-2 чел) </t>
    </r>
    <r>
      <rPr>
        <b/>
        <i/>
        <sz val="12"/>
        <color indexed="10"/>
        <rFont val="Arial Cyr"/>
        <family val="0"/>
      </rPr>
      <t>140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>240 долл</t>
    </r>
    <r>
      <rPr>
        <b/>
        <i/>
        <sz val="12"/>
        <rFont val="Arial Cyr"/>
        <family val="0"/>
      </rPr>
      <t xml:space="preserve"> </t>
    </r>
  </si>
  <si>
    <r>
      <t xml:space="preserve">Трансферы отель в Сьенфуэгосe - отель в Тринидаде (OW) - такси (1-2 чел) </t>
    </r>
    <r>
      <rPr>
        <b/>
        <i/>
        <sz val="12"/>
        <color indexed="10"/>
        <rFont val="Arial Cyr"/>
        <family val="0"/>
      </rPr>
      <t>60 долл</t>
    </r>
    <r>
      <rPr>
        <b/>
        <i/>
        <sz val="12"/>
        <rFont val="Arial Cyr"/>
        <family val="0"/>
      </rPr>
      <t xml:space="preserve">, минибас (3-8 чел) </t>
    </r>
    <r>
      <rPr>
        <b/>
        <i/>
        <sz val="12"/>
        <color indexed="10"/>
        <rFont val="Arial Cyr"/>
        <family val="0"/>
      </rPr>
      <t>120 долл</t>
    </r>
  </si>
  <si>
    <r>
      <t xml:space="preserve">Трансферы отель в Сьенфуэгосe - отель на острове Санта Мария (OW) такси (1-2 чел) </t>
    </r>
    <r>
      <rPr>
        <b/>
        <i/>
        <sz val="12"/>
        <color indexed="10"/>
        <rFont val="Arial Cyr"/>
        <family val="0"/>
      </rPr>
      <t>145 долл</t>
    </r>
    <r>
      <rPr>
        <b/>
        <i/>
        <sz val="12"/>
        <rFont val="Arial Cyr"/>
        <family val="0"/>
      </rPr>
      <t xml:space="preserve">, </t>
    </r>
    <r>
      <rPr>
        <b/>
        <i/>
        <sz val="12"/>
        <rFont val="Arial Cyr"/>
        <family val="0"/>
      </rPr>
      <t xml:space="preserve"> минибас (5-8 чел) </t>
    </r>
    <r>
      <rPr>
        <b/>
        <i/>
        <sz val="12"/>
        <color indexed="10"/>
        <rFont val="Arial Cyr"/>
        <family val="0"/>
      </rPr>
      <t>225 долл</t>
    </r>
  </si>
  <si>
    <r>
      <t xml:space="preserve">Трансфер аэропорт или отель в Гаване - отель на Кайо Энсеначос OW - такси (1-2 чел) </t>
    </r>
    <r>
      <rPr>
        <b/>
        <i/>
        <sz val="12"/>
        <color indexed="10"/>
        <rFont val="Arial Cyr"/>
        <family val="0"/>
      </rPr>
      <t>292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>480 долл</t>
    </r>
  </si>
  <si>
    <r>
      <t xml:space="preserve">Трансфер отель на Кайо Энсеначос - отель на Варадеро OW - такси (1-2 чел) </t>
    </r>
    <r>
      <rPr>
        <b/>
        <i/>
        <sz val="12"/>
        <color indexed="10"/>
        <rFont val="Arial Cyr"/>
        <family val="0"/>
      </rPr>
      <t>250 долл</t>
    </r>
    <r>
      <rPr>
        <b/>
        <i/>
        <sz val="12"/>
        <rFont val="Arial Cyr"/>
        <family val="0"/>
      </rPr>
      <t xml:space="preserve">, минибас (3-8 чел) </t>
    </r>
    <r>
      <rPr>
        <b/>
        <i/>
        <sz val="12"/>
        <color indexed="10"/>
        <rFont val="Arial Cyr"/>
        <family val="0"/>
      </rPr>
      <t>400 долл</t>
    </r>
  </si>
  <si>
    <r>
      <t xml:space="preserve">Трансфер аэропорт или отель в Гаване - отель на Кайо Санта Мария OW - такси (1-2 чел) </t>
    </r>
    <r>
      <rPr>
        <b/>
        <i/>
        <sz val="12"/>
        <color indexed="10"/>
        <rFont val="Arial Cyr"/>
        <family val="0"/>
      </rPr>
      <t>292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>500 долл</t>
    </r>
  </si>
  <si>
    <r>
      <t xml:space="preserve">Трансфер отель на Кайо Санта Мария - отель на Варадеро OW - такси (1-2 чел) </t>
    </r>
    <r>
      <rPr>
        <b/>
        <i/>
        <sz val="12"/>
        <color indexed="10"/>
        <rFont val="Arial Cyr"/>
        <family val="0"/>
      </rPr>
      <t>250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>400 долл</t>
    </r>
  </si>
  <si>
    <r>
      <t xml:space="preserve">Трансфер аэропорт или отель в Гаване - отель на Кайо Коко OW - такси (1-2 чел) </t>
    </r>
    <r>
      <rPr>
        <b/>
        <i/>
        <sz val="12"/>
        <color indexed="10"/>
        <rFont val="Arial Cyr"/>
        <family val="0"/>
      </rPr>
      <t>400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 xml:space="preserve">680 долл </t>
    </r>
  </si>
  <si>
    <r>
      <t xml:space="preserve">Трансфер отель на Кайо Коко - отель на Варадеро OW - такси (1-2 чел) </t>
    </r>
    <r>
      <rPr>
        <b/>
        <i/>
        <sz val="12"/>
        <color indexed="10"/>
        <rFont val="Arial Cyr"/>
        <family val="0"/>
      </rPr>
      <t>330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 xml:space="preserve">605 долл </t>
    </r>
  </si>
  <si>
    <r>
      <t xml:space="preserve">Трансфер аэропорт или отель в Гаване - отель на Кайо Круз OW - такси (1-2 чел) </t>
    </r>
    <r>
      <rPr>
        <b/>
        <i/>
        <sz val="12"/>
        <color indexed="10"/>
        <rFont val="Arial Cyr"/>
        <family val="0"/>
      </rPr>
      <t>460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 xml:space="preserve">780 долл </t>
    </r>
  </si>
  <si>
    <r>
      <t xml:space="preserve">Трансфер отель на Кайо Круз - отель на Варадеро OW - такси (1-2 чел) </t>
    </r>
    <r>
      <rPr>
        <b/>
        <i/>
        <sz val="12"/>
        <color indexed="10"/>
        <rFont val="Arial Cyr"/>
        <family val="0"/>
      </rPr>
      <t>400 долл</t>
    </r>
    <r>
      <rPr>
        <b/>
        <i/>
        <sz val="12"/>
        <rFont val="Arial Cyr"/>
        <family val="0"/>
      </rPr>
      <t xml:space="preserve">,  минибас (3-8 чел) </t>
    </r>
    <r>
      <rPr>
        <b/>
        <i/>
        <sz val="12"/>
        <color indexed="10"/>
        <rFont val="Arial Cyr"/>
        <family val="0"/>
      </rPr>
      <t xml:space="preserve">740 долл </t>
    </r>
  </si>
  <si>
    <r>
      <t xml:space="preserve">Трансфер аэропорт или отель в Гаване - отель на Кайо Гильермо OW - такси (1-2 чел) </t>
    </r>
    <r>
      <rPr>
        <b/>
        <i/>
        <sz val="12"/>
        <color indexed="10"/>
        <rFont val="Arial Cyr"/>
        <family val="0"/>
      </rPr>
      <t>420 долл</t>
    </r>
    <r>
      <rPr>
        <b/>
        <i/>
        <sz val="12"/>
        <rFont val="Arial Cyr"/>
        <family val="0"/>
      </rPr>
      <t xml:space="preserve">,минибас (3-8 чел) </t>
    </r>
    <r>
      <rPr>
        <b/>
        <i/>
        <sz val="12"/>
        <color indexed="10"/>
        <rFont val="Arial Cyr"/>
        <family val="0"/>
      </rPr>
      <t xml:space="preserve">720 долл </t>
    </r>
  </si>
  <si>
    <r>
      <t xml:space="preserve">Трансфер отель на Кайо Гильермо - отель на Варадеро OW - такси (1-2 чел) </t>
    </r>
    <r>
      <rPr>
        <b/>
        <i/>
        <sz val="12"/>
        <color indexed="10"/>
        <rFont val="Arial Cyr"/>
        <family val="0"/>
      </rPr>
      <t>365 долл</t>
    </r>
    <r>
      <rPr>
        <b/>
        <i/>
        <sz val="12"/>
        <rFont val="Arial Cyr"/>
        <family val="0"/>
      </rPr>
      <t xml:space="preserve">,минибас (3-8 чел) </t>
    </r>
    <r>
      <rPr>
        <b/>
        <i/>
        <sz val="12"/>
        <color indexed="10"/>
        <rFont val="Arial Cyr"/>
        <family val="0"/>
      </rPr>
      <t xml:space="preserve">655 долл </t>
    </r>
  </si>
  <si>
    <r>
      <t xml:space="preserve"> </t>
    </r>
    <r>
      <rPr>
        <b/>
        <i/>
        <sz val="12"/>
        <color indexed="10"/>
        <rFont val="Arial Cyr"/>
        <family val="0"/>
      </rPr>
      <t>откроется во второй половине года</t>
    </r>
  </si>
  <si>
    <t>СКИДКА 25% на категории Jr Suite y The Reserve Jr Suite</t>
  </si>
  <si>
    <t>СКИДКА 25% на категорию Jr Suite</t>
  </si>
  <si>
    <t>СКИДКА 25% на категорию Classic</t>
  </si>
  <si>
    <t>СКИДКА 30% на категорию Classic</t>
  </si>
  <si>
    <t>СКИДКА 25% на категорию Deluxe</t>
  </si>
  <si>
    <t>СКИДКА 30 % на категорию Std</t>
  </si>
  <si>
    <t>СКИДКА 30 % на категорию Sol Room</t>
  </si>
  <si>
    <t>СКИДКА 30 % на категорию Classic</t>
  </si>
  <si>
    <t>СКИДКА 23 % на категорию Classic</t>
  </si>
  <si>
    <t>СКИДКА 30 % на категорию Tryp</t>
  </si>
  <si>
    <t>СКИДКА 25 % на категорию Jr Suite y The Resrve Jr Suite</t>
  </si>
  <si>
    <t>СКИДКА 25 % на категорию Sol Room</t>
  </si>
  <si>
    <t>СКИДКА 10 % на категорию Std</t>
  </si>
  <si>
    <t>СКИДКА 10 % на категорию Classic</t>
  </si>
  <si>
    <t>СКИДКА 20 % на категорию Tryp</t>
  </si>
  <si>
    <t>2023ALRU0030</t>
  </si>
  <si>
    <t>HNC23 до 15.03.</t>
  </si>
  <si>
    <t>JAN23 до 15.03.</t>
  </si>
  <si>
    <t xml:space="preserve">  15.03.23 - 30.04.23</t>
  </si>
  <si>
    <t xml:space="preserve"> 01.03.22 - 30.04.23</t>
  </si>
  <si>
    <t>JAN23  до 15.03.</t>
  </si>
  <si>
    <t>Сasa del Mar (Ex.Ocean Cayo Santa Maria)</t>
  </si>
  <si>
    <t xml:space="preserve">Roc </t>
  </si>
  <si>
    <t>STD  DBL</t>
  </si>
  <si>
    <t>STD SGL</t>
  </si>
  <si>
    <t>OCEAN  VIEW SGL</t>
  </si>
  <si>
    <t>Максимум 3 взр или 2 взр+2 реб</t>
  </si>
  <si>
    <t>HRU.230118.U.1185 до 28.02  (февр-апрель)</t>
  </si>
  <si>
    <t>DBL RELAX</t>
  </si>
  <si>
    <t>SGL RELAX  VIEW</t>
  </si>
  <si>
    <t>40,3</t>
  </si>
  <si>
    <t>ПЕРЕЛЕТЫ ОСУЩЕСТВЛЯЮТСЯ ИЗ ГАВАНЫ И ВАРАДЕРО ПО ВТОРНИКАМ,ПЯТНИЦАМ И ВОСКРЕСЕНЬЯМ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</si>
</sst>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%"/>
    <numFmt numFmtId="210" formatCode="[$-FC19]d\ mmmm\ yyyy\ &quot;г.&quot;"/>
    <numFmt numFmtId="211" formatCode="#,##0.00&quot;р.&quot;"/>
    <numFmt numFmtId="212" formatCode="#,##0.0_р_."/>
  </numFmts>
  <fonts count="1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color indexed="48"/>
      <name val="Arial Cyr"/>
      <family val="0"/>
    </font>
    <font>
      <b/>
      <i/>
      <sz val="16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i/>
      <sz val="16"/>
      <color indexed="48"/>
      <name val="Arial Cyr"/>
      <family val="0"/>
    </font>
    <font>
      <b/>
      <i/>
      <sz val="16"/>
      <color indexed="10"/>
      <name val="Arial Cyr"/>
      <family val="0"/>
    </font>
    <font>
      <i/>
      <sz val="16"/>
      <name val="Arial Cyr"/>
      <family val="2"/>
    </font>
    <font>
      <b/>
      <i/>
      <sz val="16"/>
      <name val="Arial Cyr"/>
      <family val="0"/>
    </font>
    <font>
      <b/>
      <sz val="16"/>
      <color indexed="10"/>
      <name val="Arial Cyr"/>
      <family val="0"/>
    </font>
    <font>
      <i/>
      <sz val="16"/>
      <color indexed="10"/>
      <name val="Arial Cyr"/>
      <family val="0"/>
    </font>
    <font>
      <sz val="16"/>
      <color indexed="10"/>
      <name val="Arial Cyr"/>
      <family val="2"/>
    </font>
    <font>
      <sz val="16"/>
      <color indexed="8"/>
      <name val="Arial Cyr"/>
      <family val="2"/>
    </font>
    <font>
      <b/>
      <i/>
      <u val="single"/>
      <sz val="16"/>
      <name val="Arial Cyr"/>
      <family val="2"/>
    </font>
    <font>
      <b/>
      <i/>
      <u val="single"/>
      <sz val="16"/>
      <color indexed="12"/>
      <name val="Arial Cyr"/>
      <family val="0"/>
    </font>
    <font>
      <b/>
      <i/>
      <u val="single"/>
      <sz val="16"/>
      <color indexed="10"/>
      <name val="Arial Cyr"/>
      <family val="0"/>
    </font>
    <font>
      <u val="single"/>
      <sz val="16"/>
      <name val="Arial Cyr"/>
      <family val="0"/>
    </font>
    <font>
      <b/>
      <i/>
      <sz val="14"/>
      <color indexed="18"/>
      <name val="Arial Cyr"/>
      <family val="0"/>
    </font>
    <font>
      <b/>
      <i/>
      <sz val="14"/>
      <color indexed="48"/>
      <name val="Arial Cyr"/>
      <family val="0"/>
    </font>
    <font>
      <b/>
      <i/>
      <sz val="14"/>
      <color indexed="10"/>
      <name val="Arial Cyr"/>
      <family val="0"/>
    </font>
    <font>
      <b/>
      <i/>
      <sz val="12"/>
      <name val="Arial Cyr"/>
      <family val="0"/>
    </font>
    <font>
      <b/>
      <i/>
      <sz val="12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i/>
      <sz val="12"/>
      <color indexed="8"/>
      <name val="Arial Cyr"/>
      <family val="0"/>
    </font>
    <font>
      <b/>
      <i/>
      <sz val="12"/>
      <color indexed="12"/>
      <name val="Arial Cyr"/>
      <family val="0"/>
    </font>
    <font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8"/>
      <name val="Arial Cyr"/>
      <family val="0"/>
    </font>
    <font>
      <i/>
      <sz val="12"/>
      <color indexed="12"/>
      <name val="Arial Cyr"/>
      <family val="0"/>
    </font>
    <font>
      <sz val="12"/>
      <color indexed="8"/>
      <name val="Arial Cyr"/>
      <family val="0"/>
    </font>
    <font>
      <b/>
      <i/>
      <sz val="12"/>
      <color indexed="30"/>
      <name val="Arial Cyr"/>
      <family val="0"/>
    </font>
    <font>
      <i/>
      <sz val="12"/>
      <color indexed="30"/>
      <name val="Arial Cyr"/>
      <family val="0"/>
    </font>
    <font>
      <i/>
      <sz val="12"/>
      <color indexed="48"/>
      <name val="Arial Cyr"/>
      <family val="0"/>
    </font>
    <font>
      <b/>
      <sz val="12"/>
      <color indexed="48"/>
      <name val="Arial Cyr"/>
      <family val="0"/>
    </font>
    <font>
      <i/>
      <sz val="12"/>
      <color indexed="10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name val="Arial Cyr"/>
      <family val="0"/>
    </font>
    <font>
      <b/>
      <i/>
      <sz val="11"/>
      <color indexed="10"/>
      <name val="Arial Cyr"/>
      <family val="0"/>
    </font>
    <font>
      <sz val="11"/>
      <name val="Arial Cyr"/>
      <family val="2"/>
    </font>
    <font>
      <i/>
      <sz val="11"/>
      <name val="Arial Cyr"/>
      <family val="0"/>
    </font>
    <font>
      <b/>
      <sz val="12"/>
      <name val="Arial"/>
      <family val="2"/>
    </font>
    <font>
      <sz val="10"/>
      <color indexed="8"/>
      <name val="Arial Cyr"/>
      <family val="0"/>
    </font>
    <font>
      <b/>
      <i/>
      <sz val="11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color indexed="14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i/>
      <u val="single"/>
      <sz val="16"/>
      <color indexed="12"/>
      <name val="Calibri"/>
      <family val="2"/>
    </font>
    <font>
      <b/>
      <i/>
      <sz val="16"/>
      <color indexed="12"/>
      <name val="Calibri"/>
      <family val="2"/>
    </font>
    <font>
      <sz val="16"/>
      <color indexed="12"/>
      <name val="Arial Cyr"/>
      <family val="0"/>
    </font>
    <font>
      <sz val="16"/>
      <color indexed="12"/>
      <name val="Calibri"/>
      <family val="2"/>
    </font>
    <font>
      <b/>
      <sz val="16"/>
      <color indexed="12"/>
      <name val="Calibri"/>
      <family val="2"/>
    </font>
    <font>
      <sz val="16"/>
      <color indexed="10"/>
      <name val="Calibri"/>
      <family val="2"/>
    </font>
    <font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i/>
      <u val="single"/>
      <sz val="12"/>
      <color indexed="12"/>
      <name val="Arial Cyr"/>
      <family val="2"/>
    </font>
    <font>
      <b/>
      <i/>
      <u val="single"/>
      <sz val="12"/>
      <color indexed="12"/>
      <name val="Calibri"/>
      <family val="2"/>
    </font>
    <font>
      <sz val="12"/>
      <color indexed="30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30"/>
      <name val="Arial Cyr"/>
      <family val="0"/>
    </font>
    <font>
      <i/>
      <sz val="12"/>
      <name val="Calibri"/>
      <family val="2"/>
    </font>
    <font>
      <b/>
      <sz val="12"/>
      <color indexed="36"/>
      <name val="Arial Cyr"/>
      <family val="0"/>
    </font>
    <font>
      <b/>
      <sz val="12"/>
      <color indexed="30"/>
      <name val="Arial"/>
      <family val="2"/>
    </font>
    <font>
      <sz val="16"/>
      <color indexed="14"/>
      <name val="Arial Cyr"/>
      <family val="0"/>
    </font>
    <font>
      <i/>
      <sz val="12"/>
      <color indexed="8"/>
      <name val="Calibri"/>
      <family val="2"/>
    </font>
    <font>
      <b/>
      <i/>
      <sz val="11"/>
      <color indexed="12"/>
      <name val="Arial Cyr"/>
      <family val="0"/>
    </font>
    <font>
      <sz val="11"/>
      <color indexed="12"/>
      <name val="Arial Cyr"/>
      <family val="2"/>
    </font>
    <font>
      <sz val="11"/>
      <color indexed="1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b/>
      <sz val="10"/>
      <color indexed="12"/>
      <name val="Arial Cyr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Arial Cyr"/>
      <family val="0"/>
    </font>
    <font>
      <b/>
      <sz val="14"/>
      <color indexed="12"/>
      <name val="Britannic Bold"/>
      <family val="2"/>
    </font>
    <font>
      <b/>
      <sz val="14"/>
      <color indexed="10"/>
      <name val="Britannic Bold"/>
      <family val="2"/>
    </font>
    <font>
      <b/>
      <u val="single"/>
      <sz val="14"/>
      <color indexed="12"/>
      <name val="Calibri"/>
      <family val="2"/>
    </font>
    <font>
      <b/>
      <i/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FF0000"/>
      <name val="Arial Cyr"/>
      <family val="2"/>
    </font>
    <font>
      <sz val="16"/>
      <color rgb="FFFF00FF"/>
      <name val="Calibri"/>
      <family val="2"/>
    </font>
    <font>
      <sz val="16"/>
      <color theme="1"/>
      <name val="Calibri"/>
      <family val="2"/>
    </font>
    <font>
      <b/>
      <u val="single"/>
      <sz val="16"/>
      <color rgb="FF0000FF"/>
      <name val="Calibri"/>
      <family val="2"/>
    </font>
    <font>
      <b/>
      <i/>
      <u val="single"/>
      <sz val="16"/>
      <color rgb="FF0000FF"/>
      <name val="Calibri"/>
      <family val="2"/>
    </font>
    <font>
      <b/>
      <i/>
      <sz val="16"/>
      <color rgb="FF0000FF"/>
      <name val="Calibri"/>
      <family val="2"/>
    </font>
    <font>
      <b/>
      <i/>
      <sz val="16"/>
      <color rgb="FF0000FF"/>
      <name val="Arial Cyr"/>
      <family val="2"/>
    </font>
    <font>
      <sz val="16"/>
      <color rgb="FF0000FF"/>
      <name val="Arial Cyr"/>
      <family val="0"/>
    </font>
    <font>
      <sz val="16"/>
      <color rgb="FF0000FF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  <font>
      <i/>
      <sz val="16"/>
      <color rgb="FFFF0000"/>
      <name val="Arial Cyr"/>
      <family val="2"/>
    </font>
    <font>
      <sz val="16"/>
      <color rgb="FFFF0000"/>
      <name val="Arial Cyr"/>
      <family val="2"/>
    </font>
    <font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 Cyr"/>
      <family val="0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 Cyr"/>
      <family val="0"/>
    </font>
    <font>
      <b/>
      <i/>
      <sz val="12"/>
      <color rgb="FF0000FF"/>
      <name val="Arial Cyr"/>
      <family val="0"/>
    </font>
    <font>
      <sz val="12"/>
      <color rgb="FF0000FF"/>
      <name val="Arial Cyr"/>
      <family val="2"/>
    </font>
    <font>
      <sz val="12"/>
      <color rgb="FF0000FF"/>
      <name val="Calibri"/>
      <family val="2"/>
    </font>
    <font>
      <i/>
      <sz val="12"/>
      <color rgb="FF0000FF"/>
      <name val="Arial Cyr"/>
      <family val="2"/>
    </font>
    <font>
      <sz val="12"/>
      <color rgb="FFFF0000"/>
      <name val="Arial Cyr"/>
      <family val="2"/>
    </font>
    <font>
      <sz val="12"/>
      <color rgb="FFFF0000"/>
      <name val="Calibri"/>
      <family val="2"/>
    </font>
    <font>
      <b/>
      <sz val="12"/>
      <color rgb="FF0000FF"/>
      <name val="Arial Cyr"/>
      <family val="2"/>
    </font>
    <font>
      <b/>
      <sz val="12"/>
      <color theme="1"/>
      <name val="Arial Cyr"/>
      <family val="2"/>
    </font>
    <font>
      <b/>
      <sz val="12"/>
      <color rgb="FFFF0000"/>
      <name val="Times New Roman"/>
      <family val="1"/>
    </font>
    <font>
      <b/>
      <i/>
      <u val="single"/>
      <sz val="12"/>
      <color rgb="FF0000FF"/>
      <name val="Arial Cyr"/>
      <family val="2"/>
    </font>
    <font>
      <b/>
      <i/>
      <u val="single"/>
      <sz val="12"/>
      <color rgb="FF0000FF"/>
      <name val="Calibri"/>
      <family val="2"/>
    </font>
    <font>
      <b/>
      <sz val="12"/>
      <color rgb="FFFF0000"/>
      <name val="Calibri"/>
      <family val="2"/>
    </font>
    <font>
      <b/>
      <i/>
      <sz val="12"/>
      <color rgb="FF0070C0"/>
      <name val="Arial Cyr"/>
      <family val="0"/>
    </font>
    <font>
      <sz val="12"/>
      <color rgb="FF0070C0"/>
      <name val="Calibri"/>
      <family val="2"/>
    </font>
    <font>
      <b/>
      <sz val="12"/>
      <color rgb="FF0000FF"/>
      <name val="Calibri"/>
      <family val="2"/>
    </font>
    <font>
      <i/>
      <sz val="12"/>
      <color rgb="FF0070C0"/>
      <name val="Arial Cyr"/>
      <family val="2"/>
    </font>
    <font>
      <b/>
      <sz val="12"/>
      <color rgb="FF0070C0"/>
      <name val="Arial Cyr"/>
      <family val="0"/>
    </font>
    <font>
      <i/>
      <sz val="12"/>
      <color rgb="FFFF0000"/>
      <name val="Arial Cyr"/>
      <family val="0"/>
    </font>
    <font>
      <i/>
      <sz val="12"/>
      <color theme="1"/>
      <name val="Arial Cyr"/>
      <family val="0"/>
    </font>
    <font>
      <sz val="12"/>
      <color theme="1"/>
      <name val="Arial Cyr"/>
      <family val="2"/>
    </font>
    <font>
      <b/>
      <sz val="12"/>
      <color rgb="FF2C14DC"/>
      <name val="Arial Cyr"/>
      <family val="2"/>
    </font>
    <font>
      <b/>
      <sz val="12"/>
      <color rgb="FF7030A0"/>
      <name val="Arial Cyr"/>
      <family val="0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sz val="16"/>
      <color rgb="FFFF00FF"/>
      <name val="Arial Cyr"/>
      <family val="0"/>
    </font>
    <font>
      <i/>
      <sz val="12"/>
      <color theme="1"/>
      <name val="Calibri"/>
      <family val="2"/>
    </font>
    <font>
      <b/>
      <i/>
      <sz val="11"/>
      <color rgb="FF0000FF"/>
      <name val="Arial Cyr"/>
      <family val="0"/>
    </font>
    <font>
      <sz val="11"/>
      <color rgb="FF0000FF"/>
      <name val="Arial Cyr"/>
      <family val="2"/>
    </font>
    <font>
      <sz val="11"/>
      <color rgb="FF0000FF"/>
      <name val="Calibri"/>
      <family val="2"/>
    </font>
    <font>
      <b/>
      <sz val="10"/>
      <color rgb="FFFF0000"/>
      <name val="Arial Cyr"/>
      <family val="0"/>
    </font>
    <font>
      <sz val="10"/>
      <color theme="1"/>
      <name val="Calibri"/>
      <family val="2"/>
    </font>
    <font>
      <b/>
      <sz val="10"/>
      <color rgb="FF2C14DC"/>
      <name val="Arial Cyr"/>
      <family val="2"/>
    </font>
    <font>
      <b/>
      <sz val="11"/>
      <color rgb="FFFF0000"/>
      <name val="Calibri"/>
      <family val="2"/>
    </font>
    <font>
      <b/>
      <sz val="12"/>
      <color rgb="FF00B050"/>
      <name val="Arial Cyr"/>
      <family val="0"/>
    </font>
    <font>
      <b/>
      <u val="single"/>
      <sz val="14"/>
      <color theme="10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6"/>
      <color rgb="FFFF0000"/>
      <name val="Arial Cyr"/>
      <family val="0"/>
    </font>
    <font>
      <b/>
      <sz val="14"/>
      <color rgb="FF0000FF"/>
      <name val="Britannic Bold"/>
      <family val="2"/>
    </font>
    <font>
      <b/>
      <sz val="14"/>
      <color rgb="FFFF0000"/>
      <name val="Britannic Bold"/>
      <family val="2"/>
    </font>
    <font>
      <b/>
      <sz val="16"/>
      <color rgb="FFFF0000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EE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F3541"/>
        <bgColor indexed="64"/>
      </patternFill>
    </fill>
    <fill>
      <patternFill patternType="solid">
        <fgColor rgb="FF3DBCF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21" borderId="1" applyNumberFormat="0" applyAlignment="0" applyProtection="0"/>
    <xf numFmtId="0" fontId="115" fillId="22" borderId="2" applyNumberFormat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0" applyNumberFormat="0" applyFill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9" fillId="29" borderId="1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124" fillId="21" borderId="6" applyNumberForma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7" applyNumberFormat="0" applyFill="0" applyAlignment="0" applyProtection="0"/>
    <xf numFmtId="0" fontId="118" fillId="0" borderId="8" applyNumberFormat="0" applyFill="0" applyAlignment="0" applyProtection="0"/>
    <xf numFmtId="0" fontId="129" fillId="0" borderId="9" applyNumberFormat="0" applyFill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9" borderId="10" applyNumberFormat="0" applyAlignment="0" applyProtection="0"/>
    <xf numFmtId="0" fontId="6" fillId="39" borderId="10" applyNumberFormat="0" applyAlignment="0" applyProtection="0"/>
    <xf numFmtId="0" fontId="6" fillId="39" borderId="10" applyNumberFormat="0" applyAlignment="0" applyProtection="0"/>
    <xf numFmtId="0" fontId="7" fillId="40" borderId="11" applyNumberFormat="0" applyAlignment="0" applyProtection="0"/>
    <xf numFmtId="0" fontId="7" fillId="40" borderId="11" applyNumberFormat="0" applyAlignment="0" applyProtection="0"/>
    <xf numFmtId="0" fontId="7" fillId="40" borderId="11" applyNumberFormat="0" applyAlignment="0" applyProtection="0"/>
    <xf numFmtId="0" fontId="8" fillId="40" borderId="10" applyNumberFormat="0" applyAlignment="0" applyProtection="0"/>
    <xf numFmtId="0" fontId="8" fillId="40" borderId="10" applyNumberFormat="0" applyAlignment="0" applyProtection="0"/>
    <xf numFmtId="0" fontId="8" fillId="40" borderId="10" applyNumberFormat="0" applyAlignment="0" applyProtection="0"/>
    <xf numFmtId="0" fontId="2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3" fillId="41" borderId="16" applyNumberFormat="0" applyAlignment="0" applyProtection="0"/>
    <xf numFmtId="0" fontId="13" fillId="41" borderId="16" applyNumberFormat="0" applyAlignment="0" applyProtection="0"/>
    <xf numFmtId="0" fontId="13" fillId="41" borderId="1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4" borderId="17" applyNumberFormat="0" applyFont="0" applyAlignment="0" applyProtection="0"/>
    <xf numFmtId="0" fontId="2" fillId="44" borderId="17" applyNumberFormat="0" applyFont="0" applyAlignment="0" applyProtection="0"/>
    <xf numFmtId="0" fontId="2" fillId="44" borderId="17" applyNumberFormat="0" applyFont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</cellStyleXfs>
  <cellXfs count="1389">
    <xf numFmtId="0" fontId="0" fillId="0" borderId="0" xfId="0" applyFont="1" applyAlignment="1">
      <alignment/>
    </xf>
    <xf numFmtId="0" fontId="0" fillId="46" borderId="0" xfId="0" applyFill="1" applyAlignment="1">
      <alignment/>
    </xf>
    <xf numFmtId="0" fontId="0" fillId="0" borderId="0" xfId="0" applyAlignment="1">
      <alignment/>
    </xf>
    <xf numFmtId="0" fontId="130" fillId="47" borderId="19" xfId="115" applyFont="1" applyFill="1" applyBorder="1" applyAlignment="1">
      <alignment horizontal="left"/>
      <protection/>
    </xf>
    <xf numFmtId="0" fontId="4" fillId="46" borderId="0" xfId="115" applyFont="1" applyFill="1" applyBorder="1" applyAlignment="1" applyProtection="1">
      <alignment horizontal="center"/>
      <protection hidden="1"/>
    </xf>
    <xf numFmtId="0" fontId="22" fillId="48" borderId="0" xfId="0" applyFont="1" applyFill="1" applyAlignment="1">
      <alignment vertical="center"/>
    </xf>
    <xf numFmtId="0" fontId="131" fillId="49" borderId="0" xfId="0" applyFont="1" applyFill="1" applyAlignment="1">
      <alignment horizontal="left"/>
    </xf>
    <xf numFmtId="0" fontId="23" fillId="50" borderId="0" xfId="115" applyFont="1" applyFill="1" applyProtection="1">
      <alignment/>
      <protection hidden="1"/>
    </xf>
    <xf numFmtId="0" fontId="23" fillId="50" borderId="0" xfId="115" applyFont="1" applyFill="1">
      <alignment/>
      <protection/>
    </xf>
    <xf numFmtId="0" fontId="132" fillId="50" borderId="0" xfId="0" applyFont="1" applyFill="1" applyAlignment="1">
      <alignment/>
    </xf>
    <xf numFmtId="0" fontId="4" fillId="50" borderId="0" xfId="0" applyFont="1" applyFill="1" applyAlignment="1">
      <alignment horizontal="center"/>
    </xf>
    <xf numFmtId="0" fontId="4" fillId="46" borderId="0" xfId="0" applyFont="1" applyFill="1" applyBorder="1" applyAlignment="1">
      <alignment horizontal="center"/>
    </xf>
    <xf numFmtId="0" fontId="23" fillId="50" borderId="0" xfId="0" applyFont="1" applyFill="1" applyAlignment="1">
      <alignment horizontal="left" vertical="top"/>
    </xf>
    <xf numFmtId="0" fontId="23" fillId="50" borderId="0" xfId="115" applyFont="1" applyFill="1" applyAlignment="1" applyProtection="1">
      <alignment/>
      <protection hidden="1"/>
    </xf>
    <xf numFmtId="0" fontId="132" fillId="46" borderId="0" xfId="0" applyFont="1" applyFill="1" applyAlignment="1">
      <alignment/>
    </xf>
    <xf numFmtId="0" fontId="132" fillId="0" borderId="0" xfId="0" applyFont="1" applyAlignment="1">
      <alignment/>
    </xf>
    <xf numFmtId="0" fontId="133" fillId="46" borderId="0" xfId="115" applyFont="1" applyFill="1" applyBorder="1" applyAlignment="1" applyProtection="1">
      <alignment horizontal="left" wrapText="1"/>
      <protection hidden="1"/>
    </xf>
    <xf numFmtId="0" fontId="134" fillId="46" borderId="0" xfId="0" applyFont="1" applyFill="1" applyAlignment="1">
      <alignment horizontal="left" wrapText="1"/>
    </xf>
    <xf numFmtId="0" fontId="134" fillId="46" borderId="0" xfId="0" applyFont="1" applyFill="1" applyAlignment="1">
      <alignment horizontal="center"/>
    </xf>
    <xf numFmtId="0" fontId="135" fillId="50" borderId="0" xfId="0" applyFont="1" applyFill="1" applyAlignment="1">
      <alignment horizontal="center"/>
    </xf>
    <xf numFmtId="0" fontId="136" fillId="46" borderId="0" xfId="0" applyFont="1" applyFill="1" applyBorder="1" applyAlignment="1">
      <alignment horizontal="center"/>
    </xf>
    <xf numFmtId="0" fontId="137" fillId="50" borderId="0" xfId="0" applyFont="1" applyFill="1" applyAlignment="1">
      <alignment horizontal="left" vertical="top"/>
    </xf>
    <xf numFmtId="0" fontId="137" fillId="50" borderId="0" xfId="115" applyFont="1" applyFill="1" applyAlignment="1" applyProtection="1">
      <alignment/>
      <protection hidden="1"/>
    </xf>
    <xf numFmtId="0" fontId="138" fillId="0" borderId="0" xfId="0" applyFont="1" applyAlignment="1">
      <alignment/>
    </xf>
    <xf numFmtId="0" fontId="138" fillId="0" borderId="0" xfId="0" applyFont="1" applyBorder="1" applyAlignment="1">
      <alignment/>
    </xf>
    <xf numFmtId="0" fontId="139" fillId="50" borderId="0" xfId="0" applyFont="1" applyFill="1" applyAlignment="1">
      <alignment horizontal="left" indent="3"/>
    </xf>
    <xf numFmtId="0" fontId="136" fillId="46" borderId="0" xfId="0" applyFont="1" applyFill="1" applyBorder="1" applyAlignment="1">
      <alignment horizontal="left" indent="3"/>
    </xf>
    <xf numFmtId="0" fontId="135" fillId="46" borderId="0" xfId="0" applyFont="1" applyFill="1" applyAlignment="1">
      <alignment horizontal="left" wrapText="1"/>
    </xf>
    <xf numFmtId="0" fontId="135" fillId="46" borderId="0" xfId="0" applyFont="1" applyFill="1" applyAlignment="1">
      <alignment horizontal="center"/>
    </xf>
    <xf numFmtId="0" fontId="140" fillId="51" borderId="0" xfId="0" applyFont="1" applyFill="1" applyAlignment="1">
      <alignment/>
    </xf>
    <xf numFmtId="0" fontId="132" fillId="50" borderId="0" xfId="0" applyFont="1" applyFill="1" applyBorder="1" applyAlignment="1">
      <alignment/>
    </xf>
    <xf numFmtId="0" fontId="132" fillId="0" borderId="0" xfId="0" applyFont="1" applyBorder="1" applyAlignment="1">
      <alignment/>
    </xf>
    <xf numFmtId="0" fontId="23" fillId="50" borderId="0" xfId="115" applyFont="1" applyFill="1" applyBorder="1" applyProtection="1">
      <alignment/>
      <protection hidden="1"/>
    </xf>
    <xf numFmtId="0" fontId="23" fillId="46" borderId="0" xfId="115" applyFont="1" applyFill="1" applyBorder="1" applyAlignment="1" applyProtection="1">
      <alignment/>
      <protection hidden="1"/>
    </xf>
    <xf numFmtId="1" fontId="23" fillId="50" borderId="0" xfId="115" applyNumberFormat="1" applyFont="1" applyFill="1" applyBorder="1" applyAlignment="1" applyProtection="1">
      <alignment horizontal="center"/>
      <protection hidden="1"/>
    </xf>
    <xf numFmtId="0" fontId="23" fillId="50" borderId="0" xfId="115" applyFont="1" applyFill="1" applyBorder="1">
      <alignment/>
      <protection/>
    </xf>
    <xf numFmtId="0" fontId="132" fillId="46" borderId="0" xfId="0" applyFont="1" applyFill="1" applyBorder="1" applyAlignment="1">
      <alignment/>
    </xf>
    <xf numFmtId="0" fontId="132" fillId="50" borderId="0" xfId="0" applyFont="1" applyFill="1" applyBorder="1" applyAlignment="1">
      <alignment/>
    </xf>
    <xf numFmtId="1" fontId="23" fillId="50" borderId="0" xfId="115" applyNumberFormat="1" applyFont="1" applyFill="1" applyBorder="1" applyAlignment="1" applyProtection="1">
      <alignment/>
      <protection hidden="1"/>
    </xf>
    <xf numFmtId="0" fontId="25" fillId="50" borderId="0" xfId="115" applyFont="1" applyFill="1" applyBorder="1" applyAlignment="1" applyProtection="1">
      <alignment horizontal="left"/>
      <protection hidden="1"/>
    </xf>
    <xf numFmtId="0" fontId="130" fillId="46" borderId="20" xfId="115" applyFont="1" applyFill="1" applyBorder="1" applyAlignment="1" applyProtection="1">
      <alignment horizontal="left"/>
      <protection hidden="1"/>
    </xf>
    <xf numFmtId="0" fontId="25" fillId="50" borderId="20" xfId="115" applyFont="1" applyFill="1" applyBorder="1" applyAlignment="1" applyProtection="1">
      <alignment horizontal="left"/>
      <protection hidden="1"/>
    </xf>
    <xf numFmtId="0" fontId="23" fillId="46" borderId="0" xfId="115" applyFont="1" applyFill="1" applyBorder="1" applyAlignment="1" applyProtection="1">
      <alignment horizontal="left"/>
      <protection hidden="1"/>
    </xf>
    <xf numFmtId="0" fontId="132" fillId="46" borderId="0" xfId="0" applyFont="1" applyFill="1" applyBorder="1" applyAlignment="1">
      <alignment/>
    </xf>
    <xf numFmtId="0" fontId="140" fillId="50" borderId="0" xfId="0" applyFont="1" applyFill="1" applyAlignment="1">
      <alignment/>
    </xf>
    <xf numFmtId="0" fontId="138" fillId="50" borderId="0" xfId="0" applyFont="1" applyFill="1" applyAlignment="1">
      <alignment/>
    </xf>
    <xf numFmtId="0" fontId="132" fillId="46" borderId="0" xfId="0" applyFont="1" applyFill="1" applyAlignment="1">
      <alignment/>
    </xf>
    <xf numFmtId="0" fontId="22" fillId="46" borderId="0" xfId="115" applyFont="1" applyFill="1" applyBorder="1" applyAlignment="1" applyProtection="1">
      <alignment/>
      <protection hidden="1"/>
    </xf>
    <xf numFmtId="0" fontId="26" fillId="46" borderId="0" xfId="115" applyFont="1" applyFill="1" applyBorder="1" applyProtection="1">
      <alignment/>
      <protection hidden="1"/>
    </xf>
    <xf numFmtId="0" fontId="137" fillId="50" borderId="0" xfId="115" applyFont="1" applyFill="1" applyProtection="1">
      <alignment/>
      <protection hidden="1"/>
    </xf>
    <xf numFmtId="0" fontId="137" fillId="50" borderId="0" xfId="115" applyFont="1" applyFill="1">
      <alignment/>
      <protection/>
    </xf>
    <xf numFmtId="0" fontId="29" fillId="50" borderId="0" xfId="115" applyFont="1" applyFill="1" applyBorder="1" applyAlignment="1" applyProtection="1">
      <alignment horizontal="left"/>
      <protection hidden="1"/>
    </xf>
    <xf numFmtId="0" fontId="23" fillId="50" borderId="0" xfId="115" applyFont="1" applyFill="1" applyBorder="1" applyAlignment="1">
      <alignment/>
      <protection/>
    </xf>
    <xf numFmtId="0" fontId="26" fillId="50" borderId="0" xfId="115" applyFont="1" applyFill="1" applyBorder="1" applyAlignment="1" applyProtection="1">
      <alignment horizontal="left"/>
      <protection hidden="1"/>
    </xf>
    <xf numFmtId="1" fontId="22" fillId="46" borderId="0" xfId="115" applyNumberFormat="1" applyFont="1" applyFill="1" applyBorder="1" applyAlignment="1" applyProtection="1">
      <alignment horizontal="left"/>
      <protection hidden="1"/>
    </xf>
    <xf numFmtId="0" fontId="27" fillId="46" borderId="0" xfId="115" applyFont="1" applyFill="1" applyAlignment="1">
      <alignment horizontal="left"/>
      <protection/>
    </xf>
    <xf numFmtId="0" fontId="26" fillId="46" borderId="0" xfId="115" applyFont="1" applyFill="1" applyAlignment="1">
      <alignment horizontal="left"/>
      <protection/>
    </xf>
    <xf numFmtId="0" fontId="22" fillId="46" borderId="0" xfId="115" applyFont="1" applyFill="1" applyBorder="1" applyAlignment="1" applyProtection="1">
      <alignment horizontal="center"/>
      <protection hidden="1"/>
    </xf>
    <xf numFmtId="0" fontId="4" fillId="46" borderId="0" xfId="115" applyFont="1" applyFill="1" applyBorder="1" applyAlignment="1" applyProtection="1">
      <alignment horizontal="center"/>
      <protection hidden="1"/>
    </xf>
    <xf numFmtId="0" fontId="4" fillId="46" borderId="20" xfId="115" applyFont="1" applyFill="1" applyBorder="1" applyAlignment="1" applyProtection="1">
      <alignment horizontal="center"/>
      <protection hidden="1"/>
    </xf>
    <xf numFmtId="0" fontId="23" fillId="50" borderId="0" xfId="115" applyFont="1" applyFill="1" applyAlignment="1">
      <alignment/>
      <protection/>
    </xf>
    <xf numFmtId="0" fontId="4" fillId="46" borderId="20" xfId="115" applyFont="1" applyFill="1" applyBorder="1" applyAlignment="1" applyProtection="1">
      <alignment horizontal="center"/>
      <protection hidden="1"/>
    </xf>
    <xf numFmtId="0" fontId="132" fillId="0" borderId="0" xfId="0" applyFont="1" applyAlignment="1">
      <alignment/>
    </xf>
    <xf numFmtId="1" fontId="23" fillId="50" borderId="0" xfId="115" applyNumberFormat="1" applyFont="1" applyFill="1" applyBorder="1" applyAlignment="1" applyProtection="1">
      <alignment horizontal="center"/>
      <protection hidden="1"/>
    </xf>
    <xf numFmtId="0" fontId="23" fillId="46" borderId="21" xfId="115" applyFont="1" applyFill="1" applyBorder="1">
      <alignment/>
      <protection/>
    </xf>
    <xf numFmtId="0" fontId="23" fillId="50" borderId="0" xfId="115" applyFont="1" applyFill="1" applyBorder="1" applyAlignment="1" applyProtection="1">
      <alignment/>
      <protection hidden="1"/>
    </xf>
    <xf numFmtId="1" fontId="27" fillId="46" borderId="0" xfId="0" applyNumberFormat="1" applyFont="1" applyFill="1" applyBorder="1" applyAlignment="1">
      <alignment horizontal="left"/>
    </xf>
    <xf numFmtId="1" fontId="30" fillId="46" borderId="0" xfId="115" applyNumberFormat="1" applyFont="1" applyFill="1" applyBorder="1" applyAlignment="1" applyProtection="1">
      <alignment horizontal="center"/>
      <protection hidden="1"/>
    </xf>
    <xf numFmtId="0" fontId="4" fillId="46" borderId="0" xfId="115" applyFont="1" applyFill="1" applyBorder="1" applyAlignment="1" applyProtection="1">
      <alignment/>
      <protection hidden="1"/>
    </xf>
    <xf numFmtId="0" fontId="4" fillId="46" borderId="0" xfId="115" applyFont="1" applyFill="1" applyAlignment="1" applyProtection="1">
      <alignment horizontal="center"/>
      <protection hidden="1"/>
    </xf>
    <xf numFmtId="1" fontId="31" fillId="50" borderId="0" xfId="115" applyNumberFormat="1" applyFont="1" applyFill="1" applyBorder="1" applyAlignment="1" applyProtection="1">
      <alignment horizontal="center"/>
      <protection hidden="1"/>
    </xf>
    <xf numFmtId="1" fontId="31" fillId="46" borderId="0" xfId="115" applyNumberFormat="1" applyFont="1" applyFill="1" applyBorder="1" applyAlignment="1" applyProtection="1">
      <alignment/>
      <protection hidden="1"/>
    </xf>
    <xf numFmtId="0" fontId="23" fillId="50" borderId="0" xfId="0" applyFont="1" applyFill="1" applyAlignment="1">
      <alignment/>
    </xf>
    <xf numFmtId="0" fontId="23" fillId="50" borderId="0" xfId="0" applyFont="1" applyFill="1" applyBorder="1" applyAlignment="1">
      <alignment/>
    </xf>
    <xf numFmtId="0" fontId="132" fillId="0" borderId="0" xfId="0" applyFont="1" applyFill="1" applyAlignment="1">
      <alignment/>
    </xf>
    <xf numFmtId="0" fontId="27" fillId="46" borderId="0" xfId="115" applyFont="1" applyFill="1" applyAlignment="1" applyProtection="1">
      <alignment horizontal="left" wrapText="1"/>
      <protection hidden="1"/>
    </xf>
    <xf numFmtId="0" fontId="4" fillId="46" borderId="20" xfId="0" applyFont="1" applyFill="1" applyBorder="1" applyAlignment="1">
      <alignment horizontal="center"/>
    </xf>
    <xf numFmtId="0" fontId="27" fillId="50" borderId="0" xfId="0" applyFont="1" applyFill="1" applyBorder="1" applyAlignment="1">
      <alignment horizontal="left"/>
    </xf>
    <xf numFmtId="0" fontId="26" fillId="46" borderId="0" xfId="115" applyFont="1" applyFill="1">
      <alignment/>
      <protection/>
    </xf>
    <xf numFmtId="0" fontId="4" fillId="46" borderId="0" xfId="115" applyFont="1" applyFill="1" applyAlignment="1">
      <alignment horizontal="left"/>
      <protection/>
    </xf>
    <xf numFmtId="0" fontId="130" fillId="47" borderId="22" xfId="115" applyFont="1" applyFill="1" applyBorder="1" applyAlignment="1">
      <alignment horizontal="center"/>
      <protection/>
    </xf>
    <xf numFmtId="0" fontId="141" fillId="47" borderId="22" xfId="115" applyFont="1" applyFill="1" applyBorder="1">
      <alignment/>
      <protection/>
    </xf>
    <xf numFmtId="0" fontId="142" fillId="47" borderId="23" xfId="115" applyFont="1" applyFill="1" applyBorder="1">
      <alignment/>
      <protection/>
    </xf>
    <xf numFmtId="0" fontId="26" fillId="46" borderId="0" xfId="115" applyFont="1" applyFill="1" applyBorder="1" applyAlignment="1">
      <alignment horizontal="left"/>
      <protection/>
    </xf>
    <xf numFmtId="0" fontId="28" fillId="46" borderId="0" xfId="115" applyFont="1" applyFill="1" applyAlignment="1">
      <alignment/>
      <protection/>
    </xf>
    <xf numFmtId="0" fontId="35" fillId="47" borderId="24" xfId="115" applyFont="1" applyFill="1" applyBorder="1" applyAlignment="1">
      <alignment wrapText="1"/>
      <protection/>
    </xf>
    <xf numFmtId="0" fontId="35" fillId="50" borderId="0" xfId="115" applyFont="1" applyFill="1" applyBorder="1" applyAlignment="1">
      <alignment wrapText="1"/>
      <protection/>
    </xf>
    <xf numFmtId="0" fontId="143" fillId="50" borderId="0" xfId="0" applyFont="1" applyFill="1" applyBorder="1" applyAlignment="1">
      <alignment/>
    </xf>
    <xf numFmtId="0" fontId="143" fillId="50" borderId="0" xfId="0" applyFont="1" applyFill="1" applyAlignment="1">
      <alignment/>
    </xf>
    <xf numFmtId="0" fontId="143" fillId="47" borderId="0" xfId="0" applyFont="1" applyFill="1" applyAlignment="1">
      <alignment/>
    </xf>
    <xf numFmtId="0" fontId="41" fillId="50" borderId="0" xfId="115" applyFont="1" applyFill="1" applyBorder="1">
      <alignment/>
      <protection/>
    </xf>
    <xf numFmtId="0" fontId="41" fillId="50" borderId="0" xfId="115" applyFont="1" applyFill="1" applyAlignment="1" applyProtection="1">
      <alignment/>
      <protection hidden="1"/>
    </xf>
    <xf numFmtId="0" fontId="144" fillId="46" borderId="0" xfId="0" applyFont="1" applyFill="1" applyAlignment="1">
      <alignment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44" fillId="0" borderId="0" xfId="0" applyFont="1" applyAlignment="1">
      <alignment/>
    </xf>
    <xf numFmtId="0" fontId="144" fillId="46" borderId="0" xfId="0" applyFont="1" applyFill="1" applyBorder="1" applyAlignment="1">
      <alignment/>
    </xf>
    <xf numFmtId="1" fontId="42" fillId="46" borderId="0" xfId="115" applyNumberFormat="1" applyFont="1" applyFill="1" applyBorder="1" applyAlignment="1" applyProtection="1">
      <alignment horizontal="left"/>
      <protection hidden="1"/>
    </xf>
    <xf numFmtId="0" fontId="41" fillId="50" borderId="0" xfId="115" applyFont="1" applyFill="1" applyProtection="1">
      <alignment/>
      <protection hidden="1"/>
    </xf>
    <xf numFmtId="0" fontId="41" fillId="50" borderId="0" xfId="115" applyFont="1" applyFill="1">
      <alignment/>
      <protection/>
    </xf>
    <xf numFmtId="0" fontId="41" fillId="46" borderId="0" xfId="115" applyFont="1" applyFill="1" applyBorder="1" applyAlignment="1" applyProtection="1">
      <alignment/>
      <protection hidden="1"/>
    </xf>
    <xf numFmtId="0" fontId="144" fillId="50" borderId="0" xfId="0" applyFont="1" applyFill="1" applyBorder="1" applyAlignment="1">
      <alignment/>
    </xf>
    <xf numFmtId="0" fontId="144" fillId="46" borderId="0" xfId="0" applyFont="1" applyFill="1" applyBorder="1" applyAlignment="1">
      <alignment/>
    </xf>
    <xf numFmtId="0" fontId="145" fillId="50" borderId="25" xfId="115" applyFont="1" applyFill="1" applyBorder="1" applyAlignment="1" applyProtection="1">
      <alignment horizontal="center"/>
      <protection hidden="1"/>
    </xf>
    <xf numFmtId="0" fontId="145" fillId="50" borderId="25" xfId="115" applyFont="1" applyFill="1" applyBorder="1" applyAlignment="1">
      <alignment horizontal="center"/>
      <protection/>
    </xf>
    <xf numFmtId="208" fontId="23" fillId="50" borderId="0" xfId="115" applyNumberFormat="1" applyFont="1" applyFill="1" applyBorder="1" applyAlignment="1" applyProtection="1">
      <alignment horizontal="center"/>
      <protection hidden="1"/>
    </xf>
    <xf numFmtId="0" fontId="41" fillId="50" borderId="0" xfId="115" applyFont="1" applyFill="1" applyBorder="1" applyAlignment="1" applyProtection="1">
      <alignment/>
      <protection hidden="1"/>
    </xf>
    <xf numFmtId="0" fontId="41" fillId="50" borderId="0" xfId="115" applyFont="1" applyFill="1" applyBorder="1" applyProtection="1">
      <alignment/>
      <protection hidden="1"/>
    </xf>
    <xf numFmtId="1" fontId="43" fillId="46" borderId="0" xfId="115" applyNumberFormat="1" applyFont="1" applyFill="1" applyBorder="1" applyAlignment="1" applyProtection="1">
      <alignment horizontal="center"/>
      <protection hidden="1"/>
    </xf>
    <xf numFmtId="0" fontId="41" fillId="50" borderId="0" xfId="115" applyFont="1" applyFill="1" applyBorder="1" applyAlignment="1" applyProtection="1">
      <alignment horizontal="center"/>
      <protection hidden="1"/>
    </xf>
    <xf numFmtId="0" fontId="39" fillId="46" borderId="0" xfId="115" applyFont="1" applyFill="1" applyBorder="1" applyAlignment="1" applyProtection="1">
      <alignment horizontal="center"/>
      <protection hidden="1"/>
    </xf>
    <xf numFmtId="1" fontId="39" fillId="46" borderId="0" xfId="115" applyNumberFormat="1" applyFont="1" applyFill="1" applyBorder="1" applyAlignment="1" applyProtection="1">
      <alignment wrapText="1"/>
      <protection hidden="1"/>
    </xf>
    <xf numFmtId="0" fontId="41" fillId="50" borderId="0" xfId="115" applyFont="1" applyFill="1" applyBorder="1" applyAlignment="1" applyProtection="1">
      <alignment horizontal="center" vertical="center"/>
      <protection hidden="1"/>
    </xf>
    <xf numFmtId="0" fontId="41" fillId="50" borderId="0" xfId="115" applyFont="1" applyFill="1" applyAlignment="1" applyProtection="1">
      <alignment horizontal="center" vertical="center"/>
      <protection hidden="1"/>
    </xf>
    <xf numFmtId="0" fontId="145" fillId="46" borderId="26" xfId="115" applyFont="1" applyFill="1" applyBorder="1" applyAlignment="1" applyProtection="1">
      <alignment horizontal="center"/>
      <protection hidden="1"/>
    </xf>
    <xf numFmtId="0" fontId="44" fillId="50" borderId="27" xfId="0" applyFont="1" applyFill="1" applyBorder="1" applyAlignment="1">
      <alignment horizontal="center"/>
    </xf>
    <xf numFmtId="0" fontId="145" fillId="46" borderId="25" xfId="115" applyFont="1" applyFill="1" applyBorder="1" applyAlignment="1" applyProtection="1">
      <alignment horizontal="center"/>
      <protection hidden="1"/>
    </xf>
    <xf numFmtId="0" fontId="146" fillId="0" borderId="0" xfId="0" applyFont="1" applyAlignment="1">
      <alignment/>
    </xf>
    <xf numFmtId="0" fontId="146" fillId="46" borderId="0" xfId="0" applyFont="1" applyFill="1" applyAlignment="1">
      <alignment/>
    </xf>
    <xf numFmtId="0" fontId="41" fillId="50" borderId="0" xfId="0" applyFont="1" applyFill="1" applyAlignment="1">
      <alignment/>
    </xf>
    <xf numFmtId="0" fontId="144" fillId="46" borderId="0" xfId="0" applyFont="1" applyFill="1" applyAlignment="1">
      <alignment/>
    </xf>
    <xf numFmtId="0" fontId="41" fillId="50" borderId="0" xfId="115" applyFont="1" applyFill="1" applyBorder="1" applyAlignment="1">
      <alignment/>
      <protection/>
    </xf>
    <xf numFmtId="0" fontId="144" fillId="0" borderId="0" xfId="0" applyFont="1" applyBorder="1" applyAlignment="1">
      <alignment/>
    </xf>
    <xf numFmtId="0" fontId="26" fillId="52" borderId="0" xfId="115" applyFont="1" applyFill="1">
      <alignment/>
      <protection/>
    </xf>
    <xf numFmtId="0" fontId="23" fillId="52" borderId="0" xfId="115" applyFont="1" applyFill="1">
      <alignment/>
      <protection/>
    </xf>
    <xf numFmtId="0" fontId="147" fillId="0" borderId="21" xfId="0" applyFont="1" applyBorder="1" applyAlignment="1">
      <alignment/>
    </xf>
    <xf numFmtId="0" fontId="25" fillId="50" borderId="0" xfId="115" applyFont="1" applyFill="1" applyBorder="1" applyAlignment="1" applyProtection="1">
      <alignment horizontal="left"/>
      <protection hidden="1"/>
    </xf>
    <xf numFmtId="0" fontId="144" fillId="0" borderId="0" xfId="0" applyFont="1" applyBorder="1" applyAlignment="1">
      <alignment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39" fillId="50" borderId="0" xfId="115" applyFont="1" applyFill="1" applyBorder="1" applyAlignment="1">
      <alignment horizontal="left"/>
      <protection/>
    </xf>
    <xf numFmtId="0" fontId="46" fillId="46" borderId="0" xfId="0" applyFont="1" applyFill="1" applyAlignment="1">
      <alignment/>
    </xf>
    <xf numFmtId="0" fontId="43" fillId="46" borderId="0" xfId="115" applyFont="1" applyFill="1" applyBorder="1" applyAlignment="1" applyProtection="1">
      <alignment horizontal="center"/>
      <protection hidden="1"/>
    </xf>
    <xf numFmtId="0" fontId="46" fillId="50" borderId="0" xfId="0" applyFont="1" applyFill="1" applyBorder="1" applyAlignment="1">
      <alignment/>
    </xf>
    <xf numFmtId="0" fontId="46" fillId="50" borderId="0" xfId="0" applyFont="1" applyFill="1" applyAlignment="1">
      <alignment/>
    </xf>
    <xf numFmtId="0" fontId="46" fillId="0" borderId="0" xfId="0" applyFont="1" applyAlignment="1">
      <alignment/>
    </xf>
    <xf numFmtId="0" fontId="39" fillId="50" borderId="0" xfId="115" applyFont="1" applyFill="1" applyBorder="1" applyAlignment="1">
      <alignment horizontal="left"/>
      <protection/>
    </xf>
    <xf numFmtId="1" fontId="41" fillId="50" borderId="0" xfId="115" applyNumberFormat="1" applyFont="1" applyFill="1" applyBorder="1" applyAlignment="1" applyProtection="1">
      <alignment/>
      <protection hidden="1"/>
    </xf>
    <xf numFmtId="0" fontId="144" fillId="50" borderId="0" xfId="0" applyFont="1" applyFill="1" applyAlignment="1">
      <alignment/>
    </xf>
    <xf numFmtId="0" fontId="40" fillId="46" borderId="0" xfId="0" applyFont="1" applyFill="1" applyBorder="1" applyAlignment="1">
      <alignment horizontal="left"/>
    </xf>
    <xf numFmtId="0" fontId="47" fillId="46" borderId="0" xfId="115" applyFont="1" applyFill="1" applyBorder="1" applyAlignment="1" applyProtection="1">
      <alignment horizontal="left"/>
      <protection hidden="1"/>
    </xf>
    <xf numFmtId="0" fontId="148" fillId="46" borderId="0" xfId="115" applyFont="1" applyFill="1" applyBorder="1" applyAlignment="1" applyProtection="1">
      <alignment horizontal="left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149" fillId="46" borderId="0" xfId="115" applyFont="1" applyFill="1" applyBorder="1" applyAlignment="1" applyProtection="1">
      <alignment horizontal="left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1" fontId="150" fillId="50" borderId="0" xfId="115" applyNumberFormat="1" applyFont="1" applyFill="1" applyBorder="1" applyAlignment="1" applyProtection="1">
      <alignment/>
      <protection hidden="1"/>
    </xf>
    <xf numFmtId="0" fontId="151" fillId="46" borderId="0" xfId="0" applyFont="1" applyFill="1" applyBorder="1" applyAlignment="1">
      <alignment/>
    </xf>
    <xf numFmtId="0" fontId="151" fillId="0" borderId="0" xfId="0" applyFont="1" applyBorder="1" applyAlignment="1">
      <alignment/>
    </xf>
    <xf numFmtId="0" fontId="40" fillId="46" borderId="0" xfId="115" applyFont="1" applyFill="1" applyBorder="1" applyAlignment="1" applyProtection="1">
      <alignment/>
      <protection hidden="1"/>
    </xf>
    <xf numFmtId="0" fontId="40" fillId="50" borderId="0" xfId="115" applyFont="1" applyFill="1" applyBorder="1" applyAlignment="1" applyProtection="1">
      <alignment/>
      <protection hidden="1"/>
    </xf>
    <xf numFmtId="0" fontId="144" fillId="50" borderId="0" xfId="0" applyFont="1" applyFill="1" applyBorder="1" applyAlignment="1">
      <alignment/>
    </xf>
    <xf numFmtId="0" fontId="150" fillId="50" borderId="0" xfId="115" applyFont="1" applyFill="1" applyBorder="1" applyProtection="1">
      <alignment/>
      <protection hidden="1"/>
    </xf>
    <xf numFmtId="208" fontId="150" fillId="50" borderId="0" xfId="115" applyNumberFormat="1" applyFont="1" applyFill="1" applyBorder="1" applyAlignment="1" applyProtection="1">
      <alignment horizontal="center"/>
      <protection hidden="1"/>
    </xf>
    <xf numFmtId="1" fontId="150" fillId="50" borderId="0" xfId="115" applyNumberFormat="1" applyFont="1" applyFill="1" applyBorder="1" applyAlignment="1" applyProtection="1">
      <alignment horizontal="center"/>
      <protection hidden="1"/>
    </xf>
    <xf numFmtId="0" fontId="151" fillId="50" borderId="0" xfId="0" applyFont="1" applyFill="1" applyAlignment="1">
      <alignment/>
    </xf>
    <xf numFmtId="0" fontId="42" fillId="50" borderId="0" xfId="115" applyFont="1" applyFill="1" applyBorder="1" applyProtection="1">
      <alignment/>
      <protection hidden="1"/>
    </xf>
    <xf numFmtId="0" fontId="42" fillId="50" borderId="0" xfId="115" applyFont="1" applyFill="1" applyProtection="1">
      <alignment/>
      <protection hidden="1"/>
    </xf>
    <xf numFmtId="0" fontId="42" fillId="50" borderId="0" xfId="115" applyFont="1" applyFill="1">
      <alignment/>
      <protection/>
    </xf>
    <xf numFmtId="0" fontId="149" fillId="46" borderId="0" xfId="115" applyFont="1" applyFill="1" applyBorder="1" applyAlignment="1">
      <alignment horizontal="left"/>
      <protection/>
    </xf>
    <xf numFmtId="0" fontId="152" fillId="46" borderId="0" xfId="115" applyFont="1" applyFill="1" applyBorder="1" applyAlignment="1" applyProtection="1">
      <alignment horizontal="center"/>
      <protection hidden="1"/>
    </xf>
    <xf numFmtId="0" fontId="150" fillId="46" borderId="0" xfId="115" applyFont="1" applyFill="1" applyBorder="1" applyAlignment="1" applyProtection="1">
      <alignment/>
      <protection hidden="1"/>
    </xf>
    <xf numFmtId="0" fontId="150" fillId="46" borderId="0" xfId="115" applyFont="1" applyFill="1" applyBorder="1" applyProtection="1">
      <alignment/>
      <protection hidden="1"/>
    </xf>
    <xf numFmtId="208" fontId="153" fillId="50" borderId="0" xfId="115" applyNumberFormat="1" applyFont="1" applyFill="1" applyBorder="1" applyAlignment="1" applyProtection="1">
      <alignment horizontal="center"/>
      <protection hidden="1"/>
    </xf>
    <xf numFmtId="0" fontId="154" fillId="46" borderId="0" xfId="0" applyFont="1" applyFill="1" applyBorder="1" applyAlignment="1">
      <alignment/>
    </xf>
    <xf numFmtId="0" fontId="154" fillId="0" borderId="0" xfId="0" applyFont="1" applyBorder="1" applyAlignment="1">
      <alignment/>
    </xf>
    <xf numFmtId="0" fontId="39" fillId="46" borderId="0" xfId="115" applyFont="1" applyFill="1" applyBorder="1" applyAlignment="1" applyProtection="1">
      <alignment horizontal="left"/>
      <protection hidden="1"/>
    </xf>
    <xf numFmtId="0" fontId="42" fillId="50" borderId="0" xfId="115" applyFont="1" applyFill="1" applyBorder="1" applyAlignment="1" applyProtection="1">
      <alignment horizontal="center"/>
      <protection hidden="1"/>
    </xf>
    <xf numFmtId="0" fontId="39" fillId="46" borderId="20" xfId="115" applyFont="1" applyFill="1" applyBorder="1" applyAlignment="1" applyProtection="1">
      <alignment horizontal="right"/>
      <protection hidden="1"/>
    </xf>
    <xf numFmtId="0" fontId="151" fillId="50" borderId="0" xfId="0" applyFont="1" applyFill="1" applyBorder="1" applyAlignment="1">
      <alignment/>
    </xf>
    <xf numFmtId="0" fontId="151" fillId="53" borderId="0" xfId="0" applyFont="1" applyFill="1" applyBorder="1" applyAlignment="1">
      <alignment/>
    </xf>
    <xf numFmtId="0" fontId="51" fillId="50" borderId="27" xfId="115" applyFont="1" applyFill="1" applyBorder="1" applyProtection="1">
      <alignment/>
      <protection hidden="1"/>
    </xf>
    <xf numFmtId="0" fontId="53" fillId="50" borderId="28" xfId="115" applyFont="1" applyFill="1" applyBorder="1">
      <alignment/>
      <protection/>
    </xf>
    <xf numFmtId="0" fontId="51" fillId="50" borderId="27" xfId="115" applyFont="1" applyFill="1" applyBorder="1" applyAlignment="1" applyProtection="1">
      <alignment horizontal="center"/>
      <protection hidden="1"/>
    </xf>
    <xf numFmtId="0" fontId="53" fillId="50" borderId="29" xfId="115" applyFont="1" applyFill="1" applyBorder="1">
      <alignment/>
      <protection/>
    </xf>
    <xf numFmtId="0" fontId="41" fillId="50" borderId="29" xfId="115" applyFont="1" applyFill="1" applyBorder="1">
      <alignment/>
      <protection/>
    </xf>
    <xf numFmtId="0" fontId="53" fillId="50" borderId="30" xfId="115" applyFont="1" applyFill="1" applyBorder="1">
      <alignment/>
      <protection/>
    </xf>
    <xf numFmtId="0" fontId="53" fillId="50" borderId="31" xfId="115" applyFont="1" applyFill="1" applyBorder="1" applyAlignment="1">
      <alignment horizontal="left"/>
      <protection/>
    </xf>
    <xf numFmtId="0" fontId="144" fillId="50" borderId="0" xfId="0" applyFont="1" applyFill="1" applyBorder="1" applyAlignment="1">
      <alignment horizontal="center"/>
    </xf>
    <xf numFmtId="0" fontId="144" fillId="0" borderId="0" xfId="0" applyFont="1" applyBorder="1" applyAlignment="1">
      <alignment horizontal="center"/>
    </xf>
    <xf numFmtId="0" fontId="155" fillId="50" borderId="27" xfId="115" applyFont="1" applyFill="1" applyBorder="1" applyProtection="1">
      <alignment/>
      <protection hidden="1"/>
    </xf>
    <xf numFmtId="0" fontId="53" fillId="50" borderId="25" xfId="115" applyFont="1" applyFill="1" applyBorder="1" applyAlignment="1">
      <alignment horizontal="left"/>
      <protection/>
    </xf>
    <xf numFmtId="0" fontId="53" fillId="50" borderId="25" xfId="115" applyFont="1" applyFill="1" applyBorder="1">
      <alignment/>
      <protection/>
    </xf>
    <xf numFmtId="0" fontId="44" fillId="50" borderId="27" xfId="0" applyFont="1" applyFill="1" applyBorder="1" applyAlignment="1">
      <alignment horizontal="left"/>
    </xf>
    <xf numFmtId="0" fontId="53" fillId="50" borderId="32" xfId="115" applyFont="1" applyFill="1" applyBorder="1">
      <alignment/>
      <protection/>
    </xf>
    <xf numFmtId="0" fontId="51" fillId="50" borderId="26" xfId="115" applyFont="1" applyFill="1" applyBorder="1" applyProtection="1">
      <alignment/>
      <protection hidden="1"/>
    </xf>
    <xf numFmtId="0" fontId="47" fillId="50" borderId="33" xfId="115" applyFont="1" applyFill="1" applyBorder="1" applyProtection="1">
      <alignment/>
      <protection hidden="1"/>
    </xf>
    <xf numFmtId="0" fontId="53" fillId="50" borderId="34" xfId="115" applyFont="1" applyFill="1" applyBorder="1">
      <alignment/>
      <protection/>
    </xf>
    <xf numFmtId="0" fontId="144" fillId="0" borderId="20" xfId="0" applyFont="1" applyBorder="1" applyAlignment="1">
      <alignment/>
    </xf>
    <xf numFmtId="0" fontId="40" fillId="46" borderId="0" xfId="115" applyFont="1" applyFill="1" applyBorder="1" applyAlignment="1">
      <alignment horizontal="left"/>
      <protection/>
    </xf>
    <xf numFmtId="0" fontId="47" fillId="46" borderId="0" xfId="115" applyFont="1" applyFill="1" applyBorder="1" applyAlignment="1" applyProtection="1">
      <alignment horizontal="center"/>
      <protection hidden="1"/>
    </xf>
    <xf numFmtId="0" fontId="42" fillId="46" borderId="27" xfId="115" applyFont="1" applyFill="1" applyBorder="1" applyAlignment="1" applyProtection="1">
      <alignment horizontal="left" wrapText="1"/>
      <protection hidden="1"/>
    </xf>
    <xf numFmtId="0" fontId="41" fillId="46" borderId="31" xfId="115" applyFont="1" applyFill="1" applyBorder="1" applyProtection="1">
      <alignment/>
      <protection hidden="1"/>
    </xf>
    <xf numFmtId="0" fontId="41" fillId="46" borderId="25" xfId="115" applyFont="1" applyFill="1" applyBorder="1" applyProtection="1">
      <alignment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1" fillId="46" borderId="29" xfId="115" applyFont="1" applyFill="1" applyBorder="1" applyProtection="1">
      <alignment/>
      <protection hidden="1"/>
    </xf>
    <xf numFmtId="0" fontId="41" fillId="46" borderId="34" xfId="115" applyFont="1" applyFill="1" applyBorder="1" applyProtection="1">
      <alignment/>
      <protection hidden="1"/>
    </xf>
    <xf numFmtId="0" fontId="42" fillId="46" borderId="28" xfId="115" applyFont="1" applyFill="1" applyBorder="1" applyAlignment="1" applyProtection="1">
      <alignment wrapText="1"/>
      <protection hidden="1"/>
    </xf>
    <xf numFmtId="0" fontId="41" fillId="46" borderId="31" xfId="115" applyFont="1" applyFill="1" applyBorder="1" applyAlignment="1" applyProtection="1">
      <alignment wrapText="1"/>
      <protection hidden="1"/>
    </xf>
    <xf numFmtId="0" fontId="42" fillId="46" borderId="29" xfId="115" applyFont="1" applyFill="1" applyBorder="1" applyAlignment="1" applyProtection="1">
      <alignment horizontal="center" wrapText="1"/>
      <protection hidden="1"/>
    </xf>
    <xf numFmtId="0" fontId="41" fillId="46" borderId="25" xfId="115" applyFont="1" applyFill="1" applyBorder="1" applyAlignment="1" applyProtection="1">
      <alignment wrapText="1"/>
      <protection hidden="1"/>
    </xf>
    <xf numFmtId="0" fontId="155" fillId="46" borderId="21" xfId="0" applyFont="1" applyFill="1" applyBorder="1" applyAlignment="1">
      <alignment horizontal="center"/>
    </xf>
    <xf numFmtId="0" fontId="41" fillId="46" borderId="25" xfId="115" applyFont="1" applyFill="1" applyBorder="1" applyAlignment="1" applyProtection="1">
      <alignment horizontal="left" wrapText="1"/>
      <protection hidden="1"/>
    </xf>
    <xf numFmtId="0" fontId="53" fillId="46" borderId="25" xfId="115" applyFont="1" applyFill="1" applyBorder="1" applyAlignment="1" applyProtection="1">
      <alignment wrapText="1"/>
      <protection hidden="1"/>
    </xf>
    <xf numFmtId="0" fontId="145" fillId="46" borderId="27" xfId="0" applyFont="1" applyFill="1" applyBorder="1" applyAlignment="1">
      <alignment horizontal="center"/>
    </xf>
    <xf numFmtId="0" fontId="44" fillId="50" borderId="35" xfId="0" applyFont="1" applyFill="1" applyBorder="1" applyAlignment="1">
      <alignment horizontal="left"/>
    </xf>
    <xf numFmtId="0" fontId="53" fillId="46" borderId="36" xfId="115" applyFont="1" applyFill="1" applyBorder="1" applyAlignment="1" applyProtection="1">
      <alignment wrapText="1"/>
      <protection hidden="1"/>
    </xf>
    <xf numFmtId="0" fontId="42" fillId="46" borderId="28" xfId="115" applyFont="1" applyFill="1" applyBorder="1" applyAlignment="1" applyProtection="1">
      <alignment horizontal="left"/>
      <protection hidden="1"/>
    </xf>
    <xf numFmtId="0" fontId="53" fillId="46" borderId="0" xfId="115" applyFont="1" applyFill="1" applyBorder="1" applyProtection="1">
      <alignment/>
      <protection hidden="1"/>
    </xf>
    <xf numFmtId="0" fontId="144" fillId="0" borderId="0" xfId="0" applyFont="1" applyFill="1" applyBorder="1" applyAlignment="1">
      <alignment/>
    </xf>
    <xf numFmtId="0" fontId="145" fillId="46" borderId="21" xfId="0" applyFont="1" applyFill="1" applyBorder="1" applyAlignment="1">
      <alignment horizontal="center"/>
    </xf>
    <xf numFmtId="0" fontId="53" fillId="46" borderId="21" xfId="115" applyFont="1" applyFill="1" applyBorder="1" applyProtection="1">
      <alignment/>
      <protection hidden="1"/>
    </xf>
    <xf numFmtId="0" fontId="43" fillId="46" borderId="35" xfId="0" applyFont="1" applyFill="1" applyBorder="1" applyAlignment="1">
      <alignment horizontal="left"/>
    </xf>
    <xf numFmtId="0" fontId="53" fillId="46" borderId="37" xfId="115" applyFont="1" applyFill="1" applyBorder="1" applyProtection="1">
      <alignment/>
      <protection hidden="1"/>
    </xf>
    <xf numFmtId="0" fontId="144" fillId="0" borderId="20" xfId="0" applyFont="1" applyFill="1" applyBorder="1" applyAlignment="1">
      <alignment/>
    </xf>
    <xf numFmtId="0" fontId="42" fillId="46" borderId="38" xfId="115" applyFont="1" applyFill="1" applyBorder="1" applyProtection="1">
      <alignment/>
      <protection hidden="1"/>
    </xf>
    <xf numFmtId="0" fontId="41" fillId="46" borderId="28" xfId="115" applyFont="1" applyFill="1" applyBorder="1" applyProtection="1">
      <alignment/>
      <protection hidden="1"/>
    </xf>
    <xf numFmtId="0" fontId="42" fillId="46" borderId="27" xfId="115" applyFont="1" applyFill="1" applyBorder="1" applyAlignment="1" applyProtection="1">
      <alignment horizontal="center"/>
      <protection hidden="1"/>
    </xf>
    <xf numFmtId="0" fontId="53" fillId="46" borderId="29" xfId="115" applyFont="1" applyFill="1" applyBorder="1" applyProtection="1">
      <alignment/>
      <protection hidden="1"/>
    </xf>
    <xf numFmtId="0" fontId="145" fillId="46" borderId="27" xfId="115" applyFont="1" applyFill="1" applyBorder="1" applyAlignment="1" applyProtection="1">
      <alignment horizontal="center"/>
      <protection hidden="1"/>
    </xf>
    <xf numFmtId="0" fontId="43" fillId="46" borderId="37" xfId="115" applyFont="1" applyFill="1" applyBorder="1" applyAlignment="1" applyProtection="1">
      <alignment wrapText="1"/>
      <protection hidden="1"/>
    </xf>
    <xf numFmtId="0" fontId="51" fillId="46" borderId="28" xfId="115" applyFont="1" applyFill="1" applyBorder="1" applyAlignment="1" applyProtection="1">
      <alignment horizontal="left" vertical="center"/>
      <protection hidden="1"/>
    </xf>
    <xf numFmtId="0" fontId="53" fillId="46" borderId="28" xfId="115" applyFont="1" applyFill="1" applyBorder="1" applyProtection="1">
      <alignment/>
      <protection hidden="1"/>
    </xf>
    <xf numFmtId="0" fontId="51" fillId="46" borderId="29" xfId="115" applyFont="1" applyFill="1" applyBorder="1" applyAlignment="1" applyProtection="1">
      <alignment horizontal="center" vertical="center"/>
      <protection hidden="1"/>
    </xf>
    <xf numFmtId="0" fontId="44" fillId="46" borderId="21" xfId="0" applyFont="1" applyFill="1" applyBorder="1" applyAlignment="1">
      <alignment horizontal="center"/>
    </xf>
    <xf numFmtId="0" fontId="156" fillId="48" borderId="0" xfId="115" applyFont="1" applyFill="1" applyBorder="1" applyAlignment="1" applyProtection="1">
      <alignment horizontal="center" vertical="center"/>
      <protection hidden="1"/>
    </xf>
    <xf numFmtId="0" fontId="156" fillId="48" borderId="0" xfId="115" applyFont="1" applyFill="1" applyBorder="1" applyAlignment="1" applyProtection="1">
      <alignment horizontal="center"/>
      <protection hidden="1"/>
    </xf>
    <xf numFmtId="0" fontId="42" fillId="48" borderId="0" xfId="115" applyNumberFormat="1" applyFont="1" applyFill="1" applyBorder="1" applyAlignment="1" applyProtection="1">
      <alignment vertical="center"/>
      <protection hidden="1"/>
    </xf>
    <xf numFmtId="0" fontId="156" fillId="48" borderId="0" xfId="115" applyFont="1" applyFill="1" applyBorder="1" applyAlignment="1" applyProtection="1">
      <alignment vertical="center"/>
      <protection hidden="1"/>
    </xf>
    <xf numFmtId="0" fontId="144" fillId="54" borderId="0" xfId="0" applyFont="1" applyFill="1" applyBorder="1" applyAlignment="1">
      <alignment/>
    </xf>
    <xf numFmtId="0" fontId="51" fillId="46" borderId="0" xfId="115" applyFont="1" applyFill="1" applyBorder="1" applyAlignment="1" applyProtection="1">
      <alignment horizontal="left" vertical="center"/>
      <protection hidden="1"/>
    </xf>
    <xf numFmtId="0" fontId="51" fillId="46" borderId="0" xfId="115" applyFont="1" applyFill="1" applyBorder="1" applyAlignment="1" applyProtection="1">
      <alignment horizontal="center" vertical="center"/>
      <protection hidden="1"/>
    </xf>
    <xf numFmtId="0" fontId="45" fillId="46" borderId="0" xfId="0" applyFont="1" applyFill="1" applyBorder="1" applyAlignment="1">
      <alignment horizontal="center"/>
    </xf>
    <xf numFmtId="0" fontId="155" fillId="46" borderId="0" xfId="0" applyFont="1" applyFill="1" applyBorder="1" applyAlignment="1">
      <alignment horizontal="center"/>
    </xf>
    <xf numFmtId="0" fontId="145" fillId="46" borderId="0" xfId="115" applyFont="1" applyFill="1" applyBorder="1" applyAlignment="1" applyProtection="1">
      <alignment horizontal="center" wrapText="1"/>
      <protection hidden="1"/>
    </xf>
    <xf numFmtId="0" fontId="44" fillId="46" borderId="0" xfId="0" applyFont="1" applyFill="1" applyBorder="1" applyAlignment="1">
      <alignment horizontal="center"/>
    </xf>
    <xf numFmtId="0" fontId="43" fillId="46" borderId="0" xfId="115" applyFont="1" applyFill="1" applyBorder="1" applyAlignment="1" applyProtection="1">
      <alignment wrapText="1"/>
      <protection hidden="1"/>
    </xf>
    <xf numFmtId="0" fontId="54" fillId="46" borderId="0" xfId="115" applyFont="1" applyFill="1" applyBorder="1" applyAlignment="1" applyProtection="1">
      <alignment horizontal="left"/>
      <protection hidden="1"/>
    </xf>
    <xf numFmtId="0" fontId="42" fillId="46" borderId="38" xfId="115" applyFont="1" applyFill="1" applyBorder="1" applyAlignment="1" applyProtection="1">
      <alignment horizontal="left" wrapText="1"/>
      <protection hidden="1"/>
    </xf>
    <xf numFmtId="0" fontId="157" fillId="0" borderId="0" xfId="0" applyFont="1" applyAlignment="1">
      <alignment horizontal="center"/>
    </xf>
    <xf numFmtId="0" fontId="53" fillId="46" borderId="30" xfId="115" applyFont="1" applyFill="1" applyBorder="1" applyProtection="1">
      <alignment/>
      <protection hidden="1"/>
    </xf>
    <xf numFmtId="0" fontId="41" fillId="50" borderId="25" xfId="115" applyFont="1" applyFill="1" applyBorder="1" applyProtection="1">
      <alignment/>
      <protection hidden="1"/>
    </xf>
    <xf numFmtId="0" fontId="144" fillId="50" borderId="39" xfId="0" applyFont="1" applyFill="1" applyBorder="1" applyAlignment="1">
      <alignment/>
    </xf>
    <xf numFmtId="0" fontId="144" fillId="0" borderId="39" xfId="0" applyFont="1" applyBorder="1" applyAlignment="1">
      <alignment/>
    </xf>
    <xf numFmtId="0" fontId="43" fillId="46" borderId="0" xfId="115" applyFont="1" applyFill="1" applyBorder="1" applyAlignment="1" applyProtection="1">
      <alignment horizontal="left" wrapText="1"/>
      <protection hidden="1"/>
    </xf>
    <xf numFmtId="0" fontId="42" fillId="50" borderId="31" xfId="115" applyFont="1" applyFill="1" applyBorder="1" applyAlignment="1" applyProtection="1">
      <alignment horizontal="left"/>
      <protection hidden="1"/>
    </xf>
    <xf numFmtId="0" fontId="41" fillId="50" borderId="28" xfId="115" applyFont="1" applyFill="1" applyBorder="1" applyProtection="1">
      <alignment/>
      <protection hidden="1"/>
    </xf>
    <xf numFmtId="0" fontId="42" fillId="50" borderId="25" xfId="115" applyFont="1" applyFill="1" applyBorder="1" applyAlignment="1" applyProtection="1">
      <alignment horizontal="center"/>
      <protection hidden="1"/>
    </xf>
    <xf numFmtId="0" fontId="41" fillId="50" borderId="29" xfId="115" applyFont="1" applyFill="1" applyBorder="1" applyProtection="1">
      <alignment/>
      <protection hidden="1"/>
    </xf>
    <xf numFmtId="0" fontId="41" fillId="50" borderId="36" xfId="115" applyFont="1" applyFill="1" applyBorder="1" applyProtection="1">
      <alignment/>
      <protection hidden="1"/>
    </xf>
    <xf numFmtId="0" fontId="144" fillId="50" borderId="20" xfId="0" applyFont="1" applyFill="1" applyBorder="1" applyAlignment="1">
      <alignment/>
    </xf>
    <xf numFmtId="0" fontId="40" fillId="46" borderId="0" xfId="115" applyFont="1" applyFill="1" applyBorder="1" applyAlignment="1" applyProtection="1">
      <alignment horizontal="center"/>
      <protection hidden="1"/>
    </xf>
    <xf numFmtId="0" fontId="42" fillId="46" borderId="31" xfId="115" applyFont="1" applyFill="1" applyBorder="1" applyProtection="1">
      <alignment/>
      <protection hidden="1"/>
    </xf>
    <xf numFmtId="0" fontId="155" fillId="46" borderId="27" xfId="0" applyFont="1" applyFill="1" applyBorder="1" applyAlignment="1">
      <alignment horizontal="center"/>
    </xf>
    <xf numFmtId="0" fontId="155" fillId="46" borderId="0" xfId="115" applyFont="1" applyFill="1" applyBorder="1" applyAlignment="1">
      <alignment horizontal="center"/>
      <protection/>
    </xf>
    <xf numFmtId="0" fontId="41" fillId="46" borderId="36" xfId="115" applyFont="1" applyFill="1" applyBorder="1" applyProtection="1">
      <alignment/>
      <protection hidden="1"/>
    </xf>
    <xf numFmtId="0" fontId="42" fillId="46" borderId="40" xfId="115" applyFont="1" applyFill="1" applyBorder="1" applyProtection="1">
      <alignment/>
      <protection hidden="1"/>
    </xf>
    <xf numFmtId="0" fontId="42" fillId="46" borderId="21" xfId="115" applyFont="1" applyFill="1" applyBorder="1" applyAlignment="1" applyProtection="1">
      <alignment horizontal="center"/>
      <protection hidden="1"/>
    </xf>
    <xf numFmtId="0" fontId="158" fillId="50" borderId="20" xfId="115" applyFont="1" applyFill="1" applyBorder="1" applyProtection="1">
      <alignment/>
      <protection hidden="1"/>
    </xf>
    <xf numFmtId="0" fontId="158" fillId="50" borderId="20" xfId="115" applyFont="1" applyFill="1" applyBorder="1" applyProtection="1">
      <alignment/>
      <protection hidden="1"/>
    </xf>
    <xf numFmtId="1" fontId="158" fillId="50" borderId="20" xfId="115" applyNumberFormat="1" applyFont="1" applyFill="1" applyBorder="1" applyAlignment="1" applyProtection="1">
      <alignment horizontal="center"/>
      <protection hidden="1"/>
    </xf>
    <xf numFmtId="0" fontId="158" fillId="50" borderId="0" xfId="115" applyFont="1" applyFill="1" applyBorder="1" applyAlignment="1" applyProtection="1">
      <alignment/>
      <protection hidden="1"/>
    </xf>
    <xf numFmtId="0" fontId="159" fillId="50" borderId="0" xfId="0" applyFont="1" applyFill="1" applyAlignment="1">
      <alignment/>
    </xf>
    <xf numFmtId="0" fontId="51" fillId="46" borderId="31" xfId="115" applyFont="1" applyFill="1" applyBorder="1" applyProtection="1">
      <alignment/>
      <protection hidden="1"/>
    </xf>
    <xf numFmtId="0" fontId="51" fillId="46" borderId="25" xfId="115" applyFont="1" applyFill="1" applyBorder="1" applyAlignment="1" applyProtection="1">
      <alignment horizontal="center"/>
      <protection hidden="1"/>
    </xf>
    <xf numFmtId="0" fontId="145" fillId="46" borderId="25" xfId="115" applyFont="1" applyFill="1" applyBorder="1" applyAlignment="1" applyProtection="1">
      <alignment horizontal="center"/>
      <protection hidden="1"/>
    </xf>
    <xf numFmtId="0" fontId="145" fillId="46" borderId="0" xfId="115" applyFont="1" applyFill="1" applyBorder="1" applyProtection="1">
      <alignment/>
      <protection hidden="1"/>
    </xf>
    <xf numFmtId="0" fontId="160" fillId="46" borderId="0" xfId="0" applyFont="1" applyFill="1" applyAlignment="1">
      <alignment/>
    </xf>
    <xf numFmtId="0" fontId="160" fillId="0" borderId="0" xfId="0" applyFont="1" applyAlignment="1">
      <alignment/>
    </xf>
    <xf numFmtId="0" fontId="42" fillId="46" borderId="25" xfId="115" applyFont="1" applyFill="1" applyBorder="1" applyAlignment="1" applyProtection="1">
      <alignment horizontal="center"/>
      <protection hidden="1"/>
    </xf>
    <xf numFmtId="0" fontId="45" fillId="46" borderId="27" xfId="115" applyFont="1" applyFill="1" applyBorder="1" applyAlignment="1" applyProtection="1">
      <alignment horizontal="center"/>
      <protection hidden="1"/>
    </xf>
    <xf numFmtId="0" fontId="44" fillId="46" borderId="29" xfId="0" applyFont="1" applyFill="1" applyBorder="1" applyAlignment="1">
      <alignment horizontal="center"/>
    </xf>
    <xf numFmtId="0" fontId="145" fillId="46" borderId="29" xfId="115" applyFont="1" applyFill="1" applyBorder="1" applyAlignment="1" applyProtection="1">
      <alignment horizontal="center"/>
      <protection hidden="1"/>
    </xf>
    <xf numFmtId="0" fontId="41" fillId="46" borderId="29" xfId="115" applyFont="1" applyFill="1" applyBorder="1" applyAlignment="1" applyProtection="1">
      <alignment horizontal="left"/>
      <protection hidden="1"/>
    </xf>
    <xf numFmtId="0" fontId="144" fillId="50" borderId="0" xfId="0" applyFont="1" applyFill="1" applyAlignment="1">
      <alignment horizontal="center"/>
    </xf>
    <xf numFmtId="0" fontId="144" fillId="0" borderId="0" xfId="0" applyFont="1" applyAlignment="1">
      <alignment horizontal="center"/>
    </xf>
    <xf numFmtId="0" fontId="145" fillId="46" borderId="0" xfId="115" applyFont="1" applyFill="1" applyBorder="1" applyAlignment="1" applyProtection="1">
      <alignment horizontal="center"/>
      <protection hidden="1"/>
    </xf>
    <xf numFmtId="0" fontId="41" fillId="46" borderId="30" xfId="115" applyFont="1" applyFill="1" applyBorder="1" applyProtection="1">
      <alignment/>
      <protection hidden="1"/>
    </xf>
    <xf numFmtId="0" fontId="145" fillId="50" borderId="21" xfId="0" applyFont="1" applyFill="1" applyBorder="1" applyAlignment="1">
      <alignment horizontal="center"/>
    </xf>
    <xf numFmtId="208" fontId="41" fillId="50" borderId="0" xfId="115" applyNumberFormat="1" applyFont="1" applyFill="1" applyBorder="1" applyAlignment="1" applyProtection="1">
      <alignment/>
      <protection hidden="1"/>
    </xf>
    <xf numFmtId="0" fontId="148" fillId="46" borderId="20" xfId="115" applyFont="1" applyFill="1" applyBorder="1" applyAlignment="1" applyProtection="1">
      <alignment horizontal="left"/>
      <protection hidden="1"/>
    </xf>
    <xf numFmtId="0" fontId="40" fillId="50" borderId="20" xfId="115" applyFont="1" applyFill="1" applyBorder="1" applyAlignment="1" applyProtection="1">
      <alignment horizontal="left"/>
      <protection hidden="1"/>
    </xf>
    <xf numFmtId="0" fontId="53" fillId="46" borderId="25" xfId="115" applyFont="1" applyFill="1" applyBorder="1" applyProtection="1">
      <alignment/>
      <protection hidden="1"/>
    </xf>
    <xf numFmtId="0" fontId="155" fillId="46" borderId="27" xfId="115" applyFont="1" applyFill="1" applyBorder="1" applyAlignment="1" applyProtection="1">
      <alignment horizontal="center"/>
      <protection hidden="1"/>
    </xf>
    <xf numFmtId="0" fontId="41" fillId="46" borderId="32" xfId="115" applyFont="1" applyFill="1" applyBorder="1" applyProtection="1">
      <alignment/>
      <protection hidden="1"/>
    </xf>
    <xf numFmtId="0" fontId="145" fillId="46" borderId="21" xfId="115" applyFont="1" applyFill="1" applyBorder="1" applyAlignment="1" applyProtection="1">
      <alignment horizontal="center"/>
      <protection hidden="1"/>
    </xf>
    <xf numFmtId="0" fontId="41" fillId="46" borderId="41" xfId="115" applyFont="1" applyFill="1" applyBorder="1" applyProtection="1">
      <alignment/>
      <protection hidden="1"/>
    </xf>
    <xf numFmtId="1" fontId="41" fillId="50" borderId="0" xfId="115" applyNumberFormat="1" applyFont="1" applyFill="1" applyBorder="1" applyAlignment="1" applyProtection="1">
      <alignment horizontal="center" vertical="center"/>
      <protection hidden="1"/>
    </xf>
    <xf numFmtId="0" fontId="42" fillId="50" borderId="0" xfId="115" applyFont="1" applyFill="1" applyBorder="1" applyAlignment="1" applyProtection="1">
      <alignment horizontal="center" vertical="center"/>
      <protection hidden="1"/>
    </xf>
    <xf numFmtId="0" fontId="47" fillId="46" borderId="35" xfId="115" applyFont="1" applyFill="1" applyBorder="1" applyProtection="1">
      <alignment/>
      <protection hidden="1"/>
    </xf>
    <xf numFmtId="0" fontId="144" fillId="0" borderId="0" xfId="0" applyFont="1" applyBorder="1" applyAlignment="1">
      <alignment horizontal="left"/>
    </xf>
    <xf numFmtId="0" fontId="42" fillId="50" borderId="38" xfId="115" applyFont="1" applyFill="1" applyBorder="1" applyAlignment="1" applyProtection="1">
      <alignment horizontal="left"/>
      <protection hidden="1"/>
    </xf>
    <xf numFmtId="0" fontId="41" fillId="50" borderId="31" xfId="115" applyFont="1" applyFill="1" applyBorder="1" applyProtection="1">
      <alignment/>
      <protection hidden="1"/>
    </xf>
    <xf numFmtId="0" fontId="42" fillId="50" borderId="27" xfId="115" applyFont="1" applyFill="1" applyBorder="1" applyAlignment="1" applyProtection="1">
      <alignment horizontal="center"/>
      <protection hidden="1"/>
    </xf>
    <xf numFmtId="0" fontId="51" fillId="46" borderId="29" xfId="115" applyFont="1" applyFill="1" applyBorder="1" applyProtection="1">
      <alignment/>
      <protection hidden="1"/>
    </xf>
    <xf numFmtId="0" fontId="144" fillId="50" borderId="0" xfId="0" applyNumberFormat="1" applyFont="1" applyFill="1" applyAlignment="1">
      <alignment/>
    </xf>
    <xf numFmtId="0" fontId="144" fillId="0" borderId="0" xfId="0" applyNumberFormat="1" applyFont="1" applyAlignment="1">
      <alignment/>
    </xf>
    <xf numFmtId="0" fontId="51" fillId="46" borderId="29" xfId="115" applyFont="1" applyFill="1" applyBorder="1" applyAlignment="1" applyProtection="1">
      <alignment horizontal="center"/>
      <protection hidden="1"/>
    </xf>
    <xf numFmtId="0" fontId="47" fillId="46" borderId="30" xfId="115" applyFont="1" applyFill="1" applyBorder="1" applyProtection="1">
      <alignment/>
      <protection hidden="1"/>
    </xf>
    <xf numFmtId="0" fontId="42" fillId="46" borderId="25" xfId="115" applyFont="1" applyFill="1" applyBorder="1" applyAlignment="1" applyProtection="1">
      <alignment horizontal="left"/>
      <protection hidden="1"/>
    </xf>
    <xf numFmtId="0" fontId="42" fillId="46" borderId="29" xfId="115" applyFont="1" applyFill="1" applyBorder="1" applyAlignment="1" applyProtection="1">
      <alignment horizontal="center"/>
      <protection hidden="1"/>
    </xf>
    <xf numFmtId="0" fontId="41" fillId="46" borderId="25" xfId="115" applyFont="1" applyFill="1" applyBorder="1" applyAlignment="1" applyProtection="1">
      <alignment horizontal="left"/>
      <protection hidden="1"/>
    </xf>
    <xf numFmtId="0" fontId="41" fillId="46" borderId="32" xfId="115" applyFont="1" applyFill="1" applyBorder="1" applyAlignment="1" applyProtection="1">
      <alignment horizontal="left"/>
      <protection hidden="1"/>
    </xf>
    <xf numFmtId="0" fontId="145" fillId="46" borderId="29" xfId="115" applyFont="1" applyFill="1" applyBorder="1" applyAlignment="1" applyProtection="1">
      <alignment horizontal="center"/>
      <protection hidden="1"/>
    </xf>
    <xf numFmtId="0" fontId="43" fillId="46" borderId="25" xfId="115" applyFont="1" applyFill="1" applyBorder="1" applyProtection="1">
      <alignment/>
      <protection hidden="1"/>
    </xf>
    <xf numFmtId="0" fontId="43" fillId="46" borderId="30" xfId="115" applyFont="1" applyFill="1" applyBorder="1" applyProtection="1">
      <alignment/>
      <protection hidden="1"/>
    </xf>
    <xf numFmtId="0" fontId="42" fillId="46" borderId="26" xfId="115" applyFont="1" applyFill="1" applyBorder="1">
      <alignment/>
      <protection/>
    </xf>
    <xf numFmtId="0" fontId="42" fillId="46" borderId="26" xfId="115" applyFont="1" applyFill="1" applyBorder="1" applyAlignment="1">
      <alignment horizontal="center"/>
      <protection/>
    </xf>
    <xf numFmtId="0" fontId="45" fillId="46" borderId="26" xfId="115" applyFont="1" applyFill="1" applyBorder="1" applyAlignment="1">
      <alignment horizontal="center"/>
      <protection/>
    </xf>
    <xf numFmtId="0" fontId="41" fillId="46" borderId="29" xfId="115" applyFont="1" applyFill="1" applyBorder="1" applyAlignment="1">
      <alignment horizontal="left"/>
      <protection/>
    </xf>
    <xf numFmtId="0" fontId="42" fillId="46" borderId="26" xfId="115" applyFont="1" applyFill="1" applyBorder="1" applyAlignment="1">
      <alignment horizontal="center"/>
      <protection/>
    </xf>
    <xf numFmtId="0" fontId="43" fillId="46" borderId="34" xfId="115" applyFont="1" applyFill="1" applyBorder="1" applyAlignment="1">
      <alignment horizontal="left"/>
      <protection/>
    </xf>
    <xf numFmtId="1" fontId="153" fillId="46" borderId="0" xfId="115" applyNumberFormat="1" applyFont="1" applyFill="1" applyBorder="1" applyAlignment="1" applyProtection="1">
      <alignment/>
      <protection hidden="1"/>
    </xf>
    <xf numFmtId="0" fontId="154" fillId="50" borderId="0" xfId="0" applyFont="1" applyFill="1" applyAlignment="1">
      <alignment/>
    </xf>
    <xf numFmtId="0" fontId="154" fillId="0" borderId="0" xfId="0" applyFont="1" applyAlignment="1">
      <alignment/>
    </xf>
    <xf numFmtId="1" fontId="150" fillId="46" borderId="0" xfId="115" applyNumberFormat="1" applyFont="1" applyFill="1" applyBorder="1" applyAlignment="1" applyProtection="1">
      <alignment/>
      <protection hidden="1"/>
    </xf>
    <xf numFmtId="0" fontId="151" fillId="0" borderId="0" xfId="0" applyFont="1" applyAlignment="1">
      <alignment/>
    </xf>
    <xf numFmtId="0" fontId="54" fillId="46" borderId="20" xfId="115" applyFont="1" applyFill="1" applyBorder="1" applyAlignment="1" applyProtection="1">
      <alignment horizontal="left"/>
      <protection hidden="1"/>
    </xf>
    <xf numFmtId="0" fontId="144" fillId="50" borderId="0" xfId="0" applyFont="1" applyFill="1" applyAlignment="1">
      <alignment/>
    </xf>
    <xf numFmtId="0" fontId="41" fillId="46" borderId="28" xfId="115" applyFont="1" applyFill="1" applyBorder="1">
      <alignment/>
      <protection/>
    </xf>
    <xf numFmtId="0" fontId="153" fillId="50" borderId="0" xfId="115" applyFont="1" applyFill="1" applyBorder="1" applyProtection="1">
      <alignment/>
      <protection hidden="1"/>
    </xf>
    <xf numFmtId="0" fontId="41" fillId="46" borderId="29" xfId="115" applyFont="1" applyFill="1" applyBorder="1">
      <alignment/>
      <protection/>
    </xf>
    <xf numFmtId="0" fontId="41" fillId="46" borderId="29" xfId="115" applyFont="1" applyFill="1" applyBorder="1" applyAlignment="1">
      <alignment horizontal="left"/>
      <protection/>
    </xf>
    <xf numFmtId="0" fontId="42" fillId="46" borderId="26" xfId="0" applyFont="1" applyFill="1" applyBorder="1" applyAlignment="1">
      <alignment horizontal="center"/>
    </xf>
    <xf numFmtId="0" fontId="41" fillId="46" borderId="29" xfId="115" applyFont="1" applyFill="1" applyBorder="1" applyProtection="1">
      <alignment/>
      <protection hidden="1"/>
    </xf>
    <xf numFmtId="0" fontId="42" fillId="46" borderId="27" xfId="0" applyFont="1" applyFill="1" applyBorder="1" applyAlignment="1">
      <alignment horizontal="center"/>
    </xf>
    <xf numFmtId="0" fontId="42" fillId="46" borderId="0" xfId="115" applyFont="1" applyFill="1" applyBorder="1" applyAlignment="1">
      <alignment horizontal="center"/>
      <protection/>
    </xf>
    <xf numFmtId="0" fontId="43" fillId="46" borderId="34" xfId="115" applyFont="1" applyFill="1" applyBorder="1" applyAlignment="1">
      <alignment horizontal="left"/>
      <protection/>
    </xf>
    <xf numFmtId="0" fontId="41" fillId="46" borderId="34" xfId="115" applyFont="1" applyFill="1" applyBorder="1">
      <alignment/>
      <protection/>
    </xf>
    <xf numFmtId="0" fontId="43" fillId="50" borderId="42" xfId="115" applyFont="1" applyFill="1" applyBorder="1" applyAlignment="1" applyProtection="1">
      <alignment horizontal="left"/>
      <protection hidden="1"/>
    </xf>
    <xf numFmtId="0" fontId="39" fillId="46" borderId="42" xfId="115" applyFont="1" applyFill="1" applyBorder="1" applyAlignment="1" applyProtection="1">
      <alignment horizontal="left"/>
      <protection hidden="1"/>
    </xf>
    <xf numFmtId="0" fontId="39" fillId="50" borderId="0" xfId="115" applyFont="1" applyFill="1" applyBorder="1" applyAlignment="1" applyProtection="1">
      <alignment horizontal="left"/>
      <protection hidden="1"/>
    </xf>
    <xf numFmtId="0" fontId="39" fillId="46" borderId="0" xfId="115" applyFont="1" applyFill="1" applyBorder="1" applyAlignment="1" applyProtection="1">
      <alignment/>
      <protection hidden="1"/>
    </xf>
    <xf numFmtId="0" fontId="151" fillId="46" borderId="0" xfId="0" applyFont="1" applyFill="1" applyAlignment="1">
      <alignment/>
    </xf>
    <xf numFmtId="0" fontId="161" fillId="50" borderId="0" xfId="115" applyFont="1" applyFill="1" applyBorder="1" applyAlignment="1">
      <alignment horizontal="left"/>
      <protection/>
    </xf>
    <xf numFmtId="0" fontId="162" fillId="50" borderId="0" xfId="0" applyFont="1" applyFill="1" applyAlignment="1">
      <alignment horizontal="left"/>
    </xf>
    <xf numFmtId="0" fontId="162" fillId="50" borderId="0" xfId="0" applyFont="1" applyFill="1" applyAlignment="1">
      <alignment/>
    </xf>
    <xf numFmtId="0" fontId="162" fillId="50" borderId="0" xfId="0" applyFont="1" applyFill="1" applyBorder="1" applyAlignment="1">
      <alignment/>
    </xf>
    <xf numFmtId="0" fontId="162" fillId="50" borderId="0" xfId="0" applyFont="1" applyFill="1" applyAlignment="1">
      <alignment/>
    </xf>
    <xf numFmtId="0" fontId="148" fillId="46" borderId="25" xfId="115" applyFont="1" applyFill="1" applyBorder="1" applyAlignment="1" applyProtection="1">
      <alignment horizontal="left"/>
      <protection hidden="1"/>
    </xf>
    <xf numFmtId="0" fontId="145" fillId="46" borderId="25" xfId="115" applyFont="1" applyFill="1" applyBorder="1" applyAlignment="1">
      <alignment horizontal="center"/>
      <protection/>
    </xf>
    <xf numFmtId="0" fontId="43" fillId="46" borderId="32" xfId="115" applyFont="1" applyFill="1" applyBorder="1" applyAlignment="1" applyProtection="1">
      <alignment horizontal="left"/>
      <protection hidden="1"/>
    </xf>
    <xf numFmtId="0" fontId="43" fillId="46" borderId="0" xfId="115" applyFont="1" applyFill="1" applyBorder="1" applyAlignment="1" applyProtection="1">
      <alignment horizontal="left"/>
      <protection hidden="1"/>
    </xf>
    <xf numFmtId="0" fontId="41" fillId="46" borderId="25" xfId="115" applyFont="1" applyFill="1" applyBorder="1">
      <alignment/>
      <protection/>
    </xf>
    <xf numFmtId="0" fontId="45" fillId="46" borderId="0" xfId="115" applyFont="1" applyFill="1" applyBorder="1" applyAlignment="1">
      <alignment horizontal="center"/>
      <protection/>
    </xf>
    <xf numFmtId="0" fontId="43" fillId="46" borderId="36" xfId="115" applyFont="1" applyFill="1" applyBorder="1" applyAlignment="1" applyProtection="1">
      <alignment horizontal="left"/>
      <protection hidden="1"/>
    </xf>
    <xf numFmtId="0" fontId="41" fillId="46" borderId="34" xfId="115" applyFont="1" applyFill="1" applyBorder="1">
      <alignment/>
      <protection/>
    </xf>
    <xf numFmtId="0" fontId="42" fillId="46" borderId="0" xfId="115" applyFont="1" applyFill="1" applyBorder="1" applyAlignment="1" applyProtection="1">
      <alignment/>
      <protection hidden="1"/>
    </xf>
    <xf numFmtId="0" fontId="43" fillId="46" borderId="20" xfId="115" applyFont="1" applyFill="1" applyBorder="1" applyAlignment="1">
      <alignment horizontal="left"/>
      <protection/>
    </xf>
    <xf numFmtId="0" fontId="41" fillId="46" borderId="20" xfId="115" applyFont="1" applyFill="1" applyBorder="1">
      <alignment/>
      <protection/>
    </xf>
    <xf numFmtId="1" fontId="41" fillId="46" borderId="20" xfId="115" applyNumberFormat="1" applyFont="1" applyFill="1" applyBorder="1" applyAlignment="1" applyProtection="1">
      <alignment horizontal="center"/>
      <protection hidden="1"/>
    </xf>
    <xf numFmtId="0" fontId="42" fillId="46" borderId="31" xfId="115" applyFont="1" applyFill="1" applyBorder="1">
      <alignment/>
      <protection/>
    </xf>
    <xf numFmtId="0" fontId="41" fillId="46" borderId="28" xfId="115" applyFont="1" applyFill="1" applyBorder="1">
      <alignment/>
      <protection/>
    </xf>
    <xf numFmtId="0" fontId="42" fillId="46" borderId="25" xfId="115" applyFont="1" applyFill="1" applyBorder="1" applyAlignment="1">
      <alignment horizontal="center"/>
      <protection/>
    </xf>
    <xf numFmtId="0" fontId="42" fillId="46" borderId="31" xfId="115" applyFont="1" applyFill="1" applyBorder="1" applyAlignment="1" applyProtection="1">
      <alignment horizontal="center"/>
      <protection hidden="1"/>
    </xf>
    <xf numFmtId="0" fontId="41" fillId="46" borderId="31" xfId="115" applyFont="1" applyFill="1" applyBorder="1" applyAlignment="1" applyProtection="1">
      <alignment horizontal="left"/>
      <protection hidden="1"/>
    </xf>
    <xf numFmtId="208" fontId="41" fillId="50" borderId="31" xfId="115" applyNumberFormat="1" applyFont="1" applyFill="1" applyBorder="1" applyAlignment="1" applyProtection="1">
      <alignment/>
      <protection hidden="1"/>
    </xf>
    <xf numFmtId="1" fontId="41" fillId="50" borderId="39" xfId="115" applyNumberFormat="1" applyFont="1" applyFill="1" applyBorder="1" applyAlignment="1" applyProtection="1">
      <alignment/>
      <protection hidden="1"/>
    </xf>
    <xf numFmtId="208" fontId="41" fillId="50" borderId="31" xfId="115" applyNumberFormat="1" applyFont="1" applyFill="1" applyBorder="1" applyAlignment="1" applyProtection="1">
      <alignment horizontal="center"/>
      <protection hidden="1"/>
    </xf>
    <xf numFmtId="1" fontId="41" fillId="50" borderId="40" xfId="115" applyNumberFormat="1" applyFont="1" applyFill="1" applyBorder="1" applyAlignment="1" applyProtection="1">
      <alignment horizontal="center"/>
      <protection hidden="1"/>
    </xf>
    <xf numFmtId="208" fontId="41" fillId="50" borderId="25" xfId="115" applyNumberFormat="1" applyFont="1" applyFill="1" applyBorder="1" applyAlignment="1" applyProtection="1">
      <alignment/>
      <protection hidden="1"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1" fontId="41" fillId="50" borderId="21" xfId="115" applyNumberFormat="1" applyFont="1" applyFill="1" applyBorder="1" applyAlignment="1" applyProtection="1">
      <alignment horizontal="center"/>
      <protection hidden="1"/>
    </xf>
    <xf numFmtId="208" fontId="41" fillId="50" borderId="36" xfId="115" applyNumberFormat="1" applyFont="1" applyFill="1" applyBorder="1" applyAlignment="1" applyProtection="1">
      <alignment/>
      <protection hidden="1"/>
    </xf>
    <xf numFmtId="1" fontId="41" fillId="46" borderId="20" xfId="115" applyNumberFormat="1" applyFont="1" applyFill="1" applyBorder="1" applyAlignment="1" applyProtection="1">
      <alignment/>
      <protection hidden="1"/>
    </xf>
    <xf numFmtId="208" fontId="41" fillId="50" borderId="36" xfId="115" applyNumberFormat="1" applyFont="1" applyFill="1" applyBorder="1" applyAlignment="1" applyProtection="1">
      <alignment horizontal="center"/>
      <protection hidden="1"/>
    </xf>
    <xf numFmtId="1" fontId="41" fillId="50" borderId="37" xfId="115" applyNumberFormat="1" applyFont="1" applyFill="1" applyBorder="1" applyAlignment="1" applyProtection="1">
      <alignment horizontal="center"/>
      <protection hidden="1"/>
    </xf>
    <xf numFmtId="0" fontId="42" fillId="46" borderId="31" xfId="0" applyFont="1" applyFill="1" applyBorder="1" applyAlignment="1">
      <alignment horizontal="left"/>
    </xf>
    <xf numFmtId="0" fontId="42" fillId="46" borderId="25" xfId="0" applyFont="1" applyFill="1" applyBorder="1" applyAlignment="1">
      <alignment horizontal="center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0" fontId="42" fillId="46" borderId="36" xfId="0" applyFont="1" applyFill="1" applyBorder="1" applyAlignment="1">
      <alignment horizontal="center"/>
    </xf>
    <xf numFmtId="0" fontId="39" fillId="46" borderId="20" xfId="115" applyFont="1" applyFill="1" applyBorder="1" applyProtection="1">
      <alignment/>
      <protection hidden="1"/>
    </xf>
    <xf numFmtId="0" fontId="41" fillId="46" borderId="20" xfId="115" applyFont="1" applyFill="1" applyBorder="1" applyProtection="1">
      <alignment/>
      <protection hidden="1"/>
    </xf>
    <xf numFmtId="0" fontId="43" fillId="46" borderId="20" xfId="115" applyFont="1" applyFill="1" applyBorder="1" applyAlignment="1" applyProtection="1">
      <alignment/>
      <protection hidden="1"/>
    </xf>
    <xf numFmtId="0" fontId="43" fillId="46" borderId="0" xfId="115" applyFont="1" applyFill="1" applyBorder="1" applyAlignment="1" applyProtection="1">
      <alignment/>
      <protection hidden="1"/>
    </xf>
    <xf numFmtId="0" fontId="42" fillId="46" borderId="26" xfId="115" applyFont="1" applyFill="1" applyBorder="1" applyAlignment="1" applyProtection="1">
      <alignment horizontal="left"/>
      <protection hidden="1"/>
    </xf>
    <xf numFmtId="0" fontId="42" fillId="46" borderId="26" xfId="115" applyFont="1" applyFill="1" applyBorder="1" applyAlignment="1" applyProtection="1">
      <alignment horizontal="center"/>
      <protection hidden="1"/>
    </xf>
    <xf numFmtId="0" fontId="41" fillId="50" borderId="0" xfId="115" applyFont="1" applyFill="1" applyBorder="1" applyAlignment="1" applyProtection="1">
      <alignment horizontal="center"/>
      <protection hidden="1"/>
    </xf>
    <xf numFmtId="0" fontId="163" fillId="50" borderId="0" xfId="0" applyFont="1" applyFill="1" applyAlignment="1">
      <alignment horizontal="center"/>
    </xf>
    <xf numFmtId="0" fontId="55" fillId="46" borderId="33" xfId="115" applyFont="1" applyFill="1" applyBorder="1" applyAlignment="1" applyProtection="1">
      <alignment horizontal="left"/>
      <protection hidden="1"/>
    </xf>
    <xf numFmtId="0" fontId="39" fillId="46" borderId="0" xfId="115" applyFont="1" applyFill="1" applyBorder="1" applyProtection="1">
      <alignment/>
      <protection hidden="1"/>
    </xf>
    <xf numFmtId="0" fontId="43" fillId="46" borderId="20" xfId="115" applyFont="1" applyFill="1" applyBorder="1" applyAlignment="1" applyProtection="1">
      <alignment/>
      <protection hidden="1"/>
    </xf>
    <xf numFmtId="0" fontId="43" fillId="46" borderId="0" xfId="115" applyFont="1" applyFill="1" applyBorder="1" applyAlignment="1" applyProtection="1">
      <alignment/>
      <protection hidden="1"/>
    </xf>
    <xf numFmtId="0" fontId="92" fillId="50" borderId="0" xfId="0" applyFont="1" applyFill="1" applyAlignment="1">
      <alignment horizontal="center"/>
    </xf>
    <xf numFmtId="0" fontId="41" fillId="46" borderId="20" xfId="115" applyFont="1" applyFill="1" applyBorder="1" applyAlignment="1" applyProtection="1">
      <alignment horizontal="left"/>
      <protection hidden="1"/>
    </xf>
    <xf numFmtId="0" fontId="42" fillId="46" borderId="27" xfId="115" applyFont="1" applyFill="1" applyBorder="1" applyAlignment="1" applyProtection="1">
      <alignment horizontal="left"/>
      <protection hidden="1"/>
    </xf>
    <xf numFmtId="0" fontId="41" fillId="46" borderId="26" xfId="115" applyFont="1" applyFill="1" applyBorder="1" applyAlignment="1" applyProtection="1">
      <alignment horizontal="center"/>
      <protection hidden="1"/>
    </xf>
    <xf numFmtId="0" fontId="42" fillId="46" borderId="25" xfId="115" applyFont="1" applyFill="1" applyBorder="1" applyAlignment="1" applyProtection="1">
      <alignment horizontal="left"/>
      <protection hidden="1"/>
    </xf>
    <xf numFmtId="0" fontId="155" fillId="46" borderId="29" xfId="0" applyFont="1" applyFill="1" applyBorder="1" applyAlignment="1">
      <alignment horizontal="center"/>
    </xf>
    <xf numFmtId="0" fontId="44" fillId="46" borderId="26" xfId="0" applyFont="1" applyFill="1" applyBorder="1" applyAlignment="1">
      <alignment horizontal="center"/>
    </xf>
    <xf numFmtId="0" fontId="43" fillId="46" borderId="0" xfId="115" applyFont="1" applyFill="1" applyBorder="1" applyProtection="1">
      <alignment/>
      <protection hidden="1"/>
    </xf>
    <xf numFmtId="0" fontId="155" fillId="46" borderId="0" xfId="115" applyFont="1" applyFill="1" applyBorder="1" applyProtection="1">
      <alignment/>
      <protection hidden="1"/>
    </xf>
    <xf numFmtId="0" fontId="42" fillId="46" borderId="41" xfId="115" applyFont="1" applyFill="1" applyBorder="1" applyAlignment="1" applyProtection="1">
      <alignment horizontal="center"/>
      <protection hidden="1"/>
    </xf>
    <xf numFmtId="0" fontId="41" fillId="46" borderId="33" xfId="115" applyFont="1" applyFill="1" applyBorder="1" applyProtection="1">
      <alignment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42" fillId="50" borderId="26" xfId="115" applyFont="1" applyFill="1" applyBorder="1" applyAlignment="1" applyProtection="1">
      <alignment horizontal="left"/>
      <protection hidden="1"/>
    </xf>
    <xf numFmtId="0" fontId="42" fillId="50" borderId="26" xfId="115" applyFont="1" applyFill="1" applyBorder="1" applyAlignment="1" applyProtection="1">
      <alignment horizontal="center"/>
      <protection hidden="1"/>
    </xf>
    <xf numFmtId="0" fontId="145" fillId="50" borderId="0" xfId="115" applyFont="1" applyFill="1" applyBorder="1" applyAlignment="1" applyProtection="1">
      <alignment horizontal="center"/>
      <protection hidden="1"/>
    </xf>
    <xf numFmtId="0" fontId="160" fillId="0" borderId="0" xfId="0" applyFont="1" applyAlignment="1">
      <alignment horizontal="center"/>
    </xf>
    <xf numFmtId="0" fontId="41" fillId="50" borderId="30" xfId="115" applyFont="1" applyFill="1" applyBorder="1" applyProtection="1">
      <alignment/>
      <protection hidden="1"/>
    </xf>
    <xf numFmtId="0" fontId="161" fillId="46" borderId="0" xfId="115" applyFont="1" applyFill="1" applyBorder="1" applyAlignment="1" applyProtection="1">
      <alignment horizontal="left"/>
      <protection hidden="1"/>
    </xf>
    <xf numFmtId="0" fontId="164" fillId="46" borderId="0" xfId="115" applyFont="1" applyFill="1" applyBorder="1" applyAlignment="1" applyProtection="1">
      <alignment/>
      <protection hidden="1"/>
    </xf>
    <xf numFmtId="0" fontId="43" fillId="46" borderId="34" xfId="115" applyFont="1" applyFill="1" applyBorder="1" applyProtection="1">
      <alignment/>
      <protection hidden="1"/>
    </xf>
    <xf numFmtId="0" fontId="43" fillId="46" borderId="33" xfId="115" applyFont="1" applyFill="1" applyBorder="1" applyProtection="1">
      <alignment/>
      <protection hidden="1"/>
    </xf>
    <xf numFmtId="0" fontId="42" fillId="46" borderId="26" xfId="115" applyFont="1" applyFill="1" applyBorder="1" applyAlignment="1" applyProtection="1">
      <alignment horizontal="center"/>
      <protection hidden="1"/>
    </xf>
    <xf numFmtId="0" fontId="39" fillId="47" borderId="0" xfId="115" applyFont="1" applyFill="1" applyBorder="1" applyAlignment="1" applyProtection="1">
      <alignment horizontal="left"/>
      <protection hidden="1"/>
    </xf>
    <xf numFmtId="0" fontId="46" fillId="50" borderId="0" xfId="0" applyFont="1" applyFill="1" applyBorder="1" applyAlignment="1">
      <alignment/>
    </xf>
    <xf numFmtId="0" fontId="41" fillId="46" borderId="31" xfId="115" applyFont="1" applyFill="1" applyBorder="1">
      <alignment/>
      <protection/>
    </xf>
    <xf numFmtId="0" fontId="41" fillId="46" borderId="25" xfId="115" applyFont="1" applyFill="1" applyBorder="1" applyAlignment="1">
      <alignment horizontal="left"/>
      <protection/>
    </xf>
    <xf numFmtId="0" fontId="145" fillId="46" borderId="25" xfId="115" applyFont="1" applyFill="1" applyBorder="1" applyAlignment="1">
      <alignment horizontal="center"/>
      <protection/>
    </xf>
    <xf numFmtId="0" fontId="41" fillId="46" borderId="36" xfId="115" applyFont="1" applyFill="1" applyBorder="1">
      <alignment/>
      <protection/>
    </xf>
    <xf numFmtId="1" fontId="41" fillId="50" borderId="0" xfId="0" applyNumberFormat="1" applyFont="1" applyFill="1" applyBorder="1" applyAlignment="1" applyProtection="1">
      <alignment horizontal="center"/>
      <protection hidden="1"/>
    </xf>
    <xf numFmtId="0" fontId="42" fillId="46" borderId="27" xfId="115" applyFont="1" applyFill="1" applyBorder="1" applyProtection="1">
      <alignment/>
      <protection hidden="1"/>
    </xf>
    <xf numFmtId="0" fontId="42" fillId="46" borderId="27" xfId="115" applyFont="1" applyFill="1" applyBorder="1" applyAlignment="1" applyProtection="1">
      <alignment horizontal="center"/>
      <protection hidden="1"/>
    </xf>
    <xf numFmtId="0" fontId="144" fillId="0" borderId="41" xfId="0" applyFont="1" applyBorder="1" applyAlignment="1">
      <alignment/>
    </xf>
    <xf numFmtId="0" fontId="151" fillId="50" borderId="0" xfId="0" applyFont="1" applyFill="1" applyBorder="1" applyAlignment="1">
      <alignment/>
    </xf>
    <xf numFmtId="0" fontId="44" fillId="46" borderId="26" xfId="115" applyFont="1" applyFill="1" applyBorder="1" applyAlignment="1">
      <alignment horizontal="center"/>
      <protection/>
    </xf>
    <xf numFmtId="0" fontId="41" fillId="46" borderId="36" xfId="115" applyFont="1" applyFill="1" applyBorder="1" applyAlignment="1" applyProtection="1">
      <alignment horizontal="left"/>
      <protection hidden="1"/>
    </xf>
    <xf numFmtId="0" fontId="161" fillId="46" borderId="0" xfId="115" applyFont="1" applyFill="1" applyBorder="1" applyProtection="1">
      <alignment/>
      <protection hidden="1"/>
    </xf>
    <xf numFmtId="0" fontId="165" fillId="46" borderId="0" xfId="115" applyFont="1" applyFill="1" applyBorder="1" applyProtection="1">
      <alignment/>
      <protection hidden="1"/>
    </xf>
    <xf numFmtId="208" fontId="165" fillId="50" borderId="0" xfId="115" applyNumberFormat="1" applyFont="1" applyFill="1" applyBorder="1" applyAlignment="1" applyProtection="1">
      <alignment horizontal="center"/>
      <protection hidden="1"/>
    </xf>
    <xf numFmtId="0" fontId="42" fillId="46" borderId="31" xfId="115" applyFont="1" applyFill="1" applyBorder="1" applyAlignment="1" applyProtection="1">
      <alignment horizontal="left"/>
      <protection hidden="1"/>
    </xf>
    <xf numFmtId="0" fontId="53" fillId="46" borderId="32" xfId="115" applyFont="1" applyFill="1" applyBorder="1" applyProtection="1">
      <alignment/>
      <protection hidden="1"/>
    </xf>
    <xf numFmtId="0" fontId="47" fillId="46" borderId="0" xfId="115" applyFont="1" applyFill="1" applyBorder="1" applyProtection="1">
      <alignment/>
      <protection hidden="1"/>
    </xf>
    <xf numFmtId="0" fontId="41" fillId="46" borderId="0" xfId="115" applyFont="1" applyFill="1" applyBorder="1" applyProtection="1">
      <alignment/>
      <protection hidden="1"/>
    </xf>
    <xf numFmtId="0" fontId="41" fillId="50" borderId="0" xfId="115" applyFont="1" applyFill="1" applyBorder="1" applyProtection="1">
      <alignment/>
      <protection hidden="1"/>
    </xf>
    <xf numFmtId="0" fontId="41" fillId="46" borderId="0" xfId="115" applyFont="1" applyFill="1" applyBorder="1" applyAlignment="1" applyProtection="1">
      <alignment/>
      <protection hidden="1"/>
    </xf>
    <xf numFmtId="0" fontId="47" fillId="0" borderId="0" xfId="115" applyFont="1" applyBorder="1" applyProtection="1">
      <alignment/>
      <protection hidden="1"/>
    </xf>
    <xf numFmtId="0" fontId="146" fillId="0" borderId="0" xfId="0" applyFont="1" applyBorder="1" applyAlignment="1">
      <alignment/>
    </xf>
    <xf numFmtId="0" fontId="42" fillId="50" borderId="31" xfId="115" applyFont="1" applyFill="1" applyBorder="1" applyProtection="1">
      <alignment/>
      <protection hidden="1"/>
    </xf>
    <xf numFmtId="208" fontId="41" fillId="50" borderId="21" xfId="115" applyNumberFormat="1" applyFont="1" applyFill="1" applyBorder="1" applyAlignment="1" applyProtection="1">
      <alignment/>
      <protection hidden="1"/>
    </xf>
    <xf numFmtId="0" fontId="53" fillId="50" borderId="29" xfId="115" applyFont="1" applyFill="1" applyBorder="1" applyProtection="1">
      <alignment/>
      <protection hidden="1"/>
    </xf>
    <xf numFmtId="0" fontId="43" fillId="46" borderId="35" xfId="115" applyFont="1" applyFill="1" applyBorder="1" applyAlignment="1" applyProtection="1">
      <alignment horizontal="left"/>
      <protection hidden="1"/>
    </xf>
    <xf numFmtId="0" fontId="47" fillId="50" borderId="33" xfId="115" applyFont="1" applyFill="1" applyBorder="1" applyAlignment="1" applyProtection="1">
      <alignment horizontal="center"/>
      <protection hidden="1"/>
    </xf>
    <xf numFmtId="0" fontId="47" fillId="50" borderId="20" xfId="115" applyFont="1" applyFill="1" applyBorder="1" applyAlignment="1" applyProtection="1">
      <alignment horizontal="center"/>
      <protection hidden="1"/>
    </xf>
    <xf numFmtId="0" fontId="47" fillId="50" borderId="20" xfId="115" applyFont="1" applyFill="1" applyBorder="1" applyAlignment="1" applyProtection="1">
      <alignment horizontal="left"/>
      <protection hidden="1"/>
    </xf>
    <xf numFmtId="0" fontId="47" fillId="50" borderId="0" xfId="115" applyFont="1" applyFill="1" applyBorder="1" applyAlignment="1" applyProtection="1">
      <alignment horizontal="left"/>
      <protection hidden="1"/>
    </xf>
    <xf numFmtId="0" fontId="42" fillId="50" borderId="0" xfId="115" applyFont="1" applyFill="1" applyBorder="1" applyAlignment="1" applyProtection="1">
      <alignment/>
      <protection hidden="1"/>
    </xf>
    <xf numFmtId="0" fontId="42" fillId="50" borderId="27" xfId="115" applyFont="1" applyFill="1" applyBorder="1" applyProtection="1">
      <alignment/>
      <protection hidden="1"/>
    </xf>
    <xf numFmtId="0" fontId="41" fillId="50" borderId="29" xfId="0" applyFont="1" applyFill="1" applyBorder="1" applyAlignment="1">
      <alignment/>
    </xf>
    <xf numFmtId="0" fontId="41" fillId="50" borderId="25" xfId="0" applyFont="1" applyFill="1" applyBorder="1" applyAlignment="1">
      <alignment/>
    </xf>
    <xf numFmtId="0" fontId="53" fillId="50" borderId="29" xfId="0" applyFont="1" applyFill="1" applyBorder="1" applyAlignment="1">
      <alignment/>
    </xf>
    <xf numFmtId="0" fontId="145" fillId="50" borderId="26" xfId="115" applyFont="1" applyFill="1" applyBorder="1" applyAlignment="1" applyProtection="1">
      <alignment horizontal="center"/>
      <protection hidden="1"/>
    </xf>
    <xf numFmtId="0" fontId="53" fillId="50" borderId="25" xfId="0" applyFont="1" applyFill="1" applyBorder="1" applyAlignment="1">
      <alignment/>
    </xf>
    <xf numFmtId="0" fontId="43" fillId="50" borderId="35" xfId="115" applyFont="1" applyFill="1" applyBorder="1" applyAlignment="1" applyProtection="1">
      <alignment horizontal="left"/>
      <protection hidden="1"/>
    </xf>
    <xf numFmtId="0" fontId="53" fillId="50" borderId="36" xfId="0" applyFont="1" applyFill="1" applyBorder="1" applyAlignment="1">
      <alignment/>
    </xf>
    <xf numFmtId="0" fontId="41" fillId="50" borderId="0" xfId="115" applyNumberFormat="1" applyFont="1" applyFill="1" applyBorder="1" applyAlignment="1" applyProtection="1">
      <alignment horizontal="center"/>
      <protection hidden="1"/>
    </xf>
    <xf numFmtId="0" fontId="41" fillId="50" borderId="0" xfId="115" applyFont="1" applyFill="1" applyAlignment="1">
      <alignment/>
      <protection/>
    </xf>
    <xf numFmtId="0" fontId="151" fillId="46" borderId="0" xfId="0" applyFont="1" applyFill="1" applyBorder="1" applyAlignment="1">
      <alignment/>
    </xf>
    <xf numFmtId="0" fontId="43" fillId="50" borderId="33" xfId="115" applyFont="1" applyFill="1" applyBorder="1" applyAlignment="1" applyProtection="1">
      <alignment horizontal="left"/>
      <protection hidden="1"/>
    </xf>
    <xf numFmtId="0" fontId="41" fillId="50" borderId="34" xfId="115" applyFont="1" applyFill="1" applyBorder="1" applyProtection="1">
      <alignment/>
      <protection hidden="1"/>
    </xf>
    <xf numFmtId="0" fontId="54" fillId="50" borderId="0" xfId="115" applyFont="1" applyFill="1" applyBorder="1" applyAlignment="1" applyProtection="1">
      <alignment horizontal="left"/>
      <protection hidden="1"/>
    </xf>
    <xf numFmtId="0" fontId="42" fillId="50" borderId="38" xfId="115" applyFont="1" applyFill="1" applyBorder="1" applyProtection="1">
      <alignment/>
      <protection hidden="1"/>
    </xf>
    <xf numFmtId="0" fontId="43" fillId="50" borderId="43" xfId="115" applyFont="1" applyFill="1" applyBorder="1" applyProtection="1">
      <alignment/>
      <protection hidden="1"/>
    </xf>
    <xf numFmtId="0" fontId="41" fillId="50" borderId="32" xfId="115" applyFont="1" applyFill="1" applyBorder="1" applyProtection="1">
      <alignment/>
      <protection hidden="1"/>
    </xf>
    <xf numFmtId="0" fontId="94" fillId="50" borderId="0" xfId="0" applyFont="1" applyFill="1" applyBorder="1" applyAlignment="1">
      <alignment/>
    </xf>
    <xf numFmtId="0" fontId="53" fillId="50" borderId="34" xfId="115" applyFont="1" applyFill="1" applyBorder="1" applyProtection="1">
      <alignment/>
      <protection hidden="1"/>
    </xf>
    <xf numFmtId="0" fontId="42" fillId="50" borderId="39" xfId="115" applyFont="1" applyFill="1" applyBorder="1" applyAlignment="1" applyProtection="1">
      <alignment horizontal="left" vertical="top" wrapText="1"/>
      <protection hidden="1"/>
    </xf>
    <xf numFmtId="0" fontId="42" fillId="50" borderId="0" xfId="115" applyFont="1" applyFill="1" applyBorder="1" applyAlignment="1" applyProtection="1">
      <alignment horizontal="center" vertical="top" wrapText="1"/>
      <protection hidden="1"/>
    </xf>
    <xf numFmtId="1" fontId="50" fillId="50" borderId="0" xfId="115" applyNumberFormat="1" applyFont="1" applyFill="1" applyBorder="1" applyAlignment="1">
      <alignment horizontal="center"/>
      <protection/>
    </xf>
    <xf numFmtId="0" fontId="45" fillId="50" borderId="0" xfId="115" applyFont="1" applyFill="1" applyBorder="1" applyAlignment="1" applyProtection="1">
      <alignment horizontal="center" vertical="top" wrapText="1"/>
      <protection hidden="1"/>
    </xf>
    <xf numFmtId="0" fontId="47" fillId="50" borderId="43" xfId="115" applyFont="1" applyFill="1" applyBorder="1" applyProtection="1">
      <alignment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1" fontId="39" fillId="46" borderId="0" xfId="115" applyNumberFormat="1" applyFont="1" applyFill="1" applyBorder="1" applyAlignment="1" applyProtection="1">
      <alignment horizontal="left"/>
      <protection hidden="1"/>
    </xf>
    <xf numFmtId="0" fontId="42" fillId="50" borderId="28" xfId="115" applyFont="1" applyFill="1" applyBorder="1">
      <alignment/>
      <protection/>
    </xf>
    <xf numFmtId="0" fontId="41" fillId="50" borderId="31" xfId="115" applyFont="1" applyFill="1" applyBorder="1">
      <alignment/>
      <protection/>
    </xf>
    <xf numFmtId="0" fontId="42" fillId="50" borderId="29" xfId="115" applyFont="1" applyFill="1" applyBorder="1" applyAlignment="1">
      <alignment horizontal="center"/>
      <protection/>
    </xf>
    <xf numFmtId="0" fontId="41" fillId="50" borderId="25" xfId="115" applyFont="1" applyFill="1" applyBorder="1">
      <alignment/>
      <protection/>
    </xf>
    <xf numFmtId="0" fontId="45" fillId="50" borderId="29" xfId="115" applyFont="1" applyFill="1" applyBorder="1" applyAlignment="1">
      <alignment horizontal="center"/>
      <protection/>
    </xf>
    <xf numFmtId="0" fontId="41" fillId="50" borderId="25" xfId="115" applyFont="1" applyFill="1" applyBorder="1" applyAlignment="1">
      <alignment horizontal="left"/>
      <protection/>
    </xf>
    <xf numFmtId="0" fontId="40" fillId="50" borderId="29" xfId="0" applyFont="1" applyFill="1" applyBorder="1" applyAlignment="1">
      <alignment horizontal="center"/>
    </xf>
    <xf numFmtId="0" fontId="41" fillId="50" borderId="28" xfId="115" applyFont="1" applyFill="1" applyBorder="1">
      <alignment/>
      <protection/>
    </xf>
    <xf numFmtId="0" fontId="43" fillId="50" borderId="34" xfId="115" applyFont="1" applyFill="1" applyBorder="1" applyAlignment="1">
      <alignment horizontal="left"/>
      <protection/>
    </xf>
    <xf numFmtId="0" fontId="149" fillId="46" borderId="0" xfId="115" applyFont="1" applyFill="1" applyBorder="1" applyAlignment="1" applyProtection="1">
      <alignment horizontal="center"/>
      <protection hidden="1"/>
    </xf>
    <xf numFmtId="0" fontId="150" fillId="46" borderId="0" xfId="115" applyFont="1" applyFill="1" applyAlignment="1" applyProtection="1">
      <alignment/>
      <protection hidden="1"/>
    </xf>
    <xf numFmtId="0" fontId="150" fillId="46" borderId="0" xfId="115" applyFont="1" applyFill="1" applyProtection="1">
      <alignment/>
      <protection hidden="1"/>
    </xf>
    <xf numFmtId="0" fontId="150" fillId="46" borderId="0" xfId="115" applyFont="1" applyFill="1">
      <alignment/>
      <protection/>
    </xf>
    <xf numFmtId="0" fontId="43" fillId="50" borderId="29" xfId="115" applyFont="1" applyFill="1" applyBorder="1" applyAlignment="1">
      <alignment horizontal="left"/>
      <protection/>
    </xf>
    <xf numFmtId="0" fontId="48" fillId="46" borderId="0" xfId="115" applyFont="1" applyFill="1" applyBorder="1" applyAlignment="1" applyProtection="1">
      <alignment horizontal="left"/>
      <protection hidden="1"/>
    </xf>
    <xf numFmtId="0" fontId="41" fillId="46" borderId="0" xfId="115" applyFont="1" applyFill="1" applyBorder="1" applyAlignment="1" applyProtection="1">
      <alignment horizontal="left"/>
      <protection hidden="1"/>
    </xf>
    <xf numFmtId="0" fontId="41" fillId="46" borderId="0" xfId="115" applyFont="1" applyFill="1" applyAlignment="1" applyProtection="1">
      <alignment horizontal="left"/>
      <protection hidden="1"/>
    </xf>
    <xf numFmtId="0" fontId="41" fillId="46" borderId="0" xfId="115" applyFont="1" applyFill="1" applyBorder="1" applyAlignment="1">
      <alignment horizontal="left"/>
      <protection/>
    </xf>
    <xf numFmtId="0" fontId="144" fillId="46" borderId="0" xfId="0" applyFont="1" applyFill="1" applyBorder="1" applyAlignment="1">
      <alignment horizontal="left"/>
    </xf>
    <xf numFmtId="0" fontId="44" fillId="50" borderId="25" xfId="115" applyFont="1" applyFill="1" applyBorder="1" applyAlignment="1">
      <alignment horizontal="center"/>
      <protection/>
    </xf>
    <xf numFmtId="0" fontId="40" fillId="46" borderId="20" xfId="115" applyFont="1" applyFill="1" applyBorder="1" applyAlignment="1" applyProtection="1">
      <alignment horizontal="center"/>
      <protection hidden="1"/>
    </xf>
    <xf numFmtId="0" fontId="42" fillId="46" borderId="28" xfId="115" applyFont="1" applyFill="1" applyBorder="1" applyProtection="1">
      <alignment/>
      <protection hidden="1"/>
    </xf>
    <xf numFmtId="0" fontId="43" fillId="46" borderId="20" xfId="115" applyFont="1" applyFill="1" applyBorder="1" applyProtection="1">
      <alignment/>
      <protection hidden="1"/>
    </xf>
    <xf numFmtId="0" fontId="42" fillId="50" borderId="28" xfId="115" applyFont="1" applyFill="1" applyBorder="1" applyProtection="1">
      <alignment/>
      <protection hidden="1"/>
    </xf>
    <xf numFmtId="0" fontId="42" fillId="50" borderId="29" xfId="115" applyFont="1" applyFill="1" applyBorder="1" applyAlignment="1" applyProtection="1">
      <alignment horizontal="center"/>
      <protection hidden="1"/>
    </xf>
    <xf numFmtId="0" fontId="53" fillId="46" borderId="20" xfId="115" applyFont="1" applyFill="1" applyBorder="1" applyProtection="1">
      <alignment/>
      <protection hidden="1"/>
    </xf>
    <xf numFmtId="0" fontId="42" fillId="46" borderId="29" xfId="115" applyFont="1" applyFill="1" applyBorder="1" applyProtection="1">
      <alignment/>
      <protection hidden="1"/>
    </xf>
    <xf numFmtId="0" fontId="45" fillId="46" borderId="29" xfId="115" applyFont="1" applyFill="1" applyBorder="1" applyAlignment="1" applyProtection="1">
      <alignment horizontal="center"/>
      <protection hidden="1"/>
    </xf>
    <xf numFmtId="1" fontId="42" fillId="50" borderId="0" xfId="115" applyNumberFormat="1" applyFont="1" applyFill="1" applyBorder="1" applyAlignment="1" applyProtection="1">
      <alignment/>
      <protection hidden="1"/>
    </xf>
    <xf numFmtId="0" fontId="41" fillId="46" borderId="28" xfId="115" applyFont="1" applyFill="1" applyBorder="1" applyAlignment="1" applyProtection="1">
      <alignment horizontal="left"/>
      <protection hidden="1"/>
    </xf>
    <xf numFmtId="0" fontId="144" fillId="46" borderId="0" xfId="0" applyFont="1" applyFill="1" applyBorder="1" applyAlignment="1">
      <alignment horizontal="center"/>
    </xf>
    <xf numFmtId="0" fontId="45" fillId="46" borderId="25" xfId="115" applyFont="1" applyFill="1" applyBorder="1" applyAlignment="1" applyProtection="1">
      <alignment horizontal="center"/>
      <protection hidden="1"/>
    </xf>
    <xf numFmtId="0" fontId="45" fillId="46" borderId="25" xfId="115" applyFont="1" applyFill="1" applyBorder="1" applyAlignment="1" applyProtection="1">
      <alignment horizontal="center"/>
      <protection hidden="1"/>
    </xf>
    <xf numFmtId="0" fontId="53" fillId="46" borderId="29" xfId="115" applyFont="1" applyFill="1" applyBorder="1" applyAlignment="1" applyProtection="1">
      <alignment horizontal="left"/>
      <protection hidden="1"/>
    </xf>
    <xf numFmtId="0" fontId="43" fillId="46" borderId="36" xfId="115" applyFont="1" applyFill="1" applyBorder="1" applyAlignment="1">
      <alignment horizontal="left"/>
      <protection/>
    </xf>
    <xf numFmtId="0" fontId="53" fillId="46" borderId="36" xfId="115" applyFont="1" applyFill="1" applyBorder="1" applyProtection="1">
      <alignment/>
      <protection hidden="1"/>
    </xf>
    <xf numFmtId="0" fontId="41" fillId="46" borderId="39" xfId="115" applyFont="1" applyFill="1" applyBorder="1" applyAlignment="1" applyProtection="1">
      <alignment horizontal="left"/>
      <protection hidden="1"/>
    </xf>
    <xf numFmtId="0" fontId="43" fillId="46" borderId="0" xfId="115" applyFont="1" applyFill="1" applyBorder="1" applyAlignment="1">
      <alignment horizontal="left"/>
      <protection/>
    </xf>
    <xf numFmtId="0" fontId="42" fillId="46" borderId="25" xfId="115" applyFont="1" applyFill="1" applyBorder="1" applyProtection="1">
      <alignment/>
      <protection hidden="1"/>
    </xf>
    <xf numFmtId="0" fontId="161" fillId="46" borderId="0" xfId="115" applyFont="1" applyFill="1" applyBorder="1" applyAlignment="1">
      <alignment horizontal="left"/>
      <protection/>
    </xf>
    <xf numFmtId="0" fontId="165" fillId="46" borderId="0" xfId="115" applyFont="1" applyFill="1" applyBorder="1">
      <alignment/>
      <protection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3" fillId="50" borderId="36" xfId="115" applyFont="1" applyFill="1" applyBorder="1" applyAlignment="1">
      <alignment horizontal="left"/>
      <protection/>
    </xf>
    <xf numFmtId="0" fontId="166" fillId="46" borderId="0" xfId="115" applyFont="1" applyFill="1" applyBorder="1" applyAlignment="1" applyProtection="1">
      <alignment horizontal="left"/>
      <protection hidden="1"/>
    </xf>
    <xf numFmtId="0" fontId="166" fillId="50" borderId="0" xfId="115" applyFont="1" applyFill="1" applyBorder="1" applyAlignment="1" applyProtection="1">
      <alignment horizontal="left"/>
      <protection hidden="1"/>
    </xf>
    <xf numFmtId="0" fontId="154" fillId="46" borderId="0" xfId="0" applyFont="1" applyFill="1" applyBorder="1" applyAlignment="1">
      <alignment/>
    </xf>
    <xf numFmtId="1" fontId="153" fillId="50" borderId="0" xfId="115" applyNumberFormat="1" applyFont="1" applyFill="1" applyBorder="1" applyAlignment="1" applyProtection="1">
      <alignment horizontal="center"/>
      <protection hidden="1"/>
    </xf>
    <xf numFmtId="0" fontId="40" fillId="46" borderId="26" xfId="0" applyFont="1" applyFill="1" applyBorder="1" applyAlignment="1">
      <alignment horizontal="center"/>
    </xf>
    <xf numFmtId="0" fontId="166" fillId="46" borderId="0" xfId="115" applyFont="1" applyFill="1" applyBorder="1" applyAlignment="1">
      <alignment horizontal="left"/>
      <protection/>
    </xf>
    <xf numFmtId="0" fontId="42" fillId="50" borderId="26" xfId="115" applyFont="1" applyFill="1" applyBorder="1">
      <alignment/>
      <protection/>
    </xf>
    <xf numFmtId="0" fontId="42" fillId="50" borderId="26" xfId="115" applyFont="1" applyFill="1" applyBorder="1" applyAlignment="1">
      <alignment horizontal="center"/>
      <protection/>
    </xf>
    <xf numFmtId="0" fontId="42" fillId="50" borderId="26" xfId="115" applyFont="1" applyFill="1" applyBorder="1" applyAlignment="1">
      <alignment horizontal="center"/>
      <protection/>
    </xf>
    <xf numFmtId="0" fontId="41" fillId="50" borderId="29" xfId="115" applyFont="1" applyFill="1" applyBorder="1" applyAlignment="1">
      <alignment horizontal="left"/>
      <protection/>
    </xf>
    <xf numFmtId="0" fontId="40" fillId="50" borderId="26" xfId="0" applyFont="1" applyFill="1" applyBorder="1" applyAlignment="1">
      <alignment horizontal="center"/>
    </xf>
    <xf numFmtId="0" fontId="45" fillId="50" borderId="26" xfId="115" applyFont="1" applyFill="1" applyBorder="1" applyAlignment="1">
      <alignment horizontal="center"/>
      <protection/>
    </xf>
    <xf numFmtId="0" fontId="46" fillId="46" borderId="0" xfId="0" applyFont="1" applyFill="1" applyBorder="1" applyAlignment="1">
      <alignment/>
    </xf>
    <xf numFmtId="0" fontId="41" fillId="46" borderId="40" xfId="115" applyFont="1" applyFill="1" applyBorder="1">
      <alignment/>
      <protection/>
    </xf>
    <xf numFmtId="0" fontId="41" fillId="46" borderId="21" xfId="115" applyFont="1" applyFill="1" applyBorder="1">
      <alignment/>
      <protection/>
    </xf>
    <xf numFmtId="0" fontId="156" fillId="46" borderId="29" xfId="115" applyFont="1" applyFill="1" applyBorder="1" applyAlignment="1">
      <alignment horizontal="center"/>
      <protection/>
    </xf>
    <xf numFmtId="0" fontId="41" fillId="46" borderId="21" xfId="115" applyFont="1" applyFill="1" applyBorder="1" applyAlignment="1">
      <alignment horizontal="left"/>
      <protection/>
    </xf>
    <xf numFmtId="0" fontId="41" fillId="46" borderId="21" xfId="115" applyFont="1" applyFill="1" applyBorder="1" applyProtection="1">
      <alignment/>
      <protection hidden="1"/>
    </xf>
    <xf numFmtId="0" fontId="45" fillId="50" borderId="29" xfId="115" applyFont="1" applyFill="1" applyBorder="1" applyAlignment="1">
      <alignment horizontal="center"/>
      <protection/>
    </xf>
    <xf numFmtId="0" fontId="53" fillId="46" borderId="21" xfId="115" applyFont="1" applyFill="1" applyBorder="1">
      <alignment/>
      <protection/>
    </xf>
    <xf numFmtId="0" fontId="45" fillId="46" borderId="25" xfId="115" applyFont="1" applyFill="1" applyBorder="1" applyAlignment="1">
      <alignment horizontal="center"/>
      <protection/>
    </xf>
    <xf numFmtId="0" fontId="45" fillId="46" borderId="30" xfId="115" applyFont="1" applyFill="1" applyBorder="1" applyAlignment="1">
      <alignment horizontal="center"/>
      <protection/>
    </xf>
    <xf numFmtId="0" fontId="53" fillId="46" borderId="0" xfId="115" applyFont="1" applyFill="1" applyBorder="1">
      <alignment/>
      <protection/>
    </xf>
    <xf numFmtId="0" fontId="42" fillId="46" borderId="31" xfId="115" applyFont="1" applyFill="1" applyBorder="1">
      <alignment/>
      <protection/>
    </xf>
    <xf numFmtId="0" fontId="42" fillId="46" borderId="25" xfId="115" applyFont="1" applyFill="1" applyBorder="1" applyAlignment="1">
      <alignment horizontal="center"/>
      <protection/>
    </xf>
    <xf numFmtId="0" fontId="40" fillId="46" borderId="25" xfId="0" applyFont="1" applyFill="1" applyBorder="1" applyAlignment="1">
      <alignment horizontal="center"/>
    </xf>
    <xf numFmtId="0" fontId="45" fillId="46" borderId="32" xfId="115" applyFont="1" applyFill="1" applyBorder="1" applyAlignment="1">
      <alignment horizontal="center"/>
      <protection/>
    </xf>
    <xf numFmtId="0" fontId="167" fillId="46" borderId="36" xfId="115" applyFont="1" applyFill="1" applyBorder="1" applyAlignment="1">
      <alignment horizontal="left"/>
      <protection/>
    </xf>
    <xf numFmtId="0" fontId="144" fillId="50" borderId="41" xfId="0" applyFont="1" applyFill="1" applyBorder="1" applyAlignment="1">
      <alignment/>
    </xf>
    <xf numFmtId="0" fontId="155" fillId="46" borderId="26" xfId="115" applyFont="1" applyFill="1" applyBorder="1" applyAlignment="1" applyProtection="1">
      <alignment horizontal="center"/>
      <protection hidden="1"/>
    </xf>
    <xf numFmtId="0" fontId="42" fillId="50" borderId="25" xfId="115" applyFont="1" applyFill="1" applyBorder="1" applyProtection="1">
      <alignment/>
      <protection hidden="1"/>
    </xf>
    <xf numFmtId="0" fontId="155" fillId="50" borderId="25" xfId="115" applyFont="1" applyFill="1" applyBorder="1" applyAlignment="1" applyProtection="1">
      <alignment horizontal="center"/>
      <protection hidden="1"/>
    </xf>
    <xf numFmtId="0" fontId="53" fillId="50" borderId="25" xfId="115" applyFont="1" applyFill="1" applyBorder="1" applyProtection="1">
      <alignment/>
      <protection hidden="1"/>
    </xf>
    <xf numFmtId="0" fontId="41" fillId="50" borderId="36" xfId="115" applyFont="1" applyFill="1" applyBorder="1" applyProtection="1">
      <alignment/>
      <protection hidden="1"/>
    </xf>
    <xf numFmtId="0" fontId="43" fillId="46" borderId="20" xfId="115" applyFont="1" applyFill="1" applyBorder="1" applyAlignment="1" applyProtection="1">
      <alignment horizontal="left"/>
      <protection hidden="1"/>
    </xf>
    <xf numFmtId="0" fontId="155" fillId="46" borderId="25" xfId="115" applyFont="1" applyFill="1" applyBorder="1" applyAlignment="1" applyProtection="1">
      <alignment horizontal="center"/>
      <protection hidden="1"/>
    </xf>
    <xf numFmtId="0" fontId="42" fillId="46" borderId="44" xfId="116" applyFont="1" applyFill="1" applyBorder="1">
      <alignment/>
      <protection/>
    </xf>
    <xf numFmtId="0" fontId="41" fillId="46" borderId="31" xfId="116" applyFont="1" applyFill="1" applyBorder="1">
      <alignment/>
      <protection/>
    </xf>
    <xf numFmtId="0" fontId="41" fillId="50" borderId="0" xfId="116" applyFont="1" applyFill="1">
      <alignment/>
      <protection/>
    </xf>
    <xf numFmtId="0" fontId="42" fillId="46" borderId="26" xfId="116" applyFont="1" applyFill="1" applyBorder="1" applyAlignment="1">
      <alignment horizontal="center"/>
      <protection/>
    </xf>
    <xf numFmtId="0" fontId="41" fillId="46" borderId="25" xfId="116" applyFont="1" applyFill="1" applyBorder="1">
      <alignment/>
      <protection/>
    </xf>
    <xf numFmtId="0" fontId="45" fillId="46" borderId="26" xfId="116" applyFont="1" applyFill="1" applyBorder="1" applyAlignment="1">
      <alignment horizontal="center"/>
      <protection/>
    </xf>
    <xf numFmtId="0" fontId="41" fillId="46" borderId="25" xfId="116" applyFont="1" applyFill="1" applyBorder="1" applyAlignment="1">
      <alignment horizontal="left"/>
      <protection/>
    </xf>
    <xf numFmtId="0" fontId="40" fillId="46" borderId="26" xfId="116" applyFont="1" applyFill="1" applyBorder="1" applyAlignment="1">
      <alignment horizontal="center"/>
      <protection/>
    </xf>
    <xf numFmtId="0" fontId="41" fillId="46" borderId="25" xfId="116" applyFont="1" applyFill="1" applyBorder="1" applyProtection="1">
      <alignment/>
      <protection hidden="1"/>
    </xf>
    <xf numFmtId="0" fontId="45" fillId="46" borderId="0" xfId="116" applyFont="1" applyFill="1" applyBorder="1" applyAlignment="1">
      <alignment horizontal="center"/>
      <protection/>
    </xf>
    <xf numFmtId="0" fontId="53" fillId="46" borderId="25" xfId="116" applyFont="1" applyFill="1" applyBorder="1">
      <alignment/>
      <protection/>
    </xf>
    <xf numFmtId="0" fontId="43" fillId="46" borderId="36" xfId="116" applyFont="1" applyFill="1" applyBorder="1" applyAlignment="1">
      <alignment horizontal="left"/>
      <protection/>
    </xf>
    <xf numFmtId="0" fontId="53" fillId="46" borderId="36" xfId="116" applyFont="1" applyFill="1" applyBorder="1">
      <alignment/>
      <protection/>
    </xf>
    <xf numFmtId="0" fontId="156" fillId="50" borderId="27" xfId="115" applyFont="1" applyFill="1" applyBorder="1" applyProtection="1">
      <alignment/>
      <protection hidden="1"/>
    </xf>
    <xf numFmtId="0" fontId="156" fillId="50" borderId="27" xfId="115" applyFont="1" applyFill="1" applyBorder="1" applyAlignment="1" applyProtection="1">
      <alignment horizontal="center"/>
      <protection hidden="1"/>
    </xf>
    <xf numFmtId="0" fontId="145" fillId="50" borderId="26" xfId="115" applyFont="1" applyFill="1" applyBorder="1" applyAlignment="1" applyProtection="1">
      <alignment horizontal="center"/>
      <protection hidden="1"/>
    </xf>
    <xf numFmtId="0" fontId="167" fillId="50" borderId="35" xfId="115" applyFont="1" applyFill="1" applyBorder="1" applyProtection="1">
      <alignment/>
      <protection hidden="1"/>
    </xf>
    <xf numFmtId="0" fontId="44" fillId="46" borderId="27" xfId="0" applyFont="1" applyFill="1" applyBorder="1" applyAlignment="1">
      <alignment horizontal="center" wrapText="1"/>
    </xf>
    <xf numFmtId="0" fontId="39" fillId="46" borderId="0" xfId="115" applyFont="1" applyFill="1" applyBorder="1" applyAlignment="1" applyProtection="1">
      <alignment/>
      <protection hidden="1"/>
    </xf>
    <xf numFmtId="0" fontId="145" fillId="46" borderId="25" xfId="115" applyFont="1" applyFill="1" applyBorder="1" applyProtection="1">
      <alignment/>
      <protection hidden="1"/>
    </xf>
    <xf numFmtId="0" fontId="41" fillId="50" borderId="45" xfId="115" applyFont="1" applyFill="1" applyBorder="1" applyAlignment="1" applyProtection="1">
      <alignment horizontal="left"/>
      <protection hidden="1"/>
    </xf>
    <xf numFmtId="0" fontId="150" fillId="50" borderId="0" xfId="115" applyFont="1" applyFill="1" applyBorder="1" applyAlignment="1" applyProtection="1">
      <alignment horizontal="center"/>
      <protection hidden="1"/>
    </xf>
    <xf numFmtId="0" fontId="145" fillId="50" borderId="25" xfId="115" applyFont="1" applyFill="1" applyBorder="1" applyAlignment="1" applyProtection="1">
      <alignment horizontal="center"/>
      <protection hidden="1"/>
    </xf>
    <xf numFmtId="0" fontId="145" fillId="46" borderId="0" xfId="115" applyFont="1" applyFill="1" applyBorder="1">
      <alignment/>
      <protection/>
    </xf>
    <xf numFmtId="0" fontId="160" fillId="46" borderId="0" xfId="0" applyFont="1" applyFill="1" applyBorder="1" applyAlignment="1">
      <alignment/>
    </xf>
    <xf numFmtId="0" fontId="160" fillId="0" borderId="0" xfId="0" applyFont="1" applyBorder="1" applyAlignment="1">
      <alignment/>
    </xf>
    <xf numFmtId="0" fontId="43" fillId="50" borderId="32" xfId="115" applyFont="1" applyFill="1" applyBorder="1" applyAlignment="1">
      <alignment horizontal="left"/>
      <protection/>
    </xf>
    <xf numFmtId="0" fontId="53" fillId="50" borderId="32" xfId="115" applyFont="1" applyFill="1" applyBorder="1" applyProtection="1">
      <alignment/>
      <protection hidden="1"/>
    </xf>
    <xf numFmtId="1" fontId="43" fillId="46" borderId="0" xfId="115" applyNumberFormat="1" applyFont="1" applyFill="1" applyBorder="1" applyAlignment="1" applyProtection="1">
      <alignment/>
      <protection hidden="1"/>
    </xf>
    <xf numFmtId="0" fontId="94" fillId="46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42" fillId="50" borderId="31" xfId="115" applyFont="1" applyFill="1" applyBorder="1">
      <alignment/>
      <protection/>
    </xf>
    <xf numFmtId="0" fontId="42" fillId="50" borderId="25" xfId="115" applyFont="1" applyFill="1" applyBorder="1" applyAlignment="1">
      <alignment horizontal="center"/>
      <protection/>
    </xf>
    <xf numFmtId="0" fontId="45" fillId="50" borderId="25" xfId="115" applyFont="1" applyFill="1" applyBorder="1" applyAlignment="1">
      <alignment horizontal="center"/>
      <protection/>
    </xf>
    <xf numFmtId="0" fontId="155" fillId="50" borderId="25" xfId="115" applyFont="1" applyFill="1" applyBorder="1" applyAlignment="1">
      <alignment horizontal="center"/>
      <protection/>
    </xf>
    <xf numFmtId="0" fontId="39" fillId="50" borderId="0" xfId="115" applyFont="1" applyFill="1" applyBorder="1" applyAlignment="1" applyProtection="1">
      <alignment horizontal="center"/>
      <protection hidden="1"/>
    </xf>
    <xf numFmtId="0" fontId="46" fillId="46" borderId="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40" fillId="50" borderId="0" xfId="115" applyFont="1" applyFill="1" applyBorder="1" applyAlignment="1">
      <alignment horizontal="left"/>
      <protection/>
    </xf>
    <xf numFmtId="0" fontId="43" fillId="50" borderId="25" xfId="115" applyFont="1" applyFill="1" applyBorder="1" applyAlignment="1">
      <alignment horizontal="left"/>
      <protection/>
    </xf>
    <xf numFmtId="0" fontId="47" fillId="50" borderId="28" xfId="115" applyFont="1" applyFill="1" applyBorder="1" applyAlignment="1" applyProtection="1">
      <alignment horizontal="left"/>
      <protection hidden="1"/>
    </xf>
    <xf numFmtId="0" fontId="53" fillId="50" borderId="31" xfId="115" applyFont="1" applyFill="1" applyBorder="1" applyAlignment="1" applyProtection="1">
      <alignment horizontal="left"/>
      <protection hidden="1"/>
    </xf>
    <xf numFmtId="0" fontId="47" fillId="50" borderId="34" xfId="115" applyFont="1" applyFill="1" applyBorder="1" applyAlignment="1" applyProtection="1">
      <alignment horizontal="left"/>
      <protection hidden="1"/>
    </xf>
    <xf numFmtId="0" fontId="41" fillId="50" borderId="36" xfId="115" applyFont="1" applyFill="1" applyBorder="1">
      <alignment/>
      <protection/>
    </xf>
    <xf numFmtId="0" fontId="43" fillId="50" borderId="0" xfId="115" applyFont="1" applyFill="1" applyBorder="1" applyAlignment="1">
      <alignment horizontal="left"/>
      <protection/>
    </xf>
    <xf numFmtId="0" fontId="47" fillId="46" borderId="34" xfId="115" applyFont="1" applyFill="1" applyBorder="1" applyProtection="1">
      <alignment/>
      <protection hidden="1"/>
    </xf>
    <xf numFmtId="1" fontId="43" fillId="46" borderId="0" xfId="115" applyNumberFormat="1" applyFont="1" applyFill="1" applyBorder="1" applyAlignment="1" applyProtection="1">
      <alignment horizontal="center" wrapText="1"/>
      <protection hidden="1"/>
    </xf>
    <xf numFmtId="0" fontId="45" fillId="46" borderId="26" xfId="115" applyFont="1" applyFill="1" applyBorder="1" applyAlignment="1" applyProtection="1">
      <alignment horizontal="left"/>
      <protection hidden="1"/>
    </xf>
    <xf numFmtId="0" fontId="145" fillId="46" borderId="0" xfId="115" applyFont="1" applyFill="1" applyBorder="1" applyAlignment="1" applyProtection="1">
      <alignment wrapText="1"/>
      <protection hidden="1"/>
    </xf>
    <xf numFmtId="0" fontId="40" fillId="46" borderId="33" xfId="115" applyFont="1" applyFill="1" applyBorder="1" applyAlignment="1" applyProtection="1">
      <alignment/>
      <protection hidden="1"/>
    </xf>
    <xf numFmtId="0" fontId="40" fillId="0" borderId="20" xfId="115" applyFont="1" applyBorder="1" applyAlignment="1" applyProtection="1">
      <alignment/>
      <protection hidden="1"/>
    </xf>
    <xf numFmtId="0" fontId="40" fillId="46" borderId="20" xfId="115" applyFont="1" applyFill="1" applyBorder="1" applyAlignment="1" applyProtection="1">
      <alignment/>
      <protection hidden="1"/>
    </xf>
    <xf numFmtId="0" fontId="156" fillId="50" borderId="31" xfId="115" applyFont="1" applyFill="1" applyBorder="1" applyProtection="1">
      <alignment/>
      <protection hidden="1"/>
    </xf>
    <xf numFmtId="0" fontId="168" fillId="50" borderId="28" xfId="115" applyFont="1" applyFill="1" applyBorder="1" applyProtection="1">
      <alignment/>
      <protection hidden="1"/>
    </xf>
    <xf numFmtId="0" fontId="156" fillId="50" borderId="25" xfId="115" applyFont="1" applyFill="1" applyBorder="1" applyAlignment="1" applyProtection="1">
      <alignment horizontal="center"/>
      <protection hidden="1"/>
    </xf>
    <xf numFmtId="0" fontId="168" fillId="50" borderId="29" xfId="115" applyFont="1" applyFill="1" applyBorder="1" applyProtection="1">
      <alignment/>
      <protection hidden="1"/>
    </xf>
    <xf numFmtId="0" fontId="156" fillId="50" borderId="25" xfId="115" applyFont="1" applyFill="1" applyBorder="1" applyProtection="1">
      <alignment/>
      <protection hidden="1"/>
    </xf>
    <xf numFmtId="0" fontId="168" fillId="50" borderId="29" xfId="115" applyFont="1" applyFill="1" applyBorder="1">
      <alignment/>
      <protection/>
    </xf>
    <xf numFmtId="0" fontId="155" fillId="50" borderId="25" xfId="115" applyFont="1" applyFill="1" applyBorder="1" applyProtection="1">
      <alignment/>
      <protection hidden="1"/>
    </xf>
    <xf numFmtId="0" fontId="168" fillId="50" borderId="34" xfId="115" applyFont="1" applyFill="1" applyBorder="1" applyProtection="1">
      <alignment/>
      <protection hidden="1"/>
    </xf>
    <xf numFmtId="0" fontId="43" fillId="46" borderId="32" xfId="115" applyFont="1" applyFill="1" applyBorder="1" applyProtection="1">
      <alignment/>
      <protection hidden="1"/>
    </xf>
    <xf numFmtId="0" fontId="51" fillId="46" borderId="28" xfId="116" applyFont="1" applyFill="1" applyBorder="1" applyProtection="1">
      <alignment/>
      <protection hidden="1"/>
    </xf>
    <xf numFmtId="0" fontId="51" fillId="46" borderId="29" xfId="116" applyFont="1" applyFill="1" applyBorder="1" applyAlignment="1" applyProtection="1">
      <alignment horizontal="center"/>
      <protection hidden="1"/>
    </xf>
    <xf numFmtId="0" fontId="145" fillId="46" borderId="29" xfId="0" applyFont="1" applyFill="1" applyBorder="1" applyAlignment="1">
      <alignment horizontal="center"/>
    </xf>
    <xf numFmtId="0" fontId="145" fillId="46" borderId="29" xfId="115" applyFont="1" applyFill="1" applyBorder="1" applyAlignment="1">
      <alignment horizontal="center"/>
      <protection/>
    </xf>
    <xf numFmtId="0" fontId="45" fillId="46" borderId="29" xfId="116" applyFont="1" applyFill="1" applyBorder="1" applyAlignment="1" applyProtection="1">
      <alignment horizontal="center"/>
      <protection hidden="1"/>
    </xf>
    <xf numFmtId="0" fontId="45" fillId="50" borderId="29" xfId="116" applyFont="1" applyFill="1" applyBorder="1" applyAlignment="1" applyProtection="1">
      <alignment horizontal="center"/>
      <protection hidden="1"/>
    </xf>
    <xf numFmtId="0" fontId="47" fillId="46" borderId="30" xfId="116" applyFont="1" applyFill="1" applyBorder="1" applyAlignment="1" applyProtection="1">
      <alignment horizontal="left"/>
      <protection hidden="1"/>
    </xf>
    <xf numFmtId="0" fontId="41" fillId="0" borderId="0" xfId="0" applyFont="1" applyBorder="1" applyAlignment="1">
      <alignment horizontal="left"/>
    </xf>
    <xf numFmtId="0" fontId="43" fillId="46" borderId="35" xfId="115" applyFont="1" applyFill="1" applyBorder="1" applyProtection="1">
      <alignment/>
      <protection hidden="1"/>
    </xf>
    <xf numFmtId="1" fontId="53" fillId="50" borderId="0" xfId="115" applyNumberFormat="1" applyFont="1" applyFill="1" applyBorder="1" applyAlignment="1" applyProtection="1">
      <alignment horizontal="center"/>
      <protection hidden="1"/>
    </xf>
    <xf numFmtId="0" fontId="144" fillId="50" borderId="21" xfId="0" applyFont="1" applyFill="1" applyBorder="1" applyAlignment="1">
      <alignment/>
    </xf>
    <xf numFmtId="0" fontId="43" fillId="46" borderId="43" xfId="115" applyFont="1" applyFill="1" applyBorder="1" applyAlignment="1" applyProtection="1">
      <alignment horizontal="left"/>
      <protection hidden="1"/>
    </xf>
    <xf numFmtId="0" fontId="39" fillId="46" borderId="0" xfId="115" applyFont="1" applyFill="1" applyAlignment="1" applyProtection="1">
      <alignment horizontal="left"/>
      <protection hidden="1"/>
    </xf>
    <xf numFmtId="0" fontId="43" fillId="46" borderId="0" xfId="115" applyFont="1" applyFill="1" applyAlignment="1" applyProtection="1">
      <alignment horizontal="left"/>
      <protection hidden="1"/>
    </xf>
    <xf numFmtId="0" fontId="43" fillId="46" borderId="0" xfId="115" applyFont="1" applyFill="1" applyAlignment="1" applyProtection="1">
      <alignment horizontal="center"/>
      <protection hidden="1"/>
    </xf>
    <xf numFmtId="1" fontId="53" fillId="46" borderId="0" xfId="115" applyNumberFormat="1" applyFont="1" applyFill="1" applyBorder="1" applyAlignment="1" applyProtection="1">
      <alignment/>
      <protection hidden="1"/>
    </xf>
    <xf numFmtId="0" fontId="53" fillId="50" borderId="31" xfId="115" applyFont="1" applyFill="1" applyBorder="1" applyProtection="1">
      <alignment/>
      <protection hidden="1"/>
    </xf>
    <xf numFmtId="0" fontId="41" fillId="50" borderId="25" xfId="115" applyFont="1" applyFill="1" applyBorder="1" applyProtection="1">
      <alignment/>
      <protection hidden="1"/>
    </xf>
    <xf numFmtId="0" fontId="155" fillId="50" borderId="37" xfId="115" applyFont="1" applyFill="1" applyBorder="1" applyAlignment="1" applyProtection="1">
      <alignment horizontal="center"/>
      <protection hidden="1"/>
    </xf>
    <xf numFmtId="0" fontId="161" fillId="46" borderId="20" xfId="115" applyFont="1" applyFill="1" applyBorder="1" applyAlignment="1" applyProtection="1">
      <alignment horizontal="left"/>
      <protection hidden="1"/>
    </xf>
    <xf numFmtId="0" fontId="40" fillId="46" borderId="20" xfId="115" applyFont="1" applyFill="1" applyBorder="1" applyAlignment="1">
      <alignment horizontal="left"/>
      <protection/>
    </xf>
    <xf numFmtId="1" fontId="53" fillId="50" borderId="0" xfId="115" applyNumberFormat="1" applyFont="1" applyFill="1" applyBorder="1" applyAlignment="1" applyProtection="1">
      <alignment/>
      <protection hidden="1"/>
    </xf>
    <xf numFmtId="0" fontId="49" fillId="50" borderId="0" xfId="115" applyFont="1" applyFill="1" applyBorder="1" applyProtection="1">
      <alignment/>
      <protection hidden="1"/>
    </xf>
    <xf numFmtId="0" fontId="43" fillId="46" borderId="46" xfId="115" applyFont="1" applyFill="1" applyBorder="1" applyAlignment="1" applyProtection="1">
      <alignment horizontal="left"/>
      <protection hidden="1"/>
    </xf>
    <xf numFmtId="0" fontId="41" fillId="46" borderId="20" xfId="115" applyFont="1" applyFill="1" applyBorder="1" applyProtection="1">
      <alignment/>
      <protection hidden="1"/>
    </xf>
    <xf numFmtId="1" fontId="50" fillId="46" borderId="0" xfId="115" applyNumberFormat="1" applyFont="1" applyFill="1" applyBorder="1" applyAlignment="1" applyProtection="1">
      <alignment horizontal="center"/>
      <protection hidden="1"/>
    </xf>
    <xf numFmtId="0" fontId="49" fillId="46" borderId="0" xfId="115" applyFont="1" applyFill="1" applyBorder="1" applyAlignment="1" applyProtection="1">
      <alignment/>
      <protection hidden="1"/>
    </xf>
    <xf numFmtId="0" fontId="42" fillId="50" borderId="0" xfId="115" applyFont="1" applyFill="1" applyBorder="1" applyAlignment="1" applyProtection="1">
      <alignment horizontal="left"/>
      <protection hidden="1"/>
    </xf>
    <xf numFmtId="0" fontId="41" fillId="46" borderId="25" xfId="115" applyFont="1" applyFill="1" applyBorder="1" applyAlignment="1" applyProtection="1">
      <alignment horizontal="center"/>
      <protection hidden="1"/>
    </xf>
    <xf numFmtId="0" fontId="42" fillId="46" borderId="27" xfId="115" applyFont="1" applyFill="1" applyBorder="1" applyAlignment="1" applyProtection="1">
      <alignment horizontal="left"/>
      <protection hidden="1"/>
    </xf>
    <xf numFmtId="0" fontId="42" fillId="50" borderId="0" xfId="115" applyFont="1" applyFill="1" applyBorder="1" applyAlignment="1" applyProtection="1">
      <alignment horizontal="center"/>
      <protection hidden="1"/>
    </xf>
    <xf numFmtId="0" fontId="144" fillId="50" borderId="0" xfId="0" applyFont="1" applyFill="1" applyBorder="1" applyAlignment="1">
      <alignment horizontal="center" vertical="center"/>
    </xf>
    <xf numFmtId="0" fontId="52" fillId="46" borderId="35" xfId="115" applyFont="1" applyFill="1" applyBorder="1" applyProtection="1">
      <alignment/>
      <protection hidden="1"/>
    </xf>
    <xf numFmtId="0" fontId="42" fillId="50" borderId="0" xfId="115" applyFont="1" applyFill="1" applyBorder="1" applyAlignment="1" applyProtection="1">
      <alignment horizontal="center"/>
      <protection hidden="1"/>
    </xf>
    <xf numFmtId="0" fontId="48" fillId="46" borderId="0" xfId="115" applyFont="1" applyFill="1" applyBorder="1" applyAlignment="1" applyProtection="1">
      <alignment horizontal="center"/>
      <protection hidden="1"/>
    </xf>
    <xf numFmtId="0" fontId="51" fillId="46" borderId="28" xfId="115" applyFont="1" applyFill="1" applyBorder="1" applyProtection="1">
      <alignment/>
      <protection hidden="1"/>
    </xf>
    <xf numFmtId="208" fontId="41" fillId="50" borderId="0" xfId="115" applyNumberFormat="1" applyFont="1" applyFill="1" applyBorder="1" applyAlignment="1" applyProtection="1">
      <alignment vertical="center"/>
      <protection hidden="1"/>
    </xf>
    <xf numFmtId="0" fontId="155" fillId="46" borderId="26" xfId="115" applyFont="1" applyFill="1" applyBorder="1" applyAlignment="1">
      <alignment horizontal="center"/>
      <protection/>
    </xf>
    <xf numFmtId="0" fontId="145" fillId="46" borderId="0" xfId="115" applyFont="1" applyFill="1" applyBorder="1" applyAlignment="1" applyProtection="1">
      <alignment horizontal="center"/>
      <protection hidden="1"/>
    </xf>
    <xf numFmtId="208" fontId="41" fillId="50" borderId="25" xfId="115" applyNumberFormat="1" applyFont="1" applyFill="1" applyBorder="1" applyAlignment="1" applyProtection="1">
      <alignment vertical="center"/>
      <protection hidden="1"/>
    </xf>
    <xf numFmtId="0" fontId="41" fillId="50" borderId="0" xfId="115" applyFont="1" applyFill="1" applyBorder="1" applyAlignment="1" applyProtection="1">
      <alignment horizontal="center" vertical="center"/>
      <protection hidden="1"/>
    </xf>
    <xf numFmtId="0" fontId="48" fillId="46" borderId="41" xfId="115" applyFont="1" applyFill="1" applyBorder="1" applyAlignment="1" applyProtection="1">
      <alignment horizontal="center"/>
      <protection hidden="1"/>
    </xf>
    <xf numFmtId="208" fontId="41" fillId="50" borderId="31" xfId="115" applyNumberFormat="1" applyFont="1" applyFill="1" applyBorder="1" applyAlignment="1" applyProtection="1">
      <alignment vertical="center"/>
      <protection hidden="1"/>
    </xf>
    <xf numFmtId="208" fontId="41" fillId="50" borderId="40" xfId="115" applyNumberFormat="1" applyFont="1" applyFill="1" applyBorder="1" applyAlignment="1" applyProtection="1">
      <alignment vertical="center"/>
      <protection hidden="1"/>
    </xf>
    <xf numFmtId="208" fontId="41" fillId="50" borderId="21" xfId="115" applyNumberFormat="1" applyFont="1" applyFill="1" applyBorder="1" applyAlignment="1" applyProtection="1">
      <alignment vertical="center"/>
      <protection hidden="1"/>
    </xf>
    <xf numFmtId="0" fontId="41" fillId="46" borderId="34" xfId="115" applyFont="1" applyFill="1" applyBorder="1" applyProtection="1">
      <alignment/>
      <protection hidden="1"/>
    </xf>
    <xf numFmtId="208" fontId="41" fillId="50" borderId="36" xfId="115" applyNumberFormat="1" applyFont="1" applyFill="1" applyBorder="1" applyAlignment="1" applyProtection="1">
      <alignment vertical="center"/>
      <protection hidden="1"/>
    </xf>
    <xf numFmtId="208" fontId="41" fillId="50" borderId="37" xfId="115" applyNumberFormat="1" applyFont="1" applyFill="1" applyBorder="1" applyAlignment="1" applyProtection="1">
      <alignment vertical="center"/>
      <protection hidden="1"/>
    </xf>
    <xf numFmtId="0" fontId="39" fillId="50" borderId="0" xfId="115" applyFont="1" applyFill="1" applyBorder="1" applyProtection="1">
      <alignment/>
      <protection hidden="1"/>
    </xf>
    <xf numFmtId="0" fontId="43" fillId="50" borderId="0" xfId="115" applyFont="1" applyFill="1" applyBorder="1" applyProtection="1">
      <alignment/>
      <protection hidden="1"/>
    </xf>
    <xf numFmtId="0" fontId="51" fillId="46" borderId="47" xfId="115" applyFont="1" applyFill="1" applyBorder="1" applyProtection="1">
      <alignment/>
      <protection hidden="1"/>
    </xf>
    <xf numFmtId="0" fontId="51" fillId="46" borderId="47" xfId="115" applyFont="1" applyFill="1" applyBorder="1" applyAlignment="1" applyProtection="1">
      <alignment horizontal="center"/>
      <protection hidden="1"/>
    </xf>
    <xf numFmtId="0" fontId="42" fillId="46" borderId="26" xfId="115" applyFont="1" applyFill="1" applyBorder="1" applyAlignment="1" applyProtection="1">
      <alignment horizontal="left"/>
      <protection hidden="1"/>
    </xf>
    <xf numFmtId="0" fontId="157" fillId="0" borderId="25" xfId="0" applyFont="1" applyBorder="1" applyAlignment="1">
      <alignment horizontal="center"/>
    </xf>
    <xf numFmtId="0" fontId="41" fillId="46" borderId="32" xfId="115" applyFont="1" applyFill="1" applyBorder="1">
      <alignment/>
      <protection/>
    </xf>
    <xf numFmtId="0" fontId="42" fillId="0" borderId="0" xfId="115" applyFont="1" applyFill="1" applyBorder="1" applyAlignment="1" applyProtection="1">
      <alignment horizontal="center"/>
      <protection hidden="1"/>
    </xf>
    <xf numFmtId="0" fontId="41" fillId="50" borderId="25" xfId="115" applyFont="1" applyFill="1" applyBorder="1" applyAlignment="1" applyProtection="1">
      <alignment horizontal="left"/>
      <protection hidden="1"/>
    </xf>
    <xf numFmtId="0" fontId="42" fillId="50" borderId="25" xfId="115" applyFont="1" applyFill="1" applyBorder="1" applyAlignment="1" applyProtection="1">
      <alignment horizontal="left"/>
      <protection hidden="1"/>
    </xf>
    <xf numFmtId="0" fontId="42" fillId="46" borderId="25" xfId="0" applyFont="1" applyFill="1" applyBorder="1" applyAlignment="1">
      <alignment horizontal="center"/>
    </xf>
    <xf numFmtId="0" fontId="41" fillId="46" borderId="25" xfId="115" applyFont="1" applyFill="1" applyBorder="1">
      <alignment/>
      <protection/>
    </xf>
    <xf numFmtId="0" fontId="54" fillId="46" borderId="25" xfId="115" applyFont="1" applyFill="1" applyBorder="1" applyAlignment="1" applyProtection="1">
      <alignment horizontal="right"/>
      <protection hidden="1"/>
    </xf>
    <xf numFmtId="0" fontId="42" fillId="46" borderId="43" xfId="115" applyFont="1" applyFill="1" applyBorder="1" applyProtection="1">
      <alignment/>
      <protection hidden="1"/>
    </xf>
    <xf numFmtId="0" fontId="41" fillId="46" borderId="32" xfId="115" applyFont="1" applyFill="1" applyBorder="1" applyAlignment="1">
      <alignment horizontal="left"/>
      <protection/>
    </xf>
    <xf numFmtId="208" fontId="41" fillId="50" borderId="32" xfId="115" applyNumberFormat="1" applyFont="1" applyFill="1" applyBorder="1" applyAlignment="1" applyProtection="1">
      <alignment vertical="center"/>
      <protection hidden="1"/>
    </xf>
    <xf numFmtId="208" fontId="41" fillId="50" borderId="48" xfId="115" applyNumberFormat="1" applyFont="1" applyFill="1" applyBorder="1" applyAlignment="1" applyProtection="1">
      <alignment vertical="center"/>
      <protection hidden="1"/>
    </xf>
    <xf numFmtId="0" fontId="44" fillId="46" borderId="25" xfId="0" applyFont="1" applyFill="1" applyBorder="1" applyAlignment="1">
      <alignment horizontal="center"/>
    </xf>
    <xf numFmtId="0" fontId="43" fillId="46" borderId="34" xfId="115" applyFont="1" applyFill="1" applyBorder="1" applyAlignment="1" applyProtection="1">
      <alignment horizontal="left"/>
      <protection hidden="1"/>
    </xf>
    <xf numFmtId="0" fontId="58" fillId="46" borderId="42" xfId="115" applyFont="1" applyFill="1" applyBorder="1" applyAlignment="1" applyProtection="1">
      <alignment horizontal="left"/>
      <protection hidden="1"/>
    </xf>
    <xf numFmtId="0" fontId="58" fillId="50" borderId="0" xfId="115" applyFont="1" applyFill="1" applyBorder="1" applyAlignment="1" applyProtection="1">
      <alignment horizontal="left"/>
      <protection hidden="1"/>
    </xf>
    <xf numFmtId="0" fontId="42" fillId="50" borderId="26" xfId="115" applyFont="1" applyFill="1" applyBorder="1" applyProtection="1">
      <alignment/>
      <protection hidden="1"/>
    </xf>
    <xf numFmtId="208" fontId="41" fillId="50" borderId="31" xfId="115" applyNumberFormat="1" applyFont="1" applyFill="1" applyBorder="1" applyAlignment="1" applyProtection="1">
      <alignment horizontal="right" vertical="center"/>
      <protection hidden="1"/>
    </xf>
    <xf numFmtId="208" fontId="41" fillId="50" borderId="40" xfId="115" applyNumberFormat="1" applyFont="1" applyFill="1" applyBorder="1" applyAlignment="1" applyProtection="1">
      <alignment horizontal="right" vertical="center"/>
      <protection hidden="1"/>
    </xf>
    <xf numFmtId="208" fontId="41" fillId="50" borderId="25" xfId="115" applyNumberFormat="1" applyFont="1" applyFill="1" applyBorder="1" applyAlignment="1" applyProtection="1">
      <alignment horizontal="right" vertical="center"/>
      <protection hidden="1"/>
    </xf>
    <xf numFmtId="208" fontId="41" fillId="50" borderId="21" xfId="115" applyNumberFormat="1" applyFont="1" applyFill="1" applyBorder="1" applyAlignment="1" applyProtection="1">
      <alignment horizontal="right" vertical="center"/>
      <protection hidden="1"/>
    </xf>
    <xf numFmtId="208" fontId="41" fillId="50" borderId="36" xfId="115" applyNumberFormat="1" applyFont="1" applyFill="1" applyBorder="1" applyAlignment="1" applyProtection="1">
      <alignment horizontal="right" vertical="center"/>
      <protection hidden="1"/>
    </xf>
    <xf numFmtId="208" fontId="41" fillId="50" borderId="37" xfId="115" applyNumberFormat="1" applyFont="1" applyFill="1" applyBorder="1" applyAlignment="1" applyProtection="1">
      <alignment horizontal="right" vertical="center"/>
      <protection hidden="1"/>
    </xf>
    <xf numFmtId="0" fontId="58" fillId="46" borderId="20" xfId="115" applyFont="1" applyFill="1" applyBorder="1" applyAlignment="1" applyProtection="1">
      <alignment/>
      <protection hidden="1"/>
    </xf>
    <xf numFmtId="0" fontId="43" fillId="46" borderId="0" xfId="116" applyFont="1" applyFill="1" applyBorder="1" applyProtection="1">
      <alignment/>
      <protection hidden="1"/>
    </xf>
    <xf numFmtId="0" fontId="39" fillId="46" borderId="20" xfId="115" applyFont="1" applyFill="1" applyBorder="1" applyAlignment="1" applyProtection="1">
      <alignment horizontal="left"/>
      <protection hidden="1"/>
    </xf>
    <xf numFmtId="0" fontId="42" fillId="46" borderId="29" xfId="115" applyFont="1" applyFill="1" applyBorder="1" applyAlignment="1">
      <alignment horizontal="left"/>
      <protection/>
    </xf>
    <xf numFmtId="0" fontId="145" fillId="46" borderId="29" xfId="115" applyFont="1" applyFill="1" applyBorder="1" applyAlignment="1">
      <alignment horizontal="center"/>
      <protection/>
    </xf>
    <xf numFmtId="208" fontId="41" fillId="50" borderId="49" xfId="115" applyNumberFormat="1" applyFont="1" applyFill="1" applyBorder="1" applyAlignment="1" applyProtection="1">
      <alignment vertical="center"/>
      <protection hidden="1"/>
    </xf>
    <xf numFmtId="208" fontId="41" fillId="50" borderId="50" xfId="115" applyNumberFormat="1" applyFont="1" applyFill="1" applyBorder="1" applyAlignment="1" applyProtection="1">
      <alignment vertical="center"/>
      <protection hidden="1"/>
    </xf>
    <xf numFmtId="0" fontId="43" fillId="46" borderId="20" xfId="116" applyFont="1" applyFill="1" applyBorder="1" applyAlignment="1" applyProtection="1">
      <alignment horizontal="left"/>
      <protection hidden="1"/>
    </xf>
    <xf numFmtId="1" fontId="41" fillId="0" borderId="0" xfId="115" applyNumberFormat="1" applyFont="1" applyFill="1" applyBorder="1" applyAlignment="1" applyProtection="1">
      <alignment horizontal="center"/>
      <protection hidden="1"/>
    </xf>
    <xf numFmtId="0" fontId="46" fillId="46" borderId="0" xfId="0" applyFont="1" applyFill="1" applyBorder="1" applyAlignment="1">
      <alignment/>
    </xf>
    <xf numFmtId="0" fontId="39" fillId="46" borderId="0" xfId="115" applyFont="1" applyFill="1" applyBorder="1" applyAlignment="1" applyProtection="1">
      <alignment horizontal="left" wrapText="1"/>
      <protection hidden="1"/>
    </xf>
    <xf numFmtId="0" fontId="41" fillId="50" borderId="0" xfId="0" applyFont="1" applyFill="1" applyBorder="1" applyAlignment="1">
      <alignment/>
    </xf>
    <xf numFmtId="0" fontId="42" fillId="46" borderId="26" xfId="0" applyFont="1" applyFill="1" applyBorder="1" applyAlignment="1">
      <alignment/>
    </xf>
    <xf numFmtId="0" fontId="43" fillId="46" borderId="25" xfId="115" applyFont="1" applyFill="1" applyBorder="1" applyAlignment="1" applyProtection="1">
      <alignment horizontal="left"/>
      <protection hidden="1"/>
    </xf>
    <xf numFmtId="0" fontId="144" fillId="0" borderId="0" xfId="0" applyFont="1" applyFill="1" applyAlignment="1">
      <alignment/>
    </xf>
    <xf numFmtId="0" fontId="42" fillId="46" borderId="27" xfId="0" applyFont="1" applyFill="1" applyBorder="1" applyAlignment="1">
      <alignment/>
    </xf>
    <xf numFmtId="0" fontId="145" fillId="46" borderId="26" xfId="0" applyFont="1" applyFill="1" applyBorder="1" applyAlignment="1">
      <alignment horizontal="center"/>
    </xf>
    <xf numFmtId="0" fontId="169" fillId="50" borderId="26" xfId="0" applyFont="1" applyFill="1" applyBorder="1" applyAlignment="1">
      <alignment horizontal="center"/>
    </xf>
    <xf numFmtId="0" fontId="145" fillId="46" borderId="26" xfId="0" applyFont="1" applyFill="1" applyBorder="1" applyAlignment="1">
      <alignment horizontal="center" wrapText="1"/>
    </xf>
    <xf numFmtId="0" fontId="155" fillId="46" borderId="26" xfId="0" applyFont="1" applyFill="1" applyBorder="1" applyAlignment="1">
      <alignment horizontal="center"/>
    </xf>
    <xf numFmtId="1" fontId="41" fillId="50" borderId="25" xfId="115" applyNumberFormat="1" applyFont="1" applyFill="1" applyBorder="1" applyAlignment="1" applyProtection="1">
      <alignment vertical="center"/>
      <protection hidden="1"/>
    </xf>
    <xf numFmtId="1" fontId="41" fillId="50" borderId="21" xfId="115" applyNumberFormat="1" applyFont="1" applyFill="1" applyBorder="1" applyAlignment="1" applyProtection="1">
      <alignment vertical="center"/>
      <protection hidden="1"/>
    </xf>
    <xf numFmtId="0" fontId="170" fillId="50" borderId="26" xfId="0" applyFont="1" applyFill="1" applyBorder="1" applyAlignment="1">
      <alignment horizontal="center"/>
    </xf>
    <xf numFmtId="0" fontId="43" fillId="46" borderId="33" xfId="0" applyFont="1" applyFill="1" applyBorder="1" applyAlignment="1">
      <alignment/>
    </xf>
    <xf numFmtId="0" fontId="39" fillId="46" borderId="0" xfId="0" applyFont="1" applyFill="1" applyBorder="1" applyAlignment="1">
      <alignment horizontal="left"/>
    </xf>
    <xf numFmtId="0" fontId="43" fillId="46" borderId="0" xfId="0" applyFont="1" applyFill="1" applyBorder="1" applyAlignment="1">
      <alignment horizontal="left"/>
    </xf>
    <xf numFmtId="0" fontId="148" fillId="46" borderId="0" xfId="0" applyFont="1" applyFill="1" applyBorder="1" applyAlignment="1">
      <alignment horizontal="left"/>
    </xf>
    <xf numFmtId="0" fontId="166" fillId="46" borderId="0" xfId="0" applyFont="1" applyFill="1" applyBorder="1" applyAlignment="1">
      <alignment horizontal="left"/>
    </xf>
    <xf numFmtId="0" fontId="145" fillId="50" borderId="26" xfId="0" applyFont="1" applyFill="1" applyBorder="1" applyAlignment="1">
      <alignment horizontal="center"/>
    </xf>
    <xf numFmtId="0" fontId="145" fillId="50" borderId="26" xfId="0" applyFont="1" applyFill="1" applyBorder="1" applyAlignment="1">
      <alignment horizontal="center"/>
    </xf>
    <xf numFmtId="0" fontId="171" fillId="50" borderId="0" xfId="0" applyFont="1" applyFill="1" applyAlignment="1">
      <alignment/>
    </xf>
    <xf numFmtId="0" fontId="42" fillId="50" borderId="0" xfId="115" applyFont="1" applyFill="1" applyBorder="1" applyAlignment="1" applyProtection="1">
      <alignment horizontal="left"/>
      <protection hidden="1"/>
    </xf>
    <xf numFmtId="0" fontId="160" fillId="50" borderId="0" xfId="0" applyFont="1" applyFill="1" applyBorder="1" applyAlignment="1">
      <alignment/>
    </xf>
    <xf numFmtId="0" fontId="144" fillId="55" borderId="0" xfId="0" applyFont="1" applyFill="1" applyAlignment="1">
      <alignment/>
    </xf>
    <xf numFmtId="0" fontId="148" fillId="46" borderId="20" xfId="115" applyFont="1" applyFill="1" applyBorder="1" applyProtection="1">
      <alignment/>
      <protection hidden="1"/>
    </xf>
    <xf numFmtId="0" fontId="145" fillId="46" borderId="20" xfId="115" applyFont="1" applyFill="1" applyBorder="1" applyProtection="1">
      <alignment/>
      <protection hidden="1"/>
    </xf>
    <xf numFmtId="1" fontId="145" fillId="46" borderId="20" xfId="115" applyNumberFormat="1" applyFont="1" applyFill="1" applyBorder="1" applyAlignment="1" applyProtection="1">
      <alignment horizontal="center"/>
      <protection hidden="1"/>
    </xf>
    <xf numFmtId="1" fontId="145" fillId="46" borderId="0" xfId="115" applyNumberFormat="1" applyFont="1" applyFill="1" applyBorder="1" applyAlignment="1" applyProtection="1">
      <alignment horizontal="center"/>
      <protection hidden="1"/>
    </xf>
    <xf numFmtId="0" fontId="42" fillId="46" borderId="44" xfId="115" applyFont="1" applyFill="1" applyBorder="1" applyProtection="1">
      <alignment/>
      <protection hidden="1"/>
    </xf>
    <xf numFmtId="0" fontId="172" fillId="46" borderId="25" xfId="115" applyFont="1" applyFill="1" applyBorder="1" applyProtection="1">
      <alignment/>
      <protection hidden="1"/>
    </xf>
    <xf numFmtId="0" fontId="145" fillId="46" borderId="26" xfId="115" applyFont="1" applyFill="1" applyBorder="1" applyAlignment="1" applyProtection="1">
      <alignment horizontal="center"/>
      <protection hidden="1"/>
    </xf>
    <xf numFmtId="0" fontId="43" fillId="46" borderId="51" xfId="115" applyFont="1" applyFill="1" applyBorder="1" applyAlignment="1" applyProtection="1">
      <alignment horizontal="left"/>
      <protection hidden="1"/>
    </xf>
    <xf numFmtId="0" fontId="41" fillId="46" borderId="45" xfId="115" applyFont="1" applyFill="1" applyBorder="1" applyProtection="1">
      <alignment/>
      <protection hidden="1"/>
    </xf>
    <xf numFmtId="208" fontId="41" fillId="50" borderId="45" xfId="115" applyNumberFormat="1" applyFont="1" applyFill="1" applyBorder="1" applyAlignment="1" applyProtection="1">
      <alignment vertical="center"/>
      <protection hidden="1"/>
    </xf>
    <xf numFmtId="208" fontId="41" fillId="50" borderId="24" xfId="115" applyNumberFormat="1" applyFont="1" applyFill="1" applyBorder="1" applyAlignment="1" applyProtection="1">
      <alignment vertical="center"/>
      <protection hidden="1"/>
    </xf>
    <xf numFmtId="0" fontId="161" fillId="50" borderId="0" xfId="115" applyFont="1" applyFill="1" applyBorder="1" applyAlignment="1" applyProtection="1">
      <alignment horizontal="left"/>
      <protection hidden="1"/>
    </xf>
    <xf numFmtId="0" fontId="43" fillId="50" borderId="0" xfId="115" applyFont="1" applyFill="1" applyBorder="1" applyProtection="1">
      <alignment/>
      <protection hidden="1"/>
    </xf>
    <xf numFmtId="1" fontId="41" fillId="50" borderId="20" xfId="115" applyNumberFormat="1" applyFont="1" applyFill="1" applyBorder="1" applyAlignment="1" applyProtection="1">
      <alignment horizontal="center"/>
      <protection hidden="1"/>
    </xf>
    <xf numFmtId="0" fontId="43" fillId="50" borderId="20" xfId="115" applyFont="1" applyFill="1" applyBorder="1" applyProtection="1">
      <alignment/>
      <protection hidden="1"/>
    </xf>
    <xf numFmtId="0" fontId="43" fillId="0" borderId="20" xfId="115" applyFont="1" applyBorder="1" applyProtection="1">
      <alignment/>
      <protection hidden="1"/>
    </xf>
    <xf numFmtId="0" fontId="46" fillId="46" borderId="0" xfId="0" applyFont="1" applyFill="1" applyBorder="1" applyAlignment="1">
      <alignment horizontal="left"/>
    </xf>
    <xf numFmtId="1" fontId="41" fillId="50" borderId="31" xfId="115" applyNumberFormat="1" applyFont="1" applyFill="1" applyBorder="1" applyAlignment="1" applyProtection="1">
      <alignment horizontal="center"/>
      <protection hidden="1"/>
    </xf>
    <xf numFmtId="1" fontId="41" fillId="50" borderId="25" xfId="115" applyNumberFormat="1" applyFont="1" applyFill="1" applyBorder="1" applyAlignment="1" applyProtection="1">
      <alignment horizontal="center"/>
      <protection hidden="1"/>
    </xf>
    <xf numFmtId="0" fontId="42" fillId="46" borderId="29" xfId="115" applyFont="1" applyFill="1" applyBorder="1" applyAlignment="1" applyProtection="1">
      <alignment horizontal="left" wrapText="1"/>
      <protection hidden="1"/>
    </xf>
    <xf numFmtId="0" fontId="42" fillId="46" borderId="29" xfId="115" applyFont="1" applyFill="1" applyBorder="1" applyAlignment="1" applyProtection="1">
      <alignment horizontal="left"/>
      <protection hidden="1"/>
    </xf>
    <xf numFmtId="0" fontId="145" fillId="46" borderId="26" xfId="115" applyFont="1" applyFill="1" applyBorder="1" applyAlignment="1" applyProtection="1">
      <alignment horizontal="left"/>
      <protection hidden="1"/>
    </xf>
    <xf numFmtId="208" fontId="41" fillId="50" borderId="29" xfId="115" applyNumberFormat="1" applyFont="1" applyFill="1" applyBorder="1" applyAlignment="1" applyProtection="1">
      <alignment horizontal="center"/>
      <protection hidden="1"/>
    </xf>
    <xf numFmtId="208" fontId="41" fillId="50" borderId="34" xfId="115" applyNumberFormat="1" applyFont="1" applyFill="1" applyBorder="1" applyAlignment="1" applyProtection="1">
      <alignment horizontal="center"/>
      <protection hidden="1"/>
    </xf>
    <xf numFmtId="1" fontId="41" fillId="50" borderId="36" xfId="115" applyNumberFormat="1" applyFont="1" applyFill="1" applyBorder="1" applyAlignment="1" applyProtection="1">
      <alignment horizontal="center"/>
      <protection hidden="1"/>
    </xf>
    <xf numFmtId="0" fontId="43" fillId="0" borderId="0" xfId="115" applyFont="1" applyBorder="1" applyProtection="1">
      <alignment/>
      <protection hidden="1"/>
    </xf>
    <xf numFmtId="0" fontId="145" fillId="46" borderId="29" xfId="115" applyFont="1" applyFill="1" applyBorder="1" applyAlignment="1" applyProtection="1">
      <alignment horizontal="left"/>
      <protection hidden="1"/>
    </xf>
    <xf numFmtId="1" fontId="41" fillId="46" borderId="28" xfId="115" applyNumberFormat="1" applyFont="1" applyFill="1" applyBorder="1" applyAlignment="1" applyProtection="1">
      <alignment horizontal="center"/>
      <protection hidden="1"/>
    </xf>
    <xf numFmtId="1" fontId="41" fillId="46" borderId="29" xfId="115" applyNumberFormat="1" applyFont="1" applyFill="1" applyBorder="1" applyAlignment="1" applyProtection="1">
      <alignment horizontal="center"/>
      <protection hidden="1"/>
    </xf>
    <xf numFmtId="0" fontId="42" fillId="46" borderId="32" xfId="115" applyFont="1" applyFill="1" applyBorder="1" applyAlignment="1" applyProtection="1">
      <alignment horizontal="left"/>
      <protection hidden="1"/>
    </xf>
    <xf numFmtId="208" fontId="41" fillId="50" borderId="32" xfId="115" applyNumberFormat="1" applyFont="1" applyFill="1" applyBorder="1" applyAlignment="1" applyProtection="1">
      <alignment horizontal="center"/>
      <protection hidden="1"/>
    </xf>
    <xf numFmtId="1" fontId="41" fillId="46" borderId="30" xfId="115" applyNumberFormat="1" applyFont="1" applyFill="1" applyBorder="1" applyAlignment="1" applyProtection="1">
      <alignment horizontal="center"/>
      <protection hidden="1"/>
    </xf>
    <xf numFmtId="0" fontId="42" fillId="50" borderId="0" xfId="115" applyFont="1" applyFill="1" applyBorder="1" applyAlignment="1" applyProtection="1">
      <alignment horizontal="left" vertical="center"/>
      <protection hidden="1"/>
    </xf>
    <xf numFmtId="208" fontId="41" fillId="50" borderId="30" xfId="115" applyNumberFormat="1" applyFont="1" applyFill="1" applyBorder="1" applyAlignment="1" applyProtection="1">
      <alignment horizontal="center"/>
      <protection hidden="1"/>
    </xf>
    <xf numFmtId="0" fontId="145" fillId="46" borderId="25" xfId="115" applyFont="1" applyFill="1" applyBorder="1" applyAlignment="1" applyProtection="1">
      <alignment horizontal="left"/>
      <protection hidden="1"/>
    </xf>
    <xf numFmtId="0" fontId="41" fillId="46" borderId="0" xfId="0" applyFont="1" applyFill="1" applyAlignment="1">
      <alignment/>
    </xf>
    <xf numFmtId="0" fontId="43" fillId="46" borderId="41" xfId="115" applyFont="1" applyFill="1" applyBorder="1" applyAlignment="1" applyProtection="1">
      <alignment horizontal="left"/>
      <protection hidden="1"/>
    </xf>
    <xf numFmtId="0" fontId="48" fillId="46" borderId="20" xfId="115" applyFont="1" applyFill="1" applyBorder="1" applyAlignment="1" applyProtection="1">
      <alignment horizontal="center"/>
      <protection hidden="1"/>
    </xf>
    <xf numFmtId="0" fontId="42" fillId="46" borderId="36" xfId="115" applyFont="1" applyFill="1" applyBorder="1" applyProtection="1">
      <alignment/>
      <protection hidden="1"/>
    </xf>
    <xf numFmtId="0" fontId="41" fillId="46" borderId="30" xfId="115" applyFont="1" applyFill="1" applyBorder="1">
      <alignment/>
      <protection/>
    </xf>
    <xf numFmtId="0" fontId="43" fillId="50" borderId="0" xfId="0" applyFont="1" applyFill="1" applyAlignment="1">
      <alignment horizontal="left"/>
    </xf>
    <xf numFmtId="0" fontId="43" fillId="50" borderId="0" xfId="0" applyFont="1" applyFill="1" applyAlignment="1">
      <alignment horizontal="center"/>
    </xf>
    <xf numFmtId="0" fontId="59" fillId="46" borderId="29" xfId="115" applyFont="1" applyFill="1" applyBorder="1" applyAlignment="1" applyProtection="1">
      <alignment horizontal="left"/>
      <protection hidden="1"/>
    </xf>
    <xf numFmtId="0" fontId="60" fillId="46" borderId="29" xfId="115" applyFont="1" applyFill="1" applyBorder="1" applyProtection="1">
      <alignment/>
      <protection hidden="1"/>
    </xf>
    <xf numFmtId="0" fontId="59" fillId="46" borderId="29" xfId="115" applyFont="1" applyFill="1" applyBorder="1" applyProtection="1">
      <alignment/>
      <protection hidden="1"/>
    </xf>
    <xf numFmtId="0" fontId="59" fillId="46" borderId="34" xfId="115" applyFont="1" applyFill="1" applyBorder="1">
      <alignment/>
      <protection/>
    </xf>
    <xf numFmtId="0" fontId="40" fillId="46" borderId="0" xfId="0" applyFont="1" applyFill="1" applyAlignment="1">
      <alignment/>
    </xf>
    <xf numFmtId="0" fontId="41" fillId="46" borderId="20" xfId="0" applyFont="1" applyFill="1" applyBorder="1" applyAlignment="1">
      <alignment/>
    </xf>
    <xf numFmtId="0" fontId="23" fillId="50" borderId="52" xfId="115" applyFont="1" applyFill="1" applyBorder="1" applyAlignment="1">
      <alignment wrapText="1"/>
      <protection/>
    </xf>
    <xf numFmtId="0" fontId="132" fillId="50" borderId="52" xfId="0" applyFont="1" applyFill="1" applyBorder="1" applyAlignment="1">
      <alignment/>
    </xf>
    <xf numFmtId="0" fontId="24" fillId="50" borderId="0" xfId="0" applyFont="1" applyFill="1" applyAlignment="1">
      <alignment horizontal="center" wrapText="1"/>
    </xf>
    <xf numFmtId="0" fontId="4" fillId="50" borderId="0" xfId="0" applyFont="1" applyFill="1" applyBorder="1" applyAlignment="1">
      <alignment horizontal="center"/>
    </xf>
    <xf numFmtId="0" fontId="23" fillId="50" borderId="0" xfId="0" applyFont="1" applyFill="1" applyAlignment="1">
      <alignment horizontal="center"/>
    </xf>
    <xf numFmtId="0" fontId="132" fillId="50" borderId="0" xfId="0" applyFont="1" applyFill="1" applyAlignment="1">
      <alignment/>
    </xf>
    <xf numFmtId="0" fontId="22" fillId="50" borderId="0" xfId="0" applyFont="1" applyFill="1" applyAlignment="1">
      <alignment vertical="center"/>
    </xf>
    <xf numFmtId="0" fontId="173" fillId="50" borderId="0" xfId="115" applyFont="1" applyFill="1" applyAlignment="1" applyProtection="1">
      <alignment horizontal="left"/>
      <protection hidden="1"/>
    </xf>
    <xf numFmtId="0" fontId="173" fillId="50" borderId="0" xfId="115" applyFont="1" applyFill="1" applyAlignment="1">
      <alignment horizontal="left"/>
      <protection/>
    </xf>
    <xf numFmtId="0" fontId="131" fillId="50" borderId="0" xfId="0" applyFont="1" applyFill="1" applyAlignment="1">
      <alignment horizontal="left"/>
    </xf>
    <xf numFmtId="0" fontId="136" fillId="50" borderId="0" xfId="115" applyFont="1" applyFill="1" applyAlignment="1" applyProtection="1">
      <alignment horizontal="center"/>
      <protection hidden="1"/>
    </xf>
    <xf numFmtId="0" fontId="39" fillId="50" borderId="0" xfId="115" applyFont="1" applyFill="1" applyBorder="1" applyAlignment="1" applyProtection="1">
      <alignment/>
      <protection hidden="1"/>
    </xf>
    <xf numFmtId="0" fontId="120" fillId="50" borderId="0" xfId="46" applyFill="1" applyBorder="1" applyAlignment="1" applyProtection="1">
      <alignment horizontal="left" indent="3"/>
      <protection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208" fontId="41" fillId="50" borderId="31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32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208" fontId="41" fillId="50" borderId="39" xfId="115" applyNumberFormat="1" applyFont="1" applyFill="1" applyBorder="1" applyAlignment="1" applyProtection="1">
      <alignment horizontal="center"/>
      <protection hidden="1"/>
    </xf>
    <xf numFmtId="208" fontId="41" fillId="50" borderId="41" xfId="115" applyNumberFormat="1" applyFont="1" applyFill="1" applyBorder="1" applyAlignment="1" applyProtection="1">
      <alignment horizontal="center"/>
      <protection hidden="1"/>
    </xf>
    <xf numFmtId="0" fontId="42" fillId="50" borderId="0" xfId="115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145" fillId="50" borderId="29" xfId="115" applyFont="1" applyFill="1" applyBorder="1" applyAlignment="1">
      <alignment horizontal="center"/>
      <protection/>
    </xf>
    <xf numFmtId="0" fontId="130" fillId="50" borderId="0" xfId="0" applyFont="1" applyFill="1" applyAlignment="1">
      <alignment horizontal="center"/>
    </xf>
    <xf numFmtId="0" fontId="130" fillId="50" borderId="0" xfId="0" applyFont="1" applyFill="1" applyBorder="1" applyAlignment="1">
      <alignment horizontal="center"/>
    </xf>
    <xf numFmtId="0" fontId="142" fillId="50" borderId="0" xfId="0" applyFont="1" applyFill="1" applyAlignment="1">
      <alignment horizontal="left" vertical="top"/>
    </xf>
    <xf numFmtId="0" fontId="142" fillId="50" borderId="0" xfId="115" applyFont="1" applyFill="1" applyAlignment="1" applyProtection="1">
      <alignment/>
      <protection hidden="1"/>
    </xf>
    <xf numFmtId="0" fontId="140" fillId="50" borderId="0" xfId="0" applyFont="1" applyFill="1" applyAlignment="1">
      <alignment/>
    </xf>
    <xf numFmtId="0" fontId="48" fillId="46" borderId="20" xfId="115" applyFont="1" applyFill="1" applyBorder="1" applyAlignment="1" applyProtection="1">
      <alignment horizontal="center" vertical="center"/>
      <protection hidden="1"/>
    </xf>
    <xf numFmtId="0" fontId="48" fillId="46" borderId="0" xfId="115" applyFont="1" applyFill="1" applyAlignment="1" applyProtection="1">
      <alignment horizontal="center" vertical="center"/>
      <protection hidden="1"/>
    </xf>
    <xf numFmtId="9" fontId="41" fillId="50" borderId="0" xfId="115" applyNumberFormat="1" applyFont="1" applyFill="1" applyBorder="1" applyAlignment="1" applyProtection="1">
      <alignment horizontal="center"/>
      <protection hidden="1"/>
    </xf>
    <xf numFmtId="0" fontId="94" fillId="46" borderId="0" xfId="0" applyFont="1" applyFill="1" applyBorder="1" applyAlignment="1">
      <alignment/>
    </xf>
    <xf numFmtId="0" fontId="43" fillId="46" borderId="0" xfId="115" applyFont="1" applyFill="1" applyProtection="1">
      <alignment/>
      <protection hidden="1"/>
    </xf>
    <xf numFmtId="0" fontId="43" fillId="46" borderId="0" xfId="115" applyFont="1" applyFill="1">
      <alignment/>
      <protection/>
    </xf>
    <xf numFmtId="0" fontId="94" fillId="46" borderId="0" xfId="0" applyFont="1" applyFill="1" applyAlignment="1">
      <alignment/>
    </xf>
    <xf numFmtId="1" fontId="43" fillId="50" borderId="0" xfId="115" applyNumberFormat="1" applyFont="1" applyFill="1" applyBorder="1" applyAlignment="1" applyProtection="1">
      <alignment horizontal="center"/>
      <protection hidden="1"/>
    </xf>
    <xf numFmtId="0" fontId="45" fillId="46" borderId="0" xfId="115" applyFont="1" applyFill="1" applyBorder="1" applyAlignment="1" applyProtection="1">
      <alignment horizontal="center"/>
      <protection hidden="1"/>
    </xf>
    <xf numFmtId="0" fontId="45" fillId="46" borderId="26" xfId="115" applyFont="1" applyFill="1" applyBorder="1" applyAlignment="1" applyProtection="1">
      <alignment horizontal="center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1" fontId="41" fillId="50" borderId="20" xfId="115" applyNumberFormat="1" applyFont="1" applyFill="1" applyBorder="1" applyAlignment="1" applyProtection="1">
      <alignment horizontal="center"/>
      <protection hidden="1"/>
    </xf>
    <xf numFmtId="0" fontId="42" fillId="0" borderId="0" xfId="115" applyFont="1" applyBorder="1" applyAlignment="1" applyProtection="1">
      <alignment vertical="center"/>
      <protection hidden="1"/>
    </xf>
    <xf numFmtId="0" fontId="42" fillId="46" borderId="0" xfId="115" applyFont="1" applyFill="1" applyBorder="1" applyAlignment="1" applyProtection="1">
      <alignment vertical="center"/>
      <protection hidden="1"/>
    </xf>
    <xf numFmtId="0" fontId="155" fillId="46" borderId="0" xfId="115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/>
      <protection hidden="1"/>
    </xf>
    <xf numFmtId="0" fontId="41" fillId="46" borderId="29" xfId="115" applyFont="1" applyFill="1" applyBorder="1" applyAlignment="1" applyProtection="1">
      <alignment horizontal="center"/>
      <protection hidden="1"/>
    </xf>
    <xf numFmtId="0" fontId="58" fillId="50" borderId="20" xfId="115" applyFont="1" applyFill="1" applyBorder="1" applyAlignment="1" applyProtection="1">
      <alignment horizontal="left"/>
      <protection hidden="1"/>
    </xf>
    <xf numFmtId="0" fontId="43" fillId="46" borderId="42" xfId="116" applyFont="1" applyFill="1" applyBorder="1" applyAlignment="1" applyProtection="1">
      <alignment horizontal="left"/>
      <protection hidden="1"/>
    </xf>
    <xf numFmtId="1" fontId="53" fillId="46" borderId="20" xfId="115" applyNumberFormat="1" applyFont="1" applyFill="1" applyBorder="1" applyAlignment="1" applyProtection="1">
      <alignment horizontal="center"/>
      <protection hidden="1"/>
    </xf>
    <xf numFmtId="1" fontId="53" fillId="50" borderId="0" xfId="115" applyNumberFormat="1" applyFont="1" applyFill="1" applyBorder="1" applyAlignment="1" applyProtection="1">
      <alignment horizontal="center"/>
      <protection hidden="1"/>
    </xf>
    <xf numFmtId="0" fontId="43" fillId="46" borderId="0" xfId="116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68" fillId="50" borderId="0" xfId="115" applyFont="1" applyFill="1" applyBorder="1" applyAlignment="1" applyProtection="1">
      <alignment horizontal="left"/>
      <protection hidden="1"/>
    </xf>
    <xf numFmtId="0" fontId="145" fillId="50" borderId="27" xfId="115" applyFont="1" applyFill="1" applyBorder="1" applyAlignment="1" applyProtection="1">
      <alignment horizontal="center"/>
      <protection hidden="1"/>
    </xf>
    <xf numFmtId="0" fontId="145" fillId="50" borderId="0" xfId="115" applyFont="1" applyFill="1" applyBorder="1" applyProtection="1">
      <alignment/>
      <protection hidden="1"/>
    </xf>
    <xf numFmtId="208" fontId="145" fillId="50" borderId="0" xfId="115" applyNumberFormat="1" applyFont="1" applyFill="1" applyBorder="1" applyAlignment="1" applyProtection="1">
      <alignment horizontal="center"/>
      <protection hidden="1"/>
    </xf>
    <xf numFmtId="0" fontId="145" fillId="46" borderId="27" xfId="115" applyFont="1" applyFill="1" applyBorder="1" applyAlignment="1" applyProtection="1">
      <alignment horizontal="center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43" fillId="50" borderId="0" xfId="115" applyFont="1" applyFill="1" applyBorder="1" applyAlignment="1">
      <alignment horizontal="left"/>
      <protection/>
    </xf>
    <xf numFmtId="0" fontId="130" fillId="56" borderId="0" xfId="0" applyFont="1" applyFill="1" applyAlignment="1">
      <alignment horizontal="center"/>
    </xf>
    <xf numFmtId="0" fontId="130" fillId="56" borderId="0" xfId="115" applyFont="1" applyFill="1" applyAlignment="1">
      <alignment horizontal="left"/>
      <protection/>
    </xf>
    <xf numFmtId="0" fontId="140" fillId="56" borderId="0" xfId="0" applyFont="1" applyFill="1" applyAlignment="1">
      <alignment/>
    </xf>
    <xf numFmtId="0" fontId="156" fillId="48" borderId="53" xfId="115" applyFont="1" applyFill="1" applyBorder="1" applyAlignment="1" applyProtection="1">
      <alignment horizontal="center" vertical="center"/>
      <protection hidden="1"/>
    </xf>
    <xf numFmtId="0" fontId="156" fillId="48" borderId="53" xfId="115" applyFont="1" applyFill="1" applyBorder="1" applyAlignment="1" applyProtection="1">
      <alignment horizontal="center"/>
      <protection hidden="1"/>
    </xf>
    <xf numFmtId="0" fontId="42" fillId="48" borderId="54" xfId="115" applyNumberFormat="1" applyFont="1" applyFill="1" applyBorder="1" applyAlignment="1" applyProtection="1">
      <alignment vertical="center"/>
      <protection hidden="1"/>
    </xf>
    <xf numFmtId="0" fontId="42" fillId="48" borderId="55" xfId="115" applyNumberFormat="1" applyFont="1" applyFill="1" applyBorder="1" applyAlignment="1" applyProtection="1">
      <alignment vertical="center"/>
      <protection hidden="1"/>
    </xf>
    <xf numFmtId="0" fontId="156" fillId="48" borderId="54" xfId="115" applyFont="1" applyFill="1" applyBorder="1" applyAlignment="1" applyProtection="1">
      <alignment vertical="center"/>
      <protection hidden="1"/>
    </xf>
    <xf numFmtId="0" fontId="156" fillId="48" borderId="55" xfId="115" applyFont="1" applyFill="1" applyBorder="1" applyAlignment="1" applyProtection="1">
      <alignment vertical="center"/>
      <protection hidden="1"/>
    </xf>
    <xf numFmtId="0" fontId="149" fillId="47" borderId="0" xfId="115" applyFont="1" applyFill="1" applyBorder="1" applyAlignment="1">
      <alignment horizontal="left"/>
      <protection/>
    </xf>
    <xf numFmtId="0" fontId="40" fillId="47" borderId="0" xfId="115" applyFont="1" applyFill="1" applyBorder="1" applyAlignment="1">
      <alignment horizontal="left"/>
      <protection/>
    </xf>
    <xf numFmtId="0" fontId="43" fillId="50" borderId="0" xfId="115" applyFont="1" applyFill="1" applyAlignment="1" applyProtection="1">
      <alignment/>
      <protection hidden="1"/>
    </xf>
    <xf numFmtId="0" fontId="51" fillId="46" borderId="25" xfId="115" applyFont="1" applyFill="1" applyBorder="1" applyAlignment="1" applyProtection="1">
      <alignment horizontal="left" vertical="center"/>
      <protection hidden="1"/>
    </xf>
    <xf numFmtId="0" fontId="51" fillId="46" borderId="25" xfId="115" applyFont="1" applyFill="1" applyBorder="1" applyAlignment="1" applyProtection="1">
      <alignment horizontal="center" vertical="center"/>
      <protection hidden="1"/>
    </xf>
    <xf numFmtId="0" fontId="156" fillId="48" borderId="56" xfId="115" applyFont="1" applyFill="1" applyBorder="1" applyAlignment="1" applyProtection="1">
      <alignment horizontal="center" vertical="center"/>
      <protection hidden="1"/>
    </xf>
    <xf numFmtId="0" fontId="156" fillId="48" borderId="56" xfId="115" applyFont="1" applyFill="1" applyBorder="1" applyAlignment="1" applyProtection="1">
      <alignment horizontal="center"/>
      <protection hidden="1"/>
    </xf>
    <xf numFmtId="0" fontId="42" fillId="48" borderId="57" xfId="115" applyNumberFormat="1" applyFont="1" applyFill="1" applyBorder="1" applyAlignment="1" applyProtection="1">
      <alignment vertical="center"/>
      <protection hidden="1"/>
    </xf>
    <xf numFmtId="0" fontId="42" fillId="48" borderId="58" xfId="115" applyNumberFormat="1" applyFont="1" applyFill="1" applyBorder="1" applyAlignment="1" applyProtection="1">
      <alignment vertical="center"/>
      <protection hidden="1"/>
    </xf>
    <xf numFmtId="0" fontId="156" fillId="48" borderId="57" xfId="115" applyFont="1" applyFill="1" applyBorder="1" applyAlignment="1" applyProtection="1">
      <alignment vertical="center"/>
      <protection hidden="1"/>
    </xf>
    <xf numFmtId="0" fontId="156" fillId="48" borderId="58" xfId="115" applyFont="1" applyFill="1" applyBorder="1" applyAlignment="1" applyProtection="1">
      <alignment vertical="center"/>
      <protection hidden="1"/>
    </xf>
    <xf numFmtId="0" fontId="151" fillId="50" borderId="39" xfId="0" applyFont="1" applyFill="1" applyBorder="1" applyAlignment="1">
      <alignment/>
    </xf>
    <xf numFmtId="0" fontId="151" fillId="53" borderId="39" xfId="0" applyFont="1" applyFill="1" applyBorder="1" applyAlignment="1">
      <alignment/>
    </xf>
    <xf numFmtId="0" fontId="45" fillId="46" borderId="29" xfId="0" applyFont="1" applyFill="1" applyBorder="1" applyAlignment="1">
      <alignment horizontal="center"/>
    </xf>
    <xf numFmtId="0" fontId="155" fillId="46" borderId="29" xfId="115" applyFont="1" applyFill="1" applyBorder="1" applyAlignment="1" applyProtection="1">
      <alignment horizontal="center"/>
      <protection hidden="1"/>
    </xf>
    <xf numFmtId="0" fontId="156" fillId="48" borderId="59" xfId="115" applyFont="1" applyFill="1" applyBorder="1" applyAlignment="1" applyProtection="1">
      <alignment vertical="center"/>
      <protection hidden="1"/>
    </xf>
    <xf numFmtId="0" fontId="156" fillId="48" borderId="31" xfId="115" applyFont="1" applyFill="1" applyBorder="1" applyAlignment="1" applyProtection="1">
      <alignment vertical="center"/>
      <protection hidden="1"/>
    </xf>
    <xf numFmtId="0" fontId="156" fillId="48" borderId="40" xfId="115" applyFont="1" applyFill="1" applyBorder="1" applyAlignment="1" applyProtection="1">
      <alignment vertical="center"/>
      <protection hidden="1"/>
    </xf>
    <xf numFmtId="0" fontId="43" fillId="46" borderId="0" xfId="115" applyFont="1" applyFill="1" applyBorder="1" applyAlignment="1">
      <alignment/>
      <protection/>
    </xf>
    <xf numFmtId="0" fontId="42" fillId="50" borderId="27" xfId="115" applyFont="1" applyFill="1" applyBorder="1" applyAlignment="1" applyProtection="1">
      <alignment horizontal="left" wrapText="1"/>
      <protection hidden="1"/>
    </xf>
    <xf numFmtId="0" fontId="42" fillId="50" borderId="27" xfId="115" applyFont="1" applyFill="1" applyBorder="1" applyAlignment="1" applyProtection="1">
      <alignment horizontal="center" wrapText="1"/>
      <protection hidden="1"/>
    </xf>
    <xf numFmtId="0" fontId="145" fillId="50" borderId="27" xfId="115" applyFont="1" applyFill="1" applyBorder="1" applyAlignment="1" applyProtection="1">
      <alignment horizontal="center" wrapText="1"/>
      <protection hidden="1"/>
    </xf>
    <xf numFmtId="0" fontId="167" fillId="50" borderId="35" xfId="115" applyFont="1" applyFill="1" applyBorder="1" applyAlignment="1" applyProtection="1">
      <alignment horizontal="left"/>
      <protection hidden="1"/>
    </xf>
    <xf numFmtId="0" fontId="43" fillId="50" borderId="37" xfId="115" applyFont="1" applyFill="1" applyBorder="1" applyAlignment="1" applyProtection="1">
      <alignment wrapText="1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39" fillId="50" borderId="0" xfId="115" applyFont="1" applyFill="1" applyBorder="1" applyAlignment="1">
      <alignment horizontal="left"/>
      <protection/>
    </xf>
    <xf numFmtId="0" fontId="43" fillId="50" borderId="0" xfId="115" applyFont="1" applyFill="1" applyBorder="1" applyAlignment="1">
      <alignment horizontal="left"/>
      <protection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208" fontId="41" fillId="50" borderId="31" xfId="115" applyNumberFormat="1" applyFont="1" applyFill="1" applyBorder="1" applyAlignment="1" applyProtection="1">
      <alignment horizontal="center"/>
      <protection hidden="1"/>
    </xf>
    <xf numFmtId="208" fontId="41" fillId="50" borderId="36" xfId="115" applyNumberFormat="1" applyFont="1" applyFill="1" applyBorder="1" applyAlignment="1" applyProtection="1">
      <alignment horizontal="center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1" fontId="41" fillId="50" borderId="21" xfId="115" applyNumberFormat="1" applyFont="1" applyFill="1" applyBorder="1" applyAlignment="1" applyProtection="1">
      <alignment horizontal="center"/>
      <protection hidden="1"/>
    </xf>
    <xf numFmtId="1" fontId="41" fillId="50" borderId="37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62" fillId="50" borderId="0" xfId="115" applyFont="1" applyFill="1" applyBorder="1" applyAlignment="1" applyProtection="1">
      <alignment horizontal="left"/>
      <protection hidden="1"/>
    </xf>
    <xf numFmtId="1" fontId="63" fillId="46" borderId="0" xfId="115" applyNumberFormat="1" applyFont="1" applyFill="1" applyBorder="1" applyAlignment="1" applyProtection="1">
      <alignment/>
      <protection hidden="1"/>
    </xf>
    <xf numFmtId="0" fontId="0" fillId="46" borderId="0" xfId="0" applyFill="1" applyBorder="1" applyAlignment="1">
      <alignment/>
    </xf>
    <xf numFmtId="0" fontId="174" fillId="46" borderId="0" xfId="0" applyFont="1" applyFill="1" applyBorder="1" applyAlignment="1">
      <alignment/>
    </xf>
    <xf numFmtId="0" fontId="174" fillId="50" borderId="0" xfId="0" applyFont="1" applyFill="1" applyAlignment="1">
      <alignment/>
    </xf>
    <xf numFmtId="0" fontId="174" fillId="0" borderId="0" xfId="0" applyFont="1" applyAlignment="1">
      <alignment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208" fontId="41" fillId="50" borderId="36" xfId="115" applyNumberFormat="1" applyFont="1" applyFill="1" applyBorder="1" applyAlignment="1" applyProtection="1">
      <alignment horizontal="center"/>
      <protection hidden="1"/>
    </xf>
    <xf numFmtId="208" fontId="41" fillId="50" borderId="37" xfId="115" applyNumberFormat="1" applyFont="1" applyFill="1" applyBorder="1" applyAlignment="1" applyProtection="1">
      <alignment horizontal="center"/>
      <protection hidden="1"/>
    </xf>
    <xf numFmtId="208" fontId="41" fillId="50" borderId="31" xfId="115" applyNumberFormat="1" applyFont="1" applyFill="1" applyBorder="1" applyAlignment="1" applyProtection="1">
      <alignment horizontal="center"/>
      <protection hidden="1"/>
    </xf>
    <xf numFmtId="208" fontId="41" fillId="50" borderId="40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208" fontId="41" fillId="50" borderId="32" xfId="115" applyNumberFormat="1" applyFont="1" applyFill="1" applyBorder="1" applyAlignment="1" applyProtection="1">
      <alignment horizontal="center"/>
      <protection hidden="1"/>
    </xf>
    <xf numFmtId="208" fontId="41" fillId="50" borderId="48" xfId="115" applyNumberFormat="1" applyFont="1" applyFill="1" applyBorder="1" applyAlignment="1" applyProtection="1">
      <alignment horizontal="center"/>
      <protection hidden="1"/>
    </xf>
    <xf numFmtId="0" fontId="41" fillId="46" borderId="30" xfId="115" applyFont="1" applyFill="1" applyBorder="1" applyAlignment="1" applyProtection="1">
      <alignment horizontal="left"/>
      <protection hidden="1"/>
    </xf>
    <xf numFmtId="0" fontId="44" fillId="46" borderId="44" xfId="115" applyFont="1" applyFill="1" applyBorder="1" applyAlignment="1">
      <alignment horizontal="center"/>
      <protection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44" fillId="0" borderId="0" xfId="0" applyFont="1" applyAlignment="1">
      <alignment horizontal="left"/>
    </xf>
    <xf numFmtId="0" fontId="40" fillId="50" borderId="0" xfId="115" applyFont="1" applyFill="1" applyBorder="1" applyAlignment="1" applyProtection="1">
      <alignment horizontal="left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144" fillId="0" borderId="0" xfId="0" applyFont="1" applyBorder="1" applyAlignment="1">
      <alignment/>
    </xf>
    <xf numFmtId="0" fontId="64" fillId="46" borderId="0" xfId="115" applyFont="1" applyFill="1" applyBorder="1" applyAlignment="1" applyProtection="1">
      <alignment horizontal="left"/>
      <protection hidden="1"/>
    </xf>
    <xf numFmtId="1" fontId="145" fillId="50" borderId="0" xfId="115" applyNumberFormat="1" applyFont="1" applyFill="1" applyBorder="1" applyAlignment="1" applyProtection="1">
      <alignment horizontal="center"/>
      <protection hidden="1"/>
    </xf>
    <xf numFmtId="0" fontId="145" fillId="50" borderId="0" xfId="115" applyFont="1" applyFill="1" applyBorder="1" applyAlignment="1" applyProtection="1">
      <alignment/>
      <protection hidden="1"/>
    </xf>
    <xf numFmtId="0" fontId="145" fillId="50" borderId="0" xfId="115" applyFont="1" applyFill="1" applyAlignment="1" applyProtection="1">
      <alignment/>
      <protection hidden="1"/>
    </xf>
    <xf numFmtId="0" fontId="145" fillId="50" borderId="0" xfId="115" applyFont="1" applyFill="1" applyProtection="1">
      <alignment/>
      <protection hidden="1"/>
    </xf>
    <xf numFmtId="0" fontId="145" fillId="50" borderId="0" xfId="115" applyFont="1" applyFill="1">
      <alignment/>
      <protection/>
    </xf>
    <xf numFmtId="0" fontId="160" fillId="50" borderId="0" xfId="0" applyFont="1" applyFill="1" applyAlignment="1">
      <alignment/>
    </xf>
    <xf numFmtId="0" fontId="41" fillId="50" borderId="30" xfId="115" applyFont="1" applyFill="1" applyBorder="1">
      <alignment/>
      <protection/>
    </xf>
    <xf numFmtId="0" fontId="149" fillId="47" borderId="0" xfId="115" applyFont="1" applyFill="1" applyBorder="1" applyAlignment="1" applyProtection="1">
      <alignment horizontal="left"/>
      <protection hidden="1"/>
    </xf>
    <xf numFmtId="0" fontId="43" fillId="50" borderId="0" xfId="115" applyFont="1" applyFill="1" applyProtection="1">
      <alignment/>
      <protection hidden="1"/>
    </xf>
    <xf numFmtId="0" fontId="43" fillId="50" borderId="0" xfId="115" applyFont="1" applyFill="1">
      <alignment/>
      <protection/>
    </xf>
    <xf numFmtId="0" fontId="40" fillId="50" borderId="0" xfId="115" applyFont="1" applyFill="1" applyBorder="1" applyAlignment="1" applyProtection="1">
      <alignment horizontal="left"/>
      <protection hidden="1"/>
    </xf>
    <xf numFmtId="0" fontId="39" fillId="50" borderId="0" xfId="115" applyFont="1" applyFill="1" applyBorder="1" applyAlignment="1">
      <alignment horizontal="left"/>
      <protection/>
    </xf>
    <xf numFmtId="0" fontId="167" fillId="46" borderId="0" xfId="115" applyFont="1" applyFill="1" applyBorder="1" applyAlignment="1" applyProtection="1">
      <alignment horizontal="left"/>
      <protection hidden="1"/>
    </xf>
    <xf numFmtId="0" fontId="175" fillId="47" borderId="0" xfId="115" applyFont="1" applyFill="1" applyBorder="1" applyAlignment="1" applyProtection="1">
      <alignment horizontal="left"/>
      <protection hidden="1"/>
    </xf>
    <xf numFmtId="1" fontId="176" fillId="47" borderId="0" xfId="115" applyNumberFormat="1" applyFont="1" applyFill="1" applyBorder="1" applyAlignment="1" applyProtection="1">
      <alignment/>
      <protection hidden="1"/>
    </xf>
    <xf numFmtId="0" fontId="175" fillId="50" borderId="0" xfId="115" applyFont="1" applyFill="1" applyBorder="1" applyAlignment="1" applyProtection="1">
      <alignment horizontal="left"/>
      <protection hidden="1"/>
    </xf>
    <xf numFmtId="0" fontId="43" fillId="50" borderId="0" xfId="115" applyFont="1" applyFill="1" applyBorder="1" applyAlignment="1" applyProtection="1">
      <alignment/>
      <protection hidden="1"/>
    </xf>
    <xf numFmtId="0" fontId="46" fillId="50" borderId="39" xfId="0" applyFont="1" applyFill="1" applyBorder="1" applyAlignment="1">
      <alignment/>
    </xf>
    <xf numFmtId="0" fontId="46" fillId="0" borderId="0" xfId="0" applyFont="1" applyBorder="1" applyAlignment="1">
      <alignment/>
    </xf>
    <xf numFmtId="0" fontId="145" fillId="50" borderId="29" xfId="115" applyFont="1" applyFill="1" applyBorder="1" applyAlignment="1" applyProtection="1">
      <alignment horizontal="center"/>
      <protection hidden="1"/>
    </xf>
    <xf numFmtId="0" fontId="46" fillId="46" borderId="0" xfId="0" applyFont="1" applyFill="1" applyAlignment="1">
      <alignment/>
    </xf>
    <xf numFmtId="0" fontId="46" fillId="46" borderId="0" xfId="0" applyFont="1" applyFill="1" applyBorder="1" applyAlignment="1">
      <alignment horizontal="center"/>
    </xf>
    <xf numFmtId="0" fontId="149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144" fillId="0" borderId="0" xfId="0" applyFont="1" applyAlignment="1">
      <alignment/>
    </xf>
    <xf numFmtId="0" fontId="43" fillId="50" borderId="0" xfId="115" applyFont="1" applyFill="1" applyBorder="1" applyAlignment="1">
      <alignment horizontal="left"/>
      <protection/>
    </xf>
    <xf numFmtId="0" fontId="43" fillId="46" borderId="43" xfId="115" applyFont="1" applyFill="1" applyBorder="1" applyAlignment="1">
      <alignment horizontal="left"/>
      <protection/>
    </xf>
    <xf numFmtId="0" fontId="163" fillId="50" borderId="0" xfId="0" applyFont="1" applyFill="1" applyBorder="1" applyAlignment="1">
      <alignment/>
    </xf>
    <xf numFmtId="1" fontId="155" fillId="50" borderId="0" xfId="115" applyNumberFormat="1" applyFont="1" applyFill="1" applyBorder="1" applyAlignment="1" applyProtection="1">
      <alignment horizontal="center"/>
      <protection hidden="1"/>
    </xf>
    <xf numFmtId="0" fontId="163" fillId="50" borderId="0" xfId="0" applyFont="1" applyFill="1" applyAlignment="1">
      <alignment/>
    </xf>
    <xf numFmtId="0" fontId="163" fillId="47" borderId="0" xfId="0" applyFont="1" applyFill="1" applyAlignment="1">
      <alignment/>
    </xf>
    <xf numFmtId="0" fontId="151" fillId="47" borderId="0" xfId="0" applyFont="1" applyFill="1" applyAlignment="1">
      <alignment/>
    </xf>
    <xf numFmtId="1" fontId="176" fillId="50" borderId="0" xfId="115" applyNumberFormat="1" applyFont="1" applyFill="1" applyBorder="1" applyAlignment="1" applyProtection="1">
      <alignment/>
      <protection hidden="1"/>
    </xf>
    <xf numFmtId="0" fontId="177" fillId="50" borderId="0" xfId="0" applyFont="1" applyFill="1" applyBorder="1" applyAlignment="1">
      <alignment/>
    </xf>
    <xf numFmtId="0" fontId="177" fillId="50" borderId="0" xfId="0" applyFont="1" applyFill="1" applyAlignment="1">
      <alignment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1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0" xfId="116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1" fontId="23" fillId="50" borderId="0" xfId="115" applyNumberFormat="1" applyFont="1" applyFill="1" applyBorder="1" applyAlignment="1" applyProtection="1">
      <alignment horizontal="center"/>
      <protection hidden="1"/>
    </xf>
    <xf numFmtId="0" fontId="41" fillId="50" borderId="0" xfId="115" applyFont="1" applyFill="1" applyBorder="1" applyAlignment="1" applyProtection="1">
      <alignment horizontal="left"/>
      <protection hidden="1"/>
    </xf>
    <xf numFmtId="0" fontId="41" fillId="50" borderId="0" xfId="115" applyFont="1" applyFill="1" applyAlignment="1">
      <alignment horizontal="left"/>
      <protection/>
    </xf>
    <xf numFmtId="0" fontId="46" fillId="50" borderId="0" xfId="0" applyFont="1" applyFill="1" applyAlignment="1">
      <alignment horizontal="left"/>
    </xf>
    <xf numFmtId="0" fontId="53" fillId="50" borderId="0" xfId="115" applyFont="1" applyFill="1" applyBorder="1">
      <alignment/>
      <protection/>
    </xf>
    <xf numFmtId="0" fontId="42" fillId="50" borderId="26" xfId="115" applyFont="1" applyFill="1" applyBorder="1" applyAlignment="1">
      <alignment horizontal="left"/>
      <protection/>
    </xf>
    <xf numFmtId="0" fontId="43" fillId="50" borderId="41" xfId="115" applyFont="1" applyFill="1" applyBorder="1" applyAlignment="1">
      <alignment horizontal="left"/>
      <protection/>
    </xf>
    <xf numFmtId="0" fontId="41" fillId="50" borderId="32" xfId="115" applyFont="1" applyFill="1" applyBorder="1">
      <alignment/>
      <protection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0" fontId="42" fillId="48" borderId="49" xfId="115" applyNumberFormat="1" applyFont="1" applyFill="1" applyBorder="1" applyAlignment="1" applyProtection="1">
      <alignment vertical="center"/>
      <protection hidden="1"/>
    </xf>
    <xf numFmtId="0" fontId="42" fillId="48" borderId="50" xfId="115" applyNumberFormat="1" applyFont="1" applyFill="1" applyBorder="1" applyAlignment="1" applyProtection="1">
      <alignment vertical="center"/>
      <protection hidden="1"/>
    </xf>
    <xf numFmtId="0" fontId="145" fillId="50" borderId="0" xfId="115" applyFont="1" applyFill="1" applyBorder="1" applyAlignment="1" applyProtection="1">
      <alignment horizontal="center"/>
      <protection hidden="1"/>
    </xf>
    <xf numFmtId="0" fontId="154" fillId="50" borderId="0" xfId="0" applyFont="1" applyFill="1" applyBorder="1" applyAlignment="1">
      <alignment/>
    </xf>
    <xf numFmtId="0" fontId="153" fillId="50" borderId="0" xfId="115" applyFont="1" applyFill="1" applyBorder="1" applyAlignment="1" applyProtection="1">
      <alignment/>
      <protection hidden="1"/>
    </xf>
    <xf numFmtId="0" fontId="153" fillId="50" borderId="0" xfId="115" applyFont="1" applyFill="1" applyBorder="1" applyAlignment="1">
      <alignment/>
      <protection/>
    </xf>
    <xf numFmtId="0" fontId="153" fillId="50" borderId="0" xfId="115" applyFont="1" applyFill="1" applyBorder="1" applyAlignment="1" applyProtection="1">
      <alignment/>
      <protection hidden="1"/>
    </xf>
    <xf numFmtId="0" fontId="166" fillId="50" borderId="0" xfId="115" applyFont="1" applyFill="1" applyBorder="1" applyAlignment="1" applyProtection="1">
      <alignment horizontal="left"/>
      <protection hidden="1"/>
    </xf>
    <xf numFmtId="208" fontId="153" fillId="50" borderId="0" xfId="115" applyNumberFormat="1" applyFont="1" applyFill="1" applyBorder="1" applyAlignment="1" applyProtection="1">
      <alignment vertical="center"/>
      <protection hidden="1"/>
    </xf>
    <xf numFmtId="1" fontId="153" fillId="50" borderId="0" xfId="115" applyNumberFormat="1" applyFont="1" applyFill="1" applyBorder="1" applyAlignment="1" applyProtection="1">
      <alignment/>
      <protection hidden="1"/>
    </xf>
    <xf numFmtId="0" fontId="153" fillId="50" borderId="0" xfId="115" applyFont="1" applyFill="1" applyProtection="1">
      <alignment/>
      <protection hidden="1"/>
    </xf>
    <xf numFmtId="0" fontId="153" fillId="50" borderId="0" xfId="115" applyFont="1" applyFill="1">
      <alignment/>
      <protection/>
    </xf>
    <xf numFmtId="0" fontId="166" fillId="50" borderId="0" xfId="115" applyFont="1" applyFill="1" applyBorder="1" applyAlignment="1" applyProtection="1">
      <alignment horizontal="center"/>
      <protection hidden="1"/>
    </xf>
    <xf numFmtId="14" fontId="156" fillId="48" borderId="54" xfId="115" applyNumberFormat="1" applyFont="1" applyFill="1" applyBorder="1" applyAlignment="1" applyProtection="1">
      <alignment vertical="center"/>
      <protection hidden="1"/>
    </xf>
    <xf numFmtId="1" fontId="155" fillId="50" borderId="0" xfId="115" applyNumberFormat="1" applyFont="1" applyFill="1" applyBorder="1" applyAlignment="1" applyProtection="1">
      <alignment/>
      <protection hidden="1"/>
    </xf>
    <xf numFmtId="0" fontId="155" fillId="47" borderId="0" xfId="115" applyFont="1" applyFill="1" applyBorder="1" applyProtection="1">
      <alignment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49" fillId="50" borderId="0" xfId="115" applyFont="1" applyFill="1" applyBorder="1" applyAlignment="1">
      <alignment horizontal="left"/>
      <protection/>
    </xf>
    <xf numFmtId="0" fontId="42" fillId="50" borderId="32" xfId="115" applyFont="1" applyFill="1" applyBorder="1" applyAlignment="1" applyProtection="1">
      <alignment horizontal="center"/>
      <protection hidden="1"/>
    </xf>
    <xf numFmtId="0" fontId="154" fillId="50" borderId="41" xfId="0" applyFont="1" applyFill="1" applyBorder="1" applyAlignment="1">
      <alignment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43" fillId="46" borderId="0" xfId="0" applyFont="1" applyFill="1" applyBorder="1" applyAlignment="1">
      <alignment/>
    </xf>
    <xf numFmtId="0" fontId="42" fillId="48" borderId="60" xfId="115" applyFont="1" applyFill="1" applyBorder="1" applyAlignment="1" applyProtection="1">
      <alignment horizontal="center" vertical="center"/>
      <protection hidden="1"/>
    </xf>
    <xf numFmtId="0" fontId="42" fillId="48" borderId="61" xfId="115" applyFont="1" applyFill="1" applyBorder="1" applyAlignment="1" applyProtection="1">
      <alignment horizontal="center" vertical="center"/>
      <protection hidden="1"/>
    </xf>
    <xf numFmtId="0" fontId="53" fillId="50" borderId="28" xfId="115" applyFont="1" applyFill="1" applyBorder="1" applyProtection="1">
      <alignment/>
      <protection hidden="1"/>
    </xf>
    <xf numFmtId="0" fontId="172" fillId="46" borderId="29" xfId="115" applyFont="1" applyFill="1" applyBorder="1" applyProtection="1">
      <alignment/>
      <protection hidden="1"/>
    </xf>
    <xf numFmtId="0" fontId="41" fillId="46" borderId="62" xfId="115" applyFont="1" applyFill="1" applyBorder="1" applyProtection="1">
      <alignment/>
      <protection hidden="1"/>
    </xf>
    <xf numFmtId="0" fontId="144" fillId="47" borderId="0" xfId="0" applyFont="1" applyFill="1" applyAlignment="1">
      <alignment/>
    </xf>
    <xf numFmtId="0" fontId="43" fillId="46" borderId="0" xfId="0" applyFont="1" applyFill="1" applyAlignment="1">
      <alignment/>
    </xf>
    <xf numFmtId="0" fontId="43" fillId="50" borderId="0" xfId="115" applyFont="1" applyFill="1" applyBorder="1" applyAlignment="1" applyProtection="1">
      <alignment horizontal="left"/>
      <protection hidden="1"/>
    </xf>
    <xf numFmtId="0" fontId="41" fillId="50" borderId="0" xfId="115" applyFont="1" applyFill="1" applyBorder="1" applyAlignment="1" applyProtection="1">
      <alignment/>
      <protection hidden="1"/>
    </xf>
    <xf numFmtId="208" fontId="41" fillId="50" borderId="32" xfId="115" applyNumberFormat="1" applyFont="1" applyFill="1" applyBorder="1" applyAlignment="1" applyProtection="1">
      <alignment/>
      <protection hidden="1"/>
    </xf>
    <xf numFmtId="208" fontId="41" fillId="50" borderId="48" xfId="115" applyNumberFormat="1" applyFont="1" applyFill="1" applyBorder="1" applyAlignment="1" applyProtection="1">
      <alignment/>
      <protection hidden="1"/>
    </xf>
    <xf numFmtId="0" fontId="43" fillId="46" borderId="0" xfId="115" applyFont="1" applyFill="1" applyBorder="1" applyAlignment="1">
      <alignment horizontal="left" wrapText="1"/>
      <protection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208" fontId="41" fillId="50" borderId="36" xfId="115" applyNumberFormat="1" applyFont="1" applyFill="1" applyBorder="1" applyAlignment="1" applyProtection="1">
      <alignment horizontal="center"/>
      <protection hidden="1"/>
    </xf>
    <xf numFmtId="208" fontId="41" fillId="50" borderId="37" xfId="115" applyNumberFormat="1" applyFont="1" applyFill="1" applyBorder="1" applyAlignment="1" applyProtection="1">
      <alignment horizontal="center"/>
      <protection hidden="1"/>
    </xf>
    <xf numFmtId="208" fontId="41" fillId="50" borderId="31" xfId="115" applyNumberFormat="1" applyFont="1" applyFill="1" applyBorder="1" applyAlignment="1" applyProtection="1">
      <alignment horizontal="center"/>
      <protection hidden="1"/>
    </xf>
    <xf numFmtId="208" fontId="41" fillId="50" borderId="40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144" fillId="50" borderId="0" xfId="0" applyFont="1" applyFill="1" applyAlignment="1">
      <alignment/>
    </xf>
    <xf numFmtId="1" fontId="39" fillId="50" borderId="0" xfId="0" applyNumberFormat="1" applyFont="1" applyFill="1" applyBorder="1" applyAlignment="1">
      <alignment horizontal="left"/>
    </xf>
    <xf numFmtId="1" fontId="39" fillId="50" borderId="0" xfId="115" applyNumberFormat="1" applyFont="1" applyFill="1" applyBorder="1" applyAlignment="1" applyProtection="1">
      <alignment wrapText="1"/>
      <protection hidden="1"/>
    </xf>
    <xf numFmtId="0" fontId="42" fillId="46" borderId="32" xfId="115" applyFont="1" applyFill="1" applyBorder="1" applyAlignment="1" applyProtection="1">
      <alignment horizontal="left"/>
      <protection hidden="1"/>
    </xf>
    <xf numFmtId="0" fontId="92" fillId="57" borderId="0" xfId="0" applyFont="1" applyFill="1" applyAlignment="1">
      <alignment/>
    </xf>
    <xf numFmtId="0" fontId="92" fillId="57" borderId="0" xfId="0" applyFont="1" applyFill="1" applyBorder="1" applyAlignment="1">
      <alignment/>
    </xf>
    <xf numFmtId="0" fontId="41" fillId="57" borderId="0" xfId="0" applyFont="1" applyFill="1" applyAlignment="1">
      <alignment/>
    </xf>
    <xf numFmtId="0" fontId="144" fillId="57" borderId="0" xfId="0" applyFont="1" applyFill="1" applyAlignment="1">
      <alignment/>
    </xf>
    <xf numFmtId="1" fontId="39" fillId="57" borderId="0" xfId="115" applyNumberFormat="1" applyFont="1" applyFill="1" applyBorder="1" applyAlignment="1" applyProtection="1">
      <alignment wrapText="1"/>
      <protection hidden="1"/>
    </xf>
    <xf numFmtId="0" fontId="41" fillId="57" borderId="0" xfId="115" applyFont="1" applyFill="1">
      <alignment/>
      <protection/>
    </xf>
    <xf numFmtId="0" fontId="41" fillId="57" borderId="0" xfId="115" applyFont="1" applyFill="1" applyAlignment="1" applyProtection="1">
      <alignment/>
      <protection hidden="1"/>
    </xf>
    <xf numFmtId="1" fontId="39" fillId="57" borderId="0" xfId="115" applyNumberFormat="1" applyFont="1" applyFill="1" applyBorder="1" applyAlignment="1" applyProtection="1">
      <alignment horizontal="left"/>
      <protection hidden="1"/>
    </xf>
    <xf numFmtId="1" fontId="41" fillId="57" borderId="0" xfId="115" applyNumberFormat="1" applyFont="1" applyFill="1" applyBorder="1" applyAlignment="1" applyProtection="1">
      <alignment horizontal="center"/>
      <protection hidden="1"/>
    </xf>
    <xf numFmtId="1" fontId="23" fillId="57" borderId="0" xfId="115" applyNumberFormat="1" applyFont="1" applyFill="1" applyBorder="1" applyAlignment="1" applyProtection="1">
      <alignment horizontal="center"/>
      <protection hidden="1"/>
    </xf>
    <xf numFmtId="0" fontId="65" fillId="0" borderId="21" xfId="0" applyFont="1" applyBorder="1" applyAlignment="1">
      <alignment horizontal="center"/>
    </xf>
    <xf numFmtId="0" fontId="42" fillId="48" borderId="31" xfId="115" applyNumberFormat="1" applyFont="1" applyFill="1" applyBorder="1" applyAlignment="1" applyProtection="1">
      <alignment vertical="center"/>
      <protection hidden="1"/>
    </xf>
    <xf numFmtId="0" fontId="42" fillId="48" borderId="40" xfId="115" applyNumberFormat="1" applyFont="1" applyFill="1" applyBorder="1" applyAlignment="1" applyProtection="1">
      <alignment vertical="center"/>
      <protection hidden="1"/>
    </xf>
    <xf numFmtId="0" fontId="43" fillId="46" borderId="36" xfId="115" applyFont="1" applyFill="1" applyBorder="1" applyProtection="1">
      <alignment/>
      <protection hidden="1"/>
    </xf>
    <xf numFmtId="0" fontId="154" fillId="46" borderId="0" xfId="0" applyFont="1" applyFill="1" applyAlignment="1">
      <alignment/>
    </xf>
    <xf numFmtId="0" fontId="92" fillId="50" borderId="0" xfId="0" applyFont="1" applyFill="1" applyBorder="1" applyAlignment="1">
      <alignment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47" fillId="50" borderId="0" xfId="115" applyFont="1" applyFill="1" applyBorder="1" applyAlignment="1" applyProtection="1">
      <alignment horizontal="center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0" fontId="178" fillId="46" borderId="26" xfId="0" applyFont="1" applyFill="1" applyBorder="1" applyAlignment="1">
      <alignment horizontal="center"/>
    </xf>
    <xf numFmtId="0" fontId="66" fillId="50" borderId="25" xfId="115" applyFont="1" applyFill="1" applyBorder="1" applyProtection="1">
      <alignment/>
      <protection hidden="1"/>
    </xf>
    <xf numFmtId="208" fontId="2" fillId="50" borderId="25" xfId="115" applyNumberFormat="1" applyFont="1" applyFill="1" applyBorder="1" applyAlignment="1" applyProtection="1">
      <alignment vertical="center"/>
      <protection hidden="1"/>
    </xf>
    <xf numFmtId="208" fontId="2" fillId="50" borderId="21" xfId="115" applyNumberFormat="1" applyFont="1" applyFill="1" applyBorder="1" applyAlignment="1" applyProtection="1">
      <alignment vertical="center"/>
      <protection hidden="1"/>
    </xf>
    <xf numFmtId="0" fontId="179" fillId="46" borderId="0" xfId="0" applyFont="1" applyFill="1" applyAlignment="1">
      <alignment/>
    </xf>
    <xf numFmtId="0" fontId="179" fillId="0" borderId="0" xfId="0" applyFont="1" applyAlignment="1">
      <alignment/>
    </xf>
    <xf numFmtId="0" fontId="180" fillId="50" borderId="26" xfId="0" applyFont="1" applyFill="1" applyBorder="1" applyAlignment="1">
      <alignment horizontal="center"/>
    </xf>
    <xf numFmtId="0" fontId="41" fillId="46" borderId="37" xfId="115" applyFont="1" applyFill="1" applyBorder="1" applyProtection="1">
      <alignment/>
      <protection hidden="1"/>
    </xf>
    <xf numFmtId="0" fontId="41" fillId="46" borderId="39" xfId="115" applyFont="1" applyFill="1" applyBorder="1" applyProtection="1">
      <alignment/>
      <protection hidden="1"/>
    </xf>
    <xf numFmtId="0" fontId="43" fillId="46" borderId="29" xfId="115" applyFont="1" applyFill="1" applyBorder="1" applyProtection="1">
      <alignment/>
      <protection hidden="1"/>
    </xf>
    <xf numFmtId="0" fontId="149" fillId="47" borderId="0" xfId="115" applyFont="1" applyFill="1" applyBorder="1" applyProtection="1">
      <alignment/>
      <protection hidden="1"/>
    </xf>
    <xf numFmtId="208" fontId="155" fillId="47" borderId="0" xfId="115" applyNumberFormat="1" applyFont="1" applyFill="1" applyBorder="1" applyAlignment="1" applyProtection="1">
      <alignment horizontal="center"/>
      <protection hidden="1"/>
    </xf>
    <xf numFmtId="208" fontId="155" fillId="50" borderId="0" xfId="115" applyNumberFormat="1" applyFont="1" applyFill="1" applyBorder="1" applyAlignment="1" applyProtection="1">
      <alignment horizontal="center"/>
      <protection hidden="1"/>
    </xf>
    <xf numFmtId="0" fontId="150" fillId="47" borderId="0" xfId="115" applyFont="1" applyFill="1" applyBorder="1" applyProtection="1">
      <alignment/>
      <protection hidden="1"/>
    </xf>
    <xf numFmtId="208" fontId="150" fillId="47" borderId="0" xfId="115" applyNumberFormat="1" applyFont="1" applyFill="1" applyBorder="1" applyAlignment="1" applyProtection="1">
      <alignment horizontal="center"/>
      <protection hidden="1"/>
    </xf>
    <xf numFmtId="0" fontId="43" fillId="46" borderId="30" xfId="0" applyFont="1" applyFill="1" applyBorder="1" applyAlignment="1">
      <alignment horizontal="left"/>
    </xf>
    <xf numFmtId="0" fontId="64" fillId="50" borderId="0" xfId="115" applyFont="1" applyFill="1" applyBorder="1" applyAlignment="1" applyProtection="1">
      <alignment horizontal="left"/>
      <protection hidden="1"/>
    </xf>
    <xf numFmtId="0" fontId="43" fillId="46" borderId="30" xfId="115" applyFont="1" applyFill="1" applyBorder="1" applyAlignment="1" applyProtection="1">
      <alignment horizontal="left"/>
      <protection hidden="1"/>
    </xf>
    <xf numFmtId="0" fontId="67" fillId="50" borderId="0" xfId="115" applyFont="1" applyFill="1" applyBorder="1" applyAlignment="1" applyProtection="1">
      <alignment horizontal="left"/>
      <protection hidden="1"/>
    </xf>
    <xf numFmtId="1" fontId="63" fillId="50" borderId="0" xfId="115" applyNumberFormat="1" applyFont="1" applyFill="1" applyBorder="1" applyAlignment="1" applyProtection="1">
      <alignment/>
      <protection hidden="1"/>
    </xf>
    <xf numFmtId="0" fontId="105" fillId="50" borderId="0" xfId="0" applyFont="1" applyFill="1" applyBorder="1" applyAlignment="1">
      <alignment/>
    </xf>
    <xf numFmtId="0" fontId="105" fillId="50" borderId="0" xfId="0" applyFont="1" applyFill="1" applyAlignment="1">
      <alignment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7" fillId="50" borderId="0" xfId="115" applyFont="1" applyFill="1" applyBorder="1" applyAlignment="1" applyProtection="1">
      <alignment horizontal="left"/>
      <protection hidden="1"/>
    </xf>
    <xf numFmtId="0" fontId="92" fillId="0" borderId="0" xfId="0" applyFont="1" applyAlignment="1">
      <alignment horizontal="center"/>
    </xf>
    <xf numFmtId="0" fontId="149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148" fillId="50" borderId="0" xfId="115" applyFont="1" applyFill="1" applyBorder="1" applyAlignment="1" applyProtection="1">
      <alignment horizontal="left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144" fillId="0" borderId="0" xfId="0" applyFont="1" applyAlignment="1">
      <alignment/>
    </xf>
    <xf numFmtId="0" fontId="43" fillId="46" borderId="33" xfId="115" applyFont="1" applyFill="1" applyBorder="1" applyAlignment="1">
      <alignment horizontal="left"/>
      <protection/>
    </xf>
    <xf numFmtId="0" fontId="145" fillId="46" borderId="26" xfId="115" applyFont="1" applyFill="1" applyBorder="1" applyAlignment="1">
      <alignment horizontal="center"/>
      <protection/>
    </xf>
    <xf numFmtId="0" fontId="42" fillId="58" borderId="21" xfId="115" applyFont="1" applyFill="1" applyBorder="1" applyAlignment="1">
      <alignment horizontal="left"/>
      <protection/>
    </xf>
    <xf numFmtId="0" fontId="145" fillId="46" borderId="25" xfId="0" applyFont="1" applyFill="1" applyBorder="1" applyAlignment="1">
      <alignment horizontal="center"/>
    </xf>
    <xf numFmtId="0" fontId="43" fillId="46" borderId="0" xfId="115" applyFont="1" applyFill="1" applyBorder="1" applyAlignment="1" applyProtection="1">
      <alignment horizontal="center"/>
      <protection hidden="1"/>
    </xf>
    <xf numFmtId="208" fontId="43" fillId="50" borderId="0" xfId="115" applyNumberFormat="1" applyFont="1" applyFill="1" applyBorder="1" applyAlignment="1" applyProtection="1">
      <alignment horizontal="center"/>
      <protection hidden="1"/>
    </xf>
    <xf numFmtId="0" fontId="174" fillId="46" borderId="0" xfId="0" applyFont="1" applyFill="1" applyAlignment="1">
      <alignment/>
    </xf>
    <xf numFmtId="0" fontId="43" fillId="50" borderId="0" xfId="115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43" fillId="46" borderId="41" xfId="115" applyFont="1" applyFill="1" applyBorder="1" applyProtection="1">
      <alignment/>
      <protection hidden="1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208" fontId="41" fillId="50" borderId="40" xfId="115" applyNumberFormat="1" applyFont="1" applyFill="1" applyBorder="1" applyAlignment="1" applyProtection="1">
      <alignment horizontal="center"/>
      <protection hidden="1"/>
    </xf>
    <xf numFmtId="208" fontId="41" fillId="50" borderId="48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47" fillId="50" borderId="0" xfId="115" applyFont="1" applyFill="1" applyBorder="1" applyAlignment="1" applyProtection="1">
      <alignment horizontal="center"/>
      <protection hidden="1"/>
    </xf>
    <xf numFmtId="0" fontId="47" fillId="46" borderId="41" xfId="115" applyFont="1" applyFill="1" applyBorder="1" applyAlignment="1" applyProtection="1">
      <alignment horizontal="left"/>
      <protection hidden="1"/>
    </xf>
    <xf numFmtId="0" fontId="47" fillId="46" borderId="30" xfId="115" applyFont="1" applyFill="1" applyBorder="1" applyAlignment="1" applyProtection="1">
      <alignment horizontal="left"/>
      <protection hidden="1"/>
    </xf>
    <xf numFmtId="0" fontId="167" fillId="50" borderId="0" xfId="115" applyFont="1" applyFill="1" applyBorder="1" applyAlignment="1">
      <alignment horizontal="left"/>
      <protection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167" fillId="50" borderId="36" xfId="115" applyFont="1" applyFill="1" applyBorder="1" applyProtection="1">
      <alignment/>
      <protection hidden="1"/>
    </xf>
    <xf numFmtId="208" fontId="41" fillId="2" borderId="31" xfId="115" applyNumberFormat="1" applyFont="1" applyFill="1" applyBorder="1" applyAlignment="1" applyProtection="1">
      <alignment vertical="center"/>
      <protection hidden="1"/>
    </xf>
    <xf numFmtId="208" fontId="41" fillId="2" borderId="40" xfId="115" applyNumberFormat="1" applyFont="1" applyFill="1" applyBorder="1" applyAlignment="1" applyProtection="1">
      <alignment vertical="center"/>
      <protection hidden="1"/>
    </xf>
    <xf numFmtId="208" fontId="41" fillId="2" borderId="25" xfId="115" applyNumberFormat="1" applyFont="1" applyFill="1" applyBorder="1" applyAlignment="1" applyProtection="1">
      <alignment vertical="center"/>
      <protection hidden="1"/>
    </xf>
    <xf numFmtId="208" fontId="41" fillId="2" borderId="21" xfId="115" applyNumberFormat="1" applyFont="1" applyFill="1" applyBorder="1" applyAlignment="1" applyProtection="1">
      <alignment vertical="center"/>
      <protection hidden="1"/>
    </xf>
    <xf numFmtId="208" fontId="41" fillId="2" borderId="45" xfId="115" applyNumberFormat="1" applyFont="1" applyFill="1" applyBorder="1" applyAlignment="1" applyProtection="1">
      <alignment vertical="center"/>
      <protection hidden="1"/>
    </xf>
    <xf numFmtId="208" fontId="41" fillId="2" borderId="24" xfId="115" applyNumberFormat="1" applyFont="1" applyFill="1" applyBorder="1" applyAlignment="1" applyProtection="1">
      <alignment vertical="center"/>
      <protection hidden="1"/>
    </xf>
    <xf numFmtId="208" fontId="41" fillId="2" borderId="0" xfId="115" applyNumberFormat="1" applyFont="1" applyFill="1" applyBorder="1" applyAlignment="1" applyProtection="1">
      <alignment vertical="center"/>
      <protection hidden="1"/>
    </xf>
    <xf numFmtId="208" fontId="41" fillId="2" borderId="31" xfId="115" applyNumberFormat="1" applyFont="1" applyFill="1" applyBorder="1" applyAlignment="1" applyProtection="1">
      <alignment horizontal="right"/>
      <protection hidden="1"/>
    </xf>
    <xf numFmtId="1" fontId="41" fillId="2" borderId="39" xfId="115" applyNumberFormat="1" applyFont="1" applyFill="1" applyBorder="1" applyAlignment="1" applyProtection="1">
      <alignment horizontal="right"/>
      <protection hidden="1"/>
    </xf>
    <xf numFmtId="208" fontId="41" fillId="2" borderId="25" xfId="115" applyNumberFormat="1" applyFont="1" applyFill="1" applyBorder="1" applyAlignment="1" applyProtection="1">
      <alignment horizontal="right"/>
      <protection hidden="1"/>
    </xf>
    <xf numFmtId="1" fontId="41" fillId="2" borderId="0" xfId="115" applyNumberFormat="1" applyFont="1" applyFill="1" applyBorder="1" applyAlignment="1" applyProtection="1">
      <alignment horizontal="right"/>
      <protection hidden="1"/>
    </xf>
    <xf numFmtId="208" fontId="41" fillId="2" borderId="32" xfId="115" applyNumberFormat="1" applyFont="1" applyFill="1" applyBorder="1" applyAlignment="1" applyProtection="1">
      <alignment horizontal="right"/>
      <protection hidden="1"/>
    </xf>
    <xf numFmtId="1" fontId="41" fillId="2" borderId="41" xfId="115" applyNumberFormat="1" applyFont="1" applyFill="1" applyBorder="1" applyAlignment="1" applyProtection="1">
      <alignment horizontal="right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208" fontId="41" fillId="2" borderId="37" xfId="115" applyNumberFormat="1" applyFont="1" applyFill="1" applyBorder="1" applyAlignment="1" applyProtection="1">
      <alignment vertical="center"/>
      <protection hidden="1"/>
    </xf>
    <xf numFmtId="208" fontId="41" fillId="2" borderId="49" xfId="115" applyNumberFormat="1" applyFont="1" applyFill="1" applyBorder="1" applyAlignment="1" applyProtection="1">
      <alignment vertical="center"/>
      <protection hidden="1"/>
    </xf>
    <xf numFmtId="208" fontId="41" fillId="2" borderId="50" xfId="115" applyNumberFormat="1" applyFont="1" applyFill="1" applyBorder="1" applyAlignment="1" applyProtection="1">
      <alignment vertical="center"/>
      <protection hidden="1"/>
    </xf>
    <xf numFmtId="0" fontId="145" fillId="46" borderId="29" xfId="115" applyFont="1" applyFill="1" applyBorder="1" applyProtection="1">
      <alignment/>
      <protection hidden="1"/>
    </xf>
    <xf numFmtId="208" fontId="41" fillId="2" borderId="21" xfId="115" applyNumberFormat="1" applyFont="1" applyFill="1" applyBorder="1" applyAlignment="1" applyProtection="1">
      <alignment horizontal="right"/>
      <protection hidden="1"/>
    </xf>
    <xf numFmtId="208" fontId="41" fillId="2" borderId="36" xfId="115" applyNumberFormat="1" applyFont="1" applyFill="1" applyBorder="1" applyAlignment="1" applyProtection="1">
      <alignment vertical="center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208" fontId="41" fillId="2" borderId="0" xfId="115" applyNumberFormat="1" applyFont="1" applyFill="1" applyBorder="1" applyAlignment="1" applyProtection="1">
      <alignment horizontal="right"/>
      <protection hidden="1"/>
    </xf>
    <xf numFmtId="208" fontId="41" fillId="2" borderId="36" xfId="115" applyNumberFormat="1" applyFont="1" applyFill="1" applyBorder="1" applyAlignment="1" applyProtection="1">
      <alignment horizontal="center"/>
      <protection hidden="1"/>
    </xf>
    <xf numFmtId="208" fontId="41" fillId="2" borderId="37" xfId="115" applyNumberFormat="1" applyFont="1" applyFill="1" applyBorder="1" applyAlignment="1" applyProtection="1">
      <alignment horizontal="center"/>
      <protection hidden="1"/>
    </xf>
    <xf numFmtId="208" fontId="41" fillId="2" borderId="25" xfId="115" applyNumberFormat="1" applyFont="1" applyFill="1" applyBorder="1" applyAlignment="1" applyProtection="1">
      <alignment horizontal="center"/>
      <protection hidden="1"/>
    </xf>
    <xf numFmtId="208" fontId="41" fillId="2" borderId="21" xfId="115" applyNumberFormat="1" applyFont="1" applyFill="1" applyBorder="1" applyAlignment="1" applyProtection="1">
      <alignment horizontal="center"/>
      <protection hidden="1"/>
    </xf>
    <xf numFmtId="208" fontId="41" fillId="2" borderId="31" xfId="115" applyNumberFormat="1" applyFont="1" applyFill="1" applyBorder="1" applyAlignment="1" applyProtection="1">
      <alignment horizontal="center"/>
      <protection hidden="1"/>
    </xf>
    <xf numFmtId="208" fontId="41" fillId="2" borderId="40" xfId="115" applyNumberFormat="1" applyFont="1" applyFill="1" applyBorder="1" applyAlignment="1" applyProtection="1">
      <alignment horizontal="center"/>
      <protection hidden="1"/>
    </xf>
    <xf numFmtId="208" fontId="41" fillId="2" borderId="32" xfId="115" applyNumberFormat="1" applyFont="1" applyFill="1" applyBorder="1" applyAlignment="1" applyProtection="1">
      <alignment horizontal="center"/>
      <protection hidden="1"/>
    </xf>
    <xf numFmtId="208" fontId="41" fillId="2" borderId="48" xfId="115" applyNumberFormat="1" applyFont="1" applyFill="1" applyBorder="1" applyAlignment="1" applyProtection="1">
      <alignment horizontal="center"/>
      <protection hidden="1"/>
    </xf>
    <xf numFmtId="208" fontId="41" fillId="2" borderId="48" xfId="115" applyNumberFormat="1" applyFont="1" applyFill="1" applyBorder="1" applyAlignment="1" applyProtection="1">
      <alignment vertical="center"/>
      <protection hidden="1"/>
    </xf>
    <xf numFmtId="0" fontId="155" fillId="2" borderId="25" xfId="115" applyFont="1" applyFill="1" applyBorder="1" applyProtection="1">
      <alignment/>
      <protection hidden="1"/>
    </xf>
    <xf numFmtId="0" fontId="145" fillId="2" borderId="25" xfId="115" applyFont="1" applyFill="1" applyBorder="1" applyProtection="1">
      <alignment/>
      <protection hidden="1"/>
    </xf>
    <xf numFmtId="0" fontId="169" fillId="2" borderId="26" xfId="0" applyFont="1" applyFill="1" applyBorder="1" applyAlignment="1">
      <alignment horizontal="center"/>
    </xf>
    <xf numFmtId="0" fontId="181" fillId="0" borderId="0" xfId="0" applyFont="1" applyAlignment="1">
      <alignment/>
    </xf>
    <xf numFmtId="0" fontId="182" fillId="50" borderId="0" xfId="115" applyFont="1" applyFill="1" applyBorder="1" applyAlignment="1" applyProtection="1">
      <alignment horizontal="center"/>
      <protection hidden="1"/>
    </xf>
    <xf numFmtId="0" fontId="182" fillId="2" borderId="0" xfId="115" applyFont="1" applyFill="1" applyBorder="1" applyAlignment="1" applyProtection="1">
      <alignment horizontal="center"/>
      <protection hidden="1"/>
    </xf>
    <xf numFmtId="0" fontId="181" fillId="2" borderId="0" xfId="0" applyFont="1" applyFill="1" applyAlignment="1">
      <alignment/>
    </xf>
    <xf numFmtId="1" fontId="41" fillId="2" borderId="40" xfId="115" applyNumberFormat="1" applyFont="1" applyFill="1" applyBorder="1" applyAlignment="1" applyProtection="1">
      <alignment horizontal="right"/>
      <protection hidden="1"/>
    </xf>
    <xf numFmtId="1" fontId="41" fillId="2" borderId="21" xfId="115" applyNumberFormat="1" applyFont="1" applyFill="1" applyBorder="1" applyAlignment="1" applyProtection="1">
      <alignment horizontal="right"/>
      <protection hidden="1"/>
    </xf>
    <xf numFmtId="1" fontId="41" fillId="2" borderId="48" xfId="115" applyNumberFormat="1" applyFont="1" applyFill="1" applyBorder="1" applyAlignment="1" applyProtection="1">
      <alignment horizontal="right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42" fillId="46" borderId="29" xfId="115" applyFont="1" applyFill="1" applyBorder="1" applyAlignment="1" applyProtection="1">
      <alignment horizontal="center"/>
      <protection hidden="1"/>
    </xf>
    <xf numFmtId="208" fontId="41" fillId="2" borderId="21" xfId="115" applyNumberFormat="1" applyFont="1" applyFill="1" applyBorder="1" applyAlignment="1" applyProtection="1">
      <alignment horizontal="center"/>
      <protection hidden="1"/>
    </xf>
    <xf numFmtId="208" fontId="41" fillId="2" borderId="40" xfId="115" applyNumberFormat="1" applyFont="1" applyFill="1" applyBorder="1" applyAlignment="1" applyProtection="1">
      <alignment horizontal="center"/>
      <protection hidden="1"/>
    </xf>
    <xf numFmtId="0" fontId="23" fillId="46" borderId="20" xfId="115" applyFont="1" applyFill="1" applyBorder="1" applyProtection="1">
      <alignment/>
      <protection hidden="1"/>
    </xf>
    <xf numFmtId="0" fontId="51" fillId="50" borderId="38" xfId="115" applyFont="1" applyFill="1" applyBorder="1" applyProtection="1">
      <alignment/>
      <protection hidden="1"/>
    </xf>
    <xf numFmtId="0" fontId="182" fillId="50" borderId="21" xfId="115" applyFont="1" applyFill="1" applyBorder="1" applyAlignment="1" applyProtection="1">
      <alignment horizontal="center"/>
      <protection hidden="1"/>
    </xf>
    <xf numFmtId="0" fontId="181" fillId="0" borderId="21" xfId="0" applyFont="1" applyBorder="1" applyAlignment="1">
      <alignment/>
    </xf>
    <xf numFmtId="0" fontId="53" fillId="46" borderId="40" xfId="115" applyFont="1" applyFill="1" applyBorder="1" applyProtection="1">
      <alignment/>
      <protection hidden="1"/>
    </xf>
    <xf numFmtId="0" fontId="156" fillId="48" borderId="28" xfId="115" applyFont="1" applyFill="1" applyBorder="1" applyAlignment="1" applyProtection="1">
      <alignment horizontal="center" vertical="center"/>
      <protection hidden="1"/>
    </xf>
    <xf numFmtId="0" fontId="156" fillId="50" borderId="25" xfId="115" applyFont="1" applyFill="1" applyBorder="1" applyAlignment="1" applyProtection="1">
      <alignment horizontal="center" vertical="center"/>
      <protection hidden="1"/>
    </xf>
    <xf numFmtId="0" fontId="156" fillId="48" borderId="28" xfId="115" applyFont="1" applyFill="1" applyBorder="1" applyAlignment="1" applyProtection="1">
      <alignment horizontal="center"/>
      <protection hidden="1"/>
    </xf>
    <xf numFmtId="208" fontId="41" fillId="2" borderId="25" xfId="115" applyNumberFormat="1" applyFont="1" applyFill="1" applyBorder="1" applyAlignment="1" applyProtection="1">
      <alignment/>
      <protection hidden="1"/>
    </xf>
    <xf numFmtId="208" fontId="41" fillId="2" borderId="21" xfId="115" applyNumberFormat="1" applyFont="1" applyFill="1" applyBorder="1" applyAlignment="1" applyProtection="1">
      <alignment/>
      <protection hidden="1"/>
    </xf>
    <xf numFmtId="0" fontId="148" fillId="50" borderId="0" xfId="115" applyFont="1" applyFill="1" applyBorder="1" applyAlignment="1" applyProtection="1">
      <alignment horizontal="left"/>
      <protection hidden="1"/>
    </xf>
    <xf numFmtId="0" fontId="154" fillId="46" borderId="0" xfId="0" applyFont="1" applyFill="1" applyBorder="1" applyAlignment="1">
      <alignment horizontal="center"/>
    </xf>
    <xf numFmtId="0" fontId="154" fillId="0" borderId="0" xfId="0" applyFont="1" applyBorder="1" applyAlignment="1">
      <alignment horizontal="center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41" fillId="50" borderId="39" xfId="115" applyFont="1" applyFill="1" applyBorder="1" applyProtection="1">
      <alignment/>
      <protection hidden="1"/>
    </xf>
    <xf numFmtId="0" fontId="41" fillId="50" borderId="21" xfId="115" applyFont="1" applyFill="1" applyBorder="1" applyProtection="1">
      <alignment/>
      <protection hidden="1"/>
    </xf>
    <xf numFmtId="0" fontId="41" fillId="50" borderId="20" xfId="115" applyFont="1" applyFill="1" applyBorder="1" applyProtection="1">
      <alignment/>
      <protection hidden="1"/>
    </xf>
    <xf numFmtId="0" fontId="39" fillId="50" borderId="0" xfId="115" applyFont="1" applyFill="1" applyBorder="1" applyAlignment="1">
      <alignment horizontal="left"/>
      <protection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39" fillId="50" borderId="0" xfId="115" applyFont="1" applyFill="1" applyBorder="1" applyAlignment="1">
      <alignment horizontal="left"/>
      <protection/>
    </xf>
    <xf numFmtId="0" fontId="145" fillId="50" borderId="46" xfId="115" applyFont="1" applyFill="1" applyBorder="1" applyAlignment="1" applyProtection="1">
      <alignment horizontal="center"/>
      <protection hidden="1"/>
    </xf>
    <xf numFmtId="0" fontId="41" fillId="50" borderId="28" xfId="0" applyFont="1" applyFill="1" applyBorder="1" applyAlignment="1">
      <alignment/>
    </xf>
    <xf numFmtId="0" fontId="53" fillId="50" borderId="34" xfId="0" applyFont="1" applyFill="1" applyBorder="1" applyAlignment="1">
      <alignment/>
    </xf>
    <xf numFmtId="0" fontId="145" fillId="50" borderId="27" xfId="115" applyFont="1" applyFill="1" applyBorder="1" applyAlignment="1" applyProtection="1">
      <alignment horizontal="center"/>
      <protection hidden="1"/>
    </xf>
    <xf numFmtId="0" fontId="42" fillId="50" borderId="35" xfId="115" applyFont="1" applyFill="1" applyBorder="1" applyAlignment="1" applyProtection="1">
      <alignment horizontal="center"/>
      <protection hidden="1"/>
    </xf>
    <xf numFmtId="1" fontId="67" fillId="50" borderId="0" xfId="0" applyNumberFormat="1" applyFont="1" applyFill="1" applyBorder="1" applyAlignment="1">
      <alignment horizontal="left" vertical="center"/>
    </xf>
    <xf numFmtId="0" fontId="63" fillId="50" borderId="0" xfId="115" applyFont="1" applyFill="1">
      <alignment/>
      <protection/>
    </xf>
    <xf numFmtId="0" fontId="63" fillId="50" borderId="0" xfId="115" applyFont="1" applyFill="1" applyAlignment="1" applyProtection="1">
      <alignment/>
      <protection hidden="1"/>
    </xf>
    <xf numFmtId="0" fontId="0" fillId="50" borderId="0" xfId="0" applyFill="1" applyAlignment="1">
      <alignment/>
    </xf>
    <xf numFmtId="1" fontId="39" fillId="57" borderId="0" xfId="0" applyNumberFormat="1" applyFont="1" applyFill="1" applyBorder="1" applyAlignment="1">
      <alignment horizontal="left" vertical="center"/>
    </xf>
    <xf numFmtId="0" fontId="120" fillId="50" borderId="0" xfId="46" applyFill="1" applyBorder="1" applyAlignment="1" applyProtection="1">
      <alignment horizontal="left" wrapText="1" indent="3"/>
      <protection hidden="1"/>
    </xf>
    <xf numFmtId="0" fontId="120" fillId="0" borderId="0" xfId="46" applyAlignment="1">
      <alignment/>
    </xf>
    <xf numFmtId="0" fontId="43" fillId="47" borderId="0" xfId="115" applyFont="1" applyFill="1" applyBorder="1" applyAlignment="1" applyProtection="1">
      <alignment horizontal="center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208" fontId="42" fillId="50" borderId="0" xfId="115" applyNumberFormat="1" applyFont="1" applyFill="1" applyBorder="1" applyAlignment="1" applyProtection="1">
      <alignment horizontal="center"/>
      <protection hidden="1"/>
    </xf>
    <xf numFmtId="1" fontId="42" fillId="50" borderId="0" xfId="115" applyNumberFormat="1" applyFont="1" applyFill="1" applyBorder="1" applyAlignment="1" applyProtection="1">
      <alignment horizontal="center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43" fillId="50" borderId="0" xfId="115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>
      <alignment horizontal="left"/>
      <protection/>
    </xf>
    <xf numFmtId="0" fontId="42" fillId="46" borderId="32" xfId="115" applyFont="1" applyFill="1" applyBorder="1" applyAlignment="1">
      <alignment horizontal="center"/>
      <protection/>
    </xf>
    <xf numFmtId="208" fontId="41" fillId="2" borderId="25" xfId="115" applyNumberFormat="1" applyFont="1" applyFill="1" applyBorder="1" applyAlignment="1" applyProtection="1">
      <alignment horizontal="center"/>
      <protection hidden="1"/>
    </xf>
    <xf numFmtId="208" fontId="41" fillId="2" borderId="21" xfId="115" applyNumberFormat="1" applyFont="1" applyFill="1" applyBorder="1" applyAlignment="1" applyProtection="1">
      <alignment horizontal="center"/>
      <protection hidden="1"/>
    </xf>
    <xf numFmtId="208" fontId="41" fillId="2" borderId="31" xfId="115" applyNumberFormat="1" applyFont="1" applyFill="1" applyBorder="1" applyAlignment="1" applyProtection="1">
      <alignment horizontal="center"/>
      <protection hidden="1"/>
    </xf>
    <xf numFmtId="208" fontId="41" fillId="2" borderId="40" xfId="115" applyNumberFormat="1" applyFont="1" applyFill="1" applyBorder="1" applyAlignment="1" applyProtection="1">
      <alignment horizontal="center"/>
      <protection hidden="1"/>
    </xf>
    <xf numFmtId="208" fontId="41" fillId="2" borderId="36" xfId="115" applyNumberFormat="1" applyFont="1" applyFill="1" applyBorder="1" applyAlignment="1" applyProtection="1">
      <alignment horizontal="center"/>
      <protection hidden="1"/>
    </xf>
    <xf numFmtId="208" fontId="41" fillId="2" borderId="37" xfId="115" applyNumberFormat="1" applyFont="1" applyFill="1" applyBorder="1" applyAlignment="1" applyProtection="1">
      <alignment horizontal="center"/>
      <protection hidden="1"/>
    </xf>
    <xf numFmtId="208" fontId="41" fillId="2" borderId="32" xfId="115" applyNumberFormat="1" applyFont="1" applyFill="1" applyBorder="1" applyAlignment="1" applyProtection="1">
      <alignment horizontal="center"/>
      <protection hidden="1"/>
    </xf>
    <xf numFmtId="208" fontId="41" fillId="2" borderId="48" xfId="115" applyNumberFormat="1" applyFont="1" applyFill="1" applyBorder="1" applyAlignment="1" applyProtection="1">
      <alignment horizontal="center"/>
      <protection hidden="1"/>
    </xf>
    <xf numFmtId="208" fontId="41" fillId="2" borderId="32" xfId="115" applyNumberFormat="1" applyFont="1" applyFill="1" applyBorder="1" applyAlignment="1" applyProtection="1">
      <alignment vertical="center"/>
      <protection hidden="1"/>
    </xf>
    <xf numFmtId="208" fontId="41" fillId="50" borderId="31" xfId="115" applyNumberFormat="1" applyFont="1" applyFill="1" applyBorder="1" applyAlignment="1" applyProtection="1">
      <alignment horizontal="right"/>
      <protection hidden="1"/>
    </xf>
    <xf numFmtId="1" fontId="41" fillId="50" borderId="40" xfId="115" applyNumberFormat="1" applyFont="1" applyFill="1" applyBorder="1" applyAlignment="1" applyProtection="1">
      <alignment horizontal="right"/>
      <protection hidden="1"/>
    </xf>
    <xf numFmtId="208" fontId="41" fillId="50" borderId="25" xfId="115" applyNumberFormat="1" applyFont="1" applyFill="1" applyBorder="1" applyAlignment="1" applyProtection="1">
      <alignment horizontal="right"/>
      <protection hidden="1"/>
    </xf>
    <xf numFmtId="1" fontId="41" fillId="50" borderId="21" xfId="115" applyNumberFormat="1" applyFont="1" applyFill="1" applyBorder="1" applyAlignment="1" applyProtection="1">
      <alignment horizontal="right"/>
      <protection hidden="1"/>
    </xf>
    <xf numFmtId="208" fontId="41" fillId="50" borderId="32" xfId="115" applyNumberFormat="1" applyFont="1" applyFill="1" applyBorder="1" applyAlignment="1" applyProtection="1">
      <alignment horizontal="right"/>
      <protection hidden="1"/>
    </xf>
    <xf numFmtId="1" fontId="41" fillId="50" borderId="48" xfId="115" applyNumberFormat="1" applyFont="1" applyFill="1" applyBorder="1" applyAlignment="1" applyProtection="1">
      <alignment horizontal="right"/>
      <protection hidden="1"/>
    </xf>
    <xf numFmtId="0" fontId="149" fillId="47" borderId="41" xfId="115" applyFont="1" applyFill="1" applyBorder="1" applyAlignment="1" applyProtection="1">
      <alignment horizontal="left"/>
      <protection hidden="1"/>
    </xf>
    <xf numFmtId="0" fontId="39" fillId="47" borderId="41" xfId="115" applyFont="1" applyFill="1" applyBorder="1" applyAlignment="1">
      <alignment horizontal="left"/>
      <protection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208" fontId="41" fillId="50" borderId="31" xfId="115" applyNumberFormat="1" applyFont="1" applyFill="1" applyBorder="1" applyAlignment="1" applyProtection="1">
      <alignment horizontal="center"/>
      <protection hidden="1"/>
    </xf>
    <xf numFmtId="208" fontId="41" fillId="50" borderId="40" xfId="115" applyNumberFormat="1" applyFont="1" applyFill="1" applyBorder="1" applyAlignment="1" applyProtection="1">
      <alignment horizontal="center"/>
      <protection hidden="1"/>
    </xf>
    <xf numFmtId="208" fontId="41" fillId="50" borderId="25" xfId="115" applyNumberFormat="1" applyFont="1" applyFill="1" applyBorder="1" applyAlignment="1" applyProtection="1">
      <alignment horizontal="center" vertical="center"/>
      <protection hidden="1"/>
    </xf>
    <xf numFmtId="208" fontId="41" fillId="50" borderId="21" xfId="115" applyNumberFormat="1" applyFont="1" applyFill="1" applyBorder="1" applyAlignment="1" applyProtection="1">
      <alignment horizontal="center" vertical="center"/>
      <protection hidden="1"/>
    </xf>
    <xf numFmtId="208" fontId="41" fillId="2" borderId="25" xfId="115" applyNumberFormat="1" applyFont="1" applyFill="1" applyBorder="1" applyAlignment="1" applyProtection="1">
      <alignment horizontal="center" vertical="center"/>
      <protection hidden="1"/>
    </xf>
    <xf numFmtId="208" fontId="41" fillId="2" borderId="21" xfId="115" applyNumberFormat="1" applyFont="1" applyFill="1" applyBorder="1" applyAlignment="1" applyProtection="1">
      <alignment horizontal="center" vertical="center"/>
      <protection hidden="1"/>
    </xf>
    <xf numFmtId="208" fontId="41" fillId="2" borderId="25" xfId="115" applyNumberFormat="1" applyFont="1" applyFill="1" applyBorder="1" applyAlignment="1" applyProtection="1">
      <alignment horizontal="center"/>
      <protection hidden="1"/>
    </xf>
    <xf numFmtId="208" fontId="41" fillId="2" borderId="21" xfId="115" applyNumberFormat="1" applyFont="1" applyFill="1" applyBorder="1" applyAlignment="1" applyProtection="1">
      <alignment horizontal="center"/>
      <protection hidden="1"/>
    </xf>
    <xf numFmtId="208" fontId="41" fillId="50" borderId="32" xfId="115" applyNumberFormat="1" applyFont="1" applyFill="1" applyBorder="1" applyAlignment="1" applyProtection="1">
      <alignment horizontal="center"/>
      <protection hidden="1"/>
    </xf>
    <xf numFmtId="208" fontId="41" fillId="50" borderId="48" xfId="115" applyNumberFormat="1" applyFont="1" applyFill="1" applyBorder="1" applyAlignment="1" applyProtection="1">
      <alignment horizontal="center"/>
      <protection hidden="1"/>
    </xf>
    <xf numFmtId="208" fontId="41" fillId="2" borderId="31" xfId="115" applyNumberFormat="1" applyFont="1" applyFill="1" applyBorder="1" applyAlignment="1" applyProtection="1">
      <alignment horizontal="center" vertical="center"/>
      <protection hidden="1"/>
    </xf>
    <xf numFmtId="208" fontId="41" fillId="2" borderId="40" xfId="115" applyNumberFormat="1" applyFont="1" applyFill="1" applyBorder="1" applyAlignment="1" applyProtection="1">
      <alignment horizontal="center" vertical="center"/>
      <protection hidden="1"/>
    </xf>
    <xf numFmtId="208" fontId="41" fillId="50" borderId="25" xfId="115" applyNumberFormat="1" applyFont="1" applyFill="1" applyBorder="1" applyAlignment="1" applyProtection="1">
      <alignment horizontal="center" vertical="top"/>
      <protection hidden="1"/>
    </xf>
    <xf numFmtId="208" fontId="41" fillId="50" borderId="21" xfId="115" applyNumberFormat="1" applyFont="1" applyFill="1" applyBorder="1" applyAlignment="1" applyProtection="1">
      <alignment horizontal="center" vertical="top"/>
      <protection hidden="1"/>
    </xf>
    <xf numFmtId="208" fontId="41" fillId="2" borderId="25" xfId="115" applyNumberFormat="1" applyFont="1" applyFill="1" applyBorder="1" applyAlignment="1" applyProtection="1">
      <alignment horizontal="center" vertical="top"/>
      <protection hidden="1"/>
    </xf>
    <xf numFmtId="208" fontId="41" fillId="2" borderId="21" xfId="115" applyNumberFormat="1" applyFont="1" applyFill="1" applyBorder="1" applyAlignment="1" applyProtection="1">
      <alignment horizontal="center" vertical="top"/>
      <protection hidden="1"/>
    </xf>
    <xf numFmtId="208" fontId="153" fillId="59" borderId="25" xfId="115" applyNumberFormat="1" applyFont="1" applyFill="1" applyBorder="1" applyAlignment="1" applyProtection="1">
      <alignment horizontal="center" vertical="center"/>
      <protection hidden="1"/>
    </xf>
    <xf numFmtId="208" fontId="153" fillId="59" borderId="21" xfId="115" applyNumberFormat="1" applyFont="1" applyFill="1" applyBorder="1" applyAlignment="1" applyProtection="1">
      <alignment horizontal="center" vertical="center"/>
      <protection hidden="1"/>
    </xf>
    <xf numFmtId="208" fontId="41" fillId="2" borderId="36" xfId="115" applyNumberFormat="1" applyFont="1" applyFill="1" applyBorder="1" applyAlignment="1" applyProtection="1">
      <alignment horizontal="center"/>
      <protection hidden="1"/>
    </xf>
    <xf numFmtId="208" fontId="41" fillId="2" borderId="37" xfId="115" applyNumberFormat="1" applyFont="1" applyFill="1" applyBorder="1" applyAlignment="1" applyProtection="1">
      <alignment horizontal="center"/>
      <protection hidden="1"/>
    </xf>
    <xf numFmtId="208" fontId="41" fillId="2" borderId="0" xfId="115" applyNumberFormat="1" applyFont="1" applyFill="1" applyBorder="1" applyAlignment="1" applyProtection="1">
      <alignment horizontal="center"/>
      <protection hidden="1"/>
    </xf>
    <xf numFmtId="208" fontId="41" fillId="2" borderId="20" xfId="115" applyNumberFormat="1" applyFont="1" applyFill="1" applyBorder="1" applyAlignment="1" applyProtection="1">
      <alignment horizontal="center"/>
      <protection hidden="1"/>
    </xf>
    <xf numFmtId="208" fontId="41" fillId="2" borderId="31" xfId="115" applyNumberFormat="1" applyFont="1" applyFill="1" applyBorder="1" applyAlignment="1" applyProtection="1">
      <alignment horizontal="center"/>
      <protection hidden="1"/>
    </xf>
    <xf numFmtId="208" fontId="41" fillId="2" borderId="40" xfId="115" applyNumberFormat="1" applyFont="1" applyFill="1" applyBorder="1" applyAlignment="1" applyProtection="1">
      <alignment horizontal="center"/>
      <protection hidden="1"/>
    </xf>
    <xf numFmtId="208" fontId="41" fillId="50" borderId="36" xfId="115" applyNumberFormat="1" applyFont="1" applyFill="1" applyBorder="1" applyAlignment="1" applyProtection="1">
      <alignment horizontal="center"/>
      <protection hidden="1"/>
    </xf>
    <xf numFmtId="208" fontId="41" fillId="50" borderId="37" xfId="115" applyNumberFormat="1" applyFont="1" applyFill="1" applyBorder="1" applyAlignment="1" applyProtection="1">
      <alignment horizontal="center"/>
      <protection hidden="1"/>
    </xf>
    <xf numFmtId="208" fontId="41" fillId="50" borderId="0" xfId="115" applyNumberFormat="1" applyFont="1" applyFill="1" applyBorder="1" applyAlignment="1" applyProtection="1">
      <alignment horizontal="center"/>
      <protection hidden="1"/>
    </xf>
    <xf numFmtId="0" fontId="43" fillId="50" borderId="42" xfId="115" applyFont="1" applyFill="1" applyBorder="1" applyAlignment="1" applyProtection="1">
      <alignment horizontal="left"/>
      <protection hidden="1"/>
    </xf>
    <xf numFmtId="0" fontId="43" fillId="50" borderId="0" xfId="115" applyFont="1" applyFill="1" applyBorder="1" applyAlignment="1" applyProtection="1">
      <alignment horizontal="left"/>
      <protection hidden="1"/>
    </xf>
    <xf numFmtId="0" fontId="47" fillId="50" borderId="0" xfId="115" applyFont="1" applyFill="1" applyBorder="1" applyAlignment="1" applyProtection="1">
      <alignment horizontal="center"/>
      <protection hidden="1"/>
    </xf>
    <xf numFmtId="0" fontId="156" fillId="50" borderId="0" xfId="115" applyFont="1" applyFill="1" applyBorder="1" applyAlignment="1" applyProtection="1">
      <alignment horizontal="center" vertical="center"/>
      <protection hidden="1"/>
    </xf>
    <xf numFmtId="1" fontId="41" fillId="2" borderId="25" xfId="115" applyNumberFormat="1" applyFont="1" applyFill="1" applyBorder="1" applyAlignment="1" applyProtection="1">
      <alignment horizontal="center"/>
      <protection hidden="1"/>
    </xf>
    <xf numFmtId="1" fontId="41" fillId="2" borderId="21" xfId="115" applyNumberFormat="1" applyFont="1" applyFill="1" applyBorder="1" applyAlignment="1" applyProtection="1">
      <alignment horizontal="center"/>
      <protection hidden="1"/>
    </xf>
    <xf numFmtId="208" fontId="41" fillId="2" borderId="32" xfId="115" applyNumberFormat="1" applyFont="1" applyFill="1" applyBorder="1" applyAlignment="1" applyProtection="1">
      <alignment horizontal="center"/>
      <protection hidden="1"/>
    </xf>
    <xf numFmtId="208" fontId="41" fillId="2" borderId="48" xfId="115" applyNumberFormat="1" applyFont="1" applyFill="1" applyBorder="1" applyAlignment="1" applyProtection="1">
      <alignment horizontal="center"/>
      <protection hidden="1"/>
    </xf>
    <xf numFmtId="208" fontId="41" fillId="50" borderId="25" xfId="115" applyNumberFormat="1" applyFont="1" applyFill="1" applyBorder="1" applyAlignment="1" applyProtection="1">
      <alignment horizontal="center"/>
      <protection hidden="1"/>
    </xf>
    <xf numFmtId="208" fontId="41" fillId="50" borderId="21" xfId="115" applyNumberFormat="1" applyFont="1" applyFill="1" applyBorder="1" applyAlignment="1" applyProtection="1">
      <alignment horizontal="center"/>
      <protection hidden="1"/>
    </xf>
    <xf numFmtId="0" fontId="43" fillId="46" borderId="0" xfId="115" applyFont="1" applyFill="1" applyBorder="1" applyAlignment="1" applyProtection="1">
      <alignment horizontal="left" wrapText="1"/>
      <protection hidden="1"/>
    </xf>
    <xf numFmtId="0" fontId="149" fillId="50" borderId="20" xfId="115" applyFont="1" applyFill="1" applyBorder="1" applyAlignment="1" applyProtection="1">
      <alignment horizontal="left"/>
      <protection hidden="1"/>
    </xf>
    <xf numFmtId="0" fontId="149" fillId="50" borderId="0" xfId="115" applyFont="1" applyFill="1" applyBorder="1" applyAlignment="1" applyProtection="1">
      <alignment horizontal="left"/>
      <protection hidden="1"/>
    </xf>
    <xf numFmtId="208" fontId="41" fillId="50" borderId="41" xfId="115" applyNumberFormat="1" applyFont="1" applyFill="1" applyBorder="1" applyAlignment="1" applyProtection="1">
      <alignment horizontal="center"/>
      <protection hidden="1"/>
    </xf>
    <xf numFmtId="208" fontId="41" fillId="50" borderId="39" xfId="115" applyNumberFormat="1" applyFont="1" applyFill="1" applyBorder="1" applyAlignment="1" applyProtection="1">
      <alignment horizontal="center"/>
      <protection hidden="1"/>
    </xf>
    <xf numFmtId="0" fontId="40" fillId="50" borderId="39" xfId="115" applyFont="1" applyFill="1" applyBorder="1" applyAlignment="1" applyProtection="1">
      <alignment horizontal="left"/>
      <protection hidden="1"/>
    </xf>
    <xf numFmtId="0" fontId="156" fillId="48" borderId="0" xfId="115" applyFont="1" applyFill="1" applyBorder="1" applyAlignment="1" applyProtection="1">
      <alignment horizontal="center" vertical="center"/>
      <protection hidden="1"/>
    </xf>
    <xf numFmtId="208" fontId="41" fillId="50" borderId="32" xfId="115" applyNumberFormat="1" applyFont="1" applyFill="1" applyBorder="1" applyAlignment="1" applyProtection="1">
      <alignment horizontal="center" vertical="top"/>
      <protection hidden="1"/>
    </xf>
    <xf numFmtId="208" fontId="41" fillId="50" borderId="48" xfId="115" applyNumberFormat="1" applyFont="1" applyFill="1" applyBorder="1" applyAlignment="1" applyProtection="1">
      <alignment horizontal="center" vertical="top"/>
      <protection hidden="1"/>
    </xf>
    <xf numFmtId="208" fontId="41" fillId="50" borderId="20" xfId="115" applyNumberFormat="1" applyFont="1" applyFill="1" applyBorder="1" applyAlignment="1" applyProtection="1">
      <alignment horizontal="center"/>
      <protection hidden="1"/>
    </xf>
    <xf numFmtId="1" fontId="39" fillId="57" borderId="0" xfId="0" applyNumberFormat="1" applyFont="1" applyFill="1" applyBorder="1" applyAlignment="1">
      <alignment horizontal="left"/>
    </xf>
    <xf numFmtId="0" fontId="144" fillId="57" borderId="0" xfId="0" applyFont="1" applyFill="1" applyAlignment="1">
      <alignment/>
    </xf>
    <xf numFmtId="1" fontId="43" fillId="46" borderId="0" xfId="115" applyNumberFormat="1" applyFont="1" applyFill="1" applyBorder="1" applyAlignment="1" applyProtection="1">
      <alignment horizontal="left"/>
      <protection hidden="1"/>
    </xf>
    <xf numFmtId="208" fontId="41" fillId="2" borderId="39" xfId="115" applyNumberFormat="1" applyFont="1" applyFill="1" applyBorder="1" applyAlignment="1" applyProtection="1">
      <alignment horizontal="center"/>
      <protection hidden="1"/>
    </xf>
    <xf numFmtId="1" fontId="39" fillId="57" borderId="0" xfId="0" applyNumberFormat="1" applyFont="1" applyFill="1" applyBorder="1" applyAlignment="1">
      <alignment horizontal="left" wrapText="1"/>
    </xf>
    <xf numFmtId="208" fontId="41" fillId="50" borderId="0" xfId="0" applyNumberFormat="1" applyFont="1" applyFill="1" applyBorder="1" applyAlignment="1" applyProtection="1">
      <alignment horizontal="center"/>
      <protection hidden="1"/>
    </xf>
    <xf numFmtId="1" fontId="42" fillId="50" borderId="0" xfId="115" applyNumberFormat="1" applyFont="1" applyFill="1" applyBorder="1" applyAlignment="1" applyProtection="1">
      <alignment horizontal="center"/>
      <protection hidden="1"/>
    </xf>
    <xf numFmtId="208" fontId="41" fillId="50" borderId="45" xfId="115" applyNumberFormat="1" applyFont="1" applyFill="1" applyBorder="1" applyAlignment="1" applyProtection="1">
      <alignment horizontal="center"/>
      <protection hidden="1"/>
    </xf>
    <xf numFmtId="208" fontId="41" fillId="50" borderId="24" xfId="115" applyNumberFormat="1" applyFont="1" applyFill="1" applyBorder="1" applyAlignment="1" applyProtection="1">
      <alignment horizontal="center"/>
      <protection hidden="1"/>
    </xf>
    <xf numFmtId="0" fontId="27" fillId="46" borderId="20" xfId="115" applyFont="1" applyFill="1" applyBorder="1" applyAlignment="1" applyProtection="1">
      <alignment horizontal="center"/>
      <protection hidden="1"/>
    </xf>
    <xf numFmtId="0" fontId="27" fillId="46" borderId="0" xfId="115" applyFont="1" applyFill="1" applyBorder="1" applyAlignment="1" applyProtection="1">
      <alignment horizontal="center"/>
      <protection hidden="1"/>
    </xf>
    <xf numFmtId="208" fontId="41" fillId="50" borderId="0" xfId="115" applyNumberFormat="1" applyFont="1" applyFill="1" applyBorder="1" applyAlignment="1" applyProtection="1">
      <alignment horizontal="center" vertical="center"/>
      <protection hidden="1"/>
    </xf>
    <xf numFmtId="0" fontId="145" fillId="50" borderId="0" xfId="115" applyFont="1" applyFill="1" applyBorder="1" applyAlignment="1" applyProtection="1">
      <alignment horizontal="center" vertical="center"/>
      <protection hidden="1"/>
    </xf>
    <xf numFmtId="208" fontId="41" fillId="50" borderId="0" xfId="116" applyNumberFormat="1" applyFont="1" applyFill="1" applyBorder="1" applyAlignment="1" applyProtection="1">
      <alignment horizontal="center"/>
      <protection hidden="1"/>
    </xf>
    <xf numFmtId="0" fontId="144" fillId="50" borderId="21" xfId="0" applyFont="1" applyFill="1" applyBorder="1" applyAlignment="1">
      <alignment horizontal="center"/>
    </xf>
    <xf numFmtId="0" fontId="156" fillId="48" borderId="54" xfId="115" applyFont="1" applyFill="1" applyBorder="1" applyAlignment="1" applyProtection="1">
      <alignment horizontal="center" vertical="center"/>
      <protection hidden="1"/>
    </xf>
    <xf numFmtId="0" fontId="155" fillId="48" borderId="55" xfId="115" applyFont="1" applyFill="1" applyBorder="1" applyAlignment="1" applyProtection="1">
      <alignment horizontal="center" vertical="center"/>
      <protection hidden="1"/>
    </xf>
    <xf numFmtId="208" fontId="23" fillId="50" borderId="32" xfId="115" applyNumberFormat="1" applyFont="1" applyFill="1" applyBorder="1" applyAlignment="1" applyProtection="1">
      <alignment horizontal="center"/>
      <protection hidden="1"/>
    </xf>
    <xf numFmtId="208" fontId="23" fillId="50" borderId="48" xfId="115" applyNumberFormat="1" applyFont="1" applyFill="1" applyBorder="1" applyAlignment="1" applyProtection="1">
      <alignment horizontal="center"/>
      <protection hidden="1"/>
    </xf>
    <xf numFmtId="1" fontId="158" fillId="50" borderId="0" xfId="115" applyNumberFormat="1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 applyProtection="1">
      <alignment horizontal="center"/>
      <protection hidden="1"/>
    </xf>
    <xf numFmtId="208" fontId="41" fillId="50" borderId="25" xfId="0" applyNumberFormat="1" applyFont="1" applyFill="1" applyBorder="1" applyAlignment="1" applyProtection="1">
      <alignment horizontal="center"/>
      <protection hidden="1"/>
    </xf>
    <xf numFmtId="208" fontId="41" fillId="50" borderId="21" xfId="0" applyNumberFormat="1" applyFont="1" applyFill="1" applyBorder="1" applyAlignment="1" applyProtection="1">
      <alignment horizontal="center"/>
      <protection hidden="1"/>
    </xf>
    <xf numFmtId="0" fontId="48" fillId="46" borderId="0" xfId="115" applyFont="1" applyFill="1" applyAlignment="1" applyProtection="1">
      <alignment horizontal="center"/>
      <protection hidden="1"/>
    </xf>
    <xf numFmtId="0" fontId="4" fillId="46" borderId="0" xfId="115" applyFont="1" applyFill="1" applyBorder="1" applyAlignment="1" applyProtection="1">
      <alignment horizontal="center"/>
      <protection hidden="1"/>
    </xf>
    <xf numFmtId="0" fontId="43" fillId="46" borderId="20" xfId="115" applyFont="1" applyFill="1" applyBorder="1" applyAlignment="1" applyProtection="1">
      <alignment horizontal="left"/>
      <protection hidden="1"/>
    </xf>
    <xf numFmtId="208" fontId="41" fillId="2" borderId="45" xfId="115" applyNumberFormat="1" applyFont="1" applyFill="1" applyBorder="1" applyAlignment="1" applyProtection="1">
      <alignment horizontal="center"/>
      <protection hidden="1"/>
    </xf>
    <xf numFmtId="208" fontId="41" fillId="2" borderId="24" xfId="115" applyNumberFormat="1" applyFont="1" applyFill="1" applyBorder="1" applyAlignment="1" applyProtection="1">
      <alignment horizontal="center"/>
      <protection hidden="1"/>
    </xf>
    <xf numFmtId="0" fontId="4" fillId="46" borderId="0" xfId="115" applyFont="1" applyFill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0" fontId="136" fillId="50" borderId="0" xfId="115" applyFont="1" applyFill="1" applyBorder="1" applyAlignment="1" applyProtection="1">
      <alignment horizontal="center"/>
      <protection hidden="1"/>
    </xf>
    <xf numFmtId="0" fontId="25" fillId="50" borderId="0" xfId="115" applyFont="1" applyFill="1" applyBorder="1" applyAlignment="1" applyProtection="1">
      <alignment horizontal="center"/>
      <protection hidden="1"/>
    </xf>
    <xf numFmtId="208" fontId="41" fillId="2" borderId="25" xfId="116" applyNumberFormat="1" applyFont="1" applyFill="1" applyBorder="1" applyAlignment="1" applyProtection="1">
      <alignment horizontal="center"/>
      <protection hidden="1"/>
    </xf>
    <xf numFmtId="208" fontId="41" fillId="2" borderId="21" xfId="116" applyNumberFormat="1" applyFont="1" applyFill="1" applyBorder="1" applyAlignment="1" applyProtection="1">
      <alignment horizontal="center"/>
      <protection hidden="1"/>
    </xf>
    <xf numFmtId="208" fontId="41" fillId="50" borderId="32" xfId="116" applyNumberFormat="1" applyFont="1" applyFill="1" applyBorder="1" applyAlignment="1" applyProtection="1">
      <alignment horizontal="center"/>
      <protection hidden="1"/>
    </xf>
    <xf numFmtId="208" fontId="41" fillId="50" borderId="48" xfId="116" applyNumberFormat="1" applyFont="1" applyFill="1" applyBorder="1" applyAlignment="1" applyProtection="1">
      <alignment horizontal="center"/>
      <protection hidden="1"/>
    </xf>
    <xf numFmtId="208" fontId="41" fillId="2" borderId="32" xfId="116" applyNumberFormat="1" applyFont="1" applyFill="1" applyBorder="1" applyAlignment="1" applyProtection="1">
      <alignment horizontal="center"/>
      <protection hidden="1"/>
    </xf>
    <xf numFmtId="208" fontId="41" fillId="2" borderId="48" xfId="116" applyNumberFormat="1" applyFont="1" applyFill="1" applyBorder="1" applyAlignment="1" applyProtection="1">
      <alignment horizontal="center"/>
      <protection hidden="1"/>
    </xf>
    <xf numFmtId="208" fontId="41" fillId="2" borderId="31" xfId="116" applyNumberFormat="1" applyFont="1" applyFill="1" applyBorder="1" applyAlignment="1" applyProtection="1">
      <alignment horizontal="center"/>
      <protection hidden="1"/>
    </xf>
    <xf numFmtId="208" fontId="41" fillId="2" borderId="40" xfId="116" applyNumberFormat="1" applyFont="1" applyFill="1" applyBorder="1" applyAlignment="1" applyProtection="1">
      <alignment horizontal="center"/>
      <protection hidden="1"/>
    </xf>
    <xf numFmtId="0" fontId="155" fillId="50" borderId="0" xfId="115" applyFont="1" applyFill="1" applyBorder="1" applyAlignment="1" applyProtection="1">
      <alignment horizontal="center" vertical="center"/>
      <protection hidden="1"/>
    </xf>
    <xf numFmtId="208" fontId="41" fillId="50" borderId="25" xfId="116" applyNumberFormat="1" applyFont="1" applyFill="1" applyBorder="1" applyAlignment="1" applyProtection="1">
      <alignment horizontal="center"/>
      <protection hidden="1"/>
    </xf>
    <xf numFmtId="208" fontId="41" fillId="50" borderId="21" xfId="116" applyNumberFormat="1" applyFont="1" applyFill="1" applyBorder="1" applyAlignment="1" applyProtection="1">
      <alignment horizontal="center"/>
      <protection hidden="1"/>
    </xf>
    <xf numFmtId="208" fontId="41" fillId="50" borderId="31" xfId="116" applyNumberFormat="1" applyFont="1" applyFill="1" applyBorder="1" applyAlignment="1" applyProtection="1">
      <alignment horizontal="center"/>
      <protection hidden="1"/>
    </xf>
    <xf numFmtId="208" fontId="41" fillId="50" borderId="40" xfId="116" applyNumberFormat="1" applyFont="1" applyFill="1" applyBorder="1" applyAlignment="1" applyProtection="1">
      <alignment horizontal="center"/>
      <protection hidden="1"/>
    </xf>
    <xf numFmtId="1" fontId="41" fillId="50" borderId="0" xfId="115" applyNumberFormat="1" applyFont="1" applyFill="1" applyBorder="1" applyAlignment="1" applyProtection="1">
      <alignment horizontal="center"/>
      <protection hidden="1"/>
    </xf>
    <xf numFmtId="208" fontId="41" fillId="2" borderId="25" xfId="0" applyNumberFormat="1" applyFont="1" applyFill="1" applyBorder="1" applyAlignment="1" applyProtection="1">
      <alignment horizontal="center"/>
      <protection hidden="1"/>
    </xf>
    <xf numFmtId="208" fontId="41" fillId="2" borderId="21" xfId="0" applyNumberFormat="1" applyFont="1" applyFill="1" applyBorder="1" applyAlignment="1" applyProtection="1">
      <alignment horizontal="center"/>
      <protection hidden="1"/>
    </xf>
    <xf numFmtId="0" fontId="183" fillId="47" borderId="0" xfId="46" applyFont="1" applyFill="1" applyAlignment="1">
      <alignment horizontal="center" vertical="center" wrapText="1"/>
    </xf>
    <xf numFmtId="0" fontId="120" fillId="50" borderId="0" xfId="46" applyFill="1" applyBorder="1" applyAlignment="1" applyProtection="1">
      <alignment horizontal="left" wrapText="1" indent="3"/>
      <protection hidden="1"/>
    </xf>
    <xf numFmtId="0" fontId="120" fillId="0" borderId="0" xfId="46" applyAlignment="1" applyProtection="1">
      <alignment horizontal="left" wrapText="1" indent="3"/>
      <protection/>
    </xf>
    <xf numFmtId="0" fontId="120" fillId="0" borderId="0" xfId="46" applyAlignment="1">
      <alignment horizontal="left" indent="3"/>
    </xf>
    <xf numFmtId="0" fontId="184" fillId="56" borderId="0" xfId="0" applyFont="1" applyFill="1" applyAlignment="1">
      <alignment horizontal="center" wrapText="1"/>
    </xf>
    <xf numFmtId="0" fontId="3" fillId="50" borderId="63" xfId="0" applyFont="1" applyFill="1" applyBorder="1" applyAlignment="1">
      <alignment horizontal="center" vertical="center" wrapText="1"/>
    </xf>
    <xf numFmtId="0" fontId="185" fillId="49" borderId="0" xfId="115" applyFont="1" applyFill="1" applyAlignment="1">
      <alignment horizontal="center"/>
      <protection/>
    </xf>
    <xf numFmtId="0" fontId="167" fillId="50" borderId="42" xfId="115" applyFont="1" applyFill="1" applyBorder="1" applyAlignment="1" applyProtection="1">
      <alignment horizontal="left"/>
      <protection hidden="1"/>
    </xf>
    <xf numFmtId="0" fontId="40" fillId="50" borderId="42" xfId="115" applyFont="1" applyFill="1" applyBorder="1" applyAlignment="1" applyProtection="1">
      <alignment horizontal="left"/>
      <protection hidden="1"/>
    </xf>
    <xf numFmtId="0" fontId="40" fillId="50" borderId="0" xfId="115" applyFont="1" applyFill="1" applyBorder="1" applyAlignment="1" applyProtection="1">
      <alignment horizontal="left"/>
      <protection hidden="1"/>
    </xf>
    <xf numFmtId="0" fontId="136" fillId="50" borderId="0" xfId="0" applyFont="1" applyFill="1" applyAlignment="1">
      <alignment horizontal="center" wrapText="1"/>
    </xf>
    <xf numFmtId="0" fontId="24" fillId="50" borderId="0" xfId="0" applyFont="1" applyFill="1" applyAlignment="1">
      <alignment horizontal="center" wrapText="1"/>
    </xf>
    <xf numFmtId="0" fontId="186" fillId="50" borderId="51" xfId="115" applyFont="1" applyFill="1" applyBorder="1" applyAlignment="1">
      <alignment horizontal="center" vertical="center" wrapText="1"/>
      <protection/>
    </xf>
    <xf numFmtId="0" fontId="187" fillId="50" borderId="52" xfId="115" applyFont="1" applyFill="1" applyBorder="1" applyAlignment="1">
      <alignment horizontal="center" vertical="center" wrapText="1"/>
      <protection/>
    </xf>
    <xf numFmtId="0" fontId="27" fillId="47" borderId="0" xfId="0" applyFont="1" applyFill="1" applyBorder="1" applyAlignment="1">
      <alignment horizontal="center" vertical="center" wrapText="1"/>
    </xf>
    <xf numFmtId="0" fontId="42" fillId="48" borderId="54" xfId="115" applyNumberFormat="1" applyFont="1" applyFill="1" applyBorder="1" applyAlignment="1" applyProtection="1">
      <alignment horizontal="center" vertical="center"/>
      <protection hidden="1"/>
    </xf>
    <xf numFmtId="0" fontId="42" fillId="48" borderId="55" xfId="115" applyNumberFormat="1" applyFont="1" applyFill="1" applyBorder="1" applyAlignment="1" applyProtection="1">
      <alignment horizontal="center" vertical="center"/>
      <protection hidden="1"/>
    </xf>
    <xf numFmtId="1" fontId="41" fillId="50" borderId="25" xfId="115" applyNumberFormat="1" applyFont="1" applyFill="1" applyBorder="1" applyAlignment="1" applyProtection="1">
      <alignment horizontal="center"/>
      <protection hidden="1"/>
    </xf>
    <xf numFmtId="1" fontId="41" fillId="50" borderId="21" xfId="115" applyNumberFormat="1" applyFont="1" applyFill="1" applyBorder="1" applyAlignment="1" applyProtection="1">
      <alignment horizontal="center"/>
      <protection hidden="1"/>
    </xf>
    <xf numFmtId="0" fontId="42" fillId="50" borderId="0" xfId="115" applyFont="1" applyFill="1" applyBorder="1" applyAlignment="1" applyProtection="1">
      <alignment horizontal="center" vertical="center"/>
      <protection hidden="1"/>
    </xf>
    <xf numFmtId="0" fontId="22" fillId="50" borderId="0" xfId="115" applyFont="1" applyFill="1" applyBorder="1" applyAlignment="1" applyProtection="1">
      <alignment horizontal="center" vertical="center"/>
      <protection hidden="1"/>
    </xf>
    <xf numFmtId="1" fontId="23" fillId="50" borderId="0" xfId="115" applyNumberFormat="1" applyFont="1" applyFill="1" applyBorder="1" applyAlignment="1" applyProtection="1">
      <alignment horizontal="center"/>
      <protection hidden="1"/>
    </xf>
    <xf numFmtId="0" fontId="144" fillId="46" borderId="0" xfId="0" applyFont="1" applyFill="1" applyAlignment="1">
      <alignment horizontal="center"/>
    </xf>
    <xf numFmtId="0" fontId="154" fillId="50" borderId="0" xfId="0" applyFont="1" applyFill="1" applyBorder="1" applyAlignment="1">
      <alignment horizontal="center"/>
    </xf>
    <xf numFmtId="0" fontId="145" fillId="50" borderId="0" xfId="115" applyFont="1" applyFill="1" applyBorder="1" applyAlignment="1" applyProtection="1">
      <alignment horizontal="left" vertical="center"/>
      <protection hidden="1"/>
    </xf>
    <xf numFmtId="0" fontId="42" fillId="50" borderId="0" xfId="115" applyFont="1" applyFill="1" applyBorder="1" applyAlignment="1" applyProtection="1">
      <alignment/>
      <protection hidden="1"/>
    </xf>
    <xf numFmtId="0" fontId="42" fillId="50" borderId="0" xfId="115" applyFont="1" applyFill="1" applyBorder="1" applyAlignment="1" applyProtection="1">
      <alignment horizontal="center"/>
      <protection hidden="1"/>
    </xf>
    <xf numFmtId="0" fontId="148" fillId="57" borderId="0" xfId="115" applyFont="1" applyFill="1" applyAlignment="1">
      <alignment horizontal="left"/>
      <protection/>
    </xf>
    <xf numFmtId="0" fontId="39" fillId="57" borderId="0" xfId="115" applyFont="1" applyFill="1" applyAlignment="1">
      <alignment horizontal="left"/>
      <protection/>
    </xf>
    <xf numFmtId="0" fontId="144" fillId="57" borderId="0" xfId="0" applyFont="1" applyFill="1" applyAlignment="1">
      <alignment horizontal="left"/>
    </xf>
    <xf numFmtId="0" fontId="42" fillId="50" borderId="0" xfId="115" applyFont="1" applyFill="1" applyBorder="1" applyAlignment="1" applyProtection="1">
      <alignment horizontal="center" vertical="center"/>
      <protection hidden="1"/>
    </xf>
    <xf numFmtId="208" fontId="41" fillId="2" borderId="36" xfId="0" applyNumberFormat="1" applyFont="1" applyFill="1" applyBorder="1" applyAlignment="1" applyProtection="1">
      <alignment horizontal="center"/>
      <protection hidden="1"/>
    </xf>
    <xf numFmtId="208" fontId="41" fillId="2" borderId="37" xfId="0" applyNumberFormat="1" applyFont="1" applyFill="1" applyBorder="1" applyAlignment="1" applyProtection="1">
      <alignment horizontal="center"/>
      <protection hidden="1"/>
    </xf>
    <xf numFmtId="0" fontId="40" fillId="50" borderId="25" xfId="115" applyFont="1" applyFill="1" applyBorder="1" applyAlignment="1" applyProtection="1">
      <alignment horizontal="left"/>
      <protection hidden="1"/>
    </xf>
    <xf numFmtId="0" fontId="43" fillId="50" borderId="25" xfId="115" applyFont="1" applyFill="1" applyBorder="1" applyAlignment="1" applyProtection="1">
      <alignment horizontal="left"/>
      <protection hidden="1"/>
    </xf>
    <xf numFmtId="1" fontId="41" fillId="50" borderId="20" xfId="0" applyNumberFormat="1" applyFont="1" applyFill="1" applyBorder="1" applyAlignment="1" applyProtection="1">
      <alignment horizontal="center"/>
      <protection hidden="1"/>
    </xf>
    <xf numFmtId="1" fontId="41" fillId="50" borderId="20" xfId="115" applyNumberFormat="1" applyFont="1" applyFill="1" applyBorder="1" applyAlignment="1" applyProtection="1">
      <alignment horizontal="center"/>
      <protection hidden="1"/>
    </xf>
    <xf numFmtId="0" fontId="4" fillId="46" borderId="0" xfId="115" applyFont="1" applyFill="1" applyBorder="1" applyAlignment="1" applyProtection="1">
      <alignment horizontal="center"/>
      <protection hidden="1"/>
    </xf>
    <xf numFmtId="0" fontId="43" fillId="50" borderId="0" xfId="115" applyFont="1" applyFill="1" applyBorder="1" applyAlignment="1">
      <alignment horizontal="left"/>
      <protection/>
    </xf>
    <xf numFmtId="0" fontId="41" fillId="0" borderId="0" xfId="0" applyFont="1" applyAlignment="1">
      <alignment horizontal="left"/>
    </xf>
    <xf numFmtId="208" fontId="41" fillId="50" borderId="36" xfId="116" applyNumberFormat="1" applyFont="1" applyFill="1" applyBorder="1" applyAlignment="1" applyProtection="1">
      <alignment horizontal="center"/>
      <protection hidden="1"/>
    </xf>
    <xf numFmtId="208" fontId="41" fillId="50" borderId="37" xfId="116" applyNumberFormat="1" applyFont="1" applyFill="1" applyBorder="1" applyAlignment="1" applyProtection="1">
      <alignment horizontal="center"/>
      <protection hidden="1"/>
    </xf>
    <xf numFmtId="0" fontId="4" fillId="50" borderId="0" xfId="0" applyFont="1" applyFill="1" applyBorder="1" applyAlignment="1">
      <alignment horizontal="center"/>
    </xf>
    <xf numFmtId="0" fontId="156" fillId="50" borderId="25" xfId="115" applyFont="1" applyFill="1" applyBorder="1" applyAlignment="1" applyProtection="1">
      <alignment horizontal="center" vertical="center"/>
      <protection hidden="1"/>
    </xf>
    <xf numFmtId="208" fontId="41" fillId="2" borderId="36" xfId="115" applyNumberFormat="1" applyFont="1" applyFill="1" applyBorder="1" applyAlignment="1" applyProtection="1">
      <alignment horizontal="center" vertical="center"/>
      <protection hidden="1"/>
    </xf>
    <xf numFmtId="208" fontId="41" fillId="2" borderId="37" xfId="115" applyNumberFormat="1" applyFont="1" applyFill="1" applyBorder="1" applyAlignment="1" applyProtection="1">
      <alignment horizontal="center" vertical="center"/>
      <protection hidden="1"/>
    </xf>
    <xf numFmtId="0" fontId="43" fillId="46" borderId="42" xfId="0" applyFont="1" applyFill="1" applyBorder="1" applyAlignment="1" applyProtection="1">
      <alignment wrapText="1"/>
      <protection hidden="1"/>
    </xf>
    <xf numFmtId="0" fontId="43" fillId="46" borderId="0" xfId="0" applyFont="1" applyFill="1" applyBorder="1" applyAlignment="1" applyProtection="1">
      <alignment wrapText="1"/>
      <protection hidden="1"/>
    </xf>
    <xf numFmtId="0" fontId="42" fillId="50" borderId="25" xfId="115" applyFont="1" applyFill="1" applyBorder="1" applyAlignment="1" applyProtection="1">
      <alignment horizontal="center"/>
      <protection hidden="1"/>
    </xf>
    <xf numFmtId="0" fontId="42" fillId="50" borderId="0" xfId="115" applyFont="1" applyFill="1" applyBorder="1" applyAlignment="1" applyProtection="1">
      <alignment horizontal="center"/>
      <protection hidden="1"/>
    </xf>
    <xf numFmtId="0" fontId="145" fillId="50" borderId="0" xfId="115" applyFont="1" applyFill="1" applyBorder="1" applyAlignment="1" applyProtection="1">
      <alignment horizontal="center" vertical="center"/>
      <protection hidden="1"/>
    </xf>
    <xf numFmtId="0" fontId="40" fillId="50" borderId="0" xfId="115" applyFont="1" applyFill="1" applyBorder="1" applyAlignment="1" applyProtection="1">
      <alignment horizontal="center"/>
      <protection hidden="1"/>
    </xf>
    <xf numFmtId="1" fontId="41" fillId="50" borderId="20" xfId="115" applyNumberFormat="1" applyFont="1" applyFill="1" applyBorder="1" applyAlignment="1" applyProtection="1">
      <alignment horizontal="center"/>
      <protection hidden="1"/>
    </xf>
    <xf numFmtId="0" fontId="39" fillId="46" borderId="0" xfId="115" applyFont="1" applyFill="1" applyBorder="1" applyAlignment="1" applyProtection="1">
      <alignment horizontal="center" vertical="center"/>
      <protection hidden="1"/>
    </xf>
    <xf numFmtId="0" fontId="39" fillId="46" borderId="20" xfId="115" applyFont="1" applyFill="1" applyBorder="1" applyAlignment="1" applyProtection="1">
      <alignment horizontal="center" vertical="center"/>
      <protection hidden="1"/>
    </xf>
    <xf numFmtId="0" fontId="43" fillId="46" borderId="42" xfId="115" applyFont="1" applyFill="1" applyBorder="1" applyAlignment="1" applyProtection="1">
      <alignment horizontal="left" wrapText="1"/>
      <protection hidden="1"/>
    </xf>
    <xf numFmtId="208" fontId="41" fillId="2" borderId="32" xfId="115" applyNumberFormat="1" applyFont="1" applyFill="1" applyBorder="1" applyAlignment="1" applyProtection="1">
      <alignment horizontal="center" vertical="top"/>
      <protection hidden="1"/>
    </xf>
    <xf numFmtId="208" fontId="41" fillId="2" borderId="48" xfId="115" applyNumberFormat="1" applyFont="1" applyFill="1" applyBorder="1" applyAlignment="1" applyProtection="1">
      <alignment horizontal="center" vertical="top"/>
      <protection hidden="1"/>
    </xf>
    <xf numFmtId="0" fontId="43" fillId="46" borderId="42" xfId="115" applyFont="1" applyFill="1" applyBorder="1" applyAlignment="1">
      <alignment horizontal="left"/>
      <protection/>
    </xf>
    <xf numFmtId="0" fontId="188" fillId="50" borderId="0" xfId="115" applyFont="1" applyFill="1" applyBorder="1" applyAlignment="1" applyProtection="1">
      <alignment horizontal="center" vertical="center"/>
      <protection hidden="1"/>
    </xf>
    <xf numFmtId="1" fontId="142" fillId="50" borderId="0" xfId="115" applyNumberFormat="1" applyFont="1" applyFill="1" applyBorder="1" applyAlignment="1" applyProtection="1">
      <alignment horizontal="center"/>
      <protection hidden="1"/>
    </xf>
    <xf numFmtId="0" fontId="39" fillId="46" borderId="0" xfId="115" applyFont="1" applyFill="1" applyBorder="1" applyAlignment="1" applyProtection="1">
      <alignment horizontal="center"/>
      <protection hidden="1"/>
    </xf>
    <xf numFmtId="0" fontId="42" fillId="0" borderId="0" xfId="115" applyFont="1" applyFill="1" applyBorder="1" applyAlignment="1" applyProtection="1">
      <alignment horizontal="center"/>
      <protection hidden="1"/>
    </xf>
    <xf numFmtId="9" fontId="42" fillId="50" borderId="36" xfId="115" applyNumberFormat="1" applyFont="1" applyFill="1" applyBorder="1" applyAlignment="1" applyProtection="1">
      <alignment horizontal="center"/>
      <protection hidden="1"/>
    </xf>
    <xf numFmtId="9" fontId="42" fillId="50" borderId="37" xfId="115" applyNumberFormat="1" applyFont="1" applyFill="1" applyBorder="1" applyAlignment="1" applyProtection="1">
      <alignment horizontal="center"/>
      <protection hidden="1"/>
    </xf>
    <xf numFmtId="0" fontId="39" fillId="57" borderId="0" xfId="115" applyFont="1" applyFill="1" applyAlignment="1">
      <alignment horizontal="left"/>
      <protection/>
    </xf>
    <xf numFmtId="0" fontId="27" fillId="46" borderId="26" xfId="115" applyFont="1" applyFill="1" applyBorder="1" applyAlignment="1">
      <alignment horizontal="left" wrapText="1"/>
      <protection/>
    </xf>
    <xf numFmtId="0" fontId="27" fillId="46" borderId="0" xfId="115" applyFont="1" applyFill="1" applyBorder="1" applyAlignment="1">
      <alignment horizontal="left" wrapText="1"/>
      <protection/>
    </xf>
    <xf numFmtId="0" fontId="39" fillId="57" borderId="0" xfId="0" applyFont="1" applyFill="1" applyBorder="1" applyAlignment="1">
      <alignment horizontal="left"/>
    </xf>
    <xf numFmtId="0" fontId="144" fillId="57" borderId="0" xfId="0" applyFont="1" applyFill="1" applyBorder="1" applyAlignment="1">
      <alignment/>
    </xf>
    <xf numFmtId="0" fontId="27" fillId="52" borderId="0" xfId="115" applyFont="1" applyFill="1" applyAlignment="1">
      <alignment horizontal="left"/>
      <protection/>
    </xf>
    <xf numFmtId="0" fontId="25" fillId="46" borderId="26" xfId="115" applyFont="1" applyFill="1" applyBorder="1" applyAlignment="1">
      <alignment horizontal="left"/>
      <protection/>
    </xf>
    <xf numFmtId="0" fontId="25" fillId="50" borderId="0" xfId="115" applyFont="1" applyFill="1" applyBorder="1" applyAlignment="1">
      <alignment horizontal="left"/>
      <protection/>
    </xf>
    <xf numFmtId="0" fontId="25" fillId="46" borderId="21" xfId="115" applyFont="1" applyFill="1" applyBorder="1" applyAlignment="1">
      <alignment horizontal="left"/>
      <protection/>
    </xf>
    <xf numFmtId="0" fontId="4" fillId="52" borderId="0" xfId="115" applyFont="1" applyFill="1" applyAlignment="1">
      <alignment horizontal="left"/>
      <protection/>
    </xf>
    <xf numFmtId="0" fontId="26" fillId="46" borderId="26" xfId="115" applyFont="1" applyFill="1" applyBorder="1" applyAlignment="1">
      <alignment horizontal="left"/>
      <protection/>
    </xf>
    <xf numFmtId="0" fontId="26" fillId="46" borderId="0" xfId="115" applyFont="1" applyFill="1" applyBorder="1" applyAlignment="1">
      <alignment horizontal="left"/>
      <protection/>
    </xf>
    <xf numFmtId="0" fontId="32" fillId="52" borderId="0" xfId="115" applyFont="1" applyFill="1" applyAlignment="1">
      <alignment horizontal="left"/>
      <protection/>
    </xf>
    <xf numFmtId="0" fontId="33" fillId="47" borderId="51" xfId="115" applyFont="1" applyFill="1" applyBorder="1" applyAlignment="1">
      <alignment horizontal="left" wrapText="1"/>
      <protection/>
    </xf>
    <xf numFmtId="0" fontId="33" fillId="47" borderId="52" xfId="115" applyFont="1" applyFill="1" applyBorder="1" applyAlignment="1">
      <alignment horizontal="left" wrapText="1"/>
      <protection/>
    </xf>
    <xf numFmtId="0" fontId="43" fillId="50" borderId="39" xfId="115" applyFont="1" applyFill="1" applyBorder="1" applyAlignment="1" applyProtection="1">
      <alignment/>
      <protection hidden="1"/>
    </xf>
    <xf numFmtId="0" fontId="48" fillId="46" borderId="20" xfId="115" applyFont="1" applyFill="1" applyBorder="1" applyAlignment="1" applyProtection="1">
      <alignment horizontal="left"/>
      <protection hidden="1"/>
    </xf>
    <xf numFmtId="208" fontId="41" fillId="50" borderId="36" xfId="0" applyNumberFormat="1" applyFont="1" applyFill="1" applyBorder="1" applyAlignment="1" applyProtection="1">
      <alignment horizontal="center"/>
      <protection hidden="1"/>
    </xf>
    <xf numFmtId="208" fontId="41" fillId="50" borderId="37" xfId="0" applyNumberFormat="1" applyFont="1" applyFill="1" applyBorder="1" applyAlignment="1" applyProtection="1">
      <alignment horizontal="center"/>
      <protection hidden="1"/>
    </xf>
    <xf numFmtId="0" fontId="148" fillId="50" borderId="0" xfId="115" applyFont="1" applyFill="1" applyBorder="1" applyAlignment="1" applyProtection="1">
      <alignment horizontal="left"/>
      <protection hidden="1"/>
    </xf>
    <xf numFmtId="49" fontId="41" fillId="2" borderId="25" xfId="115" applyNumberFormat="1" applyFont="1" applyFill="1" applyBorder="1" applyAlignment="1" applyProtection="1">
      <alignment horizontal="center"/>
      <protection hidden="1"/>
    </xf>
    <xf numFmtId="49" fontId="41" fillId="2" borderId="21" xfId="115" applyNumberFormat="1" applyFont="1" applyFill="1" applyBorder="1" applyAlignment="1" applyProtection="1">
      <alignment horizontal="center"/>
      <protection hidden="1"/>
    </xf>
    <xf numFmtId="0" fontId="39" fillId="50" borderId="0" xfId="115" applyFont="1" applyFill="1" applyBorder="1" applyAlignment="1">
      <alignment horizontal="left"/>
      <protection/>
    </xf>
    <xf numFmtId="208" fontId="23" fillId="50" borderId="20" xfId="115" applyNumberFormat="1" applyFont="1" applyFill="1" applyBorder="1" applyAlignment="1" applyProtection="1">
      <alignment horizontal="center"/>
      <protection hidden="1"/>
    </xf>
    <xf numFmtId="208" fontId="23" fillId="50" borderId="37" xfId="115" applyNumberFormat="1" applyFont="1" applyFill="1" applyBorder="1" applyAlignment="1" applyProtection="1">
      <alignment horizontal="center"/>
      <protection hidden="1"/>
    </xf>
    <xf numFmtId="0" fontId="144" fillId="0" borderId="0" xfId="0" applyFont="1" applyAlignment="1">
      <alignment horizontal="left"/>
    </xf>
    <xf numFmtId="0" fontId="144" fillId="0" borderId="0" xfId="0" applyFont="1" applyAlignment="1">
      <alignment/>
    </xf>
    <xf numFmtId="1" fontId="41" fillId="50" borderId="32" xfId="115" applyNumberFormat="1" applyFont="1" applyFill="1" applyBorder="1" applyAlignment="1" applyProtection="1">
      <alignment horizontal="center"/>
      <protection hidden="1"/>
    </xf>
    <xf numFmtId="1" fontId="41" fillId="50" borderId="48" xfId="115" applyNumberFormat="1" applyFont="1" applyFill="1" applyBorder="1" applyAlignment="1" applyProtection="1">
      <alignment horizontal="center"/>
      <protection hidden="1"/>
    </xf>
    <xf numFmtId="0" fontId="40" fillId="50" borderId="20" xfId="115" applyFont="1" applyFill="1" applyBorder="1" applyAlignment="1" applyProtection="1">
      <alignment horizontal="left"/>
      <protection hidden="1"/>
    </xf>
    <xf numFmtId="0" fontId="27" fillId="57" borderId="0" xfId="115" applyFont="1" applyFill="1" applyAlignment="1">
      <alignment horizontal="left"/>
      <protection/>
    </xf>
    <xf numFmtId="0" fontId="4" fillId="46" borderId="0" xfId="115" applyFont="1" applyFill="1" applyAlignment="1" applyProtection="1">
      <alignment horizontal="center" vertical="center"/>
      <protection hidden="1"/>
    </xf>
    <xf numFmtId="0" fontId="58" fillId="0" borderId="20" xfId="115" applyFont="1" applyFill="1" applyBorder="1" applyAlignment="1" applyProtection="1">
      <alignment horizontal="left"/>
      <protection hidden="1"/>
    </xf>
    <xf numFmtId="0" fontId="58" fillId="0" borderId="0" xfId="115" applyFont="1" applyFill="1" applyBorder="1" applyAlignment="1" applyProtection="1">
      <alignment horizontal="left"/>
      <protection hidden="1"/>
    </xf>
    <xf numFmtId="0" fontId="43" fillId="0" borderId="0" xfId="115" applyFont="1" applyBorder="1" applyAlignment="1" applyProtection="1">
      <alignment/>
      <protection hidden="1"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  <cellStyle name="Акцент1 2" xfId="63"/>
    <cellStyle name="Акцент1 3" xfId="64"/>
    <cellStyle name="Акцент1 4" xfId="65"/>
    <cellStyle name="Акцент2 2" xfId="66"/>
    <cellStyle name="Акцент2 3" xfId="67"/>
    <cellStyle name="Акцент2 4" xfId="68"/>
    <cellStyle name="Акцент3 2" xfId="69"/>
    <cellStyle name="Акцент3 3" xfId="70"/>
    <cellStyle name="Акцент3 4" xfId="71"/>
    <cellStyle name="Акцент4 2" xfId="72"/>
    <cellStyle name="Акцент4 3" xfId="73"/>
    <cellStyle name="Акцент4 4" xfId="74"/>
    <cellStyle name="Акцент5 2" xfId="75"/>
    <cellStyle name="Акцент5 3" xfId="76"/>
    <cellStyle name="Акцент5 4" xfId="77"/>
    <cellStyle name="Акцент6 2" xfId="78"/>
    <cellStyle name="Акцент6 3" xfId="79"/>
    <cellStyle name="Акцент6 4" xfId="80"/>
    <cellStyle name="Ввод  2" xfId="81"/>
    <cellStyle name="Ввод  3" xfId="82"/>
    <cellStyle name="Ввод  4" xfId="83"/>
    <cellStyle name="Вывод 2" xfId="84"/>
    <cellStyle name="Вывод 3" xfId="85"/>
    <cellStyle name="Вывод 4" xfId="86"/>
    <cellStyle name="Вычисление 2" xfId="87"/>
    <cellStyle name="Вычисление 3" xfId="88"/>
    <cellStyle name="Вычисление 4" xfId="89"/>
    <cellStyle name="Гиперссылка 2" xfId="90"/>
    <cellStyle name="Заголовок 1 2" xfId="91"/>
    <cellStyle name="Заголовок 1 3" xfId="92"/>
    <cellStyle name="Заголовок 1 4" xfId="93"/>
    <cellStyle name="Заголовок 2 2" xfId="94"/>
    <cellStyle name="Заголовок 2 3" xfId="95"/>
    <cellStyle name="Заголовок 2 4" xfId="96"/>
    <cellStyle name="Заголовок 3 2" xfId="97"/>
    <cellStyle name="Заголовок 3 3" xfId="98"/>
    <cellStyle name="Заголовок 3 4" xfId="99"/>
    <cellStyle name="Заголовок 4 2" xfId="100"/>
    <cellStyle name="Заголовок 4 3" xfId="101"/>
    <cellStyle name="Заголовок 4 4" xfId="102"/>
    <cellStyle name="Итог 2" xfId="103"/>
    <cellStyle name="Итог 3" xfId="104"/>
    <cellStyle name="Итог 4" xfId="105"/>
    <cellStyle name="Контрольная ячейка 2" xfId="106"/>
    <cellStyle name="Контрольная ячейка 3" xfId="107"/>
    <cellStyle name="Контрольная ячейка 4" xfId="108"/>
    <cellStyle name="Название 2" xfId="109"/>
    <cellStyle name="Название 3" xfId="110"/>
    <cellStyle name="Название 4" xfId="111"/>
    <cellStyle name="Нейтральный 2" xfId="112"/>
    <cellStyle name="Нейтральный 3" xfId="113"/>
    <cellStyle name="Нейтральный 4" xfId="114"/>
    <cellStyle name="Обычный 2" xfId="115"/>
    <cellStyle name="Обычный 2 2" xfId="116"/>
    <cellStyle name="Обычный 3" xfId="117"/>
    <cellStyle name="Обычный 4" xfId="118"/>
    <cellStyle name="Обычный 5" xfId="119"/>
    <cellStyle name="Плохой 2" xfId="120"/>
    <cellStyle name="Плохой 3" xfId="121"/>
    <cellStyle name="Плохой 4" xfId="122"/>
    <cellStyle name="Пояснение 2" xfId="123"/>
    <cellStyle name="Пояснение 3" xfId="124"/>
    <cellStyle name="Пояснение 4" xfId="125"/>
    <cellStyle name="Примечание 2" xfId="126"/>
    <cellStyle name="Примечание 3" xfId="127"/>
    <cellStyle name="Примечание 4" xfId="128"/>
    <cellStyle name="Связанная ячейка 2" xfId="129"/>
    <cellStyle name="Связанная ячейка 3" xfId="130"/>
    <cellStyle name="Связанная ячейка 4" xfId="131"/>
    <cellStyle name="Текст предупреждения 2" xfId="132"/>
    <cellStyle name="Текст предупреждения 3" xfId="133"/>
    <cellStyle name="Текст предупреждения 4" xfId="134"/>
    <cellStyle name="Хороший 2" xfId="135"/>
    <cellStyle name="Хороший 3" xfId="136"/>
    <cellStyle name="Хороший 4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2838450</xdr:colOff>
      <xdr:row>6</xdr:row>
      <xdr:rowOff>114300</xdr:rowOff>
    </xdr:from>
    <xdr:to>
      <xdr:col>3</xdr:col>
      <xdr:colOff>695325</xdr:colOff>
      <xdr:row>12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876550"/>
          <a:ext cx="2390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1</xdr:col>
      <xdr:colOff>1447800</xdr:colOff>
      <xdr:row>749</xdr:row>
      <xdr:rowOff>200025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5810900"/>
          <a:ext cx="4486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741</xdr:row>
      <xdr:rowOff>9525</xdr:rowOff>
    </xdr:from>
    <xdr:to>
      <xdr:col>4</xdr:col>
      <xdr:colOff>600075</xdr:colOff>
      <xdr:row>749</xdr:row>
      <xdr:rowOff>180975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315820425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V1930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4" sqref="A4:K4"/>
    </sheetView>
  </sheetViews>
  <sheetFormatPr defaultColWidth="11.421875" defaultRowHeight="15"/>
  <cols>
    <col min="1" max="1" width="45.57421875" style="0" customWidth="1"/>
    <col min="2" max="2" width="56.7109375" style="0" customWidth="1"/>
    <col min="3" max="3" width="11.28125" style="0" customWidth="1"/>
    <col min="4" max="4" width="15.00390625" style="0" customWidth="1"/>
    <col min="5" max="5" width="16.421875" style="0" customWidth="1"/>
    <col min="6" max="6" width="8.57421875" style="0" customWidth="1"/>
    <col min="7" max="7" width="11.7109375" style="0" customWidth="1"/>
    <col min="8" max="8" width="17.7109375" style="0" customWidth="1"/>
    <col min="9" max="9" width="11.140625" style="0" customWidth="1"/>
    <col min="10" max="10" width="13.7109375" style="0" customWidth="1"/>
    <col min="11" max="11" width="10.7109375" style="2" customWidth="1"/>
    <col min="12" max="12" width="12.7109375" style="2" customWidth="1"/>
    <col min="13" max="13" width="10.7109375" style="0" customWidth="1"/>
    <col min="14" max="14" width="12.28125" style="1" customWidth="1"/>
    <col min="15" max="15" width="9.28125" style="1" customWidth="1"/>
    <col min="16" max="16" width="10.421875" style="1" customWidth="1"/>
    <col min="17" max="17" width="9.00390625" style="1" customWidth="1"/>
    <col min="18" max="18" width="10.140625" style="1" customWidth="1"/>
    <col min="19" max="24" width="9.00390625" style="1" customWidth="1"/>
    <col min="25" max="25" width="9.00390625" style="1" hidden="1" customWidth="1"/>
    <col min="26" max="26" width="9.140625" style="0" hidden="1" customWidth="1"/>
    <col min="27" max="16384" width="9.140625" style="0" customWidth="1"/>
  </cols>
  <sheetData>
    <row r="1" spans="1:69" s="5" customFormat="1" ht="34.5" customHeight="1">
      <c r="A1" s="1289" t="s">
        <v>286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>
        <v>1.25</v>
      </c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766"/>
      <c r="AP1" s="766"/>
      <c r="AQ1" s="766"/>
      <c r="AR1" s="766"/>
      <c r="AS1" s="766"/>
      <c r="AT1" s="766"/>
      <c r="AU1" s="766"/>
      <c r="AV1" s="766"/>
      <c r="AW1" s="766"/>
      <c r="AX1" s="766"/>
      <c r="AY1" s="766"/>
      <c r="AZ1" s="766"/>
      <c r="BA1" s="766"/>
      <c r="BB1" s="766"/>
      <c r="BC1" s="766"/>
      <c r="BD1" s="766"/>
      <c r="BE1" s="766"/>
      <c r="BF1" s="766"/>
      <c r="BG1" s="766"/>
      <c r="BH1" s="766"/>
      <c r="BI1" s="766"/>
      <c r="BJ1" s="766"/>
      <c r="BK1" s="766"/>
      <c r="BL1" s="766"/>
      <c r="BM1" s="766"/>
      <c r="BN1" s="766"/>
      <c r="BO1" s="766"/>
      <c r="BP1" s="766"/>
      <c r="BQ1" s="766"/>
    </row>
    <row r="2" spans="1:69" s="6" customFormat="1" ht="34.5" customHeight="1">
      <c r="A2" s="1295" t="s">
        <v>475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767"/>
      <c r="N2" s="768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769"/>
      <c r="AJ2" s="769"/>
      <c r="AK2" s="769"/>
      <c r="AL2" s="769"/>
      <c r="AM2" s="769"/>
      <c r="AN2" s="769"/>
      <c r="AO2" s="769"/>
      <c r="AP2" s="769"/>
      <c r="AQ2" s="769"/>
      <c r="AR2" s="769"/>
      <c r="AS2" s="769"/>
      <c r="AT2" s="769"/>
      <c r="AU2" s="769"/>
      <c r="AV2" s="769"/>
      <c r="AW2" s="769"/>
      <c r="AX2" s="769"/>
      <c r="AY2" s="769"/>
      <c r="AZ2" s="769"/>
      <c r="BA2" s="769"/>
      <c r="BB2" s="769"/>
      <c r="BC2" s="769"/>
      <c r="BD2" s="769"/>
      <c r="BE2" s="769"/>
      <c r="BF2" s="769"/>
      <c r="BG2" s="769"/>
      <c r="BH2" s="769"/>
      <c r="BI2" s="769"/>
      <c r="BJ2" s="769"/>
      <c r="BK2" s="769"/>
      <c r="BL2" s="769"/>
      <c r="BM2" s="769"/>
      <c r="BN2" s="769"/>
      <c r="BO2" s="769"/>
      <c r="BP2" s="769"/>
      <c r="BQ2" s="769"/>
    </row>
    <row r="3" spans="1:47" s="761" customFormat="1" ht="45" customHeight="1" thickBot="1">
      <c r="A3" s="1301" t="s">
        <v>853</v>
      </c>
      <c r="B3" s="1302"/>
      <c r="C3" s="1302"/>
      <c r="D3" s="1302"/>
      <c r="E3" s="1302"/>
      <c r="F3" s="1302"/>
      <c r="G3" s="1302"/>
      <c r="H3" s="1302"/>
      <c r="I3" s="760"/>
      <c r="J3" s="76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</row>
    <row r="4" spans="1:47" s="9" customFormat="1" ht="34.5" customHeight="1">
      <c r="A4" s="1294" t="s">
        <v>836</v>
      </c>
      <c r="B4" s="1294"/>
      <c r="C4" s="1294"/>
      <c r="D4" s="1294"/>
      <c r="E4" s="1294"/>
      <c r="F4" s="1294"/>
      <c r="G4" s="1294"/>
      <c r="H4" s="1294"/>
      <c r="I4" s="1294"/>
      <c r="J4" s="1294"/>
      <c r="K4" s="1294"/>
      <c r="L4" s="65"/>
      <c r="M4" s="32"/>
      <c r="N4" s="35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5" spans="1:47" s="9" customFormat="1" ht="34.5" customHeight="1">
      <c r="A5" s="1303" t="s">
        <v>845</v>
      </c>
      <c r="B5" s="1303"/>
      <c r="C5" s="1303"/>
      <c r="D5" s="1303"/>
      <c r="E5" s="1303"/>
      <c r="F5" s="1303"/>
      <c r="G5" s="1303"/>
      <c r="H5" s="1303"/>
      <c r="I5" s="1303"/>
      <c r="J5" s="1303"/>
      <c r="K5" s="1303"/>
      <c r="L5" s="65"/>
      <c r="M5" s="32"/>
      <c r="N5" s="35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256" s="9" customFormat="1" ht="34.5" customHeight="1">
      <c r="A6" s="762"/>
      <c r="B6" s="1299" t="s">
        <v>844</v>
      </c>
      <c r="C6" s="1300"/>
      <c r="D6" s="1300"/>
      <c r="E6" s="1300"/>
      <c r="F6" s="1300"/>
      <c r="G6" s="1300"/>
      <c r="H6" s="10"/>
      <c r="I6" s="10"/>
      <c r="J6" s="763"/>
      <c r="K6" s="764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765"/>
      <c r="AW6" s="765"/>
      <c r="AX6" s="765"/>
      <c r="AY6" s="765"/>
      <c r="AZ6" s="765"/>
      <c r="BA6" s="765"/>
      <c r="BB6" s="765"/>
      <c r="BC6" s="765"/>
      <c r="BD6" s="765"/>
      <c r="BE6" s="765"/>
      <c r="BF6" s="765"/>
      <c r="BG6" s="765"/>
      <c r="BH6" s="765"/>
      <c r="BI6" s="765"/>
      <c r="BJ6" s="765"/>
      <c r="BK6" s="765"/>
      <c r="BL6" s="765"/>
      <c r="BM6" s="765"/>
      <c r="BN6" s="765"/>
      <c r="BO6" s="765"/>
      <c r="BP6" s="765"/>
      <c r="BQ6" s="765"/>
      <c r="BR6" s="765"/>
      <c r="BS6" s="765"/>
      <c r="BT6" s="765"/>
      <c r="BU6" s="765"/>
      <c r="BV6" s="765"/>
      <c r="BW6" s="765"/>
      <c r="BX6" s="765"/>
      <c r="BY6" s="765"/>
      <c r="BZ6" s="765"/>
      <c r="CA6" s="765"/>
      <c r="CB6" s="765"/>
      <c r="CC6" s="765"/>
      <c r="CD6" s="765"/>
      <c r="CE6" s="765"/>
      <c r="CF6" s="765"/>
      <c r="CG6" s="765"/>
      <c r="CH6" s="765"/>
      <c r="CI6" s="765"/>
      <c r="CJ6" s="765"/>
      <c r="CK6" s="765"/>
      <c r="CL6" s="765"/>
      <c r="CM6" s="765"/>
      <c r="CN6" s="765"/>
      <c r="CO6" s="765"/>
      <c r="CP6" s="765"/>
      <c r="CQ6" s="765"/>
      <c r="CR6" s="765"/>
      <c r="CS6" s="765"/>
      <c r="CT6" s="765"/>
      <c r="CU6" s="765"/>
      <c r="CV6" s="765"/>
      <c r="CW6" s="765"/>
      <c r="CX6" s="765"/>
      <c r="CY6" s="765"/>
      <c r="CZ6" s="765"/>
      <c r="DA6" s="765"/>
      <c r="DB6" s="765"/>
      <c r="DC6" s="765"/>
      <c r="DD6" s="765"/>
      <c r="DE6" s="765"/>
      <c r="DF6" s="765"/>
      <c r="DG6" s="765"/>
      <c r="DH6" s="765"/>
      <c r="DI6" s="765"/>
      <c r="DJ6" s="765"/>
      <c r="DK6" s="765"/>
      <c r="DL6" s="765"/>
      <c r="DM6" s="765"/>
      <c r="DN6" s="765"/>
      <c r="DO6" s="765"/>
      <c r="DP6" s="765"/>
      <c r="DQ6" s="765"/>
      <c r="DR6" s="765"/>
      <c r="DS6" s="765"/>
      <c r="DT6" s="765"/>
      <c r="DU6" s="765"/>
      <c r="DV6" s="765"/>
      <c r="DW6" s="765"/>
      <c r="DX6" s="765"/>
      <c r="DY6" s="765"/>
      <c r="DZ6" s="765"/>
      <c r="EA6" s="765"/>
      <c r="EB6" s="765"/>
      <c r="EC6" s="765"/>
      <c r="ED6" s="765"/>
      <c r="EE6" s="765"/>
      <c r="EF6" s="765"/>
      <c r="EG6" s="765"/>
      <c r="EH6" s="765"/>
      <c r="EI6" s="765"/>
      <c r="EJ6" s="765"/>
      <c r="EK6" s="765"/>
      <c r="EL6" s="765"/>
      <c r="EM6" s="765"/>
      <c r="EN6" s="765"/>
      <c r="EO6" s="765"/>
      <c r="EP6" s="765"/>
      <c r="EQ6" s="765"/>
      <c r="ER6" s="765"/>
      <c r="ES6" s="765"/>
      <c r="ET6" s="765"/>
      <c r="EU6" s="765"/>
      <c r="EV6" s="765"/>
      <c r="EW6" s="765"/>
      <c r="EX6" s="765"/>
      <c r="EY6" s="765"/>
      <c r="EZ6" s="765"/>
      <c r="FA6" s="765"/>
      <c r="FB6" s="765"/>
      <c r="FC6" s="765"/>
      <c r="FD6" s="765"/>
      <c r="FE6" s="765"/>
      <c r="FF6" s="765"/>
      <c r="FG6" s="765"/>
      <c r="FH6" s="765"/>
      <c r="FI6" s="765"/>
      <c r="FJ6" s="765"/>
      <c r="FK6" s="765"/>
      <c r="FL6" s="765"/>
      <c r="FM6" s="765"/>
      <c r="FN6" s="765"/>
      <c r="FO6" s="765"/>
      <c r="FP6" s="765"/>
      <c r="FQ6" s="765"/>
      <c r="FR6" s="765"/>
      <c r="FS6" s="765"/>
      <c r="FT6" s="765"/>
      <c r="FU6" s="765"/>
      <c r="FV6" s="765"/>
      <c r="FW6" s="765"/>
      <c r="FX6" s="765"/>
      <c r="FY6" s="765"/>
      <c r="FZ6" s="765"/>
      <c r="GA6" s="765"/>
      <c r="GB6" s="765"/>
      <c r="GC6" s="765"/>
      <c r="GD6" s="765"/>
      <c r="GE6" s="765"/>
      <c r="GF6" s="765"/>
      <c r="GG6" s="765"/>
      <c r="GH6" s="765"/>
      <c r="GI6" s="765"/>
      <c r="GJ6" s="765"/>
      <c r="GK6" s="765"/>
      <c r="GL6" s="765"/>
      <c r="GM6" s="765"/>
      <c r="GN6" s="765"/>
      <c r="GO6" s="765"/>
      <c r="GP6" s="765"/>
      <c r="GQ6" s="765"/>
      <c r="GR6" s="765"/>
      <c r="GS6" s="765"/>
      <c r="GT6" s="765"/>
      <c r="GU6" s="765"/>
      <c r="GV6" s="765"/>
      <c r="GW6" s="765"/>
      <c r="GX6" s="765"/>
      <c r="GY6" s="765"/>
      <c r="GZ6" s="765"/>
      <c r="HA6" s="765"/>
      <c r="HB6" s="765"/>
      <c r="HC6" s="765"/>
      <c r="HD6" s="765"/>
      <c r="HE6" s="765"/>
      <c r="HF6" s="765"/>
      <c r="HG6" s="765"/>
      <c r="HH6" s="765"/>
      <c r="HI6" s="765"/>
      <c r="HJ6" s="765"/>
      <c r="HK6" s="765"/>
      <c r="HL6" s="765"/>
      <c r="HM6" s="765"/>
      <c r="HN6" s="765"/>
      <c r="HO6" s="765"/>
      <c r="HP6" s="765"/>
      <c r="HQ6" s="765"/>
      <c r="HR6" s="765"/>
      <c r="HS6" s="765"/>
      <c r="HT6" s="765"/>
      <c r="HU6" s="765"/>
      <c r="HV6" s="765"/>
      <c r="HW6" s="765"/>
      <c r="HX6" s="765"/>
      <c r="HY6" s="765"/>
      <c r="HZ6" s="765"/>
      <c r="IA6" s="765"/>
      <c r="IB6" s="765"/>
      <c r="IC6" s="765"/>
      <c r="ID6" s="765"/>
      <c r="IE6" s="765"/>
      <c r="IF6" s="765"/>
      <c r="IG6" s="765"/>
      <c r="IH6" s="765"/>
      <c r="II6" s="765"/>
      <c r="IJ6" s="765"/>
      <c r="IK6" s="765"/>
      <c r="IL6" s="765"/>
      <c r="IM6" s="765"/>
      <c r="IN6" s="765"/>
      <c r="IO6" s="765"/>
      <c r="IP6" s="765"/>
      <c r="IQ6" s="765"/>
      <c r="IR6" s="765"/>
      <c r="IS6" s="765"/>
      <c r="IT6" s="765"/>
      <c r="IU6" s="765"/>
      <c r="IV6" s="765"/>
    </row>
    <row r="7" spans="1:69" s="23" customFormat="1" ht="20.25" customHeight="1">
      <c r="A7" s="772" t="s">
        <v>213</v>
      </c>
      <c r="B7" s="16"/>
      <c r="C7" s="17"/>
      <c r="D7" s="17"/>
      <c r="E7" s="17"/>
      <c r="F7" s="17"/>
      <c r="G7" s="18"/>
      <c r="H7" s="18"/>
      <c r="I7" s="19"/>
      <c r="J7" s="20"/>
      <c r="K7" s="21"/>
      <c r="L7" s="22"/>
      <c r="M7" s="49"/>
      <c r="N7" s="50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s="23" customFormat="1" ht="24.75" customHeight="1">
      <c r="A8" s="1163" t="s">
        <v>196</v>
      </c>
      <c r="B8" s="16"/>
      <c r="C8" s="17"/>
      <c r="D8" s="17"/>
      <c r="E8" s="17"/>
      <c r="F8" s="17"/>
      <c r="G8" s="18"/>
      <c r="H8" s="18"/>
      <c r="I8" s="19"/>
      <c r="J8" s="20"/>
      <c r="K8" s="21"/>
      <c r="L8" s="22"/>
      <c r="M8" s="49"/>
      <c r="N8" s="50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s="23" customFormat="1" ht="21.75" customHeight="1">
      <c r="A9" s="772" t="s">
        <v>211</v>
      </c>
      <c r="B9" s="16"/>
      <c r="C9" s="17"/>
      <c r="D9" s="17"/>
      <c r="E9" s="17"/>
      <c r="F9" s="17"/>
      <c r="G9" s="18"/>
      <c r="H9" s="18"/>
      <c r="I9" s="19"/>
      <c r="J9" s="20"/>
      <c r="K9" s="21"/>
      <c r="L9" s="22"/>
      <c r="M9" s="49"/>
      <c r="N9" s="50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s="23" customFormat="1" ht="20.25" customHeight="1">
      <c r="A10" s="772" t="s">
        <v>212</v>
      </c>
      <c r="B10" s="16"/>
      <c r="C10"/>
      <c r="D10" s="17"/>
      <c r="E10" s="17"/>
      <c r="F10" s="17"/>
      <c r="G10" s="18"/>
      <c r="H10" s="18"/>
      <c r="I10" s="19"/>
      <c r="J10" s="20"/>
      <c r="K10" s="21"/>
      <c r="L10" s="22"/>
      <c r="M10" s="49"/>
      <c r="N10" s="50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s="23" customFormat="1" ht="24.75" customHeight="1">
      <c r="A11" s="772" t="s">
        <v>197</v>
      </c>
      <c r="B11" s="16"/>
      <c r="C11" s="17"/>
      <c r="D11" s="17"/>
      <c r="E11" s="17"/>
      <c r="F11" s="17"/>
      <c r="G11" s="18"/>
      <c r="H11" s="18"/>
      <c r="I11" s="19"/>
      <c r="J11" s="20"/>
      <c r="K11" s="21"/>
      <c r="L11" s="22"/>
      <c r="M11" s="49"/>
      <c r="N11" s="50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1:69" s="23" customFormat="1" ht="24" customHeight="1">
      <c r="A12" s="772" t="s">
        <v>198</v>
      </c>
      <c r="B12" s="16"/>
      <c r="C12" s="17"/>
      <c r="D12" s="17"/>
      <c r="E12" s="17"/>
      <c r="F12" s="17"/>
      <c r="G12"/>
      <c r="H12" s="18"/>
      <c r="I12" s="19"/>
      <c r="J12" s="20"/>
      <c r="K12" s="21"/>
      <c r="L12" s="22"/>
      <c r="M12" s="49"/>
      <c r="N12" s="50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</row>
    <row r="13" spans="1:69" s="23" customFormat="1" ht="24" customHeight="1">
      <c r="A13" s="772" t="s">
        <v>199</v>
      </c>
      <c r="B13" s="16"/>
      <c r="C13" s="17"/>
      <c r="D13" s="17"/>
      <c r="E13" s="17"/>
      <c r="F13" s="17"/>
      <c r="G13" s="18"/>
      <c r="H13" s="18"/>
      <c r="I13" s="19"/>
      <c r="J13" s="20"/>
      <c r="K13" s="21"/>
      <c r="L13" s="22"/>
      <c r="M13" s="49"/>
      <c r="N13" s="50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</row>
    <row r="14" spans="1:69" s="23" customFormat="1" ht="26.25" customHeight="1">
      <c r="A14" s="24" t="s">
        <v>210</v>
      </c>
      <c r="B14" s="16"/>
      <c r="C14" s="17"/>
      <c r="D14" s="17"/>
      <c r="E14" s="17"/>
      <c r="F14" s="17"/>
      <c r="G14" s="18"/>
      <c r="H14" s="18"/>
      <c r="I14" s="19"/>
      <c r="J14" s="20"/>
      <c r="K14" s="21"/>
      <c r="L14" s="22"/>
      <c r="M14" s="49"/>
      <c r="N14" s="50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</row>
    <row r="15" spans="1:69" s="23" customFormat="1" ht="24.75" customHeight="1">
      <c r="A15" s="772" t="s">
        <v>200</v>
      </c>
      <c r="B15" s="16"/>
      <c r="C15" s="17"/>
      <c r="D15" s="17"/>
      <c r="E15" s="17"/>
      <c r="F15" s="17"/>
      <c r="G15" s="18"/>
      <c r="H15" s="18"/>
      <c r="I15" s="19"/>
      <c r="J15" s="20"/>
      <c r="K15" s="21"/>
      <c r="L15" s="22"/>
      <c r="M15" s="49"/>
      <c r="N15" s="50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</row>
    <row r="16" spans="1:69" s="23" customFormat="1" ht="24.75" customHeight="1">
      <c r="A16" s="1162" t="s">
        <v>201</v>
      </c>
      <c r="B16" s="16"/>
      <c r="C16" s="17"/>
      <c r="D16" s="17"/>
      <c r="E16" s="17"/>
      <c r="F16" s="17"/>
      <c r="G16" s="18"/>
      <c r="H16"/>
      <c r="I16" s="19"/>
      <c r="J16" s="20"/>
      <c r="K16" s="21"/>
      <c r="L16" s="22"/>
      <c r="M16" s="49"/>
      <c r="N16" s="50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</row>
    <row r="17" spans="1:69" s="23" customFormat="1" ht="26.25" customHeight="1">
      <c r="A17" s="1162" t="s">
        <v>202</v>
      </c>
      <c r="B17" s="16"/>
      <c r="C17" s="17"/>
      <c r="D17" s="17"/>
      <c r="E17" s="17"/>
      <c r="F17" s="17"/>
      <c r="G17" s="18"/>
      <c r="H17" s="18"/>
      <c r="I17" s="19"/>
      <c r="J17" s="20"/>
      <c r="K17" s="21"/>
      <c r="L17" s="22"/>
      <c r="M17" s="770"/>
      <c r="N17" s="770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</row>
    <row r="18" spans="1:69" s="23" customFormat="1" ht="27" customHeight="1">
      <c r="A18" s="1162" t="s">
        <v>203</v>
      </c>
      <c r="B18" s="16"/>
      <c r="C18" s="17"/>
      <c r="D18" s="17"/>
      <c r="E18" s="17"/>
      <c r="F18" s="17"/>
      <c r="G18" s="18"/>
      <c r="H18" s="18"/>
      <c r="I18" s="19"/>
      <c r="J18" s="20"/>
      <c r="K18" s="21"/>
      <c r="L18" s="22"/>
      <c r="M18" s="770"/>
      <c r="N18" s="770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1:69" s="23" customFormat="1" ht="27" customHeight="1">
      <c r="A19" s="1290" t="s">
        <v>507</v>
      </c>
      <c r="B19" s="1290"/>
      <c r="C19" s="17"/>
      <c r="D19" s="17"/>
      <c r="E19" s="17"/>
      <c r="F19" s="17"/>
      <c r="G19" s="18"/>
      <c r="H19" s="18"/>
      <c r="I19" s="19"/>
      <c r="J19" s="20"/>
      <c r="K19" s="21"/>
      <c r="L19" s="22"/>
      <c r="M19" s="770"/>
      <c r="N19" s="770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</row>
    <row r="20" spans="1:69" s="23" customFormat="1" ht="24" customHeight="1">
      <c r="A20" s="1162" t="s">
        <v>204</v>
      </c>
      <c r="B20" s="16"/>
      <c r="C20" s="17"/>
      <c r="D20" s="17"/>
      <c r="E20" s="17"/>
      <c r="F20" s="17"/>
      <c r="G20" s="18"/>
      <c r="H20" s="18"/>
      <c r="I20" s="19"/>
      <c r="J20" s="20"/>
      <c r="K20" s="21"/>
      <c r="L20" s="22"/>
      <c r="M20" s="770"/>
      <c r="N20" s="770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</row>
    <row r="21" spans="1:69" s="23" customFormat="1" ht="21" customHeight="1">
      <c r="A21" s="1162" t="s">
        <v>208</v>
      </c>
      <c r="B21" s="16"/>
      <c r="C21" s="17"/>
      <c r="D21" s="17"/>
      <c r="E21" s="17"/>
      <c r="F21" s="17"/>
      <c r="G21" s="18"/>
      <c r="H21" s="18"/>
      <c r="I21" s="19"/>
      <c r="J21" s="20"/>
      <c r="K21" s="21"/>
      <c r="L21" s="22"/>
      <c r="M21" s="770"/>
      <c r="N21" s="770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</row>
    <row r="22" spans="1:69" s="23" customFormat="1" ht="21.75" customHeight="1">
      <c r="A22" s="1162" t="s">
        <v>205</v>
      </c>
      <c r="B22" s="16"/>
      <c r="C22" s="17"/>
      <c r="D22" s="17"/>
      <c r="E22" s="17"/>
      <c r="F22" s="17"/>
      <c r="G22" s="18"/>
      <c r="H22" s="18"/>
      <c r="I22" s="19"/>
      <c r="J22" s="20"/>
      <c r="K22" s="21"/>
      <c r="L22" s="22"/>
      <c r="M22" s="770"/>
      <c r="N22" s="770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</row>
    <row r="23" spans="1:69" s="23" customFormat="1" ht="22.5" customHeight="1">
      <c r="A23" s="1290" t="s">
        <v>206</v>
      </c>
      <c r="B23" s="1290"/>
      <c r="C23" s="1291"/>
      <c r="D23" s="1291"/>
      <c r="E23" s="1291"/>
      <c r="F23" s="1292"/>
      <c r="G23" s="1292"/>
      <c r="H23" s="1292"/>
      <c r="I23" s="25"/>
      <c r="J23" s="26"/>
      <c r="K23" s="21"/>
      <c r="L23" s="22"/>
      <c r="M23" s="49"/>
      <c r="N23" s="50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</row>
    <row r="24" spans="1:69" s="15" customFormat="1" ht="34.5" customHeight="1">
      <c r="A24" s="27"/>
      <c r="B24" s="27"/>
      <c r="C24" s="27"/>
      <c r="D24" s="27"/>
      <c r="E24" s="27"/>
      <c r="F24" s="27"/>
      <c r="G24" s="28"/>
      <c r="H24" s="28"/>
      <c r="I24" s="19"/>
      <c r="J24" s="11"/>
      <c r="K24" s="12"/>
      <c r="L24" s="13"/>
      <c r="M24" s="7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29" customFormat="1" ht="34.5" customHeight="1">
      <c r="A25" s="1293" t="s">
        <v>846</v>
      </c>
      <c r="B25" s="1293"/>
      <c r="C25" s="1293"/>
      <c r="D25" s="1293"/>
      <c r="E25" s="1293"/>
      <c r="F25" s="1293"/>
      <c r="G25" s="823"/>
      <c r="H25" s="823"/>
      <c r="I25" s="784"/>
      <c r="J25" s="785"/>
      <c r="K25" s="786"/>
      <c r="L25" s="787"/>
      <c r="M25" s="1348"/>
      <c r="N25" s="1348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</row>
    <row r="26" spans="1:69" s="29" customFormat="1" ht="34.5" customHeight="1">
      <c r="A26" s="824"/>
      <c r="B26" s="824"/>
      <c r="C26" s="825"/>
      <c r="D26" s="825"/>
      <c r="E26" s="825"/>
      <c r="F26" s="825"/>
      <c r="G26" s="825"/>
      <c r="H26" s="825"/>
      <c r="I26" s="788"/>
      <c r="J26" s="788"/>
      <c r="K26" s="788"/>
      <c r="L26" s="787"/>
      <c r="M26" s="1349"/>
      <c r="N26" s="1349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</row>
    <row r="27" spans="1:69" s="15" customFormat="1" ht="34.5" customHeight="1">
      <c r="A27" s="68" t="s">
        <v>784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310"/>
      <c r="N27" s="131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94" customFormat="1" ht="34.5" customHeight="1">
      <c r="A28" s="771" t="s">
        <v>817</v>
      </c>
      <c r="B28" s="771"/>
      <c r="C28" s="771"/>
      <c r="D28" s="771"/>
      <c r="E28" s="771"/>
      <c r="F28" s="771"/>
      <c r="G28" s="771"/>
      <c r="H28" s="771"/>
      <c r="I28" s="771"/>
      <c r="J28" s="771"/>
      <c r="K28" s="91"/>
      <c r="L28" s="91"/>
      <c r="M28" s="1270"/>
      <c r="N28" s="1270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</row>
    <row r="29" spans="1:69" s="94" customFormat="1" ht="34.5" customHeight="1" thickBot="1">
      <c r="A29" s="165" t="s">
        <v>248</v>
      </c>
      <c r="B29" s="165"/>
      <c r="C29" s="165"/>
      <c r="D29" s="165"/>
      <c r="E29" s="165"/>
      <c r="F29" s="165"/>
      <c r="G29" s="165"/>
      <c r="H29" s="165"/>
      <c r="I29" s="1350"/>
      <c r="J29" s="1350"/>
      <c r="K29" s="91"/>
      <c r="L29" s="91"/>
      <c r="M29" s="1270"/>
      <c r="N29" s="1270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</row>
    <row r="30" spans="1:69" s="167" customFormat="1" ht="34.5" customHeight="1" thickTop="1">
      <c r="A30" s="826" t="s">
        <v>33</v>
      </c>
      <c r="B30" s="827" t="s">
        <v>568</v>
      </c>
      <c r="C30" s="828" t="s">
        <v>847</v>
      </c>
      <c r="D30" s="829"/>
      <c r="E30" s="830" t="s">
        <v>848</v>
      </c>
      <c r="F30" s="831"/>
      <c r="G30" s="830" t="s">
        <v>849</v>
      </c>
      <c r="H30" s="831"/>
      <c r="I30" s="830" t="s">
        <v>850</v>
      </c>
      <c r="J30" s="831"/>
      <c r="K30" s="830" t="s">
        <v>851</v>
      </c>
      <c r="L30" s="831"/>
      <c r="M30" s="830" t="s">
        <v>852</v>
      </c>
      <c r="N30" s="831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</row>
    <row r="31" spans="1:57" s="121" customFormat="1" ht="34.5" customHeight="1">
      <c r="A31" s="168" t="s">
        <v>220</v>
      </c>
      <c r="B31" s="169" t="s">
        <v>34</v>
      </c>
      <c r="C31" s="1194">
        <f>CEILING(105*$Z$1,0.1)</f>
        <v>131.3</v>
      </c>
      <c r="D31" s="1195"/>
      <c r="E31" s="1194">
        <f>CEILING(125*$Z$1,0.1)</f>
        <v>156.3</v>
      </c>
      <c r="F31" s="1195"/>
      <c r="G31" s="1194">
        <f>CEILING(145*$Z$1,0.1)</f>
        <v>181.3</v>
      </c>
      <c r="H31" s="1195"/>
      <c r="I31" s="1194">
        <f>CEILING(120*$Z$1,0.1)</f>
        <v>150</v>
      </c>
      <c r="J31" s="1195"/>
      <c r="K31" s="1194">
        <f>CEILING(120*$Z$1,0.1)</f>
        <v>150</v>
      </c>
      <c r="L31" s="1195"/>
      <c r="M31" s="1194">
        <f>CEILING(100*$Z$1,0.1)</f>
        <v>125</v>
      </c>
      <c r="N31" s="1195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</row>
    <row r="32" spans="1:57" s="121" customFormat="1" ht="34.5" customHeight="1">
      <c r="A32" s="170" t="s">
        <v>35</v>
      </c>
      <c r="B32" s="171" t="s">
        <v>36</v>
      </c>
      <c r="C32" s="1192">
        <f>CEILING((C31+40*$Z$1),0.1)</f>
        <v>181.3</v>
      </c>
      <c r="D32" s="1193"/>
      <c r="E32" s="1192">
        <f>CEILING((E31+72*$Z$1),0.1)</f>
        <v>246.3</v>
      </c>
      <c r="F32" s="1193"/>
      <c r="G32" s="1192">
        <f>CEILING((G31+72*$Z$1),0.1)</f>
        <v>271.3</v>
      </c>
      <c r="H32" s="1193"/>
      <c r="I32" s="1192">
        <f>CEILING((I31+72*$Z$1),0.1)</f>
        <v>240</v>
      </c>
      <c r="J32" s="1193"/>
      <c r="K32" s="1192">
        <f>CEILING((K31+72*$Z$1),0.1)</f>
        <v>240</v>
      </c>
      <c r="L32" s="1193"/>
      <c r="M32" s="1192">
        <f>CEILING((M31+40*$Z$1),0.1)</f>
        <v>175</v>
      </c>
      <c r="N32" s="1193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</row>
    <row r="33" spans="1:57" s="121" customFormat="1" ht="34.5" customHeight="1">
      <c r="A33" s="170"/>
      <c r="B33" s="171" t="s">
        <v>37</v>
      </c>
      <c r="C33" s="1192">
        <f>CEILING((C31*0.85),0.1)</f>
        <v>111.7</v>
      </c>
      <c r="D33" s="1193"/>
      <c r="E33" s="1192">
        <f>CEILING((E31*0.85),0.1)</f>
        <v>132.9</v>
      </c>
      <c r="F33" s="1193"/>
      <c r="G33" s="1192">
        <f>CEILING((G31*0.85),0.1)</f>
        <v>154.20000000000002</v>
      </c>
      <c r="H33" s="1193"/>
      <c r="I33" s="1192">
        <f>CEILING((I31*0.85),0.1)</f>
        <v>127.5</v>
      </c>
      <c r="J33" s="1193"/>
      <c r="K33" s="1192">
        <f>CEILING((K31*0.85),0.1)</f>
        <v>127.5</v>
      </c>
      <c r="L33" s="1193"/>
      <c r="M33" s="1192">
        <f>CEILING((M31*0.85),0.1)</f>
        <v>106.30000000000001</v>
      </c>
      <c r="N33" s="1193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</row>
    <row r="34" spans="1:57" s="121" customFormat="1" ht="34.5" customHeight="1">
      <c r="A34" s="170"/>
      <c r="B34" s="172" t="s">
        <v>673</v>
      </c>
      <c r="C34" s="1192">
        <f>CEILING((C31*0.5),0.1)</f>
        <v>65.7</v>
      </c>
      <c r="D34" s="1193"/>
      <c r="E34" s="1192">
        <f>CEILING((E31*0.5),0.1)</f>
        <v>78.2</v>
      </c>
      <c r="F34" s="1193"/>
      <c r="G34" s="1192">
        <f>CEILING((G31*0.5),0.1)</f>
        <v>90.7</v>
      </c>
      <c r="H34" s="1193"/>
      <c r="I34" s="1192">
        <f>CEILING((I31*0.5),0.1)</f>
        <v>75</v>
      </c>
      <c r="J34" s="1193"/>
      <c r="K34" s="1192">
        <f>CEILING((K31*0.5),0.1)</f>
        <v>75</v>
      </c>
      <c r="L34" s="1193"/>
      <c r="M34" s="1192">
        <f>CEILING((M31*0.5),0.1)</f>
        <v>62.5</v>
      </c>
      <c r="N34" s="1193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</row>
    <row r="35" spans="1:57" s="121" customFormat="1" ht="34.5" customHeight="1">
      <c r="A35" s="114"/>
      <c r="B35" s="171" t="s">
        <v>39</v>
      </c>
      <c r="C35" s="1192">
        <f>CEILING(125*$Z$1,0.1)</f>
        <v>156.3</v>
      </c>
      <c r="D35" s="1193"/>
      <c r="E35" s="1192">
        <f>CEILING(145*$Z$1,0.1)</f>
        <v>181.3</v>
      </c>
      <c r="F35" s="1193"/>
      <c r="G35" s="1192">
        <f>CEILING(165*$Z$1,0.1)</f>
        <v>206.3</v>
      </c>
      <c r="H35" s="1193"/>
      <c r="I35" s="1192">
        <f>CEILING(140*$Z$1,0.1)</f>
        <v>175</v>
      </c>
      <c r="J35" s="1193"/>
      <c r="K35" s="1192">
        <f>CEILING(140*$Z$1,0.1)</f>
        <v>175</v>
      </c>
      <c r="L35" s="1193"/>
      <c r="M35" s="1192">
        <f>CEILING(120*$Z$1,0.1)</f>
        <v>150</v>
      </c>
      <c r="N35" s="1193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</row>
    <row r="36" spans="1:57" s="121" customFormat="1" ht="34.5" customHeight="1">
      <c r="A36" s="114"/>
      <c r="B36" s="173" t="s">
        <v>147</v>
      </c>
      <c r="C36" s="1202">
        <f>CEILING((C35+40*$Z$1),0.1)</f>
        <v>206.3</v>
      </c>
      <c r="D36" s="1203"/>
      <c r="E36" s="1202">
        <f>CEILING((E35+72*$Z$1),0.1)</f>
        <v>271.3</v>
      </c>
      <c r="F36" s="1203"/>
      <c r="G36" s="1202">
        <f>CEILING((G35+72*$Z$1),0.1)</f>
        <v>296.3</v>
      </c>
      <c r="H36" s="1203"/>
      <c r="I36" s="1202">
        <f>CEILING((I35+72*$Z$1),0.1)</f>
        <v>265</v>
      </c>
      <c r="J36" s="1203"/>
      <c r="K36" s="1202">
        <f>CEILING((K35+72*$Z$1),0.1)</f>
        <v>265</v>
      </c>
      <c r="L36" s="1203"/>
      <c r="M36" s="1202">
        <f>CEILING((M35+40*$Z$1),0.1)</f>
        <v>200</v>
      </c>
      <c r="N36" s="1203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</row>
    <row r="37" spans="1:57" s="176" customFormat="1" ht="34.5" customHeight="1">
      <c r="A37" s="114"/>
      <c r="B37" s="174" t="s">
        <v>380</v>
      </c>
      <c r="C37" s="1194">
        <f>CEILING(135*$Z$1,0.1)</f>
        <v>168.8</v>
      </c>
      <c r="D37" s="1195"/>
      <c r="E37" s="1194">
        <f>CEILING(155*$Z$1,0.1)</f>
        <v>193.8</v>
      </c>
      <c r="F37" s="1195"/>
      <c r="G37" s="1194">
        <f>CEILING(175*$Z$1,0.1)</f>
        <v>218.8</v>
      </c>
      <c r="H37" s="1195"/>
      <c r="I37" s="1194">
        <f>CEILING(150*$Z$1,0.1)</f>
        <v>187.5</v>
      </c>
      <c r="J37" s="1195"/>
      <c r="K37" s="1194">
        <f>CEILING(150*$Z$1,0.1)</f>
        <v>187.5</v>
      </c>
      <c r="L37" s="1195"/>
      <c r="M37" s="1194">
        <f>CEILING(130*$Z$1,0.1)</f>
        <v>162.5</v>
      </c>
      <c r="N37" s="119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</row>
    <row r="38" spans="1:57" s="121" customFormat="1" ht="34.5" customHeight="1">
      <c r="A38" s="177"/>
      <c r="B38" s="178" t="s">
        <v>381</v>
      </c>
      <c r="C38" s="1192">
        <f>CEILING((C37+45*$Z$1),0.1)</f>
        <v>225.10000000000002</v>
      </c>
      <c r="D38" s="1193"/>
      <c r="E38" s="1192">
        <f>CEILING((E37+82*$Z$1),0.1)</f>
        <v>296.3</v>
      </c>
      <c r="F38" s="1193"/>
      <c r="G38" s="1192">
        <f>CEILING((G37+82*$Z$1),0.1)</f>
        <v>321.3</v>
      </c>
      <c r="H38" s="1193"/>
      <c r="I38" s="1192">
        <f>CEILING((I37+82*$Z$1),0.1)</f>
        <v>290</v>
      </c>
      <c r="J38" s="1193"/>
      <c r="K38" s="1192">
        <f>CEILING((K37+82*$Z$1),0.1)</f>
        <v>290</v>
      </c>
      <c r="L38" s="1193"/>
      <c r="M38" s="1192">
        <f>CEILING((M37+45*$Z$1),0.1)</f>
        <v>218.8</v>
      </c>
      <c r="N38" s="1193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</row>
    <row r="39" spans="1:57" s="121" customFormat="1" ht="34.5" customHeight="1">
      <c r="A39" s="114"/>
      <c r="B39" s="179" t="s">
        <v>382</v>
      </c>
      <c r="C39" s="1192">
        <f>CEILING(190*$Z$1,0.1)</f>
        <v>237.5</v>
      </c>
      <c r="D39" s="1193"/>
      <c r="E39" s="1192">
        <f>CEILING(210*$Z$1,0.1)</f>
        <v>262.5</v>
      </c>
      <c r="F39" s="1193"/>
      <c r="G39" s="1192">
        <f>CEILING(230*$Z$1,0.1)</f>
        <v>287.5</v>
      </c>
      <c r="H39" s="1193"/>
      <c r="I39" s="1192">
        <f>CEILING(205*$Z$1,0.1)</f>
        <v>256.3</v>
      </c>
      <c r="J39" s="1193"/>
      <c r="K39" s="1192">
        <f>CEILING(205*$Z$1,0.1)</f>
        <v>256.3</v>
      </c>
      <c r="L39" s="1193"/>
      <c r="M39" s="1192">
        <f>CEILING(185*$Z$1,0.1)</f>
        <v>231.3</v>
      </c>
      <c r="N39" s="1193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</row>
    <row r="40" spans="1:57" s="121" customFormat="1" ht="34.5" customHeight="1">
      <c r="A40" s="180"/>
      <c r="B40" s="181" t="s">
        <v>383</v>
      </c>
      <c r="C40" s="1202">
        <f>CEILING((C39+45*$Z$1),0.1)</f>
        <v>293.8</v>
      </c>
      <c r="D40" s="1203"/>
      <c r="E40" s="1202">
        <f>CEILING((E39+82*$Z$1),0.1)</f>
        <v>365</v>
      </c>
      <c r="F40" s="1203"/>
      <c r="G40" s="1202">
        <f>CEILING((G39+82*$Z$1),0.1)</f>
        <v>390</v>
      </c>
      <c r="H40" s="1203"/>
      <c r="I40" s="1202">
        <f>CEILING((I39+82*$Z$1),0.1)</f>
        <v>358.8</v>
      </c>
      <c r="J40" s="1203"/>
      <c r="K40" s="1202">
        <f>CEILING((K39+82*$Z$1),0.1)</f>
        <v>358.8</v>
      </c>
      <c r="L40" s="1203"/>
      <c r="M40" s="1202">
        <f>CEILING((M39+45*$Z$1),0.1)</f>
        <v>287.6</v>
      </c>
      <c r="N40" s="1203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</row>
    <row r="41" spans="1:57" s="121" customFormat="1" ht="34.5" customHeight="1">
      <c r="A41" s="182"/>
      <c r="B41" s="169" t="s">
        <v>183</v>
      </c>
      <c r="C41" s="1194">
        <f>CEILING(145*$Z$1,0.1)</f>
        <v>181.3</v>
      </c>
      <c r="D41" s="1195"/>
      <c r="E41" s="1194">
        <f>CEILING(165*$Z$1,0.1)</f>
        <v>206.3</v>
      </c>
      <c r="F41" s="1195"/>
      <c r="G41" s="1194">
        <f>CEILING(185*$Z$1,0.1)</f>
        <v>231.3</v>
      </c>
      <c r="H41" s="1195"/>
      <c r="I41" s="1194">
        <f>CEILING(160*$Z$1,0.1)</f>
        <v>200</v>
      </c>
      <c r="J41" s="1195"/>
      <c r="K41" s="1194">
        <f>CEILING(160*$Z$1,0.1)</f>
        <v>200</v>
      </c>
      <c r="L41" s="1195"/>
      <c r="M41" s="1194">
        <f>CEILING(140*$Z$1,0.1)</f>
        <v>175</v>
      </c>
      <c r="N41" s="1195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</row>
    <row r="42" spans="1:57" s="121" customFormat="1" ht="34.5" customHeight="1">
      <c r="A42" s="182"/>
      <c r="B42" s="171" t="s">
        <v>184</v>
      </c>
      <c r="C42" s="1192">
        <f>CEILING((C41+56*$Z$1),0.1)</f>
        <v>251.3</v>
      </c>
      <c r="D42" s="1193"/>
      <c r="E42" s="1192">
        <f>CEILING((E41+96*$Z$1),0.1)</f>
        <v>326.3</v>
      </c>
      <c r="F42" s="1193"/>
      <c r="G42" s="1192">
        <f>CEILING((G41+96*$Z$1),0.1)</f>
        <v>351.3</v>
      </c>
      <c r="H42" s="1193"/>
      <c r="I42" s="1192">
        <f>CEILING((I41+96*$Z$1),0.1)</f>
        <v>320</v>
      </c>
      <c r="J42" s="1193"/>
      <c r="K42" s="1192">
        <f>CEILING((K41+96*$Z$1),0.1)</f>
        <v>320</v>
      </c>
      <c r="L42" s="1193"/>
      <c r="M42" s="1192">
        <f>CEILING((M41+56*$Z$1),0.1)</f>
        <v>245</v>
      </c>
      <c r="N42" s="1193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</row>
    <row r="43" spans="1:57" s="185" customFormat="1" ht="34.5" customHeight="1" thickBot="1">
      <c r="A43" s="183" t="s">
        <v>449</v>
      </c>
      <c r="B43" s="184" t="s">
        <v>185</v>
      </c>
      <c r="C43" s="1218">
        <f>CEILING(190*$Z$1,0.1)</f>
        <v>237.5</v>
      </c>
      <c r="D43" s="1219"/>
      <c r="E43" s="1218">
        <f>CEILING(210*$Z$1,0.1)</f>
        <v>262.5</v>
      </c>
      <c r="F43" s="1219"/>
      <c r="G43" s="1218">
        <f>CEILING(230*$Z$1,0.1)</f>
        <v>287.5</v>
      </c>
      <c r="H43" s="1219"/>
      <c r="I43" s="1218">
        <f>CEILING(205*$Z$1,0.1)</f>
        <v>256.3</v>
      </c>
      <c r="J43" s="1219"/>
      <c r="K43" s="1218">
        <f>CEILING(205*$Z$1,0.1)</f>
        <v>256.3</v>
      </c>
      <c r="L43" s="1219"/>
      <c r="M43" s="1218">
        <f>CEILING(185*$Z$1,0.1)</f>
        <v>231.3</v>
      </c>
      <c r="N43" s="1219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</row>
    <row r="44" spans="1:59" s="911" customFormat="1" ht="34.5" customHeight="1" thickTop="1">
      <c r="A44" s="498" t="s">
        <v>339</v>
      </c>
      <c r="B44" s="498"/>
      <c r="C44" s="973"/>
      <c r="D44" s="973"/>
      <c r="E44" s="973"/>
      <c r="F44" s="973"/>
      <c r="G44" s="973"/>
      <c r="H44" s="973"/>
      <c r="I44" s="130"/>
      <c r="J44" s="130"/>
      <c r="K44" s="99"/>
      <c r="L44" s="99"/>
      <c r="M44" s="106"/>
      <c r="N44" s="106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</row>
    <row r="45" spans="1:59" s="570" customFormat="1" ht="34.5" customHeight="1">
      <c r="A45" s="498" t="s">
        <v>1006</v>
      </c>
      <c r="B45" s="498"/>
      <c r="C45" s="973"/>
      <c r="D45" s="973"/>
      <c r="E45" s="973"/>
      <c r="F45" s="973"/>
      <c r="G45" s="973"/>
      <c r="H45" s="973"/>
      <c r="I45" s="130"/>
      <c r="J45" s="130"/>
      <c r="K45" s="371"/>
      <c r="L45" s="371"/>
      <c r="M45" s="724"/>
      <c r="N45" s="724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</row>
    <row r="46" spans="1:59" s="570" customFormat="1" ht="34.5" customHeight="1">
      <c r="A46" s="832" t="s">
        <v>1282</v>
      </c>
      <c r="B46" s="832"/>
      <c r="C46" s="1169"/>
      <c r="D46" s="1169"/>
      <c r="E46" s="1169"/>
      <c r="F46" s="1169"/>
      <c r="G46" s="1169"/>
      <c r="H46" s="1169"/>
      <c r="I46" s="130"/>
      <c r="J46" s="130"/>
      <c r="K46" s="371"/>
      <c r="L46" s="371"/>
      <c r="M46" s="724"/>
      <c r="N46" s="724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</row>
    <row r="47" spans="1:25" s="145" customFormat="1" ht="32.25" customHeight="1" thickBot="1">
      <c r="A47" s="141"/>
      <c r="B47" s="156"/>
      <c r="C47" s="141"/>
      <c r="D47" s="141"/>
      <c r="E47" s="141"/>
      <c r="F47" s="141"/>
      <c r="G47" s="141"/>
      <c r="H47" s="141"/>
      <c r="I47" s="157"/>
      <c r="J47" s="157"/>
      <c r="K47" s="158"/>
      <c r="L47" s="158"/>
      <c r="M47" s="159"/>
      <c r="N47" s="159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42" s="167" customFormat="1" ht="34.5" customHeight="1" thickTop="1">
      <c r="A48" s="826" t="s">
        <v>33</v>
      </c>
      <c r="B48" s="827" t="s">
        <v>568</v>
      </c>
      <c r="C48" s="828" t="s">
        <v>847</v>
      </c>
      <c r="D48" s="829"/>
      <c r="E48" s="830" t="s">
        <v>848</v>
      </c>
      <c r="F48" s="831"/>
      <c r="G48" s="830" t="s">
        <v>849</v>
      </c>
      <c r="H48" s="831"/>
      <c r="I48" s="830" t="s">
        <v>850</v>
      </c>
      <c r="J48" s="831"/>
      <c r="K48" s="830" t="s">
        <v>851</v>
      </c>
      <c r="L48" s="831"/>
      <c r="M48" s="830" t="s">
        <v>852</v>
      </c>
      <c r="N48" s="831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</row>
    <row r="49" spans="1:27" s="121" customFormat="1" ht="35.25" customHeight="1">
      <c r="A49" s="851" t="s">
        <v>38</v>
      </c>
      <c r="B49" s="289" t="s">
        <v>252</v>
      </c>
      <c r="C49" s="1194">
        <f>CEILING(105*$Z$1,0.1)</f>
        <v>131.3</v>
      </c>
      <c r="D49" s="1195"/>
      <c r="E49" s="1194">
        <f>CEILING(120*$Z$1,0.1)</f>
        <v>150</v>
      </c>
      <c r="F49" s="1195"/>
      <c r="G49" s="1194">
        <f>CEILING(145*$Z$1,0.1)</f>
        <v>181.3</v>
      </c>
      <c r="H49" s="1195"/>
      <c r="I49" s="1194">
        <f>CEILING(120*$Z$1,0.1)</f>
        <v>150</v>
      </c>
      <c r="J49" s="1195"/>
      <c r="K49" s="1194">
        <f>CEILING(120*$Z$1,0.1)</f>
        <v>150</v>
      </c>
      <c r="L49" s="1195"/>
      <c r="M49" s="1194">
        <f>CEILING(100*$Z$1,0.1)</f>
        <v>125</v>
      </c>
      <c r="N49" s="1195"/>
      <c r="O49" s="106"/>
      <c r="P49" s="106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1:27" s="121" customFormat="1" ht="34.5" customHeight="1">
      <c r="A50" s="852" t="s">
        <v>35</v>
      </c>
      <c r="B50" s="238" t="s">
        <v>36</v>
      </c>
      <c r="C50" s="1192">
        <f>CEILING((C49+0*$Z$1),0.1)</f>
        <v>131.3</v>
      </c>
      <c r="D50" s="1193"/>
      <c r="E50" s="1192">
        <f>CEILING((E49+72*$Z$1),0.1)</f>
        <v>240</v>
      </c>
      <c r="F50" s="1193"/>
      <c r="G50" s="1192">
        <f>CEILING((G49+72*$Z$1),0.1)</f>
        <v>271.3</v>
      </c>
      <c r="H50" s="1193"/>
      <c r="I50" s="1192">
        <f>CEILING((I49+72*$Z$1),0.1)</f>
        <v>240</v>
      </c>
      <c r="J50" s="1193"/>
      <c r="K50" s="1192">
        <f>CEILING((K49+72*$Z$1),0.1)</f>
        <v>240</v>
      </c>
      <c r="L50" s="1193"/>
      <c r="M50" s="1192">
        <f>CEILING((M49+0*$Z$1),0.1)</f>
        <v>125</v>
      </c>
      <c r="N50" s="1193"/>
      <c r="O50" s="106"/>
      <c r="P50" s="106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1:27" s="121" customFormat="1" ht="34.5" customHeight="1">
      <c r="A51" s="114"/>
      <c r="B51" s="245" t="s">
        <v>731</v>
      </c>
      <c r="C51" s="1192">
        <f>CEILING(140*$Z$1,0.1)</f>
        <v>175</v>
      </c>
      <c r="D51" s="1193"/>
      <c r="E51" s="1192">
        <f>CEILING(155*$Z$1,0.1)</f>
        <v>193.8</v>
      </c>
      <c r="F51" s="1193"/>
      <c r="G51" s="1192">
        <f>CEILING(180*$Z$1,0.1)</f>
        <v>225</v>
      </c>
      <c r="H51" s="1193"/>
      <c r="I51" s="1192">
        <f>CEILING(155*$Z$1,0.1)</f>
        <v>193.8</v>
      </c>
      <c r="J51" s="1193"/>
      <c r="K51" s="1192">
        <f>CEILING(155*$Z$1,0.1)</f>
        <v>193.8</v>
      </c>
      <c r="L51" s="1193"/>
      <c r="M51" s="1192">
        <f>CEILING(135*$Z$1,0.1)</f>
        <v>168.8</v>
      </c>
      <c r="N51" s="1193"/>
      <c r="O51" s="106"/>
      <c r="P51" s="106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1:27" s="121" customFormat="1" ht="34.5" customHeight="1">
      <c r="A52" s="853" t="s">
        <v>730</v>
      </c>
      <c r="B52" s="245" t="s">
        <v>732</v>
      </c>
      <c r="C52" s="1192">
        <f>CEILING((C51+0*$Z$1),0.1)</f>
        <v>175</v>
      </c>
      <c r="D52" s="1193"/>
      <c r="E52" s="1192">
        <f>CEILING((E51+93*$Z$1),0.1)</f>
        <v>310.1</v>
      </c>
      <c r="F52" s="1193"/>
      <c r="G52" s="1192">
        <f>CEILING((G51+93*$Z$1),0.1)</f>
        <v>341.3</v>
      </c>
      <c r="H52" s="1193"/>
      <c r="I52" s="1192">
        <f>CEILING((I51+93*$Z$1),0.1)</f>
        <v>310.1</v>
      </c>
      <c r="J52" s="1193"/>
      <c r="K52" s="1192">
        <f>CEILING((K51+93*$Z$1),0.1)</f>
        <v>310.1</v>
      </c>
      <c r="L52" s="1193"/>
      <c r="M52" s="1192">
        <f>CEILING((M51+0*$Z$1),0.1)</f>
        <v>168.8</v>
      </c>
      <c r="N52" s="1193"/>
      <c r="O52" s="106"/>
      <c r="P52" s="106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1:27" s="121" customFormat="1" ht="34.5" customHeight="1">
      <c r="A53" s="114"/>
      <c r="B53" s="245" t="s">
        <v>733</v>
      </c>
      <c r="C53" s="1192">
        <f>CEILING(160*$Z$1,0.1)</f>
        <v>200</v>
      </c>
      <c r="D53" s="1193"/>
      <c r="E53" s="1192">
        <f>CEILING(175*$Z$1,0.1)</f>
        <v>218.8</v>
      </c>
      <c r="F53" s="1193"/>
      <c r="G53" s="1192">
        <f>CEILING(200*$Z$1,0.1)</f>
        <v>250</v>
      </c>
      <c r="H53" s="1193"/>
      <c r="I53" s="1192">
        <f>CEILING(175*$Z$1,0.1)</f>
        <v>218.8</v>
      </c>
      <c r="J53" s="1193"/>
      <c r="K53" s="1192">
        <f>CEILING(175*$Z$1,0.1)</f>
        <v>218.8</v>
      </c>
      <c r="L53" s="1193"/>
      <c r="M53" s="1192">
        <f>CEILING(155*$Z$1,0.1)</f>
        <v>193.8</v>
      </c>
      <c r="N53" s="1193"/>
      <c r="O53" s="106"/>
      <c r="P53" s="106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1:27" s="121" customFormat="1" ht="34.5" customHeight="1">
      <c r="A54" s="114"/>
      <c r="B54" s="245" t="s">
        <v>734</v>
      </c>
      <c r="C54" s="1192">
        <f>CEILING(175*$Z$1,0.1)</f>
        <v>218.8</v>
      </c>
      <c r="D54" s="1193"/>
      <c r="E54" s="1192">
        <f>CEILING(190*$Z$1,0.1)</f>
        <v>237.5</v>
      </c>
      <c r="F54" s="1193"/>
      <c r="G54" s="1192">
        <f>CEILING(215*$Z$1,0.1)</f>
        <v>268.8</v>
      </c>
      <c r="H54" s="1193"/>
      <c r="I54" s="1192">
        <f>CEILING(190*$Z$1,0.1)</f>
        <v>237.5</v>
      </c>
      <c r="J54" s="1193"/>
      <c r="K54" s="1192">
        <f>CEILING(190*$Z$1,0.1)</f>
        <v>237.5</v>
      </c>
      <c r="L54" s="1193"/>
      <c r="M54" s="1192">
        <f>CEILING(170*$Z$1,0.1)</f>
        <v>212.5</v>
      </c>
      <c r="N54" s="1193"/>
      <c r="O54" s="106"/>
      <c r="P54" s="106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1:41" s="185" customFormat="1" ht="34.5" customHeight="1" thickBot="1">
      <c r="A55" s="854" t="s">
        <v>449</v>
      </c>
      <c r="B55" s="447" t="s">
        <v>735</v>
      </c>
      <c r="C55" s="1218">
        <f>CEILING((C54+0*$Z$1),0.1)</f>
        <v>218.8</v>
      </c>
      <c r="D55" s="1219"/>
      <c r="E55" s="1218">
        <f>CEILING((E54+93*$Z$1),0.1)</f>
        <v>353.8</v>
      </c>
      <c r="F55" s="1219"/>
      <c r="G55" s="1218">
        <f>CEILING((G54+93*$Z$1),0.1)</f>
        <v>385.1</v>
      </c>
      <c r="H55" s="1219"/>
      <c r="I55" s="1218">
        <f>CEILING((I54+93*$Z$1),0.1)</f>
        <v>353.8</v>
      </c>
      <c r="J55" s="1219"/>
      <c r="K55" s="1218">
        <f>CEILING((K54+93*$Z$1),0.1)</f>
        <v>353.8</v>
      </c>
      <c r="L55" s="1219"/>
      <c r="M55" s="1218">
        <f>CEILING((M54+0*$Z$1),0.1)</f>
        <v>212.5</v>
      </c>
      <c r="N55" s="1219"/>
      <c r="O55" s="106"/>
      <c r="P55" s="106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1:27" s="121" customFormat="1" ht="34.5" customHeight="1" thickTop="1">
      <c r="A56" s="832" t="s">
        <v>1283</v>
      </c>
      <c r="B56" s="832"/>
      <c r="C56" s="969"/>
      <c r="D56" s="969"/>
      <c r="E56" s="969"/>
      <c r="F56" s="969"/>
      <c r="G56" s="1142"/>
      <c r="H56" s="1142"/>
      <c r="I56" s="1142"/>
      <c r="J56" s="1142"/>
      <c r="K56" s="1142"/>
      <c r="L56" s="1142"/>
      <c r="M56" s="1142"/>
      <c r="N56" s="1142"/>
      <c r="O56" s="106"/>
      <c r="P56" s="106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1:41" s="94" customFormat="1" ht="34.5" customHeight="1">
      <c r="A57" s="1222" t="s">
        <v>1007</v>
      </c>
      <c r="B57" s="1222"/>
      <c r="C57" s="1222"/>
      <c r="D57" s="1222"/>
      <c r="E57" s="1222"/>
      <c r="F57" s="1222"/>
      <c r="G57" s="1222"/>
      <c r="H57" s="1222"/>
      <c r="I57" s="130"/>
      <c r="J57" s="130"/>
      <c r="K57" s="99"/>
      <c r="L57" s="99"/>
      <c r="M57" s="106"/>
      <c r="N57" s="9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1:59" s="911" customFormat="1" ht="34.5" customHeight="1">
      <c r="A58" s="498" t="s">
        <v>859</v>
      </c>
      <c r="B58" s="498"/>
      <c r="C58" s="1056"/>
      <c r="D58" s="1056"/>
      <c r="E58" s="1056"/>
      <c r="F58" s="1056"/>
      <c r="G58" s="1056"/>
      <c r="H58" s="1056"/>
      <c r="I58" s="130"/>
      <c r="J58" s="130"/>
      <c r="K58" s="99"/>
      <c r="L58" s="99"/>
      <c r="M58" s="106"/>
      <c r="N58" s="106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</row>
    <row r="59" spans="1:16" s="136" customFormat="1" ht="34.5" customHeight="1" thickBot="1">
      <c r="A59" s="1232"/>
      <c r="B59" s="1232"/>
      <c r="C59" s="1232"/>
      <c r="D59" s="1232"/>
      <c r="E59" s="1232"/>
      <c r="F59" s="1232"/>
      <c r="G59" s="1232"/>
      <c r="H59" s="1232"/>
      <c r="I59" s="1233"/>
      <c r="J59" s="1233"/>
      <c r="K59" s="1233"/>
      <c r="L59" s="1233"/>
      <c r="M59" s="106"/>
      <c r="N59" s="106"/>
      <c r="O59" s="100"/>
      <c r="P59" s="100"/>
    </row>
    <row r="60" spans="1:69" s="167" customFormat="1" ht="34.5" customHeight="1" thickTop="1">
      <c r="A60" s="826" t="s">
        <v>33</v>
      </c>
      <c r="B60" s="827" t="s">
        <v>568</v>
      </c>
      <c r="C60" s="828" t="s">
        <v>847</v>
      </c>
      <c r="D60" s="829"/>
      <c r="E60" s="830" t="s">
        <v>848</v>
      </c>
      <c r="F60" s="831"/>
      <c r="G60" s="830" t="s">
        <v>849</v>
      </c>
      <c r="H60" s="831"/>
      <c r="I60" s="830" t="s">
        <v>850</v>
      </c>
      <c r="J60" s="831"/>
      <c r="K60" s="830" t="s">
        <v>851</v>
      </c>
      <c r="L60" s="831"/>
      <c r="M60" s="830" t="s">
        <v>852</v>
      </c>
      <c r="N60" s="831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</row>
    <row r="61" spans="1:25" s="94" customFormat="1" ht="34.5" customHeight="1">
      <c r="A61" s="194" t="s">
        <v>40</v>
      </c>
      <c r="B61" s="195" t="s">
        <v>214</v>
      </c>
      <c r="C61" s="1194">
        <f>CEILING(95*$Z$1,0.1)</f>
        <v>118.80000000000001</v>
      </c>
      <c r="D61" s="1195"/>
      <c r="E61" s="1194">
        <f>CEILING(130*$Z$1,0.1)</f>
        <v>162.5</v>
      </c>
      <c r="F61" s="1195"/>
      <c r="G61" s="1194">
        <f>CEILING(150*$Z$1,0.1)</f>
        <v>187.5</v>
      </c>
      <c r="H61" s="1195"/>
      <c r="I61" s="1194">
        <f>CEILING(120*$Z$1,0.1)</f>
        <v>150</v>
      </c>
      <c r="J61" s="1195"/>
      <c r="K61" s="1194">
        <f>CEILING(120*$Z$1,0.1)</f>
        <v>150</v>
      </c>
      <c r="L61" s="1195"/>
      <c r="M61" s="1194">
        <f>CEILING(100*$Z$1,0.1)</f>
        <v>125</v>
      </c>
      <c r="N61" s="1195"/>
      <c r="O61" s="100"/>
      <c r="P61" s="100"/>
      <c r="Q61" s="92"/>
      <c r="R61" s="92"/>
      <c r="S61" s="92"/>
      <c r="T61" s="92"/>
      <c r="U61" s="92"/>
      <c r="V61" s="92"/>
      <c r="W61" s="92"/>
      <c r="X61" s="92"/>
      <c r="Y61" s="92"/>
    </row>
    <row r="62" spans="1:25" s="94" customFormat="1" ht="34.5" customHeight="1">
      <c r="A62" s="196" t="s">
        <v>35</v>
      </c>
      <c r="B62" s="197" t="s">
        <v>215</v>
      </c>
      <c r="C62" s="1192">
        <f>CEILING((C61+36*$Z$1),0.1)</f>
        <v>163.8</v>
      </c>
      <c r="D62" s="1193"/>
      <c r="E62" s="1192">
        <f>CEILING((E61+72*$Z$1),0.1)</f>
        <v>252.5</v>
      </c>
      <c r="F62" s="1193"/>
      <c r="G62" s="1192">
        <f>CEILING((G61+72*$Z$1),0.1)</f>
        <v>277.5</v>
      </c>
      <c r="H62" s="1193"/>
      <c r="I62" s="1192">
        <f>CEILING((I61+72*$Z$1),0.1)</f>
        <v>240</v>
      </c>
      <c r="J62" s="1193"/>
      <c r="K62" s="1192">
        <f>CEILING((K61+72*$Z$1),0.1)</f>
        <v>240</v>
      </c>
      <c r="L62" s="1193"/>
      <c r="M62" s="1192">
        <f>CEILING((M61+36*$Z$1),0.1)</f>
        <v>170</v>
      </c>
      <c r="N62" s="1193"/>
      <c r="O62" s="100"/>
      <c r="P62" s="100"/>
      <c r="Q62" s="92"/>
      <c r="R62" s="92"/>
      <c r="S62" s="92"/>
      <c r="T62" s="92"/>
      <c r="U62" s="92"/>
      <c r="V62" s="92"/>
      <c r="W62" s="92"/>
      <c r="X62" s="92"/>
      <c r="Y62" s="92"/>
    </row>
    <row r="63" spans="1:25" s="94" customFormat="1" ht="34.5" customHeight="1">
      <c r="A63" s="198"/>
      <c r="B63" s="199" t="s">
        <v>37</v>
      </c>
      <c r="C63" s="1192">
        <f>CEILING((C61*0.85),0.1)</f>
        <v>101</v>
      </c>
      <c r="D63" s="1193"/>
      <c r="E63" s="1192">
        <f>CEILING((E61*0.85),0.1)</f>
        <v>138.20000000000002</v>
      </c>
      <c r="F63" s="1193"/>
      <c r="G63" s="1192">
        <f>CEILING((G61*0.85),0.1)</f>
        <v>159.4</v>
      </c>
      <c r="H63" s="1193"/>
      <c r="I63" s="1192">
        <f>CEILING((I61*0.85),0.1)</f>
        <v>127.5</v>
      </c>
      <c r="J63" s="1193"/>
      <c r="K63" s="1192">
        <f>CEILING((K61*0.85),0.1)</f>
        <v>127.5</v>
      </c>
      <c r="L63" s="1193"/>
      <c r="M63" s="1192">
        <f>CEILING((M61*0.85),0.1)</f>
        <v>106.30000000000001</v>
      </c>
      <c r="N63" s="1193"/>
      <c r="O63" s="100"/>
      <c r="P63" s="100"/>
      <c r="Q63" s="92"/>
      <c r="R63" s="92"/>
      <c r="S63" s="92"/>
      <c r="T63" s="92"/>
      <c r="U63" s="92"/>
      <c r="V63" s="92"/>
      <c r="W63" s="92"/>
      <c r="X63" s="92"/>
      <c r="Y63" s="92"/>
    </row>
    <row r="64" spans="1:25" s="94" customFormat="1" ht="34.5" customHeight="1">
      <c r="A64" s="114"/>
      <c r="B64" s="200" t="s">
        <v>218</v>
      </c>
      <c r="C64" s="1192">
        <f>CEILING(115*$Z$1,0.1)</f>
        <v>143.8</v>
      </c>
      <c r="D64" s="1193"/>
      <c r="E64" s="1192">
        <f>CEILING(150*$Z$1,0.1)</f>
        <v>187.5</v>
      </c>
      <c r="F64" s="1193"/>
      <c r="G64" s="1192">
        <f>CEILING(170*$Z$1,0.1)</f>
        <v>212.5</v>
      </c>
      <c r="H64" s="1193"/>
      <c r="I64" s="1192">
        <f>CEILING(140*$Z$1,0.1)</f>
        <v>175</v>
      </c>
      <c r="J64" s="1193"/>
      <c r="K64" s="1192">
        <f>CEILING(140*$Z$1,0.1)</f>
        <v>175</v>
      </c>
      <c r="L64" s="1193"/>
      <c r="M64" s="1192">
        <f>CEILING(120*$Z$1,0.1)</f>
        <v>150</v>
      </c>
      <c r="N64" s="1193"/>
      <c r="O64" s="100"/>
      <c r="P64" s="100"/>
      <c r="Q64" s="92"/>
      <c r="R64" s="92"/>
      <c r="S64" s="92"/>
      <c r="T64" s="92"/>
      <c r="U64" s="92"/>
      <c r="V64" s="92"/>
      <c r="W64" s="92"/>
      <c r="X64" s="92"/>
      <c r="Y64" s="92"/>
    </row>
    <row r="65" spans="1:25" s="94" customFormat="1" ht="34.5" customHeight="1">
      <c r="A65" s="201"/>
      <c r="B65" s="200" t="s">
        <v>219</v>
      </c>
      <c r="C65" s="1192">
        <f>CEILING((C64+36*$Z$1),0.1)</f>
        <v>188.8</v>
      </c>
      <c r="D65" s="1193"/>
      <c r="E65" s="1192">
        <f>CEILING((E64+72*$Z$1),0.1)</f>
        <v>277.5</v>
      </c>
      <c r="F65" s="1193"/>
      <c r="G65" s="1192">
        <f>CEILING((G64+72*$Z$1),0.1)</f>
        <v>302.5</v>
      </c>
      <c r="H65" s="1193"/>
      <c r="I65" s="1192">
        <f>CEILING((I64+72*$Z$1),0.1)</f>
        <v>265</v>
      </c>
      <c r="J65" s="1193"/>
      <c r="K65" s="1192">
        <f>CEILING((K64+72*$Z$1),0.1)</f>
        <v>265</v>
      </c>
      <c r="L65" s="1193"/>
      <c r="M65" s="1192">
        <f>CEILING((M64+36*$Z$1),0.1)</f>
        <v>195</v>
      </c>
      <c r="N65" s="1193"/>
      <c r="O65" s="100"/>
      <c r="P65" s="100"/>
      <c r="Q65" s="92"/>
      <c r="R65" s="92"/>
      <c r="S65" s="92"/>
      <c r="T65" s="92"/>
      <c r="U65" s="92"/>
      <c r="V65" s="92"/>
      <c r="W65" s="92"/>
      <c r="X65" s="92"/>
      <c r="Y65" s="92"/>
    </row>
    <row r="66" spans="1:25" s="94" customFormat="1" ht="34.5" customHeight="1">
      <c r="A66" s="114" t="s">
        <v>854</v>
      </c>
      <c r="B66" s="200" t="s">
        <v>34</v>
      </c>
      <c r="C66" s="1192">
        <f>CEILING(120*$Z$1,0.1)</f>
        <v>150</v>
      </c>
      <c r="D66" s="1193"/>
      <c r="E66" s="1192">
        <f>CEILING(155*$Z$1,0.1)</f>
        <v>193.8</v>
      </c>
      <c r="F66" s="1193"/>
      <c r="G66" s="1192">
        <f>CEILING(175*$Z$1,0.1)</f>
        <v>218.8</v>
      </c>
      <c r="H66" s="1193"/>
      <c r="I66" s="1192">
        <f>CEILING(145*$Z$1,0.1)</f>
        <v>181.3</v>
      </c>
      <c r="J66" s="1193"/>
      <c r="K66" s="1192">
        <f>CEILING(145*$Z$1,0.1)</f>
        <v>181.3</v>
      </c>
      <c r="L66" s="1193"/>
      <c r="M66" s="1192">
        <f>CEILING(125*$Z$1,0.1)</f>
        <v>156.3</v>
      </c>
      <c r="N66" s="1193"/>
      <c r="O66" s="100"/>
      <c r="P66" s="100"/>
      <c r="Q66" s="92"/>
      <c r="R66" s="92"/>
      <c r="S66" s="92"/>
      <c r="T66" s="92"/>
      <c r="U66" s="92"/>
      <c r="V66" s="92"/>
      <c r="W66" s="92"/>
      <c r="X66" s="92"/>
      <c r="Y66" s="92"/>
    </row>
    <row r="67" spans="1:25" s="94" customFormat="1" ht="34.5" customHeight="1" thickBot="1">
      <c r="A67" s="202"/>
      <c r="B67" s="203" t="s">
        <v>36</v>
      </c>
      <c r="C67" s="1218">
        <f>CEILING((C66+46*$Z$1),0.1)</f>
        <v>207.5</v>
      </c>
      <c r="D67" s="1219"/>
      <c r="E67" s="1218">
        <f>CEILING((E66+82*$Z$1),0.1)</f>
        <v>296.3</v>
      </c>
      <c r="F67" s="1219"/>
      <c r="G67" s="1218">
        <f>CEILING((G66+82*$Z$1),0.1)</f>
        <v>321.3</v>
      </c>
      <c r="H67" s="1219"/>
      <c r="I67" s="1218">
        <f>CEILING((I66+82*$Z$1),0.1)</f>
        <v>283.8</v>
      </c>
      <c r="J67" s="1219"/>
      <c r="K67" s="1218">
        <f>CEILING((K66+82*$Z$1),0.1)</f>
        <v>283.8</v>
      </c>
      <c r="L67" s="1219"/>
      <c r="M67" s="1218">
        <f>CEILING((M66+46*$Z$1),0.1)</f>
        <v>213.8</v>
      </c>
      <c r="N67" s="1219"/>
      <c r="O67" s="101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s="121" customFormat="1" ht="34.5" customHeight="1" thickTop="1">
      <c r="A68" s="204" t="s">
        <v>384</v>
      </c>
      <c r="B68" s="205" t="s">
        <v>335</v>
      </c>
      <c r="C68" s="1194">
        <f>CEILING(125*$Z$1,0.1)</f>
        <v>156.3</v>
      </c>
      <c r="D68" s="1195"/>
      <c r="E68" s="1194">
        <f>CEILING(160*$Z$1,0.1)</f>
        <v>200</v>
      </c>
      <c r="F68" s="1195"/>
      <c r="G68" s="1194">
        <f>CEILING(180*$Z$1,0.1)</f>
        <v>225</v>
      </c>
      <c r="H68" s="1195"/>
      <c r="I68" s="1194">
        <f>CEILING(150*$Z$1,0.1)</f>
        <v>187.5</v>
      </c>
      <c r="J68" s="1195"/>
      <c r="K68" s="1194">
        <f>CEILING(150*$Z$1,0.1)</f>
        <v>187.5</v>
      </c>
      <c r="L68" s="1195"/>
      <c r="M68" s="1194">
        <f>CEILING(130*$Z$1,0.1)</f>
        <v>162.5</v>
      </c>
      <c r="N68" s="1195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</row>
    <row r="69" spans="1:25" s="206" customFormat="1" ht="34.5" customHeight="1">
      <c r="A69" s="1062" t="s">
        <v>385</v>
      </c>
      <c r="B69" s="205" t="s">
        <v>336</v>
      </c>
      <c r="C69" s="1192">
        <f>CEILING((C68+48*$Z$1),0.1)</f>
        <v>216.3</v>
      </c>
      <c r="D69" s="1193"/>
      <c r="E69" s="1192">
        <f>CEILING((E68+90*$Z$1),0.1)</f>
        <v>312.5</v>
      </c>
      <c r="F69" s="1193"/>
      <c r="G69" s="1192">
        <f>CEILING((G68+90*$Z$1),0.1)</f>
        <v>337.5</v>
      </c>
      <c r="H69" s="1193"/>
      <c r="I69" s="1192">
        <f>CEILING((I68+90*$Z$1),0.1)</f>
        <v>300</v>
      </c>
      <c r="J69" s="1193"/>
      <c r="K69" s="1192">
        <f>CEILING((K68+90*$Z$1),0.1)</f>
        <v>300</v>
      </c>
      <c r="L69" s="1193"/>
      <c r="M69" s="1192">
        <f>CEILING((M68+48*$Z$1),0.1)</f>
        <v>222.5</v>
      </c>
      <c r="N69" s="1193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s="206" customFormat="1" ht="34.5" customHeight="1">
      <c r="A70" s="207" t="s">
        <v>730</v>
      </c>
      <c r="B70" s="208" t="s">
        <v>337</v>
      </c>
      <c r="C70" s="1192">
        <f>CEILING(145*$Z$1,0.1)</f>
        <v>181.3</v>
      </c>
      <c r="D70" s="1193"/>
      <c r="E70" s="1192">
        <f>CEILING(180*$Z$1,0.1)</f>
        <v>225</v>
      </c>
      <c r="F70" s="1193"/>
      <c r="G70" s="1192">
        <f>CEILING(200*$Z$1,0.1)</f>
        <v>250</v>
      </c>
      <c r="H70" s="1193"/>
      <c r="I70" s="1192">
        <f>CEILING(170*$Z$1,0.1)</f>
        <v>212.5</v>
      </c>
      <c r="J70" s="1193"/>
      <c r="K70" s="1192">
        <f>CEILING(170*$Z$1,0.1)</f>
        <v>212.5</v>
      </c>
      <c r="L70" s="1193"/>
      <c r="M70" s="1192">
        <f>CEILING(150*$Z$1,0.1)</f>
        <v>187.5</v>
      </c>
      <c r="N70" s="1193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spans="1:37" s="211" customFormat="1" ht="34.5" customHeight="1" thickBot="1">
      <c r="A71" s="209" t="s">
        <v>449</v>
      </c>
      <c r="B71" s="210" t="s">
        <v>338</v>
      </c>
      <c r="C71" s="1218">
        <f>CEILING((C70+48*$Z$1),0.1)</f>
        <v>241.3</v>
      </c>
      <c r="D71" s="1219"/>
      <c r="E71" s="1218">
        <f>CEILING((E70+90*$Z$1),0.1)</f>
        <v>337.5</v>
      </c>
      <c r="F71" s="1219"/>
      <c r="G71" s="1218">
        <f>CEILING((G70+90*$Z$1),0.1)</f>
        <v>362.5</v>
      </c>
      <c r="H71" s="1219"/>
      <c r="I71" s="1218">
        <f>CEILING((I70+90*$Z$1),0.1)</f>
        <v>325</v>
      </c>
      <c r="J71" s="1219"/>
      <c r="K71" s="1218">
        <f>CEILING((K70+90*$Z$1),0.1)</f>
        <v>325</v>
      </c>
      <c r="L71" s="1219"/>
      <c r="M71" s="1218">
        <f>CEILING((M70+48*$Z$1),0.1)</f>
        <v>247.5</v>
      </c>
      <c r="N71" s="1219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</row>
    <row r="72" spans="1:37" s="571" customFormat="1" ht="34.5" customHeight="1" thickTop="1">
      <c r="A72" s="821" t="s">
        <v>737</v>
      </c>
      <c r="B72" s="387"/>
      <c r="C72" s="796"/>
      <c r="D72" s="796"/>
      <c r="E72" s="796"/>
      <c r="F72" s="796"/>
      <c r="G72" s="796"/>
      <c r="H72" s="796"/>
      <c r="I72" s="796"/>
      <c r="J72" s="796"/>
      <c r="K72" s="834"/>
      <c r="L72" s="834"/>
      <c r="M72" s="724"/>
      <c r="N72" s="724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70"/>
      <c r="AA72" s="570"/>
      <c r="AB72" s="570"/>
      <c r="AC72" s="570"/>
      <c r="AD72" s="570"/>
      <c r="AE72" s="570"/>
      <c r="AF72" s="570"/>
      <c r="AG72" s="570"/>
      <c r="AH72" s="570"/>
      <c r="AI72" s="570"/>
      <c r="AJ72" s="570"/>
      <c r="AK72" s="570"/>
    </row>
    <row r="73" spans="1:59" s="911" customFormat="1" ht="34.5" customHeight="1">
      <c r="A73" s="498" t="s">
        <v>856</v>
      </c>
      <c r="B73" s="498"/>
      <c r="C73" s="973"/>
      <c r="D73" s="973"/>
      <c r="E73" s="973"/>
      <c r="F73" s="973"/>
      <c r="G73" s="973"/>
      <c r="H73" s="973"/>
      <c r="I73" s="130"/>
      <c r="J73" s="130"/>
      <c r="K73" s="99"/>
      <c r="L73" s="99"/>
      <c r="M73" s="106"/>
      <c r="N73" s="106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</row>
    <row r="74" spans="1:45" s="136" customFormat="1" ht="34.5" customHeight="1" thickBot="1">
      <c r="A74" s="1232"/>
      <c r="B74" s="1232"/>
      <c r="C74" s="1232"/>
      <c r="D74" s="1232"/>
      <c r="E74" s="1232"/>
      <c r="F74" s="1232"/>
      <c r="G74" s="1232"/>
      <c r="H74" s="1232"/>
      <c r="I74" s="1233"/>
      <c r="J74" s="1233"/>
      <c r="K74" s="1233"/>
      <c r="L74" s="1233"/>
      <c r="M74" s="106"/>
      <c r="N74" s="106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</row>
    <row r="75" spans="1:69" s="167" customFormat="1" ht="34.5" customHeight="1" thickTop="1">
      <c r="A75" s="826" t="s">
        <v>33</v>
      </c>
      <c r="B75" s="827" t="s">
        <v>568</v>
      </c>
      <c r="C75" s="828" t="s">
        <v>847</v>
      </c>
      <c r="D75" s="829"/>
      <c r="E75" s="830" t="s">
        <v>848</v>
      </c>
      <c r="F75" s="831"/>
      <c r="G75" s="830" t="s">
        <v>849</v>
      </c>
      <c r="H75" s="831"/>
      <c r="I75" s="830" t="s">
        <v>850</v>
      </c>
      <c r="J75" s="831"/>
      <c r="K75" s="830" t="s">
        <v>851</v>
      </c>
      <c r="L75" s="831"/>
      <c r="M75" s="830" t="s">
        <v>852</v>
      </c>
      <c r="N75" s="831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</row>
    <row r="76" spans="1:45" s="121" customFormat="1" ht="34.5" customHeight="1">
      <c r="A76" s="449" t="s">
        <v>45</v>
      </c>
      <c r="B76" s="243" t="s">
        <v>214</v>
      </c>
      <c r="C76" s="1194">
        <f>CEILING(85*$Z$1,0.1)</f>
        <v>106.30000000000001</v>
      </c>
      <c r="D76" s="1195"/>
      <c r="E76" s="1194">
        <f>CEILING(110*$Z$1,0.1)</f>
        <v>137.5</v>
      </c>
      <c r="F76" s="1195"/>
      <c r="G76" s="1194">
        <f>CEILING(130*$Z$1,0.1)</f>
        <v>162.5</v>
      </c>
      <c r="H76" s="1195"/>
      <c r="I76" s="1194">
        <f>CEILING(110*$Z$1,0.1)</f>
        <v>137.5</v>
      </c>
      <c r="J76" s="1195"/>
      <c r="K76" s="1194">
        <f>CEILING(110*$Z$1,0.1)</f>
        <v>137.5</v>
      </c>
      <c r="L76" s="1195"/>
      <c r="M76" s="1194">
        <f>CEILING(110*$Z$1,0.1)</f>
        <v>137.5</v>
      </c>
      <c r="N76" s="1195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</row>
    <row r="77" spans="1:25" s="121" customFormat="1" ht="34.5" customHeight="1">
      <c r="A77" s="290" t="s">
        <v>35</v>
      </c>
      <c r="B77" s="428" t="s">
        <v>215</v>
      </c>
      <c r="C77" s="1192">
        <f>CEILING((C76+0*$Z$1),0.1)</f>
        <v>106.30000000000001</v>
      </c>
      <c r="D77" s="1193"/>
      <c r="E77" s="1192">
        <f>CEILING((E76+66*$Z$1),0.1)</f>
        <v>220</v>
      </c>
      <c r="F77" s="1193"/>
      <c r="G77" s="1192">
        <f>CEILING((G76+66*$Z$1),0.1)</f>
        <v>245</v>
      </c>
      <c r="H77" s="1193"/>
      <c r="I77" s="1192">
        <f>CEILING((I76+66*$Z$1),0.1)</f>
        <v>220</v>
      </c>
      <c r="J77" s="1193"/>
      <c r="K77" s="1192">
        <f>CEILING((K76+66*$Z$1),0.1)</f>
        <v>220</v>
      </c>
      <c r="L77" s="1193"/>
      <c r="M77" s="1192">
        <f>CEILING((M76+0*$Z$1),0.1)</f>
        <v>137.5</v>
      </c>
      <c r="N77" s="1193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</row>
    <row r="78" spans="1:25" s="121" customFormat="1" ht="34.5" customHeight="1">
      <c r="A78" s="815"/>
      <c r="B78" s="245" t="s">
        <v>534</v>
      </c>
      <c r="C78" s="1192">
        <f>CEILING((C76*0.5),0.1)</f>
        <v>53.2</v>
      </c>
      <c r="D78" s="1193"/>
      <c r="E78" s="1192">
        <f>CEILING((E76*0.5),0.1)</f>
        <v>68.8</v>
      </c>
      <c r="F78" s="1193"/>
      <c r="G78" s="1192">
        <f>CEILING((G76*0.5),0.1)</f>
        <v>81.30000000000001</v>
      </c>
      <c r="H78" s="1193"/>
      <c r="I78" s="1192">
        <f>CEILING((I76*0.5),0.1)</f>
        <v>68.8</v>
      </c>
      <c r="J78" s="1193"/>
      <c r="K78" s="1192">
        <f>CEILING((K76*0.5),0.1)</f>
        <v>68.8</v>
      </c>
      <c r="L78" s="1193"/>
      <c r="M78" s="1192">
        <f>CEILING((M76*0.5),0.1)</f>
        <v>68.8</v>
      </c>
      <c r="N78" s="1193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</row>
    <row r="79" spans="1:25" s="121" customFormat="1" ht="34.5" customHeight="1">
      <c r="A79" s="114"/>
      <c r="B79" s="428" t="s">
        <v>218</v>
      </c>
      <c r="C79" s="1192">
        <f>CEILING(105*$Z$1,0.1)</f>
        <v>131.3</v>
      </c>
      <c r="D79" s="1193"/>
      <c r="E79" s="1192">
        <f>CEILING(130*$Z$1,0.1)</f>
        <v>162.5</v>
      </c>
      <c r="F79" s="1193"/>
      <c r="G79" s="1192">
        <f>CEILING(150*$Z$1,0.1)</f>
        <v>187.5</v>
      </c>
      <c r="H79" s="1193"/>
      <c r="I79" s="1192">
        <f>CEILING(130*$Z$1,0.1)</f>
        <v>162.5</v>
      </c>
      <c r="J79" s="1193"/>
      <c r="K79" s="1192">
        <f>CEILING(130*$Z$1,0.1)</f>
        <v>162.5</v>
      </c>
      <c r="L79" s="1193"/>
      <c r="M79" s="1192">
        <f>CEILING(130*$Z$1,0.1)</f>
        <v>162.5</v>
      </c>
      <c r="N79" s="1193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</row>
    <row r="80" spans="1:25" s="121" customFormat="1" ht="34.5" customHeight="1">
      <c r="A80" s="114"/>
      <c r="B80" s="428" t="s">
        <v>219</v>
      </c>
      <c r="C80" s="1192">
        <f>CEILING((C79+0*$Z$1),0.1)</f>
        <v>131.3</v>
      </c>
      <c r="D80" s="1193"/>
      <c r="E80" s="1192">
        <f>CEILING((E79+66*$Z$1),0.1)</f>
        <v>245</v>
      </c>
      <c r="F80" s="1193"/>
      <c r="G80" s="1192">
        <f>CEILING((G79+66*$Z$1),0.1)</f>
        <v>270</v>
      </c>
      <c r="H80" s="1193"/>
      <c r="I80" s="1192">
        <f>CEILING((I79+66*$Z$1),0.1)</f>
        <v>245</v>
      </c>
      <c r="J80" s="1193"/>
      <c r="K80" s="1192">
        <f>CEILING((K79+66*$Z$1),0.1)</f>
        <v>245</v>
      </c>
      <c r="L80" s="1193"/>
      <c r="M80" s="1192">
        <f>CEILING((M79+0*$Z$1),0.1)</f>
        <v>162.5</v>
      </c>
      <c r="N80" s="1193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</row>
    <row r="81" spans="1:25" s="121" customFormat="1" ht="34.5" customHeight="1">
      <c r="A81" s="180"/>
      <c r="B81" s="245" t="s">
        <v>149</v>
      </c>
      <c r="C81" s="1192">
        <f>CEILING(120*$Z$1,0.1)</f>
        <v>150</v>
      </c>
      <c r="D81" s="1193"/>
      <c r="E81" s="1192">
        <f>CEILING(145*$Z$1,0.1)</f>
        <v>181.3</v>
      </c>
      <c r="F81" s="1193"/>
      <c r="G81" s="1192">
        <f>CEILING(165*$Z$1,0.1)</f>
        <v>206.3</v>
      </c>
      <c r="H81" s="1193"/>
      <c r="I81" s="1192">
        <f>CEILING(145*$Z$1,0.1)</f>
        <v>181.3</v>
      </c>
      <c r="J81" s="1193"/>
      <c r="K81" s="1192">
        <f>CEILING(145*$Z$1,0.1)</f>
        <v>181.3</v>
      </c>
      <c r="L81" s="1193"/>
      <c r="M81" s="1192">
        <f>CEILING(145*$Z$1,0.1)</f>
        <v>181.3</v>
      </c>
      <c r="N81" s="1193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</row>
    <row r="82" spans="1:49" s="185" customFormat="1" ht="34.5" customHeight="1" thickBot="1">
      <c r="A82" s="855" t="s">
        <v>780</v>
      </c>
      <c r="B82" s="447" t="s">
        <v>154</v>
      </c>
      <c r="C82" s="1218">
        <f>CEILING(130*$Z$1,0.1)</f>
        <v>162.5</v>
      </c>
      <c r="D82" s="1219"/>
      <c r="E82" s="1218">
        <f>CEILING(155*$Z$1,0.1)</f>
        <v>193.8</v>
      </c>
      <c r="F82" s="1219"/>
      <c r="G82" s="1218">
        <f>CEILING(175*$Z$1,0.1)</f>
        <v>218.8</v>
      </c>
      <c r="H82" s="1219"/>
      <c r="I82" s="1218">
        <f>CEILING(155*$Z$1,0.1)</f>
        <v>193.8</v>
      </c>
      <c r="J82" s="1219"/>
      <c r="K82" s="1218">
        <f>CEILING(155*$Z$1,0.1)</f>
        <v>193.8</v>
      </c>
      <c r="L82" s="1219"/>
      <c r="M82" s="1218">
        <f>CEILING(155*$Z$1,0.1)</f>
        <v>193.8</v>
      </c>
      <c r="N82" s="1219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</row>
    <row r="83" spans="1:25" s="121" customFormat="1" ht="34.5" customHeight="1" thickTop="1">
      <c r="A83" s="1344" t="s">
        <v>860</v>
      </c>
      <c r="B83" s="1344"/>
      <c r="C83" s="1344"/>
      <c r="D83" s="1344"/>
      <c r="E83" s="1344"/>
      <c r="F83" s="1344"/>
      <c r="G83" s="1344"/>
      <c r="H83" s="1344"/>
      <c r="I83" s="191"/>
      <c r="J83" s="191"/>
      <c r="K83" s="191"/>
      <c r="L83" s="19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</row>
    <row r="84" spans="1:59" s="121" customFormat="1" ht="34.5" customHeight="1">
      <c r="A84" s="832" t="s">
        <v>1284</v>
      </c>
      <c r="B84" s="832"/>
      <c r="C84" s="969"/>
      <c r="D84" s="969"/>
      <c r="E84" s="1171"/>
      <c r="F84" s="1171"/>
      <c r="G84" s="820"/>
      <c r="H84" s="820"/>
      <c r="I84" s="187"/>
      <c r="J84" s="187"/>
      <c r="K84" s="99"/>
      <c r="L84" s="99"/>
      <c r="M84" s="106"/>
      <c r="N84" s="106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59" s="911" customFormat="1" ht="34.5" customHeight="1">
      <c r="A85" s="498" t="s">
        <v>857</v>
      </c>
      <c r="B85" s="498"/>
      <c r="C85" s="973"/>
      <c r="D85" s="973"/>
      <c r="E85" s="973"/>
      <c r="F85" s="973"/>
      <c r="G85" s="973"/>
      <c r="H85" s="973"/>
      <c r="I85" s="130"/>
      <c r="J85" s="130"/>
      <c r="K85" s="99"/>
      <c r="L85" s="99"/>
      <c r="M85" s="106"/>
      <c r="N85" s="106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</row>
    <row r="86" spans="1:14" s="136" customFormat="1" ht="34.5" customHeight="1" thickBot="1">
      <c r="A86" s="1232"/>
      <c r="B86" s="1232"/>
      <c r="C86" s="1232"/>
      <c r="D86" s="1232"/>
      <c r="E86" s="1232"/>
      <c r="F86" s="1232"/>
      <c r="G86" s="1232"/>
      <c r="H86" s="1232"/>
      <c r="I86" s="1232"/>
      <c r="J86" s="1232"/>
      <c r="K86" s="1232"/>
      <c r="L86" s="1232"/>
      <c r="M86" s="106"/>
      <c r="N86" s="106"/>
    </row>
    <row r="87" spans="1:69" s="167" customFormat="1" ht="34.5" customHeight="1" thickTop="1">
      <c r="A87" s="826" t="s">
        <v>33</v>
      </c>
      <c r="B87" s="827" t="s">
        <v>568</v>
      </c>
      <c r="C87" s="828" t="s">
        <v>847</v>
      </c>
      <c r="D87" s="829"/>
      <c r="E87" s="830" t="s">
        <v>848</v>
      </c>
      <c r="F87" s="831"/>
      <c r="G87" s="830" t="s">
        <v>849</v>
      </c>
      <c r="H87" s="831"/>
      <c r="I87" s="830" t="s">
        <v>850</v>
      </c>
      <c r="J87" s="831"/>
      <c r="K87" s="830" t="s">
        <v>851</v>
      </c>
      <c r="L87" s="831"/>
      <c r="M87" s="830" t="s">
        <v>852</v>
      </c>
      <c r="N87" s="831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</row>
    <row r="88" spans="1:56" s="94" customFormat="1" ht="34.5" customHeight="1">
      <c r="A88" s="218" t="s">
        <v>140</v>
      </c>
      <c r="B88" s="219" t="s">
        <v>214</v>
      </c>
      <c r="C88" s="1194">
        <f>CEILING(60*$Z$1,0.1)</f>
        <v>75</v>
      </c>
      <c r="D88" s="1195"/>
      <c r="E88" s="1194">
        <f>CEILING(85*$Z$1,0.1)</f>
        <v>106.30000000000001</v>
      </c>
      <c r="F88" s="1195"/>
      <c r="G88" s="1194">
        <f>CEILING(110*$Z$1,0.1)</f>
        <v>137.5</v>
      </c>
      <c r="H88" s="1195"/>
      <c r="I88" s="1194">
        <f>CEILING(80*$Z$1,0.1)</f>
        <v>100</v>
      </c>
      <c r="J88" s="1195"/>
      <c r="K88" s="1194">
        <f>CEILING(80*$Z$1,0.1)</f>
        <v>100</v>
      </c>
      <c r="L88" s="1195"/>
      <c r="M88" s="1194">
        <f>CEILING(60*$Z$1,0.1)</f>
        <v>75</v>
      </c>
      <c r="N88" s="1195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</row>
    <row r="89" spans="1:56" s="94" customFormat="1" ht="34.5" customHeight="1">
      <c r="A89" s="220" t="s">
        <v>35</v>
      </c>
      <c r="B89" s="215" t="s">
        <v>215</v>
      </c>
      <c r="C89" s="1192">
        <f>CEILING((C88+24*$Z$1),0.1)</f>
        <v>105</v>
      </c>
      <c r="D89" s="1193"/>
      <c r="E89" s="1192">
        <f>CEILING((E88+48*$Z$1),0.1)</f>
        <v>166.3</v>
      </c>
      <c r="F89" s="1193"/>
      <c r="G89" s="1192">
        <f>CEILING((G88+48*$Z$1),0.1)</f>
        <v>197.5</v>
      </c>
      <c r="H89" s="1193"/>
      <c r="I89" s="1192">
        <f>CEILING((I88+48*$Z$1),0.1)</f>
        <v>160</v>
      </c>
      <c r="J89" s="1193"/>
      <c r="K89" s="1192">
        <f>CEILING((K88+48*$Z$1),0.1)</f>
        <v>160</v>
      </c>
      <c r="L89" s="1193"/>
      <c r="M89" s="1192">
        <f>CEILING((M88+24*$Z$1),0.1)</f>
        <v>105</v>
      </c>
      <c r="N89" s="1193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</row>
    <row r="90" spans="1:56" s="94" customFormat="1" ht="34.5" customHeight="1">
      <c r="A90" s="114"/>
      <c r="B90" s="215" t="s">
        <v>37</v>
      </c>
      <c r="C90" s="1192">
        <f>CEILING((C88*0.85),0.1)</f>
        <v>63.800000000000004</v>
      </c>
      <c r="D90" s="1193"/>
      <c r="E90" s="1192">
        <f>CEILING((E88*0.85),0.1)</f>
        <v>90.4</v>
      </c>
      <c r="F90" s="1193"/>
      <c r="G90" s="1192">
        <f>CEILING((G88*0.85),0.1)</f>
        <v>116.9</v>
      </c>
      <c r="H90" s="1193"/>
      <c r="I90" s="1192">
        <f>CEILING((I88*0.85),0.1)</f>
        <v>85</v>
      </c>
      <c r="J90" s="1193"/>
      <c r="K90" s="1192">
        <f>CEILING((K88*0.85),0.1)</f>
        <v>85</v>
      </c>
      <c r="L90" s="1193"/>
      <c r="M90" s="1192">
        <f>CEILING((M88*0.85),0.1)</f>
        <v>63.800000000000004</v>
      </c>
      <c r="N90" s="1193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</row>
    <row r="91" spans="1:56" s="94" customFormat="1" ht="34.5" customHeight="1">
      <c r="A91" s="221"/>
      <c r="B91" s="192" t="s">
        <v>534</v>
      </c>
      <c r="C91" s="1192">
        <f>CEILING((C88*0.5),0.1)</f>
        <v>37.5</v>
      </c>
      <c r="D91" s="1193"/>
      <c r="E91" s="1192">
        <f>CEILING((E88*0.5),0.1)</f>
        <v>53.2</v>
      </c>
      <c r="F91" s="1193"/>
      <c r="G91" s="1192">
        <f>CEILING((G88*0.5),0.1)</f>
        <v>68.8</v>
      </c>
      <c r="H91" s="1193"/>
      <c r="I91" s="1192">
        <f>CEILING((I88*0.5),0.1)</f>
        <v>50</v>
      </c>
      <c r="J91" s="1193"/>
      <c r="K91" s="1192">
        <f>CEILING((K88*0.5),0.1)</f>
        <v>50</v>
      </c>
      <c r="L91" s="1193"/>
      <c r="M91" s="1192">
        <f>CEILING((M88*0.5),0.1)</f>
        <v>37.5</v>
      </c>
      <c r="N91" s="1193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</row>
    <row r="92" spans="1:56" s="94" customFormat="1" ht="34.5" customHeight="1">
      <c r="A92" s="207"/>
      <c r="B92" s="192" t="s">
        <v>529</v>
      </c>
      <c r="C92" s="1192">
        <f>CEILING(90*$Z$1,0.1)</f>
        <v>112.5</v>
      </c>
      <c r="D92" s="1193"/>
      <c r="E92" s="1192">
        <f>CEILING(115*$Z$1,0.1)</f>
        <v>143.8</v>
      </c>
      <c r="F92" s="1193"/>
      <c r="G92" s="1192">
        <f>CEILING(140*$Z$1,0.1)</f>
        <v>175</v>
      </c>
      <c r="H92" s="1193"/>
      <c r="I92" s="1192">
        <f>CEILING(110*$Z$1,0.1)</f>
        <v>137.5</v>
      </c>
      <c r="J92" s="1193"/>
      <c r="K92" s="1192">
        <f>CEILING(110*$Z$1,0.1)</f>
        <v>137.5</v>
      </c>
      <c r="L92" s="1193"/>
      <c r="M92" s="1192">
        <f>CEILING(90*$Z$1,0.1)</f>
        <v>112.5</v>
      </c>
      <c r="N92" s="1193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</row>
    <row r="93" spans="1:56" s="94" customFormat="1" ht="34.5" customHeight="1" thickBot="1">
      <c r="A93" s="217" t="s">
        <v>449</v>
      </c>
      <c r="B93" s="193" t="s">
        <v>530</v>
      </c>
      <c r="C93" s="1218">
        <f>CEILING((C92+24*$Z$1),0.1)</f>
        <v>142.5</v>
      </c>
      <c r="D93" s="1219"/>
      <c r="E93" s="1218">
        <f>CEILING((E92+48*$Z$1),0.1)</f>
        <v>203.8</v>
      </c>
      <c r="F93" s="1219"/>
      <c r="G93" s="1218">
        <f>CEILING((G92+48*$Z$1),0.1)</f>
        <v>235</v>
      </c>
      <c r="H93" s="1219"/>
      <c r="I93" s="1218">
        <f>CEILING((I92+48*$Z$1),0.1)</f>
        <v>197.5</v>
      </c>
      <c r="J93" s="1219"/>
      <c r="K93" s="1218">
        <f>CEILING((K92+48*$Z$1),0.1)</f>
        <v>197.5</v>
      </c>
      <c r="L93" s="1219"/>
      <c r="M93" s="1218">
        <f>CEILING((M92+24*$Z$1),0.1)</f>
        <v>142.5</v>
      </c>
      <c r="N93" s="1219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</row>
    <row r="94" spans="1:25" s="121" customFormat="1" ht="34.5" customHeight="1" thickTop="1">
      <c r="A94" s="1344" t="s">
        <v>795</v>
      </c>
      <c r="B94" s="1344"/>
      <c r="C94" s="1344"/>
      <c r="D94" s="1344"/>
      <c r="E94" s="1344"/>
      <c r="F94" s="1344"/>
      <c r="G94" s="1344"/>
      <c r="H94" s="1344"/>
      <c r="I94" s="191"/>
      <c r="J94" s="191"/>
      <c r="K94" s="191"/>
      <c r="L94" s="19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</row>
    <row r="95" spans="1:49" s="226" customFormat="1" ht="34.5" customHeight="1" hidden="1" thickTop="1">
      <c r="A95" s="222" t="s">
        <v>33</v>
      </c>
      <c r="B95" s="223" t="s">
        <v>568</v>
      </c>
      <c r="C95" s="224" t="s">
        <v>736</v>
      </c>
      <c r="D95" s="224"/>
      <c r="E95" s="225" t="s">
        <v>726</v>
      </c>
      <c r="F95" s="225"/>
      <c r="G95" s="225" t="s">
        <v>727</v>
      </c>
      <c r="H95" s="225"/>
      <c r="I95" s="1237" t="s">
        <v>728</v>
      </c>
      <c r="J95" s="1237"/>
      <c r="K95" s="1237" t="s">
        <v>729</v>
      </c>
      <c r="L95" s="1237"/>
      <c r="M95" s="127"/>
      <c r="N95" s="127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</row>
    <row r="96" spans="1:56" s="121" customFormat="1" ht="34.5" customHeight="1" hidden="1">
      <c r="A96" s="227" t="s">
        <v>148</v>
      </c>
      <c r="B96" s="106" t="s">
        <v>214</v>
      </c>
      <c r="C96" s="1220">
        <f>CEILING(58*$Z$1,0.1)</f>
        <v>72.5</v>
      </c>
      <c r="D96" s="1220"/>
      <c r="E96" s="1220">
        <f>CEILING(110*$Z$1,0.1)</f>
        <v>137.5</v>
      </c>
      <c r="F96" s="1220"/>
      <c r="G96" s="1220">
        <f>CEILING(80*$Z$1,0.1)</f>
        <v>100</v>
      </c>
      <c r="H96" s="1220"/>
      <c r="I96" s="1220">
        <f>CEILING(80*$Z$1,0.1)</f>
        <v>100</v>
      </c>
      <c r="J96" s="1220"/>
      <c r="K96" s="1220">
        <f>CEILING(58*$Z$1,0.1)</f>
        <v>72.5</v>
      </c>
      <c r="L96" s="1220"/>
      <c r="M96" s="106"/>
      <c r="N96" s="106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</row>
    <row r="97" spans="1:56" s="121" customFormat="1" ht="34.5" customHeight="1" hidden="1">
      <c r="A97" s="228" t="s">
        <v>35</v>
      </c>
      <c r="B97" s="205" t="s">
        <v>215</v>
      </c>
      <c r="C97" s="1220">
        <f>CEILING((C96+25*$Z$1),0.1)</f>
        <v>103.80000000000001</v>
      </c>
      <c r="D97" s="1220"/>
      <c r="E97" s="1220">
        <f>CEILING((E96+45*$Z$1),0.1)</f>
        <v>193.8</v>
      </c>
      <c r="F97" s="1220"/>
      <c r="G97" s="1220">
        <f>CEILING((G96+45*$Z$1),0.1)</f>
        <v>156.3</v>
      </c>
      <c r="H97" s="1220"/>
      <c r="I97" s="1220">
        <f>CEILING((I96+45*$Z$1),0.1)</f>
        <v>156.3</v>
      </c>
      <c r="J97" s="1220"/>
      <c r="K97" s="1220">
        <f>CEILING((K96+25*$Z$1),0.1)</f>
        <v>103.80000000000001</v>
      </c>
      <c r="L97" s="1220"/>
      <c r="M97" s="106"/>
      <c r="N97" s="106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</row>
    <row r="98" spans="1:56" s="121" customFormat="1" ht="34.5" customHeight="1" hidden="1">
      <c r="A98" s="229"/>
      <c r="B98" s="205" t="s">
        <v>37</v>
      </c>
      <c r="C98" s="1220">
        <f>CEILING((C96*0.85),0.1)</f>
        <v>61.7</v>
      </c>
      <c r="D98" s="1220"/>
      <c r="E98" s="1220">
        <f>CEILING((E96*0.85),0.1)</f>
        <v>116.9</v>
      </c>
      <c r="F98" s="1220"/>
      <c r="G98" s="1220">
        <f>CEILING((G96*0.85),0.1)</f>
        <v>85</v>
      </c>
      <c r="H98" s="1220"/>
      <c r="I98" s="1220">
        <f>CEILING((I96*0.85),0.1)</f>
        <v>85</v>
      </c>
      <c r="J98" s="1220"/>
      <c r="K98" s="1220">
        <f>CEILING((K96*0.85),0.1)</f>
        <v>61.7</v>
      </c>
      <c r="L98" s="1220"/>
      <c r="M98" s="106"/>
      <c r="N98" s="106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</row>
    <row r="99" spans="1:56" s="121" customFormat="1" ht="34.5" customHeight="1" hidden="1">
      <c r="A99" s="230"/>
      <c r="B99" s="106" t="s">
        <v>534</v>
      </c>
      <c r="C99" s="1220">
        <f>CEILING((C96*0.5),0.1)</f>
        <v>36.300000000000004</v>
      </c>
      <c r="D99" s="1220"/>
      <c r="E99" s="1220">
        <f>CEILING((E96*0.5),0.1)</f>
        <v>68.8</v>
      </c>
      <c r="F99" s="1220"/>
      <c r="G99" s="1220">
        <f>CEILING((G96*0.5),0.1)</f>
        <v>50</v>
      </c>
      <c r="H99" s="1220"/>
      <c r="I99" s="1220">
        <f>CEILING((I96*0.5),0.1)</f>
        <v>50</v>
      </c>
      <c r="J99" s="1220"/>
      <c r="K99" s="1220">
        <f>CEILING((K96*0.5),0.1)</f>
        <v>36.300000000000004</v>
      </c>
      <c r="L99" s="1220"/>
      <c r="M99" s="106"/>
      <c r="N99" s="106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</row>
    <row r="100" spans="1:56" s="121" customFormat="1" ht="34.5" customHeight="1" hidden="1">
      <c r="A100" s="231"/>
      <c r="B100" s="106" t="s">
        <v>221</v>
      </c>
      <c r="C100" s="1220">
        <f>CEILING(73*$Z$1,0.1)</f>
        <v>91.30000000000001</v>
      </c>
      <c r="D100" s="1220"/>
      <c r="E100" s="1220">
        <f>CEILING(125*$Z$1,0.1)</f>
        <v>156.3</v>
      </c>
      <c r="F100" s="1220"/>
      <c r="G100" s="1220">
        <f>CEILING(95*$Z$1,0.1)</f>
        <v>118.80000000000001</v>
      </c>
      <c r="H100" s="1220"/>
      <c r="I100" s="1220">
        <f>CEILING(95*$Z$1,0.1)</f>
        <v>118.80000000000001</v>
      </c>
      <c r="J100" s="1220"/>
      <c r="K100" s="1220">
        <f>CEILING(73*$Z$1,0.1)</f>
        <v>91.30000000000001</v>
      </c>
      <c r="L100" s="1220"/>
      <c r="M100" s="106"/>
      <c r="N100" s="106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</row>
    <row r="101" spans="1:56" s="121" customFormat="1" ht="34.5" customHeight="1" hidden="1">
      <c r="A101" s="232"/>
      <c r="B101" s="106" t="s">
        <v>222</v>
      </c>
      <c r="C101" s="1220">
        <f>CEILING((C100+25*$Z$1),0.1)</f>
        <v>122.60000000000001</v>
      </c>
      <c r="D101" s="1220"/>
      <c r="E101" s="1220">
        <f>CEILING((E100+45*$Z$1),0.1)</f>
        <v>212.60000000000002</v>
      </c>
      <c r="F101" s="1220"/>
      <c r="G101" s="1220">
        <f>CEILING((G100+45*$Z$1),0.1)</f>
        <v>175.10000000000002</v>
      </c>
      <c r="H101" s="1220"/>
      <c r="I101" s="1220">
        <f>CEILING((I100+45*$Z$1),0.1)</f>
        <v>175.10000000000002</v>
      </c>
      <c r="J101" s="1220"/>
      <c r="K101" s="1220">
        <f>CEILING((K100+25*$Z$1),0.1)</f>
        <v>122.60000000000001</v>
      </c>
      <c r="L101" s="1220"/>
      <c r="M101" s="106"/>
      <c r="N101" s="106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</row>
    <row r="102" spans="1:56" s="121" customFormat="1" ht="34.5" customHeight="1" hidden="1">
      <c r="A102" s="106"/>
      <c r="B102" s="106" t="s">
        <v>149</v>
      </c>
      <c r="C102" s="1220">
        <f>CEILING(88*$Z$1,0.1)</f>
        <v>110</v>
      </c>
      <c r="D102" s="1220"/>
      <c r="E102" s="1220">
        <f>CEILING(140*$Z$1,0.1)</f>
        <v>175</v>
      </c>
      <c r="F102" s="1220"/>
      <c r="G102" s="1220">
        <f>CEILING(110*$Z$1,0.1)</f>
        <v>137.5</v>
      </c>
      <c r="H102" s="1220"/>
      <c r="I102" s="1220">
        <f>CEILING(110*$Z$1,0.1)</f>
        <v>137.5</v>
      </c>
      <c r="J102" s="1220"/>
      <c r="K102" s="1220">
        <f>CEILING(88*$Z$1,0.1)</f>
        <v>110</v>
      </c>
      <c r="L102" s="1220"/>
      <c r="M102" s="106"/>
      <c r="N102" s="106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</row>
    <row r="103" spans="1:56" s="121" customFormat="1" ht="34.5" customHeight="1" hidden="1">
      <c r="A103" s="106"/>
      <c r="B103" s="106" t="s">
        <v>150</v>
      </c>
      <c r="C103" s="1220">
        <f>CEILING((C102+30*$Z$1),0.1)</f>
        <v>147.5</v>
      </c>
      <c r="D103" s="1220"/>
      <c r="E103" s="1220">
        <f>CEILING((E102+55*$Z$1),0.1)</f>
        <v>243.8</v>
      </c>
      <c r="F103" s="1220"/>
      <c r="G103" s="1220">
        <f>CEILING((G102+55*$Z$1),0.1)</f>
        <v>206.3</v>
      </c>
      <c r="H103" s="1220"/>
      <c r="I103" s="1220">
        <f>CEILING((I102+55*$Z$1),0.1)</f>
        <v>206.3</v>
      </c>
      <c r="J103" s="1220"/>
      <c r="K103" s="1220">
        <f>CEILING((K102+30*$Z$1),0.1)</f>
        <v>147.5</v>
      </c>
      <c r="L103" s="1220"/>
      <c r="M103" s="106"/>
      <c r="N103" s="106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</row>
    <row r="104" spans="1:56" s="121" customFormat="1" ht="34.5" customHeight="1" hidden="1">
      <c r="A104" s="106"/>
      <c r="B104" s="106" t="s">
        <v>155</v>
      </c>
      <c r="C104" s="1220">
        <f>CEILING(93*$Z$1,0.1)</f>
        <v>116.30000000000001</v>
      </c>
      <c r="D104" s="1220"/>
      <c r="E104" s="1220">
        <f>CEILING(145*$Z$1,0.1)</f>
        <v>181.3</v>
      </c>
      <c r="F104" s="1220"/>
      <c r="G104" s="1220">
        <f>CEILING(115*$Z$1,0.1)</f>
        <v>143.8</v>
      </c>
      <c r="H104" s="1220"/>
      <c r="I104" s="1220">
        <f>CEILING(115*$Z$1,0.1)</f>
        <v>143.8</v>
      </c>
      <c r="J104" s="1220"/>
      <c r="K104" s="1220">
        <f>CEILING(93*$Z$1,0.1)</f>
        <v>116.30000000000001</v>
      </c>
      <c r="L104" s="1220"/>
      <c r="M104" s="106"/>
      <c r="N104" s="106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</row>
    <row r="105" spans="1:56" s="121" customFormat="1" ht="34.5" customHeight="1" hidden="1" thickBot="1">
      <c r="A105" s="233" t="s">
        <v>449</v>
      </c>
      <c r="B105" s="106" t="s">
        <v>156</v>
      </c>
      <c r="C105" s="1220">
        <f>CEILING((C104+35*$Z$1),0.1)</f>
        <v>160.10000000000002</v>
      </c>
      <c r="D105" s="1220"/>
      <c r="E105" s="1220">
        <f>CEILING((E104+55*$Z$1),0.1)</f>
        <v>250.10000000000002</v>
      </c>
      <c r="F105" s="1220"/>
      <c r="G105" s="1220">
        <f>CEILING((G104+55*$Z$1),0.1)</f>
        <v>212.60000000000002</v>
      </c>
      <c r="H105" s="1220"/>
      <c r="I105" s="1220">
        <f>CEILING((I104+55*$Z$1),0.1)</f>
        <v>212.60000000000002</v>
      </c>
      <c r="J105" s="1220"/>
      <c r="K105" s="1220">
        <f>CEILING((K104+35*$Z$1),0.1)</f>
        <v>160.10000000000002</v>
      </c>
      <c r="L105" s="1220"/>
      <c r="M105" s="106"/>
      <c r="N105" s="106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</row>
    <row r="106" spans="1:25" s="145" customFormat="1" ht="34.5" customHeight="1" hidden="1" thickTop="1">
      <c r="A106" s="141"/>
      <c r="B106" s="156"/>
      <c r="C106" s="141"/>
      <c r="D106" s="141"/>
      <c r="E106" s="141"/>
      <c r="F106" s="141"/>
      <c r="G106" s="141"/>
      <c r="H106" s="141"/>
      <c r="I106" s="157"/>
      <c r="J106" s="157"/>
      <c r="K106" s="158"/>
      <c r="L106" s="158"/>
      <c r="M106" s="159"/>
      <c r="N106" s="159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</row>
    <row r="107" spans="1:25" s="145" customFormat="1" ht="34.5" customHeight="1">
      <c r="A107" s="832" t="s">
        <v>1284</v>
      </c>
      <c r="B107" s="832"/>
      <c r="C107" s="141"/>
      <c r="D107" s="141"/>
      <c r="E107" s="141"/>
      <c r="F107" s="141"/>
      <c r="G107" s="141"/>
      <c r="H107" s="141"/>
      <c r="I107" s="157"/>
      <c r="J107" s="157"/>
      <c r="K107" s="158"/>
      <c r="L107" s="158"/>
      <c r="M107" s="159"/>
      <c r="N107" s="159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</row>
    <row r="108" spans="1:59" s="911" customFormat="1" ht="34.5" customHeight="1">
      <c r="A108" s="498" t="s">
        <v>857</v>
      </c>
      <c r="B108" s="498"/>
      <c r="C108" s="973"/>
      <c r="D108" s="973"/>
      <c r="E108" s="973"/>
      <c r="F108" s="973"/>
      <c r="G108" s="973"/>
      <c r="H108" s="973"/>
      <c r="I108" s="130"/>
      <c r="J108" s="130"/>
      <c r="K108" s="99"/>
      <c r="L108" s="99"/>
      <c r="M108" s="106"/>
      <c r="N108" s="106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</row>
    <row r="109" spans="1:59" s="121" customFormat="1" ht="34.5" customHeight="1" thickBot="1">
      <c r="A109" s="186"/>
      <c r="B109" s="186"/>
      <c r="C109" s="820"/>
      <c r="D109" s="820"/>
      <c r="E109" s="820"/>
      <c r="F109" s="820"/>
      <c r="G109" s="820"/>
      <c r="H109" s="820"/>
      <c r="I109" s="187"/>
      <c r="J109" s="187"/>
      <c r="K109" s="99"/>
      <c r="L109" s="99"/>
      <c r="M109" s="106"/>
      <c r="N109" s="106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</row>
    <row r="110" spans="1:69" s="167" customFormat="1" ht="34.5" customHeight="1" thickTop="1">
      <c r="A110" s="826" t="s">
        <v>33</v>
      </c>
      <c r="B110" s="827" t="s">
        <v>568</v>
      </c>
      <c r="C110" s="828" t="s">
        <v>847</v>
      </c>
      <c r="D110" s="829"/>
      <c r="E110" s="830" t="s">
        <v>848</v>
      </c>
      <c r="F110" s="831"/>
      <c r="G110" s="830" t="s">
        <v>849</v>
      </c>
      <c r="H110" s="831"/>
      <c r="I110" s="830" t="s">
        <v>850</v>
      </c>
      <c r="J110" s="831"/>
      <c r="K110" s="830" t="s">
        <v>851</v>
      </c>
      <c r="L110" s="831"/>
      <c r="M110" s="830" t="s">
        <v>852</v>
      </c>
      <c r="N110" s="831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</row>
    <row r="111" spans="1:56" s="94" customFormat="1" ht="34.5" customHeight="1">
      <c r="A111" s="235" t="s">
        <v>340</v>
      </c>
      <c r="B111" s="213" t="s">
        <v>214</v>
      </c>
      <c r="C111" s="1194">
        <f>CEILING(120*$Z$1,0.1)</f>
        <v>150</v>
      </c>
      <c r="D111" s="1195"/>
      <c r="E111" s="1194">
        <f>CEILING(145*$Z$1,0.1)</f>
        <v>181.3</v>
      </c>
      <c r="F111" s="1195"/>
      <c r="G111" s="1194">
        <f>CEILING(180*$Z$1,0.1)</f>
        <v>225</v>
      </c>
      <c r="H111" s="1195"/>
      <c r="I111" s="1194">
        <f>CEILING(140*$Z$1,0.1)</f>
        <v>175</v>
      </c>
      <c r="J111" s="1195"/>
      <c r="K111" s="1194">
        <f>CEILING(140*$Z$1,0.1)</f>
        <v>175</v>
      </c>
      <c r="L111" s="1195"/>
      <c r="M111" s="1194">
        <f>CEILING(120*$Z$1,0.1)</f>
        <v>150</v>
      </c>
      <c r="N111" s="1195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</row>
    <row r="112" spans="1:56" s="94" customFormat="1" ht="34.5" customHeight="1">
      <c r="A112" s="188"/>
      <c r="B112" s="215" t="s">
        <v>215</v>
      </c>
      <c r="C112" s="1192">
        <f>CEILING((C111+44*$Z$1),0.1)</f>
        <v>205</v>
      </c>
      <c r="D112" s="1193"/>
      <c r="E112" s="1192">
        <f>CEILING((E111+84*$Z$1),0.1)</f>
        <v>286.3</v>
      </c>
      <c r="F112" s="1193"/>
      <c r="G112" s="1192">
        <f>CEILING((G111+84*$Z$1),0.1)</f>
        <v>330</v>
      </c>
      <c r="H112" s="1193"/>
      <c r="I112" s="1192">
        <f>CEILING((I111+84*$Z$1),0.1)</f>
        <v>280</v>
      </c>
      <c r="J112" s="1193"/>
      <c r="K112" s="1192">
        <f>CEILING((K111+84*$Z$1),0.1)</f>
        <v>280</v>
      </c>
      <c r="L112" s="1193"/>
      <c r="M112" s="1192">
        <f>CEILING((M111+44*$Z$1),0.1)</f>
        <v>205</v>
      </c>
      <c r="N112" s="1193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</row>
    <row r="113" spans="1:56" s="94" customFormat="1" ht="34.5" customHeight="1">
      <c r="A113" s="214" t="s">
        <v>35</v>
      </c>
      <c r="B113" s="199" t="s">
        <v>37</v>
      </c>
      <c r="C113" s="1192">
        <f>CEILING((C111*0.85),0.1)</f>
        <v>127.5</v>
      </c>
      <c r="D113" s="1193"/>
      <c r="E113" s="1192">
        <f>CEILING((E111*0.85),0.1)</f>
        <v>154.20000000000002</v>
      </c>
      <c r="F113" s="1193"/>
      <c r="G113" s="1192">
        <f>CEILING((G111*0.85),0.1)</f>
        <v>191.3</v>
      </c>
      <c r="H113" s="1193"/>
      <c r="I113" s="1192">
        <f>CEILING((I111*0.85),0.1)</f>
        <v>148.8</v>
      </c>
      <c r="J113" s="1193"/>
      <c r="K113" s="1192">
        <f>CEILING((K111*0.85),0.1)</f>
        <v>148.8</v>
      </c>
      <c r="L113" s="1193"/>
      <c r="M113" s="1192">
        <f>CEILING((M111*0.85),0.1)</f>
        <v>127.5</v>
      </c>
      <c r="N113" s="1193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</row>
    <row r="114" spans="1:56" s="94" customFormat="1" ht="34.5" customHeight="1">
      <c r="A114" s="214"/>
      <c r="B114" s="192" t="s">
        <v>534</v>
      </c>
      <c r="C114" s="1192">
        <f>CEILING((C111*0.5),0.1)</f>
        <v>75</v>
      </c>
      <c r="D114" s="1193"/>
      <c r="E114" s="1192">
        <f>CEILING((E111*0.5),0.1)</f>
        <v>90.7</v>
      </c>
      <c r="F114" s="1193"/>
      <c r="G114" s="1192">
        <f>CEILING((G111*0.5),0.1)</f>
        <v>112.5</v>
      </c>
      <c r="H114" s="1193"/>
      <c r="I114" s="1192">
        <f>CEILING((I111*0.5),0.1)</f>
        <v>87.5</v>
      </c>
      <c r="J114" s="1193"/>
      <c r="K114" s="1192">
        <f>CEILING((K111*0.5),0.1)</f>
        <v>87.5</v>
      </c>
      <c r="L114" s="1193"/>
      <c r="M114" s="1192">
        <f>CEILING((M111*0.5),0.1)</f>
        <v>75</v>
      </c>
      <c r="N114" s="1193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</row>
    <row r="115" spans="1:56" s="94" customFormat="1" ht="34.5" customHeight="1">
      <c r="A115" s="236"/>
      <c r="B115" s="215" t="s">
        <v>218</v>
      </c>
      <c r="C115" s="1192">
        <f>CEILING(145*$Z$1,0.1)</f>
        <v>181.3</v>
      </c>
      <c r="D115" s="1193"/>
      <c r="E115" s="1192">
        <f>CEILING(170*$Z$1,0.1)</f>
        <v>212.5</v>
      </c>
      <c r="F115" s="1193"/>
      <c r="G115" s="1192">
        <f>CEILING(205*$Z$1,0.1)</f>
        <v>256.3</v>
      </c>
      <c r="H115" s="1193"/>
      <c r="I115" s="1192">
        <f>CEILING(165*$Z$1,0.1)</f>
        <v>206.3</v>
      </c>
      <c r="J115" s="1193"/>
      <c r="K115" s="1192">
        <f>CEILING(165*$Z$1,0.1)</f>
        <v>206.3</v>
      </c>
      <c r="L115" s="1193"/>
      <c r="M115" s="1192">
        <f>CEILING(145*$Z$1,0.1)</f>
        <v>181.3</v>
      </c>
      <c r="N115" s="1193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</row>
    <row r="116" spans="1:56" s="94" customFormat="1" ht="34.5" customHeight="1">
      <c r="A116" s="201"/>
      <c r="B116" s="237" t="s">
        <v>39</v>
      </c>
      <c r="C116" s="1202">
        <f>CEILING(155*$Z$1,0.1)</f>
        <v>193.8</v>
      </c>
      <c r="D116" s="1203"/>
      <c r="E116" s="1202">
        <f>CEILING(180*$Z$1,0.1)</f>
        <v>225</v>
      </c>
      <c r="F116" s="1203"/>
      <c r="G116" s="1202">
        <f>CEILING(215*$Z$1,0.1)</f>
        <v>268.8</v>
      </c>
      <c r="H116" s="1203"/>
      <c r="I116" s="1202">
        <f>CEILING(180*$Z$1,0.1)</f>
        <v>225</v>
      </c>
      <c r="J116" s="1203"/>
      <c r="K116" s="1202">
        <f>CEILING(180*$Z$1,0.1)</f>
        <v>225</v>
      </c>
      <c r="L116" s="1203"/>
      <c r="M116" s="1202">
        <f>CEILING(155*$Z$1,0.1)</f>
        <v>193.8</v>
      </c>
      <c r="N116" s="1203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</row>
    <row r="117" spans="1:56" s="94" customFormat="1" ht="34.5" customHeight="1">
      <c r="A117" s="201"/>
      <c r="B117" s="189" t="s">
        <v>341</v>
      </c>
      <c r="C117" s="1194">
        <f>CEILING(160*$Z$1,0.1)</f>
        <v>200</v>
      </c>
      <c r="D117" s="1195"/>
      <c r="E117" s="1194">
        <f>CEILING(185*$Z$1,0.1)</f>
        <v>231.3</v>
      </c>
      <c r="F117" s="1195"/>
      <c r="G117" s="1194">
        <f>CEILING(220*$Z$1,0.1)</f>
        <v>275</v>
      </c>
      <c r="H117" s="1195"/>
      <c r="I117" s="1194">
        <f>CEILING(185*$Z$1,0.1)</f>
        <v>231.3</v>
      </c>
      <c r="J117" s="1195"/>
      <c r="K117" s="1194">
        <f>CEILING(185*$Z$1,0.1)</f>
        <v>231.3</v>
      </c>
      <c r="L117" s="1195"/>
      <c r="M117" s="1194">
        <f>CEILING(160*$Z$1,0.1)</f>
        <v>200</v>
      </c>
      <c r="N117" s="1195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</row>
    <row r="118" spans="1:56" s="94" customFormat="1" ht="34.5" customHeight="1">
      <c r="A118" s="114"/>
      <c r="B118" s="190" t="s">
        <v>342</v>
      </c>
      <c r="C118" s="1192">
        <f>CEILING(170*$Z$1,0.1)</f>
        <v>212.5</v>
      </c>
      <c r="D118" s="1193"/>
      <c r="E118" s="1192">
        <f>CEILING(195*$Z$1,0.1)</f>
        <v>243.8</v>
      </c>
      <c r="F118" s="1193"/>
      <c r="G118" s="1192">
        <f>CEILING(230*$Z$1,0.1)</f>
        <v>287.5</v>
      </c>
      <c r="H118" s="1193"/>
      <c r="I118" s="1192">
        <f>CEILING(190*$Z$1,0.1)</f>
        <v>237.5</v>
      </c>
      <c r="J118" s="1193"/>
      <c r="K118" s="1192">
        <f>CEILING(190*$Z$1,0.1)</f>
        <v>237.5</v>
      </c>
      <c r="L118" s="1193"/>
      <c r="M118" s="1192">
        <f>CEILING(170*$Z$1,0.1)</f>
        <v>212.5</v>
      </c>
      <c r="N118" s="1193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</row>
    <row r="119" spans="1:56" s="136" customFormat="1" ht="34.5" customHeight="1" thickBot="1">
      <c r="A119" s="217" t="s">
        <v>449</v>
      </c>
      <c r="B119" s="238" t="s">
        <v>861</v>
      </c>
      <c r="C119" s="1192">
        <f>CEILING(260*$Z$1,0.1)</f>
        <v>325</v>
      </c>
      <c r="D119" s="1193"/>
      <c r="E119" s="1192">
        <f>CEILING(285*$Z$1,0.1)</f>
        <v>356.3</v>
      </c>
      <c r="F119" s="1193"/>
      <c r="G119" s="1202">
        <f>CEILING(320*$Z$1,0.1)</f>
        <v>400</v>
      </c>
      <c r="H119" s="1203"/>
      <c r="I119" s="1202">
        <f>CEILING(280*$Z$1,0.1)</f>
        <v>350</v>
      </c>
      <c r="J119" s="1203"/>
      <c r="K119" s="1202">
        <f>CEILING(280*$Z$1,0.1)</f>
        <v>350</v>
      </c>
      <c r="L119" s="1203"/>
      <c r="M119" s="1202">
        <f>CEILING(260*$Z$1,0.1)</f>
        <v>325</v>
      </c>
      <c r="N119" s="1203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</row>
    <row r="120" spans="1:56" s="240" customFormat="1" ht="34.5" customHeight="1" thickTop="1">
      <c r="A120" s="1236" t="s">
        <v>796</v>
      </c>
      <c r="B120" s="1236"/>
      <c r="C120" s="1236"/>
      <c r="D120" s="1236"/>
      <c r="E120" s="1236"/>
      <c r="F120" s="1236"/>
      <c r="G120" s="1236"/>
      <c r="H120" s="1236"/>
      <c r="I120" s="130"/>
      <c r="J120" s="130"/>
      <c r="K120" s="99"/>
      <c r="L120" s="99"/>
      <c r="M120" s="106"/>
      <c r="N120" s="9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</row>
    <row r="121" spans="1:25" s="121" customFormat="1" ht="34.5" customHeight="1">
      <c r="A121" s="1231" t="s">
        <v>862</v>
      </c>
      <c r="B121" s="1231"/>
      <c r="C121" s="1231"/>
      <c r="D121" s="1231"/>
      <c r="E121" s="1231"/>
      <c r="F121" s="1231"/>
      <c r="G121" s="1231"/>
      <c r="H121" s="1231"/>
      <c r="I121" s="819"/>
      <c r="J121" s="819"/>
      <c r="K121" s="819"/>
      <c r="L121" s="819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</row>
    <row r="122" spans="1:59" s="911" customFormat="1" ht="34.5" customHeight="1">
      <c r="A122" s="987" t="s">
        <v>863</v>
      </c>
      <c r="B122" s="850" t="s">
        <v>864</v>
      </c>
      <c r="C122" s="983"/>
      <c r="D122" s="983"/>
      <c r="E122" s="983"/>
      <c r="F122" s="983"/>
      <c r="G122" s="983"/>
      <c r="H122" s="983"/>
      <c r="I122" s="130"/>
      <c r="J122" s="130"/>
      <c r="K122" s="99"/>
      <c r="L122" s="99"/>
      <c r="M122" s="106"/>
      <c r="N122" s="106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</row>
    <row r="123" spans="1:25" s="121" customFormat="1" ht="34.5" customHeight="1">
      <c r="A123" s="1231"/>
      <c r="B123" s="1231"/>
      <c r="C123" s="1231"/>
      <c r="D123" s="1231"/>
      <c r="E123" s="1231"/>
      <c r="F123" s="1231"/>
      <c r="G123" s="1231"/>
      <c r="H123" s="1231"/>
      <c r="I123" s="191"/>
      <c r="J123" s="191"/>
      <c r="K123" s="191"/>
      <c r="L123" s="19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</row>
    <row r="124" spans="1:69" s="844" customFormat="1" ht="34.5" customHeight="1">
      <c r="A124" s="837" t="s">
        <v>33</v>
      </c>
      <c r="B124" s="838" t="s">
        <v>568</v>
      </c>
      <c r="C124" s="839" t="s">
        <v>847</v>
      </c>
      <c r="D124" s="840"/>
      <c r="E124" s="841" t="s">
        <v>848</v>
      </c>
      <c r="F124" s="842"/>
      <c r="G124" s="841" t="s">
        <v>849</v>
      </c>
      <c r="H124" s="842"/>
      <c r="I124" s="841" t="s">
        <v>850</v>
      </c>
      <c r="J124" s="842"/>
      <c r="K124" s="841" t="s">
        <v>851</v>
      </c>
      <c r="L124" s="847"/>
      <c r="M124" s="848" t="s">
        <v>852</v>
      </c>
      <c r="N124" s="849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843"/>
      <c r="AE124" s="843"/>
      <c r="AF124" s="843"/>
      <c r="AG124" s="843"/>
      <c r="AH124" s="843"/>
      <c r="AI124" s="843"/>
      <c r="AJ124" s="843"/>
      <c r="AK124" s="843"/>
      <c r="AL124" s="843"/>
      <c r="AM124" s="843"/>
      <c r="AN124" s="843"/>
      <c r="AO124" s="843"/>
      <c r="AP124" s="843"/>
      <c r="AQ124" s="843"/>
      <c r="AR124" s="843"/>
      <c r="AS124" s="843"/>
      <c r="AT124" s="843"/>
      <c r="AU124" s="843"/>
      <c r="AV124" s="843"/>
      <c r="AW124" s="843"/>
      <c r="AX124" s="843"/>
      <c r="AY124" s="843"/>
      <c r="AZ124" s="843"/>
      <c r="BA124" s="843"/>
      <c r="BB124" s="843"/>
      <c r="BC124" s="843"/>
      <c r="BD124" s="843"/>
      <c r="BE124" s="843"/>
      <c r="BF124" s="843"/>
      <c r="BG124" s="843"/>
      <c r="BH124" s="843"/>
      <c r="BI124" s="843"/>
      <c r="BJ124" s="843"/>
      <c r="BK124" s="843"/>
      <c r="BL124" s="843"/>
      <c r="BM124" s="843"/>
      <c r="BN124" s="843"/>
      <c r="BO124" s="843"/>
      <c r="BP124" s="843"/>
      <c r="BQ124" s="843"/>
    </row>
    <row r="125" spans="1:56" s="121" customFormat="1" ht="29.25" customHeight="1">
      <c r="A125" s="835" t="s">
        <v>148</v>
      </c>
      <c r="B125" s="213" t="s">
        <v>214</v>
      </c>
      <c r="C125" s="1194">
        <f>CEILING(60*$Z$1,0.1)</f>
        <v>75</v>
      </c>
      <c r="D125" s="1195"/>
      <c r="E125" s="1194">
        <f>CEILING(85*$Z$1,0.1)</f>
        <v>106.30000000000001</v>
      </c>
      <c r="F125" s="1195"/>
      <c r="G125" s="1194">
        <f>CEILING(110*$Z$1,0.1)</f>
        <v>137.5</v>
      </c>
      <c r="H125" s="1195"/>
      <c r="I125" s="1235">
        <f>CEILING(80*$Z$1,0.1)</f>
        <v>100</v>
      </c>
      <c r="J125" s="1195"/>
      <c r="K125" s="1235">
        <f>CEILING(80*$Z$1,0.1)</f>
        <v>100</v>
      </c>
      <c r="L125" s="1235"/>
      <c r="M125" s="1194">
        <f>CEILING(60*$Z$1,0.1)</f>
        <v>75</v>
      </c>
      <c r="N125" s="1195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</row>
    <row r="126" spans="1:56" s="121" customFormat="1" ht="31.5" customHeight="1">
      <c r="A126" s="836" t="s">
        <v>35</v>
      </c>
      <c r="B126" s="215" t="s">
        <v>215</v>
      </c>
      <c r="C126" s="1192">
        <f>CEILING((C125+24*$Z$1),0.1)</f>
        <v>105</v>
      </c>
      <c r="D126" s="1193"/>
      <c r="E126" s="1192">
        <f>CEILING((E125+48*$Z$1),0.1)</f>
        <v>166.3</v>
      </c>
      <c r="F126" s="1193"/>
      <c r="G126" s="1192">
        <f>CEILING((G125+48*$Z$1),0.1)</f>
        <v>197.5</v>
      </c>
      <c r="H126" s="1193"/>
      <c r="I126" s="1220">
        <f>CEILING((I125+48*$Z$1),0.1)</f>
        <v>160</v>
      </c>
      <c r="J126" s="1193"/>
      <c r="K126" s="1220">
        <f>CEILING((K125+48*$Z$1),0.1)</f>
        <v>160</v>
      </c>
      <c r="L126" s="1220"/>
      <c r="M126" s="1192">
        <f>CEILING((M125+24*$Z$1),0.1)</f>
        <v>105</v>
      </c>
      <c r="N126" s="1193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</row>
    <row r="127" spans="1:56" s="121" customFormat="1" ht="33" customHeight="1">
      <c r="A127" s="845"/>
      <c r="B127" s="215" t="s">
        <v>37</v>
      </c>
      <c r="C127" s="1192">
        <f>CEILING((C125*0.85),0.1)</f>
        <v>63.800000000000004</v>
      </c>
      <c r="D127" s="1193"/>
      <c r="E127" s="1192">
        <f>CEILING((E125*0.85),0.1)</f>
        <v>90.4</v>
      </c>
      <c r="F127" s="1193"/>
      <c r="G127" s="1192">
        <f>CEILING((G125*0.85),0.1)</f>
        <v>116.9</v>
      </c>
      <c r="H127" s="1193"/>
      <c r="I127" s="1220">
        <f>CEILING((I125*0.85),0.1)</f>
        <v>85</v>
      </c>
      <c r="J127" s="1193"/>
      <c r="K127" s="1220">
        <f>CEILING((K125*0.85),0.1)</f>
        <v>85</v>
      </c>
      <c r="L127" s="1220"/>
      <c r="M127" s="1192">
        <f>CEILING((M125*0.85),0.1)</f>
        <v>63.800000000000004</v>
      </c>
      <c r="N127" s="1193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</row>
    <row r="128" spans="1:56" s="121" customFormat="1" ht="32.25" customHeight="1">
      <c r="A128" s="385"/>
      <c r="B128" s="192" t="s">
        <v>534</v>
      </c>
      <c r="C128" s="1192">
        <f>CEILING((C125*0.5),0.1)</f>
        <v>37.5</v>
      </c>
      <c r="D128" s="1193"/>
      <c r="E128" s="1192">
        <f>CEILING((E125*0.5),0.1)</f>
        <v>53.2</v>
      </c>
      <c r="F128" s="1193"/>
      <c r="G128" s="1192">
        <f>CEILING((G125*0.5),0.1)</f>
        <v>68.8</v>
      </c>
      <c r="H128" s="1193"/>
      <c r="I128" s="1220">
        <f>CEILING((I125*0.5),0.1)</f>
        <v>50</v>
      </c>
      <c r="J128" s="1193"/>
      <c r="K128" s="1220">
        <f>CEILING((K125*0.5),0.1)</f>
        <v>50</v>
      </c>
      <c r="L128" s="1220"/>
      <c r="M128" s="1192">
        <f>CEILING((M125*0.5),0.1)</f>
        <v>37.5</v>
      </c>
      <c r="N128" s="1193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</row>
    <row r="129" spans="1:56" s="121" customFormat="1" ht="35.25" customHeight="1">
      <c r="A129" s="846"/>
      <c r="B129" s="192" t="s">
        <v>221</v>
      </c>
      <c r="C129" s="1192">
        <f>CEILING(75*$Z$1,0.1)</f>
        <v>93.80000000000001</v>
      </c>
      <c r="D129" s="1193"/>
      <c r="E129" s="1192">
        <f>CEILING(100*$Z$1,0.1)</f>
        <v>125</v>
      </c>
      <c r="F129" s="1193"/>
      <c r="G129" s="1192">
        <f>CEILING(125*$Z$1,0.1)</f>
        <v>156.3</v>
      </c>
      <c r="H129" s="1193"/>
      <c r="I129" s="1220">
        <f>CEILING(95*$Z$1,0.1)</f>
        <v>118.80000000000001</v>
      </c>
      <c r="J129" s="1193"/>
      <c r="K129" s="1220">
        <f>CEILING(95*$Z$1,0.1)</f>
        <v>118.80000000000001</v>
      </c>
      <c r="L129" s="1220"/>
      <c r="M129" s="1192">
        <f>CEILING(75*$Z$1,0.1)</f>
        <v>93.80000000000001</v>
      </c>
      <c r="N129" s="1193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</row>
    <row r="130" spans="1:56" s="121" customFormat="1" ht="33.75" customHeight="1">
      <c r="A130" s="667"/>
      <c r="B130" s="274" t="s">
        <v>222</v>
      </c>
      <c r="C130" s="1202">
        <f>CEILING((C129+24*$Z$1),0.1)</f>
        <v>123.80000000000001</v>
      </c>
      <c r="D130" s="1203"/>
      <c r="E130" s="1192">
        <f>CEILING((E129+48*$Z$1),0.1)</f>
        <v>185</v>
      </c>
      <c r="F130" s="1193"/>
      <c r="G130" s="1202">
        <f>CEILING((G129+48*$Z$1),0.1)</f>
        <v>216.3</v>
      </c>
      <c r="H130" s="1203"/>
      <c r="I130" s="1220">
        <f>CEILING((I129+48*$Z$1),0.1)</f>
        <v>178.8</v>
      </c>
      <c r="J130" s="1193"/>
      <c r="K130" s="1220">
        <f>CEILING((K129+48*$Z$1),0.1)</f>
        <v>178.8</v>
      </c>
      <c r="L130" s="1220"/>
      <c r="M130" s="1202">
        <f>CEILING((M129+24*$Z$1),0.1)</f>
        <v>123.80000000000001</v>
      </c>
      <c r="N130" s="1203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</row>
    <row r="131" spans="1:56" s="121" customFormat="1" ht="34.5" customHeight="1">
      <c r="A131" s="190"/>
      <c r="B131" s="192" t="s">
        <v>149</v>
      </c>
      <c r="C131" s="1194">
        <f>CEILING(85*$Z$1,0.1)</f>
        <v>106.30000000000001</v>
      </c>
      <c r="D131" s="1195"/>
      <c r="E131" s="1194">
        <f>CEILING(110*$Z$1,0.1)</f>
        <v>137.5</v>
      </c>
      <c r="F131" s="1195"/>
      <c r="G131" s="1192">
        <f>CEILING(135*$Z$1,0.1)</f>
        <v>168.8</v>
      </c>
      <c r="H131" s="1220"/>
      <c r="I131" s="1194">
        <f>CEILING(105*$Z$1,0.1)</f>
        <v>131.3</v>
      </c>
      <c r="J131" s="1195"/>
      <c r="K131" s="1194">
        <f>CEILING(105*$Z$1,0.1)</f>
        <v>131.3</v>
      </c>
      <c r="L131" s="1235"/>
      <c r="M131" s="1194">
        <f>CEILING(85*$Z$1,0.1)</f>
        <v>106.30000000000001</v>
      </c>
      <c r="N131" s="1195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</row>
    <row r="132" spans="1:56" s="121" customFormat="1" ht="30" customHeight="1">
      <c r="A132" s="190"/>
      <c r="B132" s="192" t="s">
        <v>150</v>
      </c>
      <c r="C132" s="1192">
        <f>CEILING((C131+34*$Z$1),0.1)</f>
        <v>148.8</v>
      </c>
      <c r="D132" s="1193"/>
      <c r="E132" s="1192">
        <f>CEILING((E131+63*$Z$1),0.1)</f>
        <v>216.3</v>
      </c>
      <c r="F132" s="1193"/>
      <c r="G132" s="1192">
        <f>CEILING((G131+63*$Z$1),0.1)</f>
        <v>247.60000000000002</v>
      </c>
      <c r="H132" s="1193"/>
      <c r="I132" s="1192">
        <f>CEILING((I131+63*$Z$1),0.1)</f>
        <v>210.10000000000002</v>
      </c>
      <c r="J132" s="1193"/>
      <c r="K132" s="1192">
        <f>CEILING((K131+63*$Z$1),0.1)</f>
        <v>210.10000000000002</v>
      </c>
      <c r="L132" s="1220"/>
      <c r="M132" s="1192">
        <f>CEILING((M131+34*$Z$1),0.1)</f>
        <v>148.8</v>
      </c>
      <c r="N132" s="1193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</row>
    <row r="133" spans="1:56" s="121" customFormat="1" ht="27" customHeight="1">
      <c r="A133" s="190"/>
      <c r="B133" s="192" t="s">
        <v>155</v>
      </c>
      <c r="C133" s="1192">
        <f>CEILING(95*$Z$1,0.1)</f>
        <v>118.80000000000001</v>
      </c>
      <c r="D133" s="1193"/>
      <c r="E133" s="1192">
        <f>CEILING(120*$Z$1,0.1)</f>
        <v>150</v>
      </c>
      <c r="F133" s="1193"/>
      <c r="G133" s="1192">
        <f>CEILING(155*$Z$1,0.1)</f>
        <v>193.8</v>
      </c>
      <c r="H133" s="1193"/>
      <c r="I133" s="1192">
        <f>CEILING(115*$Z$1,0.1)</f>
        <v>143.8</v>
      </c>
      <c r="J133" s="1193"/>
      <c r="K133" s="1192">
        <f>CEILING(115*$Z$1,0.1)</f>
        <v>143.8</v>
      </c>
      <c r="L133" s="1220"/>
      <c r="M133" s="1192">
        <f>CEILING(95*$Z$1,0.1)</f>
        <v>118.80000000000001</v>
      </c>
      <c r="N133" s="1193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</row>
    <row r="134" spans="1:56" s="411" customFormat="1" ht="38.25" customHeight="1">
      <c r="A134" s="601" t="s">
        <v>449</v>
      </c>
      <c r="B134" s="274" t="s">
        <v>156</v>
      </c>
      <c r="C134" s="1202">
        <f>CEILING((C133+34*$Z$1),0.1)</f>
        <v>161.3</v>
      </c>
      <c r="D134" s="1203"/>
      <c r="E134" s="1202">
        <f>CEILING((E133+63*$Z$1),0.1)</f>
        <v>228.8</v>
      </c>
      <c r="F134" s="1203"/>
      <c r="G134" s="1202">
        <f>CEILING((G133+63*$Z$1),0.1)</f>
        <v>272.6</v>
      </c>
      <c r="H134" s="1203"/>
      <c r="I134" s="1202">
        <f>CEILING((I133+63*$Z$1),0.1)</f>
        <v>222.60000000000002</v>
      </c>
      <c r="J134" s="1203"/>
      <c r="K134" s="1202">
        <f>CEILING((K133+63*$Z$1),0.1)</f>
        <v>222.60000000000002</v>
      </c>
      <c r="L134" s="1234"/>
      <c r="M134" s="1202">
        <f>CEILING((M133+34*$Z$1),0.1)</f>
        <v>161.3</v>
      </c>
      <c r="N134" s="1203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532"/>
      <c r="AE134" s="532"/>
      <c r="AF134" s="532"/>
      <c r="AG134" s="532"/>
      <c r="AH134" s="532"/>
      <c r="AI134" s="532"/>
      <c r="AJ134" s="532"/>
      <c r="AK134" s="532"/>
      <c r="AL134" s="532"/>
      <c r="AM134" s="532"/>
      <c r="AN134" s="532"/>
      <c r="AO134" s="532"/>
      <c r="AP134" s="532"/>
      <c r="AQ134" s="532"/>
      <c r="AR134" s="532"/>
      <c r="AS134" s="532"/>
      <c r="AT134" s="532"/>
      <c r="AU134" s="532"/>
      <c r="AV134" s="532"/>
      <c r="AW134" s="532"/>
      <c r="AX134" s="532"/>
      <c r="AY134" s="532"/>
      <c r="AZ134" s="532"/>
      <c r="BA134" s="532"/>
      <c r="BB134" s="532"/>
      <c r="BC134" s="532"/>
      <c r="BD134" s="532"/>
    </row>
    <row r="135" spans="1:25" s="121" customFormat="1" ht="34.5" customHeight="1">
      <c r="A135" s="1231" t="s">
        <v>858</v>
      </c>
      <c r="B135" s="1231"/>
      <c r="C135" s="1231"/>
      <c r="D135" s="1231"/>
      <c r="E135" s="1231"/>
      <c r="F135" s="1231"/>
      <c r="G135" s="1231"/>
      <c r="H135" s="1231"/>
      <c r="I135" s="819"/>
      <c r="J135" s="819"/>
      <c r="K135" s="819"/>
      <c r="L135" s="819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</row>
    <row r="136" spans="1:25" s="121" customFormat="1" ht="34.5" customHeight="1">
      <c r="A136" s="832" t="s">
        <v>1285</v>
      </c>
      <c r="B136" s="832"/>
      <c r="C136" s="241"/>
      <c r="D136" s="241"/>
      <c r="E136" s="241"/>
      <c r="F136" s="241"/>
      <c r="G136" s="241"/>
      <c r="H136" s="241"/>
      <c r="I136" s="1168"/>
      <c r="J136" s="1168"/>
      <c r="K136" s="1168"/>
      <c r="L136" s="1168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</row>
    <row r="137" spans="1:56" s="136" customFormat="1" ht="34.5" customHeight="1" thickBot="1">
      <c r="A137" s="1232"/>
      <c r="B137" s="1232"/>
      <c r="C137" s="1232"/>
      <c r="D137" s="1232"/>
      <c r="E137" s="1232"/>
      <c r="F137" s="1232"/>
      <c r="G137" s="1232"/>
      <c r="H137" s="1232"/>
      <c r="I137" s="1233"/>
      <c r="J137" s="1233"/>
      <c r="K137" s="1233"/>
      <c r="L137" s="1233"/>
      <c r="M137" s="106"/>
      <c r="N137" s="106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</row>
    <row r="138" spans="1:69" s="844" customFormat="1" ht="34.5" customHeight="1" thickTop="1">
      <c r="A138" s="837" t="s">
        <v>33</v>
      </c>
      <c r="B138" s="838" t="s">
        <v>568</v>
      </c>
      <c r="C138" s="839" t="s">
        <v>847</v>
      </c>
      <c r="D138" s="840"/>
      <c r="E138" s="841" t="s">
        <v>848</v>
      </c>
      <c r="F138" s="842"/>
      <c r="G138" s="841" t="s">
        <v>849</v>
      </c>
      <c r="H138" s="842"/>
      <c r="I138" s="841" t="s">
        <v>850</v>
      </c>
      <c r="J138" s="842"/>
      <c r="K138" s="841" t="s">
        <v>851</v>
      </c>
      <c r="L138" s="847"/>
      <c r="M138" s="848" t="s">
        <v>852</v>
      </c>
      <c r="N138" s="849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843"/>
      <c r="AE138" s="843"/>
      <c r="AF138" s="843"/>
      <c r="AG138" s="843"/>
      <c r="AH138" s="843"/>
      <c r="AI138" s="843"/>
      <c r="AJ138" s="843"/>
      <c r="AK138" s="843"/>
      <c r="AL138" s="843"/>
      <c r="AM138" s="843"/>
      <c r="AN138" s="843"/>
      <c r="AO138" s="843"/>
      <c r="AP138" s="843"/>
      <c r="AQ138" s="843"/>
      <c r="AR138" s="843"/>
      <c r="AS138" s="843"/>
      <c r="AT138" s="843"/>
      <c r="AU138" s="843"/>
      <c r="AV138" s="843"/>
      <c r="AW138" s="843"/>
      <c r="AX138" s="843"/>
      <c r="AY138" s="843"/>
      <c r="AZ138" s="843"/>
      <c r="BA138" s="843"/>
      <c r="BB138" s="843"/>
      <c r="BC138" s="843"/>
      <c r="BD138" s="843"/>
      <c r="BE138" s="843"/>
      <c r="BF138" s="843"/>
      <c r="BG138" s="843"/>
      <c r="BH138" s="843"/>
      <c r="BI138" s="843"/>
      <c r="BJ138" s="843"/>
      <c r="BK138" s="843"/>
      <c r="BL138" s="843"/>
      <c r="BM138" s="843"/>
      <c r="BN138" s="843"/>
      <c r="BO138" s="843"/>
      <c r="BP138" s="843"/>
      <c r="BQ138" s="843"/>
    </row>
    <row r="139" spans="1:14" s="100" customFormat="1" ht="34.5" customHeight="1">
      <c r="A139" s="242" t="s">
        <v>48</v>
      </c>
      <c r="B139" s="243" t="s">
        <v>17</v>
      </c>
      <c r="C139" s="1194">
        <f>CEILING(60*$Z$1,0.1)</f>
        <v>75</v>
      </c>
      <c r="D139" s="1195"/>
      <c r="E139" s="1194">
        <f>CEILING(80*$Z$1,0.1)</f>
        <v>100</v>
      </c>
      <c r="F139" s="1195"/>
      <c r="G139" s="1194">
        <f>CEILING(90*$Z$1,0.1)</f>
        <v>112.5</v>
      </c>
      <c r="H139" s="1195"/>
      <c r="I139" s="1194">
        <f>CEILING(80*$Z$1,0.1)</f>
        <v>100</v>
      </c>
      <c r="J139" s="1195"/>
      <c r="K139" s="1194">
        <f>CEILING(80*$Z$1,0.1)</f>
        <v>100</v>
      </c>
      <c r="L139" s="1195"/>
      <c r="M139" s="1194">
        <f>CEILING(60*$Z$1,0.1)</f>
        <v>75</v>
      </c>
      <c r="N139" s="1195"/>
    </row>
    <row r="140" spans="1:14" s="100" customFormat="1" ht="34.5" customHeight="1">
      <c r="A140" s="244" t="s">
        <v>49</v>
      </c>
      <c r="B140" s="245" t="s">
        <v>181</v>
      </c>
      <c r="C140" s="1192">
        <f>CEILING((C139+24*$Z$1),0.1)</f>
        <v>105</v>
      </c>
      <c r="D140" s="1193"/>
      <c r="E140" s="1192">
        <f>CEILING((E139+48*$Z$1),0.1)</f>
        <v>160</v>
      </c>
      <c r="F140" s="1193"/>
      <c r="G140" s="1192">
        <f>CEILING((G139+48*$Z$1),0.1)</f>
        <v>172.5</v>
      </c>
      <c r="H140" s="1193"/>
      <c r="I140" s="1192">
        <f>CEILING((I139+48*$Z$1),0.1)</f>
        <v>160</v>
      </c>
      <c r="J140" s="1193"/>
      <c r="K140" s="1192">
        <f>CEILING((K139+48*$Z$1),0.1)</f>
        <v>160</v>
      </c>
      <c r="L140" s="1193"/>
      <c r="M140" s="1192">
        <f>CEILING((M139+24*$Z$1),0.1)</f>
        <v>105</v>
      </c>
      <c r="N140" s="1193"/>
    </row>
    <row r="141" spans="1:14" s="100" customFormat="1" ht="34.5" customHeight="1">
      <c r="A141" s="236"/>
      <c r="B141" s="245" t="s">
        <v>39</v>
      </c>
      <c r="C141" s="1192">
        <f>CEILING(85*$Z$1,0.1)</f>
        <v>106.30000000000001</v>
      </c>
      <c r="D141" s="1193"/>
      <c r="E141" s="1192">
        <f>CEILING(105*$Z$1,0.1)</f>
        <v>131.3</v>
      </c>
      <c r="F141" s="1193"/>
      <c r="G141" s="1192">
        <f>CEILING(115*$Z$1,0.1)</f>
        <v>143.8</v>
      </c>
      <c r="H141" s="1193"/>
      <c r="I141" s="1192">
        <f>CEILING(105*$Z$1,0.1)</f>
        <v>131.3</v>
      </c>
      <c r="J141" s="1193"/>
      <c r="K141" s="1192">
        <f>CEILING(105*$Z$1,0.1)</f>
        <v>131.3</v>
      </c>
      <c r="L141" s="1193"/>
      <c r="M141" s="1192">
        <f>CEILING(85*$Z$1,0.1)</f>
        <v>106.30000000000001</v>
      </c>
      <c r="N141" s="1193"/>
    </row>
    <row r="142" spans="1:41" s="247" customFormat="1" ht="34.5" customHeight="1" thickBot="1">
      <c r="A142" s="217" t="s">
        <v>449</v>
      </c>
      <c r="B142" s="246" t="s">
        <v>147</v>
      </c>
      <c r="C142" s="1218">
        <f>CEILING((C141+29*$Z$1),0.1)</f>
        <v>142.6</v>
      </c>
      <c r="D142" s="1219"/>
      <c r="E142" s="1218">
        <f>CEILING((E141+53*$Z$1),0.1)</f>
        <v>197.60000000000002</v>
      </c>
      <c r="F142" s="1219"/>
      <c r="G142" s="1218">
        <f>CEILING((G141+53*$Z$1),0.1)</f>
        <v>210.10000000000002</v>
      </c>
      <c r="H142" s="1219"/>
      <c r="I142" s="1218">
        <f>CEILING((I141+53*$Z$1),0.1)</f>
        <v>197.60000000000002</v>
      </c>
      <c r="J142" s="1219"/>
      <c r="K142" s="1218">
        <f>CEILING((K141+53*$Z$1),0.1)</f>
        <v>197.60000000000002</v>
      </c>
      <c r="L142" s="1219"/>
      <c r="M142" s="1218">
        <f>CEILING((M141+29*$Z$1),0.1)</f>
        <v>142.6</v>
      </c>
      <c r="N142" s="1219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</row>
    <row r="143" spans="1:41" s="94" customFormat="1" ht="34.5" customHeight="1" thickTop="1">
      <c r="A143" s="146" t="s">
        <v>182</v>
      </c>
      <c r="B143" s="140"/>
      <c r="C143" s="140"/>
      <c r="D143" s="140"/>
      <c r="E143" s="140"/>
      <c r="F143" s="140"/>
      <c r="G143" s="140"/>
      <c r="H143" s="140"/>
      <c r="I143" s="248"/>
      <c r="J143" s="248"/>
      <c r="K143" s="147"/>
      <c r="L143" s="147"/>
      <c r="M143" s="106"/>
      <c r="N143" s="106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</row>
    <row r="144" spans="1:41" s="94" customFormat="1" ht="34.5" customHeight="1">
      <c r="A144" s="832" t="s">
        <v>1286</v>
      </c>
      <c r="B144" s="832"/>
      <c r="C144" s="1171"/>
      <c r="D144" s="1171"/>
      <c r="E144" s="1171"/>
      <c r="F144" s="1171"/>
      <c r="G144" s="1171"/>
      <c r="H144" s="1171"/>
      <c r="I144" s="248"/>
      <c r="J144" s="248"/>
      <c r="K144" s="147"/>
      <c r="L144" s="147"/>
      <c r="M144" s="106"/>
      <c r="N144" s="106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</row>
    <row r="145" spans="1:14" s="136" customFormat="1" ht="34.5" customHeight="1" thickBot="1">
      <c r="A145" s="1232"/>
      <c r="B145" s="1232"/>
      <c r="C145" s="1232"/>
      <c r="D145" s="1232"/>
      <c r="E145" s="1232"/>
      <c r="F145" s="1232"/>
      <c r="G145" s="1232"/>
      <c r="H145" s="1232"/>
      <c r="I145" s="1233"/>
      <c r="J145" s="1233"/>
      <c r="K145" s="1233"/>
      <c r="L145" s="1233"/>
      <c r="M145" s="106"/>
      <c r="N145" s="106"/>
    </row>
    <row r="146" spans="1:69" s="844" customFormat="1" ht="34.5" customHeight="1" thickTop="1">
      <c r="A146" s="837" t="s">
        <v>33</v>
      </c>
      <c r="B146" s="838" t="s">
        <v>568</v>
      </c>
      <c r="C146" s="839" t="s">
        <v>847</v>
      </c>
      <c r="D146" s="840"/>
      <c r="E146" s="841" t="s">
        <v>848</v>
      </c>
      <c r="F146" s="842"/>
      <c r="G146" s="841" t="s">
        <v>849</v>
      </c>
      <c r="H146" s="842"/>
      <c r="I146" s="841" t="s">
        <v>850</v>
      </c>
      <c r="J146" s="842"/>
      <c r="K146" s="841" t="s">
        <v>851</v>
      </c>
      <c r="L146" s="847"/>
      <c r="M146" s="848" t="s">
        <v>852</v>
      </c>
      <c r="N146" s="849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843"/>
      <c r="AE146" s="843"/>
      <c r="AF146" s="843"/>
      <c r="AG146" s="843"/>
      <c r="AH146" s="843"/>
      <c r="AI146" s="843"/>
      <c r="AJ146" s="843"/>
      <c r="AK146" s="843"/>
      <c r="AL146" s="843"/>
      <c r="AM146" s="843"/>
      <c r="AN146" s="843"/>
      <c r="AO146" s="843"/>
      <c r="AP146" s="843"/>
      <c r="AQ146" s="843"/>
      <c r="AR146" s="843"/>
      <c r="AS146" s="843"/>
      <c r="AT146" s="843"/>
      <c r="AU146" s="843"/>
      <c r="AV146" s="843"/>
      <c r="AW146" s="843"/>
      <c r="AX146" s="843"/>
      <c r="AY146" s="843"/>
      <c r="AZ146" s="843"/>
      <c r="BA146" s="843"/>
      <c r="BB146" s="843"/>
      <c r="BC146" s="843"/>
      <c r="BD146" s="843"/>
      <c r="BE146" s="843"/>
      <c r="BF146" s="843"/>
      <c r="BG146" s="843"/>
      <c r="BH146" s="843"/>
      <c r="BI146" s="843"/>
      <c r="BJ146" s="843"/>
      <c r="BK146" s="843"/>
      <c r="BL146" s="843"/>
      <c r="BM146" s="843"/>
      <c r="BN146" s="843"/>
      <c r="BO146" s="843"/>
      <c r="BP146" s="843"/>
      <c r="BQ146" s="843"/>
    </row>
    <row r="147" spans="1:40" s="94" customFormat="1" ht="34.5" customHeight="1">
      <c r="A147" s="249" t="s">
        <v>50</v>
      </c>
      <c r="B147" s="189" t="s">
        <v>41</v>
      </c>
      <c r="C147" s="1194">
        <f>CEILING(80*$Z$1,0.1)</f>
        <v>100</v>
      </c>
      <c r="D147" s="1195"/>
      <c r="E147" s="1194">
        <f>CEILING(105*$Z$1,0.1)</f>
        <v>131.3</v>
      </c>
      <c r="F147" s="1195"/>
      <c r="G147" s="1194">
        <f>CEILING(125*$Z$1,0.1)</f>
        <v>156.3</v>
      </c>
      <c r="H147" s="1195"/>
      <c r="I147" s="1194">
        <f>CEILING(105*$Z$1,0.1)</f>
        <v>131.3</v>
      </c>
      <c r="J147" s="1195"/>
      <c r="K147" s="1194">
        <f>CEILING(105*$Z$1,0.1)</f>
        <v>131.3</v>
      </c>
      <c r="L147" s="1195"/>
      <c r="M147" s="1194">
        <f>CEILING(105*$Z$1,0.1)</f>
        <v>131.3</v>
      </c>
      <c r="N147" s="1195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</row>
    <row r="148" spans="1:40" s="94" customFormat="1" ht="34.5" customHeight="1">
      <c r="A148" s="244" t="s">
        <v>49</v>
      </c>
      <c r="B148" s="192" t="s">
        <v>42</v>
      </c>
      <c r="C148" s="1192">
        <f>CEILING((C147+32*$Z$1),0.1)</f>
        <v>140</v>
      </c>
      <c r="D148" s="1193"/>
      <c r="E148" s="1192">
        <f>CEILING((E147+63*$Z$1),0.1)</f>
        <v>210.10000000000002</v>
      </c>
      <c r="F148" s="1193"/>
      <c r="G148" s="1192">
        <f>CEILING((G147+63*$Z$1),0.1)</f>
        <v>235.10000000000002</v>
      </c>
      <c r="H148" s="1193"/>
      <c r="I148" s="1192">
        <f>CEILING((I147+63*$Z$1),0.1)</f>
        <v>210.10000000000002</v>
      </c>
      <c r="J148" s="1193"/>
      <c r="K148" s="1192">
        <f>CEILING((K147+63*$Z$1),0.1)</f>
        <v>210.10000000000002</v>
      </c>
      <c r="L148" s="1193"/>
      <c r="M148" s="1192">
        <f>CEILING((M147+63*$Z$1),0.1)</f>
        <v>210.10000000000002</v>
      </c>
      <c r="N148" s="119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</row>
    <row r="149" spans="1:40" s="94" customFormat="1" ht="34.5" customHeight="1">
      <c r="A149" s="250"/>
      <c r="B149" s="192" t="s">
        <v>37</v>
      </c>
      <c r="C149" s="1192">
        <f>CEILING((C147*0.85),0.1)</f>
        <v>85</v>
      </c>
      <c r="D149" s="1193"/>
      <c r="E149" s="1192">
        <f>CEILING((E147*0.85),0.1)</f>
        <v>111.7</v>
      </c>
      <c r="F149" s="1193"/>
      <c r="G149" s="1192">
        <f>CEILING((G147*0.85),0.1)</f>
        <v>132.9</v>
      </c>
      <c r="H149" s="1193"/>
      <c r="I149" s="1192">
        <f>CEILING((I147*0.85),0.1)</f>
        <v>111.7</v>
      </c>
      <c r="J149" s="1193"/>
      <c r="K149" s="1192">
        <f>CEILING((K147*0.85),0.1)</f>
        <v>111.7</v>
      </c>
      <c r="L149" s="1193"/>
      <c r="M149" s="1192">
        <f>CEILING((M147*0.85),0.1)</f>
        <v>111.7</v>
      </c>
      <c r="N149" s="11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</row>
    <row r="150" spans="1:40" s="94" customFormat="1" ht="34.5" customHeight="1">
      <c r="A150" s="221"/>
      <c r="B150" s="190" t="s">
        <v>534</v>
      </c>
      <c r="C150" s="1192">
        <f>CEILING((C147*0.5),0.1)</f>
        <v>50</v>
      </c>
      <c r="D150" s="1193"/>
      <c r="E150" s="1192">
        <f>CEILING((E147*0.5),0.1)</f>
        <v>65.7</v>
      </c>
      <c r="F150" s="1193"/>
      <c r="G150" s="1192">
        <f>CEILING((G147*0.5),0.1)</f>
        <v>78.2</v>
      </c>
      <c r="H150" s="1193"/>
      <c r="I150" s="1192">
        <f>CEILING((I147*0.5),0.1)</f>
        <v>65.7</v>
      </c>
      <c r="J150" s="1193"/>
      <c r="K150" s="1192">
        <f>CEILING((K147*0.5),0.1)</f>
        <v>65.7</v>
      </c>
      <c r="L150" s="1193"/>
      <c r="M150" s="1192">
        <f>CEILING((M147*0.5),0.1)</f>
        <v>65.7</v>
      </c>
      <c r="N150" s="11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</row>
    <row r="151" spans="1:40" s="94" customFormat="1" ht="34.5" customHeight="1">
      <c r="A151" s="114"/>
      <c r="B151" s="190" t="s">
        <v>152</v>
      </c>
      <c r="C151" s="1192">
        <f>CEILING(95*$Z$1,0.1)</f>
        <v>118.80000000000001</v>
      </c>
      <c r="D151" s="1193"/>
      <c r="E151" s="1192">
        <f>CEILING(120*$Z$1,0.1)</f>
        <v>150</v>
      </c>
      <c r="F151" s="1193"/>
      <c r="G151" s="1192">
        <f>CEILING(140*$Z$1,0.1)</f>
        <v>175</v>
      </c>
      <c r="H151" s="1193"/>
      <c r="I151" s="1192">
        <f>CEILING(120*$Z$1,0.1)</f>
        <v>150</v>
      </c>
      <c r="J151" s="1193"/>
      <c r="K151" s="1192">
        <f>CEILING(120*$Z$1,0.1)</f>
        <v>150</v>
      </c>
      <c r="L151" s="1193"/>
      <c r="M151" s="1192">
        <f>CEILING(120*$Z$1,0.1)</f>
        <v>150</v>
      </c>
      <c r="N151" s="11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</row>
    <row r="152" spans="1:40" s="94" customFormat="1" ht="34.5" customHeight="1">
      <c r="A152" s="114"/>
      <c r="B152" s="192" t="s">
        <v>153</v>
      </c>
      <c r="C152" s="1192">
        <f>CEILING((C151+32*$Z$1),0.1)</f>
        <v>158.8</v>
      </c>
      <c r="D152" s="1193"/>
      <c r="E152" s="1192">
        <f>CEILING((E151+63*$Z$1),0.1)</f>
        <v>228.8</v>
      </c>
      <c r="F152" s="1193"/>
      <c r="G152" s="1192">
        <f>CEILING((G151+63*$Z$1),0.1)</f>
        <v>253.8</v>
      </c>
      <c r="H152" s="1193"/>
      <c r="I152" s="1192">
        <f>CEILING((I151+63*$Z$1),0.1)</f>
        <v>228.8</v>
      </c>
      <c r="J152" s="1193"/>
      <c r="K152" s="1192">
        <f>CEILING((K151+63*$Z$1),0.1)</f>
        <v>228.8</v>
      </c>
      <c r="L152" s="1193"/>
      <c r="M152" s="1192">
        <f>CEILING((M151+63*$Z$1),0.1)</f>
        <v>228.8</v>
      </c>
      <c r="N152" s="1193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</row>
    <row r="153" spans="1:40" s="94" customFormat="1" ht="34.5" customHeight="1">
      <c r="A153" s="251"/>
      <c r="B153" s="192" t="s">
        <v>34</v>
      </c>
      <c r="C153" s="1192">
        <f>CEILING(110*$Z$1,0.1)</f>
        <v>137.5</v>
      </c>
      <c r="D153" s="1193"/>
      <c r="E153" s="1192">
        <f>CEILING(135*$Z$1,0.1)</f>
        <v>168.8</v>
      </c>
      <c r="F153" s="1193"/>
      <c r="G153" s="1192">
        <f>CEILING(155*$Z$1,0.1)</f>
        <v>193.8</v>
      </c>
      <c r="H153" s="1193"/>
      <c r="I153" s="1192">
        <f>CEILING(135*$Z$1,0.1)</f>
        <v>168.8</v>
      </c>
      <c r="J153" s="1193"/>
      <c r="K153" s="1192">
        <f>CEILING(135*$Z$1,0.1)</f>
        <v>168.8</v>
      </c>
      <c r="L153" s="1193"/>
      <c r="M153" s="1192">
        <f>CEILING(135*$Z$1,0.1)</f>
        <v>168.8</v>
      </c>
      <c r="N153" s="1193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</row>
    <row r="154" spans="1:40" s="94" customFormat="1" ht="34.5" customHeight="1" thickBot="1">
      <c r="A154" s="252" t="s">
        <v>818</v>
      </c>
      <c r="B154" s="192" t="s">
        <v>36</v>
      </c>
      <c r="C154" s="1218">
        <f>CEILING((C153+38*$Z$1),0.1)</f>
        <v>185</v>
      </c>
      <c r="D154" s="1219"/>
      <c r="E154" s="1218">
        <f>CEILING((E153+68*$Z$1),0.1)</f>
        <v>253.8</v>
      </c>
      <c r="F154" s="1219"/>
      <c r="G154" s="1218">
        <f>CEILING((G153+68*$Z$1),0.1)</f>
        <v>278.8</v>
      </c>
      <c r="H154" s="1219"/>
      <c r="I154" s="1218">
        <f>CEILING((I153+68*$Z$1),0.1)</f>
        <v>253.8</v>
      </c>
      <c r="J154" s="1219"/>
      <c r="K154" s="1218">
        <f>CEILING((K153+68*$Z$1),0.1)</f>
        <v>253.8</v>
      </c>
      <c r="L154" s="1219"/>
      <c r="M154" s="1218">
        <f>CEILING((M153+68*$Z$1),0.1)</f>
        <v>253.8</v>
      </c>
      <c r="N154" s="1219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</row>
    <row r="155" spans="1:25" s="94" customFormat="1" ht="34.5" customHeight="1" thickTop="1">
      <c r="A155" s="253" t="s">
        <v>54</v>
      </c>
      <c r="B155" s="189" t="s">
        <v>179</v>
      </c>
      <c r="C155" s="1194">
        <f>CEILING(85*$Z$1,0.1)</f>
        <v>106.30000000000001</v>
      </c>
      <c r="D155" s="1195"/>
      <c r="E155" s="1194">
        <f>CEILING(110*$Z$1,0.1)</f>
        <v>137.5</v>
      </c>
      <c r="F155" s="1195"/>
      <c r="G155" s="1194">
        <f>CEILING(130*$Z$1,0.1)</f>
        <v>162.5</v>
      </c>
      <c r="H155" s="1195"/>
      <c r="I155" s="1194">
        <f>CEILING(110*$Z$1,0.1)</f>
        <v>137.5</v>
      </c>
      <c r="J155" s="1195"/>
      <c r="K155" s="1194">
        <f>CEILING(110*$Z$1,0.1)</f>
        <v>137.5</v>
      </c>
      <c r="L155" s="1195"/>
      <c r="M155" s="1194">
        <f>CEILING(110*$Z$1,0.1)</f>
        <v>137.5</v>
      </c>
      <c r="N155" s="1195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</row>
    <row r="156" spans="1:25" s="94" customFormat="1" ht="34.5" customHeight="1">
      <c r="A156" s="254" t="s">
        <v>49</v>
      </c>
      <c r="B156" s="190" t="s">
        <v>180</v>
      </c>
      <c r="C156" s="1192">
        <f>CEILING((C155+32*$Z$1),0.1)</f>
        <v>146.3</v>
      </c>
      <c r="D156" s="1193"/>
      <c r="E156" s="1192">
        <f>CEILING((E155+63*$Z$1),0.1)</f>
        <v>216.3</v>
      </c>
      <c r="F156" s="1193"/>
      <c r="G156" s="1192">
        <f>CEILING((G155+63*$Z$1),0.1)</f>
        <v>241.3</v>
      </c>
      <c r="H156" s="1193"/>
      <c r="I156" s="1192">
        <f>CEILING((I155+63*$Z$1),0.1)</f>
        <v>216.3</v>
      </c>
      <c r="J156" s="1193"/>
      <c r="K156" s="1192">
        <f>CEILING((K155+63*$Z$1),0.1)</f>
        <v>216.3</v>
      </c>
      <c r="L156" s="1193"/>
      <c r="M156" s="1192">
        <f>CEILING((M155+63*$Z$1),0.1)</f>
        <v>216.3</v>
      </c>
      <c r="N156" s="1193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spans="1:25" s="94" customFormat="1" ht="34.5" customHeight="1">
      <c r="A157" s="221"/>
      <c r="B157" s="190" t="s">
        <v>37</v>
      </c>
      <c r="C157" s="1192">
        <f>CEILING((C155*0.85),0.1)</f>
        <v>90.4</v>
      </c>
      <c r="D157" s="1193"/>
      <c r="E157" s="1192">
        <f>CEILING((E155*0.85),0.1)</f>
        <v>116.9</v>
      </c>
      <c r="F157" s="1193"/>
      <c r="G157" s="1192">
        <f>CEILING((G155*0.85),0.1)</f>
        <v>138.20000000000002</v>
      </c>
      <c r="H157" s="1193"/>
      <c r="I157" s="1192">
        <f>CEILING((I155*0.85),0.1)</f>
        <v>116.9</v>
      </c>
      <c r="J157" s="1193"/>
      <c r="K157" s="1192">
        <f>CEILING((K155*0.85),0.1)</f>
        <v>116.9</v>
      </c>
      <c r="L157" s="1193"/>
      <c r="M157" s="1192">
        <f>CEILING((M155*0.85),0.1)</f>
        <v>116.9</v>
      </c>
      <c r="N157" s="1193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58" spans="1:25" s="94" customFormat="1" ht="34.5" customHeight="1">
      <c r="A158" s="221"/>
      <c r="B158" s="190" t="s">
        <v>534</v>
      </c>
      <c r="C158" s="1192">
        <f>CEILING((C155*0.5),0.1)</f>
        <v>53.2</v>
      </c>
      <c r="D158" s="1193"/>
      <c r="E158" s="1192">
        <f>CEILING((E155*0.5),0.1)</f>
        <v>68.8</v>
      </c>
      <c r="F158" s="1193"/>
      <c r="G158" s="1192">
        <f>CEILING((G155*0.5),0.1)</f>
        <v>81.30000000000001</v>
      </c>
      <c r="H158" s="1193"/>
      <c r="I158" s="1192">
        <f>CEILING((I155*0.5),0.1)</f>
        <v>68.8</v>
      </c>
      <c r="J158" s="1193"/>
      <c r="K158" s="1192">
        <f>CEILING((K155*0.5),0.1)</f>
        <v>68.8</v>
      </c>
      <c r="L158" s="1193"/>
      <c r="M158" s="1192">
        <f>CEILING((M155*0.5),0.1)</f>
        <v>68.8</v>
      </c>
      <c r="N158" s="1193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</row>
    <row r="159" spans="1:25" s="94" customFormat="1" ht="34.5" customHeight="1">
      <c r="A159" s="254"/>
      <c r="B159" s="190" t="s">
        <v>738</v>
      </c>
      <c r="C159" s="1192">
        <f>CEILING(120*$Z$1,0.1)</f>
        <v>150</v>
      </c>
      <c r="D159" s="1193"/>
      <c r="E159" s="1192">
        <f>CEILING(145*$Z$1,0.1)</f>
        <v>181.3</v>
      </c>
      <c r="F159" s="1193"/>
      <c r="G159" s="1192">
        <f>CEILING(165*$Z$1,0.1)</f>
        <v>206.3</v>
      </c>
      <c r="H159" s="1193"/>
      <c r="I159" s="1192">
        <f>CEILING(145*$Z$1,0.1)</f>
        <v>181.3</v>
      </c>
      <c r="J159" s="1193"/>
      <c r="K159" s="1192">
        <f>CEILING(145*$Z$1,0.1)</f>
        <v>181.3</v>
      </c>
      <c r="L159" s="1193"/>
      <c r="M159" s="1192">
        <f>CEILING(145*$Z$1,0.1)</f>
        <v>181.3</v>
      </c>
      <c r="N159" s="1193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</row>
    <row r="160" spans="1:25" s="94" customFormat="1" ht="34.5" customHeight="1" thickBot="1">
      <c r="A160" s="252" t="s">
        <v>818</v>
      </c>
      <c r="B160" s="246" t="s">
        <v>739</v>
      </c>
      <c r="C160" s="1218">
        <f>CEILING((C159+42*$Z$1),0.1)</f>
        <v>202.5</v>
      </c>
      <c r="D160" s="1219"/>
      <c r="E160" s="1218">
        <f>CEILING((E159+73*$Z$1),0.1)</f>
        <v>272.6</v>
      </c>
      <c r="F160" s="1219"/>
      <c r="G160" s="1218">
        <f>CEILING((G159+73*$Z$1),0.1)</f>
        <v>297.6</v>
      </c>
      <c r="H160" s="1219"/>
      <c r="I160" s="1218">
        <f>CEILING((I159+73*$Z$1),0.1)</f>
        <v>272.6</v>
      </c>
      <c r="J160" s="1219"/>
      <c r="K160" s="1218">
        <f>CEILING((K159+73*$Z$1),0.1)</f>
        <v>272.6</v>
      </c>
      <c r="L160" s="1219"/>
      <c r="M160" s="1218">
        <f>CEILING((M159+73*$Z$1),0.1)</f>
        <v>272.6</v>
      </c>
      <c r="N160" s="1219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</row>
    <row r="161" spans="1:25" s="133" customFormat="1" ht="34.5" customHeight="1" thickTop="1">
      <c r="A161" s="822" t="s">
        <v>249</v>
      </c>
      <c r="B161" s="822"/>
      <c r="C161" s="822"/>
      <c r="D161" s="822"/>
      <c r="E161" s="822"/>
      <c r="F161" s="822"/>
      <c r="G161" s="822"/>
      <c r="H161" s="822"/>
      <c r="I161" s="822"/>
      <c r="J161" s="822"/>
      <c r="K161" s="850"/>
      <c r="L161" s="850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</row>
    <row r="162" spans="1:25" s="133" customFormat="1" ht="34.5" customHeight="1">
      <c r="A162" s="832" t="s">
        <v>1287</v>
      </c>
      <c r="B162" s="832"/>
      <c r="C162" s="1173"/>
      <c r="D162" s="1173"/>
      <c r="E162" s="1173"/>
      <c r="F162" s="1173"/>
      <c r="G162" s="1173"/>
      <c r="H162" s="1173"/>
      <c r="I162" s="1173"/>
      <c r="J162" s="1173"/>
      <c r="K162" s="850"/>
      <c r="L162" s="850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</row>
    <row r="163" spans="1:12" s="259" customFormat="1" ht="34.5" customHeight="1" thickBot="1">
      <c r="A163" s="255"/>
      <c r="B163" s="256"/>
      <c r="C163" s="257"/>
      <c r="D163" s="257"/>
      <c r="E163" s="257"/>
      <c r="F163" s="257"/>
      <c r="G163" s="257"/>
      <c r="H163" s="257"/>
      <c r="I163" s="1260"/>
      <c r="J163" s="1260"/>
      <c r="K163" s="258"/>
      <c r="L163" s="258"/>
    </row>
    <row r="164" spans="1:69" s="844" customFormat="1" ht="34.5" customHeight="1" thickTop="1">
      <c r="A164" s="837" t="s">
        <v>33</v>
      </c>
      <c r="B164" s="838" t="s">
        <v>568</v>
      </c>
      <c r="C164" s="839" t="s">
        <v>847</v>
      </c>
      <c r="D164" s="840"/>
      <c r="E164" s="841" t="s">
        <v>848</v>
      </c>
      <c r="F164" s="842"/>
      <c r="G164" s="841" t="s">
        <v>849</v>
      </c>
      <c r="H164" s="842"/>
      <c r="I164" s="841" t="s">
        <v>850</v>
      </c>
      <c r="J164" s="842"/>
      <c r="K164" s="841" t="s">
        <v>851</v>
      </c>
      <c r="L164" s="847"/>
      <c r="M164" s="848" t="s">
        <v>852</v>
      </c>
      <c r="N164" s="849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843"/>
      <c r="AE164" s="843"/>
      <c r="AF164" s="843"/>
      <c r="AG164" s="843"/>
      <c r="AH164" s="843"/>
      <c r="AI164" s="843"/>
      <c r="AJ164" s="843"/>
      <c r="AK164" s="843"/>
      <c r="AL164" s="843"/>
      <c r="AM164" s="843"/>
      <c r="AN164" s="843"/>
      <c r="AO164" s="843"/>
      <c r="AP164" s="843"/>
      <c r="AQ164" s="843"/>
      <c r="AR164" s="843"/>
      <c r="AS164" s="843"/>
      <c r="AT164" s="843"/>
      <c r="AU164" s="843"/>
      <c r="AV164" s="843"/>
      <c r="AW164" s="843"/>
      <c r="AX164" s="843"/>
      <c r="AY164" s="843"/>
      <c r="AZ164" s="843"/>
      <c r="BA164" s="843"/>
      <c r="BB164" s="843"/>
      <c r="BC164" s="843"/>
      <c r="BD164" s="843"/>
      <c r="BE164" s="843"/>
      <c r="BF164" s="843"/>
      <c r="BG164" s="843"/>
      <c r="BH164" s="843"/>
      <c r="BI164" s="843"/>
      <c r="BJ164" s="843"/>
      <c r="BK164" s="843"/>
      <c r="BL164" s="843"/>
      <c r="BM164" s="843"/>
      <c r="BN164" s="843"/>
      <c r="BO164" s="843"/>
      <c r="BP164" s="843"/>
      <c r="BQ164" s="843"/>
    </row>
    <row r="165" spans="1:25" s="94" customFormat="1" ht="34.5" customHeight="1">
      <c r="A165" s="260" t="s">
        <v>472</v>
      </c>
      <c r="B165" s="219" t="s">
        <v>531</v>
      </c>
      <c r="C165" s="1194">
        <f>CEILING(70*$Z$1,0.1)</f>
        <v>87.5</v>
      </c>
      <c r="D165" s="1195"/>
      <c r="E165" s="1194">
        <f>CEILING(100*$Z$1,0.1)</f>
        <v>125</v>
      </c>
      <c r="F165" s="1195"/>
      <c r="G165" s="1194">
        <f>CEILING(120*$Z$1,0.1)</f>
        <v>150</v>
      </c>
      <c r="H165" s="1195"/>
      <c r="I165" s="1194">
        <f>CEILING(100*$Z$1,0.1)</f>
        <v>125</v>
      </c>
      <c r="J165" s="1195"/>
      <c r="K165" s="1194">
        <f>CEILING(100*$Z$1,0.1)</f>
        <v>125</v>
      </c>
      <c r="L165" s="1195"/>
      <c r="M165" s="1194">
        <f>CEILING(80*$Z$1,0.1)</f>
        <v>100</v>
      </c>
      <c r="N165" s="1195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spans="1:25" s="94" customFormat="1" ht="34.5" customHeight="1">
      <c r="A166" s="261" t="s">
        <v>49</v>
      </c>
      <c r="B166" s="215" t="s">
        <v>777</v>
      </c>
      <c r="C166" s="1192">
        <f>CEILING((C165+28*$Z$1),0.1)</f>
        <v>122.5</v>
      </c>
      <c r="D166" s="1193"/>
      <c r="E166" s="1192">
        <f>CEILING((E165+60*$Z$1),0.1)</f>
        <v>200</v>
      </c>
      <c r="F166" s="1193"/>
      <c r="G166" s="1192">
        <f>CEILING((G165+60*$Z$1),0.1)</f>
        <v>225</v>
      </c>
      <c r="H166" s="1193"/>
      <c r="I166" s="1192">
        <f>CEILING((I165+60*$Z$1),0.1)</f>
        <v>200</v>
      </c>
      <c r="J166" s="1193"/>
      <c r="K166" s="1192">
        <f>CEILING((K165+60*$Z$1),0.1)</f>
        <v>200</v>
      </c>
      <c r="L166" s="1193"/>
      <c r="M166" s="1192">
        <f>CEILING((M165+28*$Z$1),0.1)</f>
        <v>135</v>
      </c>
      <c r="N166" s="1193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</row>
    <row r="167" spans="1:25" s="94" customFormat="1" ht="34.5" customHeight="1">
      <c r="A167" s="262" t="s">
        <v>754</v>
      </c>
      <c r="B167" s="192" t="s">
        <v>532</v>
      </c>
      <c r="C167" s="1192">
        <f>CEILING(90*$Z$1,0.1)</f>
        <v>112.5</v>
      </c>
      <c r="D167" s="1193"/>
      <c r="E167" s="1192">
        <f>CEILING(120*$Z$1,0.1)</f>
        <v>150</v>
      </c>
      <c r="F167" s="1193"/>
      <c r="G167" s="1192">
        <f>CEILING(140*$Z$1,0.1)</f>
        <v>175</v>
      </c>
      <c r="H167" s="1193"/>
      <c r="I167" s="1192">
        <f>CEILING(120*$Z$1,0.1)</f>
        <v>150</v>
      </c>
      <c r="J167" s="1193"/>
      <c r="K167" s="1192">
        <f>CEILING(120*$Z$1,0.1)</f>
        <v>150</v>
      </c>
      <c r="L167" s="1193"/>
      <c r="M167" s="1192">
        <f>CEILING(100*$Z$1,0.1)</f>
        <v>125</v>
      </c>
      <c r="N167" s="1193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spans="1:25" s="265" customFormat="1" ht="34.5" customHeight="1">
      <c r="A168" s="114"/>
      <c r="B168" s="192" t="s">
        <v>533</v>
      </c>
      <c r="C168" s="1229">
        <f>CEILING((C167+33*$Z$1),0.1)</f>
        <v>153.8</v>
      </c>
      <c r="D168" s="1230"/>
      <c r="E168" s="1229">
        <f>CEILING((E167+65*$Z$1),0.1)</f>
        <v>231.3</v>
      </c>
      <c r="F168" s="1230"/>
      <c r="G168" s="1229">
        <f>CEILING((G167+65*$Z$1),0.1)</f>
        <v>256.3</v>
      </c>
      <c r="H168" s="1230"/>
      <c r="I168" s="1229">
        <f>CEILING((I167+65*$Z$1),0.1)</f>
        <v>231.3</v>
      </c>
      <c r="J168" s="1230"/>
      <c r="K168" s="1229">
        <f>CEILING((K167+65*$Z$1),0.1)</f>
        <v>231.3</v>
      </c>
      <c r="L168" s="1230"/>
      <c r="M168" s="1229">
        <f>CEILING((M167+33*$Z$1),0.1)</f>
        <v>166.3</v>
      </c>
      <c r="N168" s="1230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</row>
    <row r="169" spans="1:23" s="94" customFormat="1" ht="34.5" customHeight="1">
      <c r="A169" s="180"/>
      <c r="B169" s="192" t="s">
        <v>251</v>
      </c>
      <c r="C169" s="1192">
        <f>CEILING(100*$Z$1,0.1)</f>
        <v>125</v>
      </c>
      <c r="D169" s="1193"/>
      <c r="E169" s="1192">
        <f>CEILING(130*$Z$1,0.1)</f>
        <v>162.5</v>
      </c>
      <c r="F169" s="1193"/>
      <c r="G169" s="1192">
        <f>CEILING(150*$Z$1,0.1)</f>
        <v>187.5</v>
      </c>
      <c r="H169" s="1193"/>
      <c r="I169" s="1192">
        <f>CEILING(130*$Z$1,0.1)</f>
        <v>162.5</v>
      </c>
      <c r="J169" s="1193"/>
      <c r="K169" s="1192">
        <f>CEILING(130*$Z$1,0.1)</f>
        <v>162.5</v>
      </c>
      <c r="L169" s="1193"/>
      <c r="M169" s="1192">
        <f>CEILING(110*$Z$1,0.1)</f>
        <v>137.5</v>
      </c>
      <c r="N169" s="1193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94" customFormat="1" ht="34.5" customHeight="1" thickBot="1">
      <c r="A170" s="252" t="s">
        <v>818</v>
      </c>
      <c r="B170" s="192" t="s">
        <v>250</v>
      </c>
      <c r="C170" s="1192">
        <f>CEILING((C169+43*$Z$1),0.1)</f>
        <v>178.8</v>
      </c>
      <c r="D170" s="1193"/>
      <c r="E170" s="1192">
        <f>CEILING((E169+75*$Z$1),0.1)</f>
        <v>256.3</v>
      </c>
      <c r="F170" s="1193"/>
      <c r="G170" s="1218">
        <f>CEILING((G169+75*$Z$1),0.1)</f>
        <v>281.3</v>
      </c>
      <c r="H170" s="1219"/>
      <c r="I170" s="1202">
        <f>CEILING((I169+75*$Z$1),0.1)</f>
        <v>256.3</v>
      </c>
      <c r="J170" s="1203"/>
      <c r="K170" s="1202">
        <f>CEILING((K169+75*$Z$1),0.1)</f>
        <v>256.3</v>
      </c>
      <c r="L170" s="1203"/>
      <c r="M170" s="1218">
        <f>CEILING((M169+43*$Z$1),0.1)</f>
        <v>191.3</v>
      </c>
      <c r="N170" s="1219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61" s="133" customFormat="1" ht="34.5" customHeight="1" thickTop="1">
      <c r="A171" s="1347" t="s">
        <v>565</v>
      </c>
      <c r="B171" s="1347"/>
      <c r="C171" s="1347"/>
      <c r="D171" s="1347"/>
      <c r="E171" s="1347"/>
      <c r="F171" s="1347"/>
      <c r="G171" s="1347"/>
      <c r="H171" s="1347"/>
      <c r="I171" s="1261"/>
      <c r="J171" s="1261"/>
      <c r="K171" s="99"/>
      <c r="L171" s="99"/>
      <c r="M171" s="131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</row>
    <row r="172" spans="1:61" s="133" customFormat="1" ht="34.5" customHeight="1">
      <c r="A172" s="832" t="s">
        <v>1288</v>
      </c>
      <c r="B172" s="832"/>
      <c r="C172" s="498"/>
      <c r="D172" s="498"/>
      <c r="E172" s="498"/>
      <c r="F172" s="498"/>
      <c r="G172" s="498"/>
      <c r="H172" s="498"/>
      <c r="I172" s="1172"/>
      <c r="J172" s="1172"/>
      <c r="K172" s="99"/>
      <c r="L172" s="99"/>
      <c r="M172" s="131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</row>
    <row r="173" spans="1:61" s="133" customFormat="1" ht="35.25" customHeight="1">
      <c r="A173" s="857"/>
      <c r="B173" s="857"/>
      <c r="C173" s="857"/>
      <c r="D173" s="857"/>
      <c r="E173" s="857"/>
      <c r="F173" s="857"/>
      <c r="G173" s="857"/>
      <c r="H173" s="857"/>
      <c r="I173" s="130"/>
      <c r="J173" s="130"/>
      <c r="K173" s="99"/>
      <c r="L173" s="99"/>
      <c r="M173" s="131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</row>
    <row r="174" spans="1:69" s="844" customFormat="1" ht="34.5" customHeight="1">
      <c r="A174" s="837" t="s">
        <v>33</v>
      </c>
      <c r="B174" s="838" t="s">
        <v>568</v>
      </c>
      <c r="C174" s="839" t="s">
        <v>847</v>
      </c>
      <c r="D174" s="840"/>
      <c r="E174" s="841" t="s">
        <v>848</v>
      </c>
      <c r="F174" s="842"/>
      <c r="G174" s="841" t="s">
        <v>849</v>
      </c>
      <c r="H174" s="842"/>
      <c r="I174" s="841" t="s">
        <v>850</v>
      </c>
      <c r="J174" s="842"/>
      <c r="K174" s="841" t="s">
        <v>851</v>
      </c>
      <c r="L174" s="847"/>
      <c r="M174" s="848" t="s">
        <v>852</v>
      </c>
      <c r="N174" s="849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843"/>
      <c r="AE174" s="843"/>
      <c r="AF174" s="843"/>
      <c r="AG174" s="843"/>
      <c r="AH174" s="843"/>
      <c r="AI174" s="843"/>
      <c r="AJ174" s="843"/>
      <c r="AK174" s="843"/>
      <c r="AL174" s="843"/>
      <c r="AM174" s="843"/>
      <c r="AN174" s="843"/>
      <c r="AO174" s="843"/>
      <c r="AP174" s="843"/>
      <c r="AQ174" s="843"/>
      <c r="AR174" s="843"/>
      <c r="AS174" s="843"/>
      <c r="AT174" s="843"/>
      <c r="AU174" s="843"/>
      <c r="AV174" s="843"/>
      <c r="AW174" s="843"/>
      <c r="AX174" s="843"/>
      <c r="AY174" s="843"/>
      <c r="AZ174" s="843"/>
      <c r="BA174" s="843"/>
      <c r="BB174" s="843"/>
      <c r="BC174" s="843"/>
      <c r="BD174" s="843"/>
      <c r="BE174" s="843"/>
      <c r="BF174" s="843"/>
      <c r="BG174" s="843"/>
      <c r="BH174" s="843"/>
      <c r="BI174" s="843"/>
      <c r="BJ174" s="843"/>
      <c r="BK174" s="843"/>
      <c r="BL174" s="843"/>
      <c r="BM174" s="843"/>
      <c r="BN174" s="843"/>
      <c r="BO174" s="843"/>
      <c r="BP174" s="843"/>
      <c r="BQ174" s="843"/>
    </row>
    <row r="175" spans="1:25" s="94" customFormat="1" ht="34.5" customHeight="1">
      <c r="A175" s="260" t="s">
        <v>868</v>
      </c>
      <c r="B175" s="219" t="s">
        <v>531</v>
      </c>
      <c r="C175" s="1194">
        <f>CEILING(70*$Z$1,0.1)</f>
        <v>87.5</v>
      </c>
      <c r="D175" s="1195"/>
      <c r="E175" s="1194">
        <f>CEILING(100*$Z$1,0.1)</f>
        <v>125</v>
      </c>
      <c r="F175" s="1195"/>
      <c r="G175" s="1194">
        <f>CEILING(120*$Z$1,0.1)</f>
        <v>150</v>
      </c>
      <c r="H175" s="1195"/>
      <c r="I175" s="1194">
        <f>CEILING(100*$Z$1,0.1)</f>
        <v>125</v>
      </c>
      <c r="J175" s="1195"/>
      <c r="K175" s="1194">
        <f>CEILING(100*$Z$1,0.1)</f>
        <v>125</v>
      </c>
      <c r="L175" s="1195"/>
      <c r="M175" s="1194">
        <f>CEILING(80*$Z$1,0.1)</f>
        <v>100</v>
      </c>
      <c r="N175" s="1195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</row>
    <row r="176" spans="1:25" s="94" customFormat="1" ht="34.5" customHeight="1">
      <c r="A176" s="261" t="s">
        <v>49</v>
      </c>
      <c r="B176" s="215" t="s">
        <v>777</v>
      </c>
      <c r="C176" s="1220">
        <f>CEILING((C175+28*$Z$1),0.1)</f>
        <v>122.5</v>
      </c>
      <c r="D176" s="1193"/>
      <c r="E176" s="1220">
        <f>CEILING((E175+60*$Z$1),0.1)</f>
        <v>200</v>
      </c>
      <c r="F176" s="1193"/>
      <c r="G176" s="1220">
        <f>CEILING((G175+60*$Z$1),0.1)</f>
        <v>225</v>
      </c>
      <c r="H176" s="1193"/>
      <c r="I176" s="1220">
        <f>CEILING((I175+60*$Z$1),0.1)</f>
        <v>200</v>
      </c>
      <c r="J176" s="1193"/>
      <c r="K176" s="1220">
        <f>CEILING((K175+60*$Z$1),0.1)</f>
        <v>200</v>
      </c>
      <c r="L176" s="1193"/>
      <c r="M176" s="1220">
        <f>CEILING((M175+28*$Z$1),0.1)</f>
        <v>135</v>
      </c>
      <c r="N176" s="1193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</row>
    <row r="177" spans="1:25" s="94" customFormat="1" ht="34.5" customHeight="1">
      <c r="A177" s="261"/>
      <c r="B177" s="215" t="s">
        <v>37</v>
      </c>
      <c r="C177" s="1220">
        <f>CEILING((C175*0.85),0.1)</f>
        <v>74.4</v>
      </c>
      <c r="D177" s="1193"/>
      <c r="E177" s="1220">
        <f>CEILING((E175*0.85),0.1)</f>
        <v>106.30000000000001</v>
      </c>
      <c r="F177" s="1193"/>
      <c r="G177" s="1220">
        <f>CEILING((G175*0.85),0.1)</f>
        <v>127.5</v>
      </c>
      <c r="H177" s="1193"/>
      <c r="I177" s="1220">
        <f>CEILING((I175*0.85),0.1)</f>
        <v>106.30000000000001</v>
      </c>
      <c r="J177" s="1193"/>
      <c r="K177" s="1220">
        <f>CEILING((K175*0.85),0.1)</f>
        <v>106.30000000000001</v>
      </c>
      <c r="L177" s="1193"/>
      <c r="M177" s="1220">
        <f>CEILING((M175*0.85),0.1)</f>
        <v>85</v>
      </c>
      <c r="N177" s="1193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</row>
    <row r="178" spans="1:25" s="94" customFormat="1" ht="34.5" customHeight="1">
      <c r="A178" s="261"/>
      <c r="B178" s="190" t="s">
        <v>534</v>
      </c>
      <c r="C178" s="1192">
        <f>CEILING((C175*0.5),0.1)</f>
        <v>43.800000000000004</v>
      </c>
      <c r="D178" s="1193"/>
      <c r="E178" s="1192">
        <f>CEILING((E175*0.5),0.1)</f>
        <v>62.5</v>
      </c>
      <c r="F178" s="1193"/>
      <c r="G178" s="1192">
        <f>CEILING((G175*0.5),0.1)</f>
        <v>75</v>
      </c>
      <c r="H178" s="1193"/>
      <c r="I178" s="1192">
        <f>CEILING((I175*0.5),0.1)</f>
        <v>62.5</v>
      </c>
      <c r="J178" s="1193"/>
      <c r="K178" s="1192">
        <f>CEILING((K175*0.5),0.1)</f>
        <v>62.5</v>
      </c>
      <c r="L178" s="1193"/>
      <c r="M178" s="1192">
        <f>CEILING((M175*0.5),0.1)</f>
        <v>50</v>
      </c>
      <c r="N178" s="1193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</row>
    <row r="179" spans="1:25" s="94" customFormat="1" ht="34.5" customHeight="1">
      <c r="A179" s="261"/>
      <c r="B179" s="279" t="s">
        <v>865</v>
      </c>
      <c r="C179" s="1192">
        <f>CEILING(90*$Z$1,0.1)</f>
        <v>112.5</v>
      </c>
      <c r="D179" s="1193"/>
      <c r="E179" s="1192">
        <f>CEILING(120*$Z$1,0.1)</f>
        <v>150</v>
      </c>
      <c r="F179" s="1193"/>
      <c r="G179" s="1192">
        <f>CEILING(140*$Z$1,0.1)</f>
        <v>175</v>
      </c>
      <c r="H179" s="1193"/>
      <c r="I179" s="1192">
        <f>CEILING(120*$Z$1,0.1)</f>
        <v>150</v>
      </c>
      <c r="J179" s="1193"/>
      <c r="K179" s="1192">
        <f>CEILING(120*$Z$1,0.1)</f>
        <v>150</v>
      </c>
      <c r="L179" s="1193"/>
      <c r="M179" s="1192">
        <f>CEILING(100*$Z$1,0.1)</f>
        <v>125</v>
      </c>
      <c r="N179" s="1193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</row>
    <row r="180" spans="1:25" s="94" customFormat="1" ht="34.5" customHeight="1">
      <c r="A180" s="261"/>
      <c r="B180" s="215" t="s">
        <v>777</v>
      </c>
      <c r="C180" s="1220">
        <f>CEILING((C179+28*$Z$1),0.1)</f>
        <v>147.5</v>
      </c>
      <c r="D180" s="1193"/>
      <c r="E180" s="1220">
        <f>CEILING((E179+60*$Z$1),0.1)</f>
        <v>225</v>
      </c>
      <c r="F180" s="1193"/>
      <c r="G180" s="1220">
        <f>CEILING((G179+60*$Z$1),0.1)</f>
        <v>250</v>
      </c>
      <c r="H180" s="1193"/>
      <c r="I180" s="1220">
        <f>CEILING((I179+60*$Z$1),0.1)</f>
        <v>225</v>
      </c>
      <c r="J180" s="1193"/>
      <c r="K180" s="1220">
        <f>CEILING((K179+60*$Z$1),0.1)</f>
        <v>225</v>
      </c>
      <c r="L180" s="1193"/>
      <c r="M180" s="1220">
        <f>CEILING((M179+28*$Z$1),0.1)</f>
        <v>160</v>
      </c>
      <c r="N180" s="1193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</row>
    <row r="181" spans="1:25" s="94" customFormat="1" ht="34.5" customHeight="1">
      <c r="A181" s="262"/>
      <c r="B181" s="192" t="s">
        <v>532</v>
      </c>
      <c r="C181" s="1192">
        <f>CEILING(100*$Z$1,0.1)</f>
        <v>125</v>
      </c>
      <c r="D181" s="1193"/>
      <c r="E181" s="1192">
        <f>CEILING(130*$Z$1,0.1)</f>
        <v>162.5</v>
      </c>
      <c r="F181" s="1193"/>
      <c r="G181" s="1192">
        <f>CEILING(150*$Z$1,0.1)</f>
        <v>187.5</v>
      </c>
      <c r="H181" s="1193"/>
      <c r="I181" s="1192">
        <f>CEILING(130*$Z$1,0.1)</f>
        <v>162.5</v>
      </c>
      <c r="J181" s="1193"/>
      <c r="K181" s="1192">
        <f>CEILING(130*$Z$1,0.1)</f>
        <v>162.5</v>
      </c>
      <c r="L181" s="1193"/>
      <c r="M181" s="1192">
        <f>CEILING(110*$Z$1,0.1)</f>
        <v>137.5</v>
      </c>
      <c r="N181" s="1193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</row>
    <row r="182" spans="1:25" s="265" customFormat="1" ht="34.5" customHeight="1">
      <c r="A182" s="114"/>
      <c r="B182" s="192" t="s">
        <v>533</v>
      </c>
      <c r="C182" s="1229">
        <f>CEILING((C181+33*$Z$1),0.1)</f>
        <v>166.3</v>
      </c>
      <c r="D182" s="1230"/>
      <c r="E182" s="1229">
        <f>CEILING((E181+65*$Z$1),0.1)</f>
        <v>243.8</v>
      </c>
      <c r="F182" s="1230"/>
      <c r="G182" s="1229">
        <f>CEILING((G181+65*$Z$1),0.1)</f>
        <v>268.8</v>
      </c>
      <c r="H182" s="1230"/>
      <c r="I182" s="1229">
        <f>CEILING((I181+65*$Z$1),0.1)</f>
        <v>243.8</v>
      </c>
      <c r="J182" s="1230"/>
      <c r="K182" s="1229">
        <f>CEILING((K181+65*$Z$1),0.1)</f>
        <v>243.8</v>
      </c>
      <c r="L182" s="1230"/>
      <c r="M182" s="1229">
        <f>CEILING((M181+33*$Z$1),0.1)</f>
        <v>178.8</v>
      </c>
      <c r="N182" s="1230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</row>
    <row r="183" spans="1:23" s="94" customFormat="1" ht="34.5" customHeight="1">
      <c r="A183" s="180"/>
      <c r="B183" s="192" t="s">
        <v>866</v>
      </c>
      <c r="C183" s="1192">
        <f>CEILING(100*$Z$1,0.1)</f>
        <v>125</v>
      </c>
      <c r="D183" s="1193"/>
      <c r="E183" s="1192">
        <f>CEILING(140*$Z$1,0.1)</f>
        <v>175</v>
      </c>
      <c r="F183" s="1193"/>
      <c r="G183" s="1192">
        <f>CEILING(160*$Z$1,0.1)</f>
        <v>200</v>
      </c>
      <c r="H183" s="1193"/>
      <c r="I183" s="1192">
        <f>CEILING(140*$Z$1,0.1)</f>
        <v>175</v>
      </c>
      <c r="J183" s="1193"/>
      <c r="K183" s="1192">
        <f>CEILING(140*$Z$1,0.1)</f>
        <v>175</v>
      </c>
      <c r="L183" s="1193"/>
      <c r="M183" s="1192">
        <f>CEILING(120*$Z$1,0.1)</f>
        <v>150</v>
      </c>
      <c r="N183" s="1193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94" customFormat="1" ht="34.5" customHeight="1" thickBot="1">
      <c r="A184" s="252" t="s">
        <v>818</v>
      </c>
      <c r="B184" s="193" t="s">
        <v>867</v>
      </c>
      <c r="C184" s="1202">
        <f>CEILING((C183+43*$Z$1),0.1)</f>
        <v>178.8</v>
      </c>
      <c r="D184" s="1203"/>
      <c r="E184" s="1202">
        <f>CEILING((E183+75*$Z$1),0.1)</f>
        <v>268.8</v>
      </c>
      <c r="F184" s="1203"/>
      <c r="G184" s="1202">
        <f>CEILING((G183+75*$Z$1),0.1)</f>
        <v>293.8</v>
      </c>
      <c r="H184" s="1203"/>
      <c r="I184" s="1202">
        <f>CEILING((I183+75*$Z$1),0.1)</f>
        <v>268.8</v>
      </c>
      <c r="J184" s="1203"/>
      <c r="K184" s="1202">
        <f>CEILING((K183+75*$Z$1),0.1)</f>
        <v>268.8</v>
      </c>
      <c r="L184" s="1203"/>
      <c r="M184" s="1202">
        <f>CEILING((M183+43*$Z$1),0.1)</f>
        <v>203.8</v>
      </c>
      <c r="N184" s="1203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5" s="121" customFormat="1" ht="34.5" customHeight="1" thickTop="1">
      <c r="A185" s="1231" t="s">
        <v>869</v>
      </c>
      <c r="B185" s="1231"/>
      <c r="C185" s="1231"/>
      <c r="D185" s="1231"/>
      <c r="E185" s="1231"/>
      <c r="F185" s="1231"/>
      <c r="G185" s="1231"/>
      <c r="H185" s="1231"/>
      <c r="I185" s="856"/>
      <c r="J185" s="856"/>
      <c r="K185" s="856"/>
      <c r="L185" s="856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</row>
    <row r="186" spans="1:25" s="121" customFormat="1" ht="34.5" customHeight="1">
      <c r="A186" s="832" t="s">
        <v>1293</v>
      </c>
      <c r="B186" s="832"/>
      <c r="C186" s="241"/>
      <c r="D186" s="241"/>
      <c r="E186" s="241"/>
      <c r="F186" s="241"/>
      <c r="G186" s="241"/>
      <c r="H186" s="241"/>
      <c r="I186" s="1168"/>
      <c r="J186" s="1168"/>
      <c r="K186" s="1168"/>
      <c r="L186" s="1168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</row>
    <row r="187" spans="1:14" s="136" customFormat="1" ht="34.5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06"/>
      <c r="N187" s="106"/>
    </row>
    <row r="188" spans="1:42" s="167" customFormat="1" ht="52.5" customHeight="1">
      <c r="A188" s="837" t="s">
        <v>33</v>
      </c>
      <c r="B188" s="838" t="s">
        <v>568</v>
      </c>
      <c r="C188" s="839" t="s">
        <v>847</v>
      </c>
      <c r="D188" s="840"/>
      <c r="E188" s="841" t="s">
        <v>870</v>
      </c>
      <c r="F188" s="842"/>
      <c r="G188" s="841" t="s">
        <v>850</v>
      </c>
      <c r="H188" s="842"/>
      <c r="I188" s="841" t="s">
        <v>851</v>
      </c>
      <c r="J188" s="842"/>
      <c r="K188" s="841" t="s">
        <v>852</v>
      </c>
      <c r="L188" s="842"/>
      <c r="M188" s="151"/>
      <c r="N188" s="151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</row>
    <row r="189" spans="1:67" s="94" customFormat="1" ht="34.5" customHeight="1">
      <c r="A189" s="182" t="s">
        <v>391</v>
      </c>
      <c r="B189" s="215" t="s">
        <v>41</v>
      </c>
      <c r="C189" s="1200">
        <f>CEILING(86.2*$Z$1,0.1)</f>
        <v>107.80000000000001</v>
      </c>
      <c r="D189" s="1201"/>
      <c r="E189" s="1200">
        <f>CEILING(160*$Z$1,0.1)</f>
        <v>200</v>
      </c>
      <c r="F189" s="1201"/>
      <c r="G189" s="1200">
        <f>CEILING(116*$Z$1,0.1)</f>
        <v>145</v>
      </c>
      <c r="H189" s="1201"/>
      <c r="I189" s="1200">
        <f>CEILING(124*$Z$1,0.1)</f>
        <v>155</v>
      </c>
      <c r="J189" s="1201"/>
      <c r="K189" s="1200">
        <f>CEILING(100*$Z$1,0.1)</f>
        <v>125</v>
      </c>
      <c r="L189" s="1201"/>
      <c r="M189" s="1220"/>
      <c r="N189" s="1220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</row>
    <row r="190" spans="1:67" s="94" customFormat="1" ht="34.5" customHeight="1">
      <c r="A190" s="266" t="s">
        <v>35</v>
      </c>
      <c r="B190" s="192" t="s">
        <v>42</v>
      </c>
      <c r="C190" s="1200">
        <f>CEILING((C189+43.1*$Z$1),0.1)</f>
        <v>161.70000000000002</v>
      </c>
      <c r="D190" s="1201"/>
      <c r="E190" s="1200">
        <f>CEILING((E189+80*$Z$1),0.1)</f>
        <v>300</v>
      </c>
      <c r="F190" s="1201"/>
      <c r="G190" s="1200">
        <f>CEILING((G189+58*$Z$1),0.1)</f>
        <v>217.5</v>
      </c>
      <c r="H190" s="1201"/>
      <c r="I190" s="1200">
        <f>CEILING((I189+62*$Z$1),0.1)</f>
        <v>232.5</v>
      </c>
      <c r="J190" s="1201"/>
      <c r="K190" s="1200">
        <f>CEILING((K189+50*$Z$1),0.1)</f>
        <v>187.5</v>
      </c>
      <c r="L190" s="1201"/>
      <c r="M190" s="1220"/>
      <c r="N190" s="1220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</row>
    <row r="191" spans="1:67" s="94" customFormat="1" ht="34.5" customHeight="1">
      <c r="A191" s="1119" t="s">
        <v>1198</v>
      </c>
      <c r="B191" s="192" t="s">
        <v>37</v>
      </c>
      <c r="C191" s="1200">
        <f>CEILING((C189*0.75),0.1)</f>
        <v>80.9</v>
      </c>
      <c r="D191" s="1201"/>
      <c r="E191" s="1200">
        <f>CEILING((E189*0.75),0.1)</f>
        <v>150</v>
      </c>
      <c r="F191" s="1201"/>
      <c r="G191" s="1200">
        <f>CEILING((G189*0.75),0.1)</f>
        <v>108.80000000000001</v>
      </c>
      <c r="H191" s="1201"/>
      <c r="I191" s="1200">
        <f>CEILING((I189*0.75),0.1)</f>
        <v>116.30000000000001</v>
      </c>
      <c r="J191" s="1201"/>
      <c r="K191" s="1200">
        <f>CEILING((K189*0.75),0.1)</f>
        <v>93.80000000000001</v>
      </c>
      <c r="L191" s="1201"/>
      <c r="M191" s="1220"/>
      <c r="N191" s="1220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</row>
    <row r="192" spans="1:67" s="94" customFormat="1" ht="34.5" customHeight="1">
      <c r="A192" s="1118" t="s">
        <v>1309</v>
      </c>
      <c r="B192" s="192" t="s">
        <v>534</v>
      </c>
      <c r="C192" s="1200">
        <f>CEILING((C189*0.5),0.1)</f>
        <v>53.900000000000006</v>
      </c>
      <c r="D192" s="1201"/>
      <c r="E192" s="1200">
        <f>CEILING((E189*0.7),0.1)</f>
        <v>140</v>
      </c>
      <c r="F192" s="1201"/>
      <c r="G192" s="1200">
        <f>CEILING((G189*0.7),0.1)</f>
        <v>101.5</v>
      </c>
      <c r="H192" s="1201"/>
      <c r="I192" s="1200">
        <f>CEILING((I189*0.7),0.1)</f>
        <v>108.5</v>
      </c>
      <c r="J192" s="1201"/>
      <c r="K192" s="1200">
        <f>CEILING((K189*0.5),0.1)</f>
        <v>62.5</v>
      </c>
      <c r="L192" s="1201"/>
      <c r="M192" s="1220"/>
      <c r="N192" s="1220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</row>
    <row r="193" spans="1:67" s="94" customFormat="1" ht="34.5" customHeight="1">
      <c r="A193" s="300"/>
      <c r="B193" s="192" t="s">
        <v>34</v>
      </c>
      <c r="C193" s="1200">
        <f>CEILING(99*$Z$1,0.1)</f>
        <v>123.80000000000001</v>
      </c>
      <c r="D193" s="1201"/>
      <c r="E193" s="1200">
        <f>CEILING(184*$Z$1,0.1)</f>
        <v>230</v>
      </c>
      <c r="F193" s="1201"/>
      <c r="G193" s="1200">
        <f>CEILING(134*$Z$1,0.1)</f>
        <v>167.5</v>
      </c>
      <c r="H193" s="1201"/>
      <c r="I193" s="1200">
        <f>CEILING(142.4*$Z$1,0.1)</f>
        <v>178</v>
      </c>
      <c r="J193" s="1201"/>
      <c r="K193" s="1200">
        <f>CEILING(115*$Z$1,0.1)</f>
        <v>143.8</v>
      </c>
      <c r="L193" s="1201"/>
      <c r="M193" s="1220"/>
      <c r="N193" s="1220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</row>
    <row r="194" spans="1:67" s="94" customFormat="1" ht="34.5" customHeight="1">
      <c r="A194" s="268"/>
      <c r="B194" s="192" t="s">
        <v>36</v>
      </c>
      <c r="C194" s="1200">
        <f>CEILING((C193+49.5*$Z$1),0.1)</f>
        <v>185.70000000000002</v>
      </c>
      <c r="D194" s="1201"/>
      <c r="E194" s="1200">
        <f>CEILING((E193+92*$Z$1),0.1)</f>
        <v>345</v>
      </c>
      <c r="F194" s="1201"/>
      <c r="G194" s="1200">
        <f>CEILING((G193+67*$Z$1),0.1)</f>
        <v>251.3</v>
      </c>
      <c r="H194" s="1201"/>
      <c r="I194" s="1200">
        <f>CEILING((I193+71.2*$Z$1),0.1)</f>
        <v>267</v>
      </c>
      <c r="J194" s="1201"/>
      <c r="K194" s="1200">
        <f>CEILING((K193+57.6*$Z$1),0.1)</f>
        <v>215.8</v>
      </c>
      <c r="L194" s="1201"/>
      <c r="M194" s="1220"/>
      <c r="N194" s="1220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</row>
    <row r="195" spans="1:67" s="272" customFormat="1" ht="34.5" customHeight="1">
      <c r="A195" s="269"/>
      <c r="B195" s="270" t="s">
        <v>331</v>
      </c>
      <c r="C195" s="1200">
        <f>CEILING(113*$Z$1,0.1)</f>
        <v>141.3</v>
      </c>
      <c r="D195" s="1201"/>
      <c r="E195" s="1200">
        <f>CEILING(208*$Z$1,0.1)</f>
        <v>260</v>
      </c>
      <c r="F195" s="1201"/>
      <c r="G195" s="1200">
        <f>CEILING(151.2*$Z$1,0.1)</f>
        <v>189</v>
      </c>
      <c r="H195" s="1201"/>
      <c r="I195" s="1200">
        <f>CEILING(162*$Z$1,0.1)</f>
        <v>202.5</v>
      </c>
      <c r="J195" s="1201"/>
      <c r="K195" s="1200">
        <f>CEILING(130.4*$Z$1,0.1)</f>
        <v>163</v>
      </c>
      <c r="L195" s="1201"/>
      <c r="M195" s="1220"/>
      <c r="N195" s="1220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  <c r="AL195" s="271"/>
      <c r="AM195" s="271"/>
      <c r="AN195" s="271"/>
      <c r="AO195" s="271"/>
      <c r="AP195" s="271"/>
      <c r="AQ195" s="271"/>
      <c r="AR195" s="271"/>
      <c r="AS195" s="271"/>
      <c r="AT195" s="271"/>
      <c r="AU195" s="271"/>
      <c r="AV195" s="271"/>
      <c r="AW195" s="271"/>
      <c r="AX195" s="271"/>
      <c r="AY195" s="271"/>
      <c r="AZ195" s="271"/>
      <c r="BA195" s="271"/>
      <c r="BB195" s="271"/>
      <c r="BC195" s="271"/>
      <c r="BD195" s="271"/>
      <c r="BE195" s="271"/>
      <c r="BF195" s="271"/>
      <c r="BG195" s="271"/>
      <c r="BH195" s="271"/>
      <c r="BI195" s="271"/>
      <c r="BJ195" s="271"/>
      <c r="BK195" s="271"/>
      <c r="BL195" s="271"/>
      <c r="BM195" s="271"/>
      <c r="BN195" s="271"/>
      <c r="BO195" s="271"/>
    </row>
    <row r="196" spans="1:67" s="94" customFormat="1" ht="34.5" customHeight="1">
      <c r="A196" s="273"/>
      <c r="B196" s="274" t="s">
        <v>332</v>
      </c>
      <c r="C196" s="1227">
        <f>CEILING((C195+56.5*$Z$1),0.1)</f>
        <v>212</v>
      </c>
      <c r="D196" s="1228"/>
      <c r="E196" s="1227">
        <f>CEILING((E195+104*$Z$1),0.1)</f>
        <v>390</v>
      </c>
      <c r="F196" s="1228"/>
      <c r="G196" s="1227">
        <f>CEILING((G195+76*$Z$1),0.1)</f>
        <v>284</v>
      </c>
      <c r="H196" s="1228"/>
      <c r="I196" s="1227">
        <f>CEILING((I195+81*$Z$1),0.1)</f>
        <v>303.8</v>
      </c>
      <c r="J196" s="1228"/>
      <c r="K196" s="1227">
        <f>CEILING((K195+65.2*$Z$1),0.1)</f>
        <v>244.5</v>
      </c>
      <c r="L196" s="1228"/>
      <c r="M196" s="1220"/>
      <c r="N196" s="1220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</row>
    <row r="197" spans="1:67" s="94" customFormat="1" ht="34.5" customHeight="1">
      <c r="A197" s="275"/>
      <c r="B197" s="190" t="s">
        <v>393</v>
      </c>
      <c r="C197" s="1216">
        <f>CEILING(122.2*$Z$1,0.1)</f>
        <v>152.8</v>
      </c>
      <c r="D197" s="1217"/>
      <c r="E197" s="1216">
        <f>CEILING(222*$Z$1,0.1)</f>
        <v>277.5</v>
      </c>
      <c r="F197" s="1217"/>
      <c r="G197" s="1216">
        <f>CEILING(162.4*$Z$1,0.1)</f>
        <v>203</v>
      </c>
      <c r="H197" s="1217"/>
      <c r="I197" s="1216">
        <f>CEILING(174*$Z$1,0.1)</f>
        <v>217.5</v>
      </c>
      <c r="J197" s="1217"/>
      <c r="K197" s="1216">
        <f>CEILING(142*$Z$1,0.1)</f>
        <v>177.5</v>
      </c>
      <c r="L197" s="1217"/>
      <c r="M197" s="1220"/>
      <c r="N197" s="1220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</row>
    <row r="198" spans="1:67" s="94" customFormat="1" ht="34.5" customHeight="1">
      <c r="A198" s="106"/>
      <c r="B198" s="190" t="s">
        <v>395</v>
      </c>
      <c r="C198" s="1200">
        <f>CEILING((C197*0.5),0.1)</f>
        <v>76.4</v>
      </c>
      <c r="D198" s="1201"/>
      <c r="E198" s="1200">
        <f>CEILING((E197*0.5),0.1)</f>
        <v>138.8</v>
      </c>
      <c r="F198" s="1201"/>
      <c r="G198" s="1200">
        <f>CEILING((G197*0.5),0.1)</f>
        <v>101.5</v>
      </c>
      <c r="H198" s="1201"/>
      <c r="I198" s="1200">
        <f>CEILING((I197*0.5),0.1)</f>
        <v>108.80000000000001</v>
      </c>
      <c r="J198" s="1201"/>
      <c r="K198" s="1200">
        <f>CEILING((K197*0.5),0.1)</f>
        <v>88.80000000000001</v>
      </c>
      <c r="L198" s="1201"/>
      <c r="M198" s="1220"/>
      <c r="N198" s="1220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</row>
    <row r="199" spans="1:67" s="94" customFormat="1" ht="34.5" customHeight="1" thickBot="1">
      <c r="A199" s="183" t="s">
        <v>300</v>
      </c>
      <c r="B199" s="246"/>
      <c r="C199" s="1218"/>
      <c r="D199" s="1219"/>
      <c r="E199" s="1240"/>
      <c r="F199" s="1219"/>
      <c r="G199" s="1218"/>
      <c r="H199" s="1219"/>
      <c r="I199" s="1218"/>
      <c r="J199" s="1219"/>
      <c r="K199" s="1218"/>
      <c r="L199" s="1219"/>
      <c r="M199" s="276"/>
      <c r="N199" s="27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</row>
    <row r="200" spans="1:25" s="94" customFormat="1" ht="34.5" customHeight="1" thickTop="1">
      <c r="A200" s="1376" t="s">
        <v>394</v>
      </c>
      <c r="B200" s="1376"/>
      <c r="C200" s="1376"/>
      <c r="D200" s="1376"/>
      <c r="E200" s="1376"/>
      <c r="F200" s="1376"/>
      <c r="G200" s="1376"/>
      <c r="H200" s="1376"/>
      <c r="I200" s="1379"/>
      <c r="J200" s="1379"/>
      <c r="K200" s="1380"/>
      <c r="L200" s="1380"/>
      <c r="M200" s="101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</row>
    <row r="201" spans="1:25" s="911" customFormat="1" ht="34.5" customHeight="1">
      <c r="A201" s="339" t="s">
        <v>415</v>
      </c>
      <c r="B201" s="1056"/>
      <c r="C201" s="1056"/>
      <c r="D201" s="1056"/>
      <c r="E201" s="1056"/>
      <c r="F201" s="1056"/>
      <c r="G201" s="1056"/>
      <c r="H201" s="1056"/>
      <c r="I201" s="1056"/>
      <c r="J201" s="1056"/>
      <c r="K201" s="135"/>
      <c r="L201" s="135"/>
      <c r="M201" s="687"/>
      <c r="N201" s="687"/>
      <c r="O201" s="687"/>
      <c r="P201" s="687"/>
      <c r="Q201" s="687"/>
      <c r="R201" s="687"/>
      <c r="S201" s="687"/>
      <c r="T201" s="687"/>
      <c r="U201" s="687"/>
      <c r="V201" s="687"/>
      <c r="W201" s="687"/>
      <c r="X201" s="687"/>
      <c r="Y201" s="687"/>
    </row>
    <row r="202" spans="1:25" s="94" customFormat="1" ht="34.5" customHeight="1" thickBot="1">
      <c r="A202" s="277"/>
      <c r="B202" s="278"/>
      <c r="C202" s="278"/>
      <c r="D202" s="278"/>
      <c r="E202" s="278"/>
      <c r="F202" s="278"/>
      <c r="G202" s="278"/>
      <c r="H202" s="278"/>
      <c r="I202" s="140"/>
      <c r="J202" s="140"/>
      <c r="K202" s="135"/>
      <c r="L202" s="135"/>
      <c r="M202" s="101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</row>
    <row r="203" spans="1:42" s="167" customFormat="1" ht="34.5" customHeight="1" thickTop="1">
      <c r="A203" s="837" t="s">
        <v>33</v>
      </c>
      <c r="B203" s="838" t="s">
        <v>568</v>
      </c>
      <c r="C203" s="839" t="s">
        <v>847</v>
      </c>
      <c r="D203" s="840"/>
      <c r="E203" s="841" t="s">
        <v>870</v>
      </c>
      <c r="F203" s="842"/>
      <c r="G203" s="841" t="s">
        <v>850</v>
      </c>
      <c r="H203" s="842"/>
      <c r="I203" s="841" t="s">
        <v>851</v>
      </c>
      <c r="J203" s="842"/>
      <c r="K203" s="841" t="s">
        <v>852</v>
      </c>
      <c r="L203" s="842"/>
      <c r="M203" s="151"/>
      <c r="N203" s="151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</row>
    <row r="204" spans="1:25" s="94" customFormat="1" ht="34.5" customHeight="1">
      <c r="A204" s="1130" t="s">
        <v>392</v>
      </c>
      <c r="B204" s="205" t="s">
        <v>41</v>
      </c>
      <c r="C204" s="1216">
        <f>CEILING(51*$Z$1,0.1)</f>
        <v>63.800000000000004</v>
      </c>
      <c r="D204" s="1217"/>
      <c r="E204" s="1216">
        <f>CEILING(84.5*$Z$1,0.1)</f>
        <v>105.7</v>
      </c>
      <c r="F204" s="1217"/>
      <c r="G204" s="1216">
        <f>CEILING(77*$Z$1,0.1)</f>
        <v>96.30000000000001</v>
      </c>
      <c r="H204" s="1217"/>
      <c r="I204" s="1216">
        <f>CEILING(75*$Z$1,0.1)</f>
        <v>93.80000000000001</v>
      </c>
      <c r="J204" s="1217"/>
      <c r="K204" s="1216">
        <f>CEILING(60*$Z$1,0.1)</f>
        <v>75</v>
      </c>
      <c r="L204" s="1217"/>
      <c r="M204" s="101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</row>
    <row r="205" spans="1:25" s="94" customFormat="1" ht="34.5" customHeight="1">
      <c r="A205" s="170" t="s">
        <v>35</v>
      </c>
      <c r="B205" s="106" t="s">
        <v>42</v>
      </c>
      <c r="C205" s="1200">
        <f>CEILING((C204+20.4*$Z$1),0.1)</f>
        <v>89.30000000000001</v>
      </c>
      <c r="D205" s="1201"/>
      <c r="E205" s="1200">
        <f>CEILING((E204+34*$Z$1),0.1)</f>
        <v>148.20000000000002</v>
      </c>
      <c r="F205" s="1201"/>
      <c r="G205" s="1200">
        <f>CEILING((G204+31*$Z$1),0.1)</f>
        <v>135.1</v>
      </c>
      <c r="H205" s="1201"/>
      <c r="I205" s="1200">
        <f>CEILING((I204+30*$Z$1),0.1)</f>
        <v>131.3</v>
      </c>
      <c r="J205" s="1201"/>
      <c r="K205" s="1200">
        <f>CEILING((K204+24*$Z$1),0.1)</f>
        <v>105</v>
      </c>
      <c r="L205" s="1201"/>
      <c r="M205" s="101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</row>
    <row r="206" spans="1:25" s="94" customFormat="1" ht="34.5" customHeight="1">
      <c r="A206" s="201"/>
      <c r="B206" s="106" t="s">
        <v>534</v>
      </c>
      <c r="C206" s="1200">
        <f>CEILING((C204*0),0.1)</f>
        <v>0</v>
      </c>
      <c r="D206" s="1201"/>
      <c r="E206" s="1200">
        <f>CEILING((E204*0.5),0.1)</f>
        <v>52.900000000000006</v>
      </c>
      <c r="F206" s="1201"/>
      <c r="G206" s="1200">
        <f>CEILING((G204*0.5),0.1)</f>
        <v>48.2</v>
      </c>
      <c r="H206" s="1201"/>
      <c r="I206" s="1200">
        <f>CEILING((I204*0.5),0.1)</f>
        <v>46.900000000000006</v>
      </c>
      <c r="J206" s="1201"/>
      <c r="K206" s="1200">
        <f>CEILING((K204*0),0.1)</f>
        <v>0</v>
      </c>
      <c r="L206" s="1201"/>
      <c r="M206" s="101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</row>
    <row r="207" spans="1:25" s="94" customFormat="1" ht="34.5" customHeight="1">
      <c r="A207" s="267"/>
      <c r="B207" s="205" t="s">
        <v>740</v>
      </c>
      <c r="C207" s="1200">
        <f>CEILING(56.4*$Z$1,0.1)</f>
        <v>70.5</v>
      </c>
      <c r="D207" s="1201"/>
      <c r="E207" s="1200">
        <f>CEILING(93*$Z$1,0.1)</f>
        <v>116.30000000000001</v>
      </c>
      <c r="F207" s="1201"/>
      <c r="G207" s="1200">
        <f>CEILING(91*$Z$1,0.1)</f>
        <v>113.80000000000001</v>
      </c>
      <c r="H207" s="1201"/>
      <c r="I207" s="1200">
        <f>CEILING(83*$Z$1,0.1)</f>
        <v>103.80000000000001</v>
      </c>
      <c r="J207" s="1201"/>
      <c r="K207" s="1200">
        <f>CEILING(66*$Z$1,0.1)</f>
        <v>82.5</v>
      </c>
      <c r="L207" s="1201"/>
      <c r="M207" s="101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</row>
    <row r="208" spans="1:25" s="94" customFormat="1" ht="34.5" customHeight="1">
      <c r="A208" s="300"/>
      <c r="B208" s="205" t="s">
        <v>741</v>
      </c>
      <c r="C208" s="1200">
        <f>CEILING((C207+23*$Z$1),0.1)</f>
        <v>99.30000000000001</v>
      </c>
      <c r="D208" s="1201"/>
      <c r="E208" s="1200">
        <f>CEILING((E207+37.1*$Z$1),0.1)</f>
        <v>162.70000000000002</v>
      </c>
      <c r="F208" s="1201"/>
      <c r="G208" s="1200">
        <f>CEILING((G207+36.4*$Z$1),0.1)</f>
        <v>159.3</v>
      </c>
      <c r="H208" s="1201"/>
      <c r="I208" s="1200">
        <f>CEILING((I207+33.2*$Z$1),0.1)</f>
        <v>145.3</v>
      </c>
      <c r="J208" s="1201"/>
      <c r="K208" s="1200">
        <f>CEILING((K207+26.4*$Z$1),0.1)</f>
        <v>115.5</v>
      </c>
      <c r="L208" s="1201"/>
      <c r="M208" s="101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spans="1:25" s="94" customFormat="1" ht="34.5" customHeight="1">
      <c r="A209" s="267"/>
      <c r="B209" s="106" t="s">
        <v>396</v>
      </c>
      <c r="C209" s="1200">
        <f>CEILING(61.2*$Z$1,0.1)</f>
        <v>76.5</v>
      </c>
      <c r="D209" s="1201"/>
      <c r="E209" s="1200">
        <f>CEILING(101.4*$Z$1,0.1)</f>
        <v>126.80000000000001</v>
      </c>
      <c r="F209" s="1201"/>
      <c r="G209" s="1200">
        <f>CEILING(132*$Z$1,0.1)</f>
        <v>165</v>
      </c>
      <c r="H209" s="1201"/>
      <c r="I209" s="1200">
        <f>CEILING(90*$Z$1,0.1)</f>
        <v>112.5</v>
      </c>
      <c r="J209" s="1201"/>
      <c r="K209" s="1200">
        <f>CEILING(72*$Z$1,0.1)</f>
        <v>90</v>
      </c>
      <c r="L209" s="1201"/>
      <c r="M209" s="101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spans="1:25" s="94" customFormat="1" ht="34.5" customHeight="1">
      <c r="A210" s="267"/>
      <c r="B210" s="283" t="s">
        <v>496</v>
      </c>
      <c r="C210" s="1227">
        <f>CEILING((C209+25*$Z$1),0.1)</f>
        <v>107.80000000000001</v>
      </c>
      <c r="D210" s="1228"/>
      <c r="E210" s="1227">
        <f>CEILING((E209+40.56*$Z$1),0.1)</f>
        <v>177.5</v>
      </c>
      <c r="F210" s="1228"/>
      <c r="G210" s="1227">
        <f>CEILING((G209+52.8*$Z$1),0.1)</f>
        <v>231</v>
      </c>
      <c r="H210" s="1228"/>
      <c r="I210" s="1227">
        <f>CEILING((I209+36*$Z$1),0.1)</f>
        <v>157.5</v>
      </c>
      <c r="J210" s="1228"/>
      <c r="K210" s="1227">
        <f>CEILING((K209+29*$Z$1),0.1)</f>
        <v>126.30000000000001</v>
      </c>
      <c r="L210" s="1228"/>
      <c r="M210" s="101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</row>
    <row r="211" spans="1:25" s="94" customFormat="1" ht="34.5" customHeight="1">
      <c r="A211" s="170"/>
      <c r="B211" s="106" t="s">
        <v>318</v>
      </c>
      <c r="C211" s="1216">
        <f>CEILING(61.2*$Z$1,0.1)</f>
        <v>76.5</v>
      </c>
      <c r="D211" s="1217"/>
      <c r="E211" s="1216">
        <f>CEILING(101.4*$Z$1,0.1)</f>
        <v>126.80000000000001</v>
      </c>
      <c r="F211" s="1217"/>
      <c r="G211" s="1216">
        <f>CEILING(99*$Z$1,0.1)</f>
        <v>123.80000000000001</v>
      </c>
      <c r="H211" s="1217"/>
      <c r="I211" s="1194">
        <f>CEILING(150*$Z$1,0.1)</f>
        <v>187.5</v>
      </c>
      <c r="J211" s="1195"/>
      <c r="K211" s="1194">
        <f>CEILING(120*$Z$1,0.1)</f>
        <v>150</v>
      </c>
      <c r="L211" s="1195"/>
      <c r="M211" s="101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spans="1:25" s="94" customFormat="1" ht="34.5" customHeight="1">
      <c r="A212" s="282"/>
      <c r="B212" s="106" t="s">
        <v>319</v>
      </c>
      <c r="C212" s="1200">
        <f>CEILING((C211+25*$Z$1),0.1)</f>
        <v>107.80000000000001</v>
      </c>
      <c r="D212" s="1201"/>
      <c r="E212" s="1200">
        <f>CEILING((E211+40.56*$Z$1),0.1)</f>
        <v>177.5</v>
      </c>
      <c r="F212" s="1201"/>
      <c r="G212" s="1200">
        <f>CEILING((G211+40*$Z$1),0.1)</f>
        <v>173.8</v>
      </c>
      <c r="H212" s="1201"/>
      <c r="I212" s="1192">
        <f>CEILING((I211+60*$Z$1),0.1)</f>
        <v>262.5</v>
      </c>
      <c r="J212" s="1193"/>
      <c r="K212" s="1192">
        <f>CEILING((K211+48*$Z$1),0.1)</f>
        <v>210</v>
      </c>
      <c r="L212" s="1193"/>
      <c r="M212" s="101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</row>
    <row r="213" spans="1:25" s="94" customFormat="1" ht="34.5" customHeight="1">
      <c r="A213" s="275"/>
      <c r="B213" s="106" t="s">
        <v>320</v>
      </c>
      <c r="C213" s="1200">
        <f>CEILING(67*$Z$1,0.1)</f>
        <v>83.80000000000001</v>
      </c>
      <c r="D213" s="1201"/>
      <c r="E213" s="1200">
        <f>CEILING(109.85*$Z$1,0.1)</f>
        <v>137.4</v>
      </c>
      <c r="F213" s="1201"/>
      <c r="G213" s="1200">
        <f>CEILING(107.3*$Z$1,0.1)</f>
        <v>134.20000000000002</v>
      </c>
      <c r="H213" s="1201"/>
      <c r="I213" s="1192">
        <f>CEILING(163*$Z$1,0.1)</f>
        <v>203.8</v>
      </c>
      <c r="J213" s="1193"/>
      <c r="K213" s="1192">
        <f>CEILING(130*$Z$1,0.1)</f>
        <v>162.5</v>
      </c>
      <c r="L213" s="1193"/>
      <c r="M213" s="101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</row>
    <row r="214" spans="1:25" s="94" customFormat="1" ht="34.5" customHeight="1">
      <c r="A214" s="1131" t="s">
        <v>1198</v>
      </c>
      <c r="B214" s="106" t="s">
        <v>321</v>
      </c>
      <c r="C214" s="1200">
        <f>CEILING((C213+27*$Z$1),0.1)</f>
        <v>117.60000000000001</v>
      </c>
      <c r="D214" s="1201"/>
      <c r="E214" s="1200">
        <f>CEILING((E213+43.94*$Z$1),0.1)</f>
        <v>192.4</v>
      </c>
      <c r="F214" s="1201"/>
      <c r="G214" s="1200">
        <f>CEILING((G213+43*$Z$1),0.1)</f>
        <v>188</v>
      </c>
      <c r="H214" s="1201"/>
      <c r="I214" s="1192">
        <f>CEILING((I213+65.2*$Z$1),0.1)</f>
        <v>285.3</v>
      </c>
      <c r="J214" s="1193"/>
      <c r="K214" s="1192">
        <f>CEILING((K213+52*$Z$1),0.1)</f>
        <v>227.5</v>
      </c>
      <c r="L214" s="1193"/>
      <c r="M214" s="101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</row>
    <row r="215" spans="1:25" s="94" customFormat="1" ht="34.5" customHeight="1">
      <c r="A215" s="1132" t="s">
        <v>1309</v>
      </c>
      <c r="B215" s="106" t="s">
        <v>322</v>
      </c>
      <c r="C215" s="1200">
        <f>CEILING(69*$Z$1,0.1)</f>
        <v>86.30000000000001</v>
      </c>
      <c r="D215" s="1201"/>
      <c r="E215" s="1200">
        <f>CEILING(114.4*$Z$1,0.1)</f>
        <v>143</v>
      </c>
      <c r="F215" s="1201"/>
      <c r="G215" s="1200">
        <f>CEILING(112*$Z$1,0.1)</f>
        <v>140</v>
      </c>
      <c r="H215" s="1201"/>
      <c r="I215" s="1192">
        <f>CEILING(169*$Z$1,0.1)</f>
        <v>211.3</v>
      </c>
      <c r="J215" s="1193"/>
      <c r="K215" s="1192">
        <f>CEILING(135*$Z$1,0.1)</f>
        <v>168.8</v>
      </c>
      <c r="L215" s="1193"/>
      <c r="M215" s="101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</row>
    <row r="216" spans="1:25" s="94" customFormat="1" ht="34.5" customHeight="1">
      <c r="A216" s="282"/>
      <c r="B216" s="283" t="s">
        <v>323</v>
      </c>
      <c r="C216" s="1227">
        <f>CEILING((C215+80*$Z$1),0.1)</f>
        <v>186.3</v>
      </c>
      <c r="D216" s="1228"/>
      <c r="E216" s="1227">
        <f>CEILING((E215+45.76*$Z$1),0.1)</f>
        <v>200.20000000000002</v>
      </c>
      <c r="F216" s="1228"/>
      <c r="G216" s="1227">
        <f>CEILING((G215+45*$Z$1),0.1)</f>
        <v>196.3</v>
      </c>
      <c r="H216" s="1228"/>
      <c r="I216" s="1202">
        <f>CEILING((I215+68*$Z$1),0.1)</f>
        <v>296.3</v>
      </c>
      <c r="J216" s="1203"/>
      <c r="K216" s="1202">
        <f>CEILING((K215+54*$Z$1),0.1)</f>
        <v>236.3</v>
      </c>
      <c r="L216" s="1203"/>
      <c r="M216" s="101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spans="1:25" s="94" customFormat="1" ht="34.5" customHeight="1">
      <c r="A217" s="170"/>
      <c r="B217" s="106" t="s">
        <v>497</v>
      </c>
      <c r="C217" s="1216">
        <f>CEILING(74*$Z$1,0.1)</f>
        <v>92.5</v>
      </c>
      <c r="D217" s="1217"/>
      <c r="E217" s="1216">
        <f>CEILING(119*$Z$1,0.1)</f>
        <v>148.8</v>
      </c>
      <c r="F217" s="1217"/>
      <c r="G217" s="1216">
        <f>CEILING(118*$Z$1,0.1)</f>
        <v>147.5</v>
      </c>
      <c r="H217" s="1217"/>
      <c r="I217" s="1216">
        <f>CEILING(106.2*$Z$1,0.1)</f>
        <v>132.8</v>
      </c>
      <c r="J217" s="1217"/>
      <c r="K217" s="1216">
        <f>CEILING(86*$Z$1,0.1)</f>
        <v>107.5</v>
      </c>
      <c r="L217" s="1217"/>
      <c r="M217" s="101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spans="1:25" s="94" customFormat="1" ht="34.5" customHeight="1">
      <c r="A218" s="170"/>
      <c r="B218" s="106" t="s">
        <v>397</v>
      </c>
      <c r="C218" s="1200">
        <f>CEILING((C217*0.5),0.1)</f>
        <v>46.300000000000004</v>
      </c>
      <c r="D218" s="1201"/>
      <c r="E218" s="1200">
        <f>CEILING((E217*0.5),0.1)</f>
        <v>74.4</v>
      </c>
      <c r="F218" s="1201"/>
      <c r="G218" s="1200">
        <f>CEILING((G217*0.5),0.1)</f>
        <v>73.8</v>
      </c>
      <c r="H218" s="1201"/>
      <c r="I218" s="1200">
        <f>CEILING((I217*0.5),0.1)</f>
        <v>66.4</v>
      </c>
      <c r="J218" s="1201"/>
      <c r="K218" s="1200">
        <f>CEILING((K217*0.5),0.1)</f>
        <v>53.800000000000004</v>
      </c>
      <c r="L218" s="1201"/>
      <c r="M218" s="101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</row>
    <row r="219" spans="1:25" s="15" customFormat="1" ht="34.5" customHeight="1" thickBot="1">
      <c r="A219" s="286" t="s">
        <v>300</v>
      </c>
      <c r="B219" s="1129"/>
      <c r="C219" s="1258"/>
      <c r="D219" s="1259"/>
      <c r="E219" s="1377"/>
      <c r="F219" s="1378"/>
      <c r="G219" s="1258"/>
      <c r="H219" s="1259"/>
      <c r="I219" s="1258"/>
      <c r="J219" s="1259"/>
      <c r="K219" s="1258"/>
      <c r="L219" s="1259"/>
      <c r="M219" s="36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41" s="94" customFormat="1" ht="34.5" customHeight="1" thickTop="1">
      <c r="A220" s="1376" t="s">
        <v>398</v>
      </c>
      <c r="B220" s="1376"/>
      <c r="C220" s="1376"/>
      <c r="D220" s="1376"/>
      <c r="E220" s="1376"/>
      <c r="F220" s="1376"/>
      <c r="G220" s="1376"/>
      <c r="H220" s="1376"/>
      <c r="I220" s="1379"/>
      <c r="J220" s="1379"/>
      <c r="K220" s="135"/>
      <c r="L220" s="135"/>
      <c r="M220" s="100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</row>
    <row r="221" spans="1:41" s="94" customFormat="1" ht="34.5" customHeight="1">
      <c r="A221" s="137" t="s">
        <v>535</v>
      </c>
      <c r="B221" s="128"/>
      <c r="C221" s="128"/>
      <c r="D221" s="128"/>
      <c r="E221" s="128"/>
      <c r="F221" s="128"/>
      <c r="G221" s="128"/>
      <c r="H221" s="128"/>
      <c r="I221" s="138"/>
      <c r="J221" s="138"/>
      <c r="K221" s="135"/>
      <c r="L221" s="135"/>
      <c r="M221" s="100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</row>
    <row r="222" spans="1:41" s="911" customFormat="1" ht="34.5" customHeight="1">
      <c r="A222" s="339" t="s">
        <v>415</v>
      </c>
      <c r="B222" s="1056"/>
      <c r="C222" s="1056"/>
      <c r="D222" s="1056"/>
      <c r="E222" s="1056"/>
      <c r="F222" s="1056"/>
      <c r="G222" s="1056"/>
      <c r="H222" s="1056"/>
      <c r="I222" s="1056"/>
      <c r="J222" s="1056"/>
      <c r="K222" s="135"/>
      <c r="L222" s="135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</row>
    <row r="223" spans="1:41" s="15" customFormat="1" ht="34.5" customHeight="1" thickBot="1">
      <c r="A223" s="40"/>
      <c r="B223" s="41"/>
      <c r="C223" s="41"/>
      <c r="D223" s="41"/>
      <c r="E223" s="41"/>
      <c r="F223" s="41"/>
      <c r="G223" s="41"/>
      <c r="H223" s="41"/>
      <c r="I223" s="125"/>
      <c r="J223" s="125"/>
      <c r="K223" s="38"/>
      <c r="L223" s="38"/>
      <c r="M223" s="30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2" s="167" customFormat="1" ht="34.5" customHeight="1" thickTop="1">
      <c r="A224" s="837" t="s">
        <v>33</v>
      </c>
      <c r="B224" s="838" t="s">
        <v>568</v>
      </c>
      <c r="C224" s="839" t="s">
        <v>847</v>
      </c>
      <c r="D224" s="840"/>
      <c r="E224" s="841" t="s">
        <v>870</v>
      </c>
      <c r="F224" s="842"/>
      <c r="G224" s="841" t="s">
        <v>850</v>
      </c>
      <c r="H224" s="842"/>
      <c r="I224" s="841" t="s">
        <v>851</v>
      </c>
      <c r="J224" s="842"/>
      <c r="K224" s="841" t="s">
        <v>852</v>
      </c>
      <c r="L224" s="842"/>
      <c r="M224" s="151"/>
      <c r="N224" s="151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</row>
    <row r="225" spans="1:41" s="94" customFormat="1" ht="34.5" customHeight="1">
      <c r="A225" s="1130" t="s">
        <v>62</v>
      </c>
      <c r="B225" s="1133" t="s">
        <v>41</v>
      </c>
      <c r="C225" s="1216">
        <f>CEILING(52*$Z$1,0.1)</f>
        <v>65</v>
      </c>
      <c r="D225" s="1217"/>
      <c r="E225" s="1216">
        <f>CEILING(78*$Z$1,0.1)</f>
        <v>97.5</v>
      </c>
      <c r="F225" s="1217"/>
      <c r="G225" s="1216">
        <f>CEILING(73.5*$Z$1,0.1)</f>
        <v>91.9</v>
      </c>
      <c r="H225" s="1217"/>
      <c r="I225" s="1216">
        <f>CEILING(69*$Z$1,0.1)</f>
        <v>86.30000000000001</v>
      </c>
      <c r="J225" s="1217"/>
      <c r="K225" s="1216">
        <f>CEILING(54*$Z$1,0.1)</f>
        <v>67.5</v>
      </c>
      <c r="L225" s="1217"/>
      <c r="M225" s="127"/>
      <c r="N225" s="127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</row>
    <row r="226" spans="1:41" s="94" customFormat="1" ht="34.5" customHeight="1">
      <c r="A226" s="170" t="s">
        <v>35</v>
      </c>
      <c r="B226" s="521" t="s">
        <v>42</v>
      </c>
      <c r="C226" s="1200">
        <f>CEILING((C225+18.2*$Z$1),0.1)</f>
        <v>87.80000000000001</v>
      </c>
      <c r="D226" s="1201"/>
      <c r="E226" s="1200">
        <f>CEILING((E225+27.3*$Z$1),0.1)</f>
        <v>131.70000000000002</v>
      </c>
      <c r="F226" s="1201"/>
      <c r="G226" s="1200">
        <f>CEILING((G225+26*$Z$1),0.1)</f>
        <v>124.4</v>
      </c>
      <c r="H226" s="1201"/>
      <c r="I226" s="1200">
        <f>CEILING((I225+24.15*$Z$1),0.1)</f>
        <v>116.5</v>
      </c>
      <c r="J226" s="1201"/>
      <c r="K226" s="1200">
        <f>CEILING((K225+19*$Z$1),0.1)</f>
        <v>91.30000000000001</v>
      </c>
      <c r="L226" s="1201"/>
      <c r="M226" s="284"/>
      <c r="N226" s="284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</row>
    <row r="227" spans="1:41" s="94" customFormat="1" ht="34.5" customHeight="1">
      <c r="A227" s="267"/>
      <c r="B227" s="521" t="s">
        <v>37</v>
      </c>
      <c r="C227" s="1200">
        <f>CEILING((C225*0.85),0.1)</f>
        <v>55.300000000000004</v>
      </c>
      <c r="D227" s="1201"/>
      <c r="E227" s="1200">
        <f>CEILING((E225*0.85),0.1)</f>
        <v>82.9</v>
      </c>
      <c r="F227" s="1201"/>
      <c r="G227" s="1200">
        <f>CEILING((G225*0.85),0.1)</f>
        <v>78.2</v>
      </c>
      <c r="H227" s="1201"/>
      <c r="I227" s="1200">
        <f>CEILING((I225*0.85),0.1)</f>
        <v>73.4</v>
      </c>
      <c r="J227" s="1201"/>
      <c r="K227" s="1200">
        <f>CEILING((K225*0.85),0.1)</f>
        <v>57.400000000000006</v>
      </c>
      <c r="L227" s="1201"/>
      <c r="M227" s="284"/>
      <c r="N227" s="284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</row>
    <row r="228" spans="1:41" s="94" customFormat="1" ht="34.5" customHeight="1">
      <c r="A228" s="267"/>
      <c r="B228" s="521" t="s">
        <v>534</v>
      </c>
      <c r="C228" s="1200">
        <f>CEILING((C225*0),0.1)</f>
        <v>0</v>
      </c>
      <c r="D228" s="1201"/>
      <c r="E228" s="1200">
        <f>CEILING((E225*0.5),0.1)</f>
        <v>48.800000000000004</v>
      </c>
      <c r="F228" s="1201"/>
      <c r="G228" s="1200">
        <f>CEILING((G225*0.5),0.1)</f>
        <v>46</v>
      </c>
      <c r="H228" s="1201"/>
      <c r="I228" s="1200">
        <f>CEILING((I225*0.5),0.1)</f>
        <v>43.2</v>
      </c>
      <c r="J228" s="1201"/>
      <c r="K228" s="1200">
        <f>CEILING((K225*0),0.1)</f>
        <v>0</v>
      </c>
      <c r="L228" s="1201"/>
      <c r="M228" s="284"/>
      <c r="N228" s="284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</row>
    <row r="229" spans="1:41" s="94" customFormat="1" ht="34.5" customHeight="1">
      <c r="A229" s="300"/>
      <c r="B229" s="208" t="s">
        <v>1310</v>
      </c>
      <c r="C229" s="1208">
        <f>CEILING(55*$Z$1,0.1)</f>
        <v>68.8</v>
      </c>
      <c r="D229" s="1209"/>
      <c r="E229" s="1208">
        <f>CEILING(81.9*$Z$1,0.1)</f>
        <v>102.4</v>
      </c>
      <c r="F229" s="1209"/>
      <c r="G229" s="1208">
        <f>CEILING(82.5*$Z$1,0.1)</f>
        <v>103.2</v>
      </c>
      <c r="H229" s="1209"/>
      <c r="I229" s="1208">
        <f>CEILING(73*$Z$1,0.1)</f>
        <v>91.30000000000001</v>
      </c>
      <c r="J229" s="1209"/>
      <c r="K229" s="1208">
        <f>CEILING(57*$Z$1,0.1)</f>
        <v>71.3</v>
      </c>
      <c r="L229" s="1209"/>
      <c r="M229" s="106"/>
      <c r="N229" s="10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</row>
    <row r="230" spans="1:41" s="94" customFormat="1" ht="34.5" customHeight="1">
      <c r="A230" s="267"/>
      <c r="B230" s="208" t="s">
        <v>1311</v>
      </c>
      <c r="C230" s="1208">
        <f>CEILING((C229+19.2*$Z$1),0.1)</f>
        <v>92.80000000000001</v>
      </c>
      <c r="D230" s="1209"/>
      <c r="E230" s="1208">
        <f>CEILING((E229+28.66*$Z$1),0.1)</f>
        <v>138.3</v>
      </c>
      <c r="F230" s="1209"/>
      <c r="G230" s="1208">
        <f>CEILING((G229+29*$Z$1),0.1)</f>
        <v>139.5</v>
      </c>
      <c r="H230" s="1209"/>
      <c r="I230" s="1208">
        <f>CEILING((I229+26*$Z$1),0.1)</f>
        <v>123.80000000000001</v>
      </c>
      <c r="J230" s="1209"/>
      <c r="K230" s="1208">
        <f>CEILING((K229+20*$Z$1),0.1)</f>
        <v>96.30000000000001</v>
      </c>
      <c r="L230" s="1209"/>
      <c r="M230" s="1308"/>
      <c r="N230" s="1308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</row>
    <row r="231" spans="1:41" s="94" customFormat="1" ht="34.5" customHeight="1">
      <c r="A231" s="267"/>
      <c r="B231" s="208" t="s">
        <v>399</v>
      </c>
      <c r="C231" s="1200">
        <f>CEILING(76*$Z$1,0.1)</f>
        <v>95</v>
      </c>
      <c r="D231" s="1201"/>
      <c r="E231" s="1200">
        <f>CEILING(110.5*$Z$1,0.1)</f>
        <v>138.20000000000002</v>
      </c>
      <c r="F231" s="1201"/>
      <c r="G231" s="1200">
        <f>CEILING(105*$Z$1,0.1)</f>
        <v>131.3</v>
      </c>
      <c r="H231" s="1201"/>
      <c r="I231" s="1192">
        <f>CEILING(163*$Z$1,0.1)</f>
        <v>203.8</v>
      </c>
      <c r="J231" s="1193"/>
      <c r="K231" s="1192">
        <f>CEILING(130*$Z$1,0.1)</f>
        <v>162.5</v>
      </c>
      <c r="L231" s="1193"/>
      <c r="M231" s="285"/>
      <c r="N231" s="285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</row>
    <row r="232" spans="1:41" s="94" customFormat="1" ht="34.5" customHeight="1">
      <c r="A232" s="282"/>
      <c r="B232" s="208" t="s">
        <v>400</v>
      </c>
      <c r="C232" s="1200">
        <f>CEILING((C231*0.5),0.1)</f>
        <v>47.5</v>
      </c>
      <c r="D232" s="1201"/>
      <c r="E232" s="1200">
        <f>CEILING((E231*0.5),0.1)</f>
        <v>69.10000000000001</v>
      </c>
      <c r="F232" s="1201"/>
      <c r="G232" s="1200">
        <f>CEILING((G231*0.5),0.1)</f>
        <v>65.7</v>
      </c>
      <c r="H232" s="1201"/>
      <c r="I232" s="1192">
        <f>CEILING((I231*0.5),0.1)</f>
        <v>101.9</v>
      </c>
      <c r="J232" s="1193"/>
      <c r="K232" s="1192">
        <f>CEILING((K231*0.5),0.1)</f>
        <v>81.30000000000001</v>
      </c>
      <c r="L232" s="1193"/>
      <c r="M232" s="1270"/>
      <c r="N232" s="1270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</row>
    <row r="233" spans="1:41" s="94" customFormat="1" ht="34.5" customHeight="1">
      <c r="A233" s="275"/>
      <c r="B233" s="208" t="s">
        <v>401</v>
      </c>
      <c r="C233" s="1200">
        <f>CEILING(60*$Z$1,0.1)</f>
        <v>75</v>
      </c>
      <c r="D233" s="1201"/>
      <c r="E233" s="1200">
        <f>CEILING(116*$Z$1,0.1)</f>
        <v>145</v>
      </c>
      <c r="F233" s="1201"/>
      <c r="G233" s="1200">
        <f>CEILING(118*$Z$1,0.1)</f>
        <v>147.5</v>
      </c>
      <c r="H233" s="1201"/>
      <c r="I233" s="1192">
        <f>CEILING(171*$Z$1,0.1)</f>
        <v>213.8</v>
      </c>
      <c r="J233" s="1193"/>
      <c r="K233" s="1192">
        <f>CEILING(136*$Z$1,0.1)</f>
        <v>170</v>
      </c>
      <c r="L233" s="1193"/>
      <c r="M233" s="1270"/>
      <c r="N233" s="1270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</row>
    <row r="234" spans="1:41" s="94" customFormat="1" ht="34.5" customHeight="1">
      <c r="A234" s="1131" t="s">
        <v>1198</v>
      </c>
      <c r="B234" s="208" t="s">
        <v>402</v>
      </c>
      <c r="C234" s="1200">
        <f>CEILING((C233*0.5),0.1)</f>
        <v>37.5</v>
      </c>
      <c r="D234" s="1201"/>
      <c r="E234" s="1200">
        <f>CEILING((E233*0.5),0.1)</f>
        <v>72.5</v>
      </c>
      <c r="F234" s="1201"/>
      <c r="G234" s="1200">
        <f>CEILING((G233*0.5),0.1)</f>
        <v>73.8</v>
      </c>
      <c r="H234" s="1201"/>
      <c r="I234" s="1192">
        <f>CEILING((I233*0.5),0.1)</f>
        <v>106.9</v>
      </c>
      <c r="J234" s="1193"/>
      <c r="K234" s="1192">
        <f>CEILING((K233*0.5),0.1)</f>
        <v>85</v>
      </c>
      <c r="L234" s="1193"/>
      <c r="M234" s="127"/>
      <c r="N234" s="127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</row>
    <row r="235" spans="1:41" s="94" customFormat="1" ht="34.5" customHeight="1">
      <c r="A235" s="1132" t="s">
        <v>1309</v>
      </c>
      <c r="B235" s="521" t="s">
        <v>52</v>
      </c>
      <c r="C235" s="1208">
        <f>CEILING(62.4*$Z$1,0.1)</f>
        <v>78</v>
      </c>
      <c r="D235" s="1209"/>
      <c r="E235" s="1208">
        <f>CEILING(93.6*$Z$1,0.1)</f>
        <v>117</v>
      </c>
      <c r="F235" s="1209"/>
      <c r="G235" s="1208">
        <f>CEILING(88.2*$Z$1,0.1)</f>
        <v>110.30000000000001</v>
      </c>
      <c r="H235" s="1209"/>
      <c r="I235" s="1206">
        <f>CEILING(138*$Z$1,0.1)</f>
        <v>172.5</v>
      </c>
      <c r="J235" s="1207"/>
      <c r="K235" s="1206">
        <f>CEILING(108*$Z$1,0.1)</f>
        <v>135</v>
      </c>
      <c r="L235" s="1207"/>
      <c r="M235" s="127"/>
      <c r="N235" s="127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</row>
    <row r="236" spans="1:41" s="94" customFormat="1" ht="34.5" customHeight="1" thickBot="1">
      <c r="A236" s="286" t="s">
        <v>300</v>
      </c>
      <c r="B236" s="1030" t="s">
        <v>53</v>
      </c>
      <c r="C236" s="1345">
        <f>CEILING((C235+22*$Z$1),0.1)</f>
        <v>105.5</v>
      </c>
      <c r="D236" s="1346"/>
      <c r="E236" s="1345">
        <f>CEILING((E235+33*$Z$1),0.1)</f>
        <v>158.3</v>
      </c>
      <c r="F236" s="1346"/>
      <c r="G236" s="1345">
        <f>CEILING((G235+31*$Z$1),0.1)</f>
        <v>149.1</v>
      </c>
      <c r="H236" s="1346"/>
      <c r="I236" s="1238">
        <f>CEILING((I235+48.3*$Z$1),0.1)</f>
        <v>232.9</v>
      </c>
      <c r="J236" s="1239"/>
      <c r="K236" s="1238">
        <f>CEILING((K235+38*$Z$1),0.1)</f>
        <v>182.5</v>
      </c>
      <c r="L236" s="1239"/>
      <c r="M236" s="1270"/>
      <c r="N236" s="1270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</row>
    <row r="237" spans="1:41" s="121" customFormat="1" ht="34.5" customHeight="1" thickTop="1">
      <c r="A237" s="134" t="s">
        <v>403</v>
      </c>
      <c r="B237" s="134"/>
      <c r="C237" s="134"/>
      <c r="D237" s="134"/>
      <c r="E237" s="134"/>
      <c r="F237" s="134"/>
      <c r="G237" s="134"/>
      <c r="H237" s="134"/>
      <c r="I237" s="287"/>
      <c r="J237" s="287"/>
      <c r="K237" s="148"/>
      <c r="L237" s="148"/>
      <c r="M237" s="127"/>
      <c r="N237" s="127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</row>
    <row r="238" spans="1:41" s="121" customFormat="1" ht="34.5" customHeight="1">
      <c r="A238" s="1376" t="s">
        <v>226</v>
      </c>
      <c r="B238" s="1376"/>
      <c r="C238" s="1376"/>
      <c r="D238" s="1376"/>
      <c r="E238" s="1376"/>
      <c r="F238" s="1376"/>
      <c r="G238" s="1376"/>
      <c r="H238" s="1376"/>
      <c r="I238" s="138"/>
      <c r="J238" s="138"/>
      <c r="K238" s="146"/>
      <c r="L238" s="146"/>
      <c r="M238" s="106"/>
      <c r="N238" s="106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</row>
    <row r="239" spans="1:41" s="94" customFormat="1" ht="34.5" customHeight="1" thickBot="1">
      <c r="A239" s="277"/>
      <c r="B239" s="278"/>
      <c r="C239" s="278"/>
      <c r="D239" s="278"/>
      <c r="E239" s="278"/>
      <c r="F239" s="278"/>
      <c r="G239" s="278"/>
      <c r="H239" s="278"/>
      <c r="I239" s="140"/>
      <c r="J239" s="140"/>
      <c r="K239" s="135"/>
      <c r="L239" s="135"/>
      <c r="M239" s="100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</row>
    <row r="240" spans="1:42" s="167" customFormat="1" ht="34.5" customHeight="1" thickTop="1">
      <c r="A240" s="837" t="s">
        <v>33</v>
      </c>
      <c r="B240" s="838" t="s">
        <v>568</v>
      </c>
      <c r="C240" s="839" t="s">
        <v>847</v>
      </c>
      <c r="D240" s="840"/>
      <c r="E240" s="841" t="s">
        <v>870</v>
      </c>
      <c r="F240" s="842"/>
      <c r="G240" s="841" t="s">
        <v>850</v>
      </c>
      <c r="H240" s="842"/>
      <c r="I240" s="841" t="s">
        <v>851</v>
      </c>
      <c r="J240" s="842"/>
      <c r="K240" s="841" t="s">
        <v>852</v>
      </c>
      <c r="L240" s="842"/>
      <c r="M240" s="151"/>
      <c r="N240" s="151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</row>
    <row r="241" spans="1:14" s="166" customFormat="1" ht="34.5" customHeight="1">
      <c r="A241" s="288" t="s">
        <v>1199</v>
      </c>
      <c r="B241" s="814" t="s">
        <v>41</v>
      </c>
      <c r="C241" s="1216">
        <f>CEILING(45.5*$Z$1,0.1)</f>
        <v>56.900000000000006</v>
      </c>
      <c r="D241" s="1217"/>
      <c r="E241" s="1216">
        <f>CEILING(71.5*$Z$1,0.1)</f>
        <v>89.4</v>
      </c>
      <c r="F241" s="1217"/>
      <c r="G241" s="1216">
        <f>CEILING(66.5*$Z$1,0.1)</f>
        <v>83.2</v>
      </c>
      <c r="H241" s="1217"/>
      <c r="I241" s="1216">
        <f>CEILING(68.3*$Z$1,0.1)</f>
        <v>85.4</v>
      </c>
      <c r="J241" s="1217"/>
      <c r="K241" s="1216">
        <f>CEILING(52*$Z$1,0.1)</f>
        <v>65</v>
      </c>
      <c r="L241" s="1217"/>
      <c r="M241" s="151"/>
      <c r="N241" s="151"/>
    </row>
    <row r="242" spans="1:14" s="166" customFormat="1" ht="34.5" customHeight="1">
      <c r="A242" s="1131" t="s">
        <v>1198</v>
      </c>
      <c r="B242" s="814" t="s">
        <v>42</v>
      </c>
      <c r="C242" s="1200">
        <f>CEILING((C241+18.2*$Z$1),0.1)</f>
        <v>79.7</v>
      </c>
      <c r="D242" s="1201"/>
      <c r="E242" s="1200">
        <f>CEILING((E241+29*$Z$1),0.1)</f>
        <v>125.7</v>
      </c>
      <c r="F242" s="1201"/>
      <c r="G242" s="1200">
        <f>CEILING((G241+26.6*$Z$1),0.1)</f>
        <v>116.5</v>
      </c>
      <c r="H242" s="1201"/>
      <c r="I242" s="1200">
        <f>CEILING((I241+27.3*$Z$1),0.1)</f>
        <v>119.60000000000001</v>
      </c>
      <c r="J242" s="1201"/>
      <c r="K242" s="1200">
        <f>CEILING((K241+21*$Z$1),0.1)</f>
        <v>91.30000000000001</v>
      </c>
      <c r="L242" s="1201"/>
      <c r="M242" s="151"/>
      <c r="N242" s="151"/>
    </row>
    <row r="243" spans="1:14" s="166" customFormat="1" ht="34.5" customHeight="1" thickBot="1">
      <c r="A243" s="1132" t="s">
        <v>1309</v>
      </c>
      <c r="B243" s="814" t="s">
        <v>37</v>
      </c>
      <c r="C243" s="1212">
        <f>CEILING((C241*0.75),0.1)</f>
        <v>42.7</v>
      </c>
      <c r="D243" s="1213"/>
      <c r="E243" s="1212">
        <f>CEILING((E241*0.75),0.1)</f>
        <v>67.10000000000001</v>
      </c>
      <c r="F243" s="1213"/>
      <c r="G243" s="1212">
        <f>CEILING((G241*0.75),0.1)</f>
        <v>62.400000000000006</v>
      </c>
      <c r="H243" s="1213"/>
      <c r="I243" s="1212">
        <f>CEILING((I241*0.75),0.1)</f>
        <v>64.10000000000001</v>
      </c>
      <c r="J243" s="1213"/>
      <c r="K243" s="1212">
        <f>CEILING((K241*0.75),0.1)</f>
        <v>48.800000000000004</v>
      </c>
      <c r="L243" s="1213"/>
      <c r="M243" s="151"/>
      <c r="N243" s="151"/>
    </row>
    <row r="244" spans="1:12" s="136" customFormat="1" ht="34.5" customHeight="1" thickTop="1">
      <c r="A244" s="282"/>
      <c r="B244" s="1144" t="s">
        <v>152</v>
      </c>
      <c r="C244" s="1216">
        <f>CEILING(49*$Z$1,0.1)</f>
        <v>61.300000000000004</v>
      </c>
      <c r="D244" s="1217"/>
      <c r="E244" s="1216">
        <f>CEILING(76.7*$Z$1,0.1)</f>
        <v>95.9</v>
      </c>
      <c r="F244" s="1217"/>
      <c r="G244" s="1216">
        <f>CEILING(71.4*$Z$1,0.1)</f>
        <v>89.30000000000001</v>
      </c>
      <c r="H244" s="1217"/>
      <c r="I244" s="1216">
        <f>CEILING(73*$Z$1,0.1)</f>
        <v>91.30000000000001</v>
      </c>
      <c r="J244" s="1217"/>
      <c r="K244" s="1216">
        <f>CEILING(56*$Z$1,0.1)</f>
        <v>70</v>
      </c>
      <c r="L244" s="1217"/>
    </row>
    <row r="245" spans="1:12" s="136" customFormat="1" ht="34.5" customHeight="1">
      <c r="A245" s="815"/>
      <c r="B245" s="1145" t="s">
        <v>153</v>
      </c>
      <c r="C245" s="1200">
        <f>CEILING((C244+20*$Z$1),0.1)</f>
        <v>86.30000000000001</v>
      </c>
      <c r="D245" s="1201"/>
      <c r="E245" s="1200">
        <f>CEILING((E244+31*$Z$1),0.1)</f>
        <v>134.70000000000002</v>
      </c>
      <c r="F245" s="1201"/>
      <c r="G245" s="1200">
        <f>CEILING((G244+29*$Z$1),0.1)</f>
        <v>125.60000000000001</v>
      </c>
      <c r="H245" s="1201"/>
      <c r="I245" s="1200">
        <f>CEILING((I244+29.1*$Z$1),0.1)</f>
        <v>127.7</v>
      </c>
      <c r="J245" s="1201"/>
      <c r="K245" s="1200">
        <f>CEILING((K244+22.4*$Z$1),0.1)</f>
        <v>98</v>
      </c>
      <c r="L245" s="1201"/>
    </row>
    <row r="246" spans="1:12" s="136" customFormat="1" ht="34.5" customHeight="1" thickBot="1">
      <c r="A246" s="295" t="s">
        <v>300</v>
      </c>
      <c r="B246" s="1146" t="s">
        <v>37</v>
      </c>
      <c r="C246" s="1212">
        <f>CEILING((C244*0.75),0.1)</f>
        <v>46</v>
      </c>
      <c r="D246" s="1213"/>
      <c r="E246" s="1212">
        <f>CEILING((E244*0.75),0.1)</f>
        <v>72</v>
      </c>
      <c r="F246" s="1213"/>
      <c r="G246" s="1212">
        <f>CEILING((G244*0.75),0.1)</f>
        <v>67</v>
      </c>
      <c r="H246" s="1213"/>
      <c r="I246" s="1212">
        <f>CEILING((I244*0.75),0.1)</f>
        <v>68.5</v>
      </c>
      <c r="J246" s="1213"/>
      <c r="K246" s="1212">
        <f>CEILING((K244*0.75),0.1)</f>
        <v>52.5</v>
      </c>
      <c r="L246" s="1213"/>
    </row>
    <row r="247" spans="1:61" s="126" customFormat="1" ht="34.5" customHeight="1" thickTop="1">
      <c r="A247" s="146" t="s">
        <v>872</v>
      </c>
      <c r="B247" s="146"/>
      <c r="C247" s="146"/>
      <c r="D247" s="146"/>
      <c r="E247" s="146"/>
      <c r="F247" s="146"/>
      <c r="G247" s="146"/>
      <c r="H247" s="146"/>
      <c r="I247" s="147"/>
      <c r="J247" s="147"/>
      <c r="K247" s="148"/>
      <c r="L247" s="148"/>
      <c r="M247" s="135"/>
      <c r="N247" s="135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</row>
    <row r="248" spans="1:61" s="875" customFormat="1" ht="34.5" customHeight="1">
      <c r="A248" s="858" t="s">
        <v>871</v>
      </c>
      <c r="B248" s="670"/>
      <c r="C248" s="670"/>
      <c r="D248" s="670"/>
      <c r="E248" s="670"/>
      <c r="F248" s="670"/>
      <c r="G248" s="670"/>
      <c r="H248" s="670"/>
      <c r="I248" s="670"/>
      <c r="J248" s="670"/>
      <c r="K248" s="873"/>
      <c r="L248" s="873"/>
      <c r="M248" s="796"/>
      <c r="N248" s="796"/>
      <c r="O248" s="874"/>
      <c r="P248" s="874"/>
      <c r="Q248" s="874"/>
      <c r="R248" s="874"/>
      <c r="S248" s="874"/>
      <c r="T248" s="874"/>
      <c r="U248" s="874"/>
      <c r="V248" s="874"/>
      <c r="W248" s="874"/>
      <c r="X248" s="874"/>
      <c r="Y248" s="874"/>
      <c r="Z248" s="874"/>
      <c r="AA248" s="874"/>
      <c r="AB248" s="874"/>
      <c r="AC248" s="874"/>
      <c r="AD248" s="874"/>
      <c r="AE248" s="874"/>
      <c r="AF248" s="874"/>
      <c r="AG248" s="874"/>
      <c r="AH248" s="874"/>
      <c r="AI248" s="874"/>
      <c r="AJ248" s="874"/>
      <c r="AK248" s="874"/>
      <c r="AL248" s="874"/>
      <c r="AM248" s="874"/>
      <c r="AN248" s="874"/>
      <c r="AO248" s="874"/>
      <c r="AP248" s="874"/>
      <c r="AQ248" s="874"/>
      <c r="AR248" s="874"/>
      <c r="AS248" s="874"/>
      <c r="AT248" s="874"/>
      <c r="AU248" s="874"/>
      <c r="AV248" s="874"/>
      <c r="AW248" s="874"/>
      <c r="AX248" s="874"/>
      <c r="AY248" s="874"/>
      <c r="AZ248" s="874"/>
      <c r="BA248" s="874"/>
      <c r="BB248" s="874"/>
      <c r="BC248" s="874"/>
      <c r="BD248" s="874"/>
      <c r="BE248" s="874"/>
      <c r="BF248" s="874"/>
      <c r="BG248" s="874"/>
      <c r="BH248" s="874"/>
      <c r="BI248" s="874"/>
    </row>
    <row r="249" spans="1:61" s="94" customFormat="1" ht="34.5" customHeight="1">
      <c r="A249" s="234"/>
      <c r="B249" s="140"/>
      <c r="C249" s="140"/>
      <c r="D249" s="140"/>
      <c r="E249" s="140"/>
      <c r="F249" s="140"/>
      <c r="G249" s="140"/>
      <c r="H249" s="140"/>
      <c r="I249" s="140"/>
      <c r="J249" s="140"/>
      <c r="K249" s="95"/>
      <c r="L249" s="95"/>
      <c r="M249" s="127"/>
      <c r="N249" s="127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</row>
    <row r="250" spans="1:42" s="167" customFormat="1" ht="34.5" customHeight="1">
      <c r="A250" s="837" t="s">
        <v>33</v>
      </c>
      <c r="B250" s="838" t="s">
        <v>568</v>
      </c>
      <c r="C250" s="839" t="s">
        <v>847</v>
      </c>
      <c r="D250" s="840"/>
      <c r="E250" s="841" t="s">
        <v>870</v>
      </c>
      <c r="F250" s="842"/>
      <c r="G250" s="841" t="s">
        <v>850</v>
      </c>
      <c r="H250" s="842"/>
      <c r="I250" s="841" t="s">
        <v>851</v>
      </c>
      <c r="J250" s="842"/>
      <c r="K250" s="841" t="s">
        <v>852</v>
      </c>
      <c r="L250" s="842"/>
      <c r="M250" s="151"/>
      <c r="N250" s="151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</row>
    <row r="251" spans="1:41" s="293" customFormat="1" ht="34.5" customHeight="1">
      <c r="A251" s="291" t="s">
        <v>1200</v>
      </c>
      <c r="B251" s="215" t="s">
        <v>41</v>
      </c>
      <c r="C251" s="1216">
        <f>CEILING(49*$Z$1,0.1)</f>
        <v>61.300000000000004</v>
      </c>
      <c r="D251" s="1217"/>
      <c r="E251" s="1216">
        <f>CEILING(75*$Z$1,0.1)</f>
        <v>93.80000000000001</v>
      </c>
      <c r="F251" s="1217"/>
      <c r="G251" s="1216">
        <f>CEILING(72*$Z$1,0.1)</f>
        <v>90</v>
      </c>
      <c r="H251" s="1217"/>
      <c r="I251" s="1216">
        <f>CEILING(65*$Z$1,0.1)</f>
        <v>81.30000000000001</v>
      </c>
      <c r="J251" s="1217"/>
      <c r="K251" s="1216">
        <f>CEILING(52.5*$Z$1,0.1)</f>
        <v>65.7</v>
      </c>
      <c r="L251" s="1217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2"/>
      <c r="AC251" s="292"/>
      <c r="AD251" s="292"/>
      <c r="AE251" s="292"/>
      <c r="AF251" s="292"/>
      <c r="AG251" s="292"/>
      <c r="AH251" s="292"/>
      <c r="AI251" s="292"/>
      <c r="AJ251" s="292"/>
      <c r="AK251" s="292"/>
      <c r="AL251" s="292"/>
      <c r="AM251" s="292"/>
      <c r="AN251" s="292"/>
      <c r="AO251" s="292"/>
    </row>
    <row r="252" spans="1:41" s="94" customFormat="1" ht="34.5" customHeight="1">
      <c r="A252" s="1119" t="s">
        <v>1198</v>
      </c>
      <c r="B252" s="192" t="s">
        <v>42</v>
      </c>
      <c r="C252" s="1200">
        <f>CEILING((C251+20*$Z$1),0.1)</f>
        <v>86.30000000000001</v>
      </c>
      <c r="D252" s="1201"/>
      <c r="E252" s="1200">
        <f>CEILING((E251+30*$Z$1),0.1)</f>
        <v>131.3</v>
      </c>
      <c r="F252" s="1201"/>
      <c r="G252" s="1200">
        <f>CEILING((G251+29*$Z$1),0.1)</f>
        <v>126.30000000000001</v>
      </c>
      <c r="H252" s="1201"/>
      <c r="I252" s="1200">
        <f>CEILING((I251+26*$Z$1),0.1)</f>
        <v>113.80000000000001</v>
      </c>
      <c r="J252" s="1201"/>
      <c r="K252" s="1200">
        <f>CEILING((K251+21*$Z$1),0.1)</f>
        <v>92</v>
      </c>
      <c r="L252" s="1201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</row>
    <row r="253" spans="1:41" s="94" customFormat="1" ht="34.5" customHeight="1">
      <c r="A253" s="1118" t="s">
        <v>1309</v>
      </c>
      <c r="B253" s="215" t="s">
        <v>37</v>
      </c>
      <c r="C253" s="1200">
        <f>CEILING((C251*0.85),0.1)</f>
        <v>52.2</v>
      </c>
      <c r="D253" s="1201"/>
      <c r="E253" s="1200">
        <f>CEILING((E251*0.85),0.1)</f>
        <v>79.80000000000001</v>
      </c>
      <c r="F253" s="1201"/>
      <c r="G253" s="1200">
        <f>CEILING((G251*0.85),0.1)</f>
        <v>76.5</v>
      </c>
      <c r="H253" s="1201"/>
      <c r="I253" s="1200">
        <f>CEILING((I251*0.85),0.1)</f>
        <v>69.2</v>
      </c>
      <c r="J253" s="1201"/>
      <c r="K253" s="1200">
        <f>CEILING((K251*0.85),0.1)</f>
        <v>55.900000000000006</v>
      </c>
      <c r="L253" s="1201"/>
      <c r="M253" s="106"/>
      <c r="N253" s="10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</row>
    <row r="254" spans="1:41" s="94" customFormat="1" ht="34.5" customHeight="1">
      <c r="A254" s="815"/>
      <c r="B254" s="215" t="s">
        <v>534</v>
      </c>
      <c r="C254" s="1200">
        <f>CEILING((C251*0.5),0.1)</f>
        <v>30.700000000000003</v>
      </c>
      <c r="D254" s="1201"/>
      <c r="E254" s="1200">
        <f>CEILING((E251*0.5),0.1)</f>
        <v>46.900000000000006</v>
      </c>
      <c r="F254" s="1201"/>
      <c r="G254" s="1200">
        <f>CEILING((G251*0.5),0.1)</f>
        <v>45</v>
      </c>
      <c r="H254" s="1201"/>
      <c r="I254" s="1200">
        <f>CEILING((I251*0.5),0.1)</f>
        <v>40.7</v>
      </c>
      <c r="J254" s="1201"/>
      <c r="K254" s="1200">
        <f>CEILING((K251*0.5),0.1)</f>
        <v>32.9</v>
      </c>
      <c r="L254" s="1201"/>
      <c r="M254" s="106"/>
      <c r="N254" s="10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</row>
    <row r="255" spans="1:41" s="94" customFormat="1" ht="34.5" customHeight="1">
      <c r="A255" s="273"/>
      <c r="B255" s="215" t="s">
        <v>171</v>
      </c>
      <c r="C255" s="1200">
        <f>CEILING(52.5*$Z$1,0.1)</f>
        <v>65.7</v>
      </c>
      <c r="D255" s="1201"/>
      <c r="E255" s="1200">
        <f>CEILING(80.25*$Z$1,0.1)</f>
        <v>100.4</v>
      </c>
      <c r="F255" s="1201"/>
      <c r="G255" s="1200">
        <f>CEILING(77*$Z$1,0.1)</f>
        <v>96.30000000000001</v>
      </c>
      <c r="H255" s="1201"/>
      <c r="I255" s="1200">
        <f>CEILING(70*$Z$1,0.1)</f>
        <v>87.5</v>
      </c>
      <c r="J255" s="1201"/>
      <c r="K255" s="1200">
        <f>CEILING(56*$Z$1,0.1)</f>
        <v>70</v>
      </c>
      <c r="L255" s="1201"/>
      <c r="M255" s="106"/>
      <c r="N255" s="10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</row>
    <row r="256" spans="1:41" s="94" customFormat="1" ht="34.5" customHeight="1" thickBot="1">
      <c r="A256" s="295" t="s">
        <v>300</v>
      </c>
      <c r="B256" s="274" t="s">
        <v>172</v>
      </c>
      <c r="C256" s="1212">
        <f>CEILING((C255+21*$Z$1),0.1)</f>
        <v>92</v>
      </c>
      <c r="D256" s="1213"/>
      <c r="E256" s="1212">
        <f>CEILING((E255+32.1*$Z$1),0.1)</f>
        <v>140.6</v>
      </c>
      <c r="F256" s="1213"/>
      <c r="G256" s="1212">
        <f>CEILING((G255+31*$Z$1),0.1)</f>
        <v>135.1</v>
      </c>
      <c r="H256" s="1213"/>
      <c r="I256" s="1212">
        <f>CEILING((I255+28*$Z$1),0.1)</f>
        <v>122.5</v>
      </c>
      <c r="J256" s="1213"/>
      <c r="K256" s="1212">
        <f>CEILING((K255+22.4*$Z$1),0.1)</f>
        <v>98</v>
      </c>
      <c r="L256" s="1213"/>
      <c r="M256" s="106"/>
      <c r="N256" s="10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</row>
    <row r="257" spans="1:13" s="136" customFormat="1" ht="34.5" customHeight="1" thickTop="1">
      <c r="A257" s="1296" t="s">
        <v>712</v>
      </c>
      <c r="B257" s="1297"/>
      <c r="C257" s="1298"/>
      <c r="D257" s="1298"/>
      <c r="E257" s="1297"/>
      <c r="F257" s="1297"/>
      <c r="G257" s="1297"/>
      <c r="H257" s="1297"/>
      <c r="I257" s="1298"/>
      <c r="J257" s="1298"/>
      <c r="K257" s="135"/>
      <c r="L257" s="135"/>
      <c r="M257" s="100"/>
    </row>
    <row r="258" spans="1:41" s="133" customFormat="1" ht="34.5" customHeight="1">
      <c r="A258" s="339" t="s">
        <v>415</v>
      </c>
      <c r="B258" s="1056"/>
      <c r="C258" s="1056"/>
      <c r="D258" s="1056"/>
      <c r="E258" s="1056"/>
      <c r="F258" s="1056"/>
      <c r="G258" s="1056"/>
      <c r="H258" s="1056"/>
      <c r="I258" s="1056"/>
      <c r="J258" s="1056"/>
      <c r="K258" s="135"/>
      <c r="L258" s="135"/>
      <c r="M258" s="131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</row>
    <row r="259" spans="1:41" s="94" customFormat="1" ht="34.5" customHeight="1" thickBot="1">
      <c r="A259" s="277"/>
      <c r="B259" s="278"/>
      <c r="C259" s="278"/>
      <c r="D259" s="278"/>
      <c r="E259" s="278"/>
      <c r="F259" s="278"/>
      <c r="G259" s="278"/>
      <c r="H259" s="278"/>
      <c r="I259" s="140"/>
      <c r="J259" s="140"/>
      <c r="K259" s="135"/>
      <c r="L259" s="135"/>
      <c r="M259" s="100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</row>
    <row r="260" spans="1:42" s="167" customFormat="1" ht="34.5" customHeight="1" thickTop="1">
      <c r="A260" s="837" t="s">
        <v>33</v>
      </c>
      <c r="B260" s="838" t="s">
        <v>568</v>
      </c>
      <c r="C260" s="839" t="s">
        <v>847</v>
      </c>
      <c r="D260" s="840"/>
      <c r="E260" s="841" t="s">
        <v>870</v>
      </c>
      <c r="F260" s="842"/>
      <c r="G260" s="841" t="s">
        <v>850</v>
      </c>
      <c r="H260" s="842"/>
      <c r="I260" s="841" t="s">
        <v>851</v>
      </c>
      <c r="J260" s="842"/>
      <c r="K260" s="841" t="s">
        <v>852</v>
      </c>
      <c r="L260" s="842"/>
      <c r="M260" s="151"/>
      <c r="N260" s="151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</row>
    <row r="261" spans="1:41" s="94" customFormat="1" ht="34.5" customHeight="1">
      <c r="A261" s="296" t="s">
        <v>1201</v>
      </c>
      <c r="B261" s="192" t="s">
        <v>743</v>
      </c>
      <c r="C261" s="1216">
        <f>CEILING(39*$Z$1,0.1)</f>
        <v>48.800000000000004</v>
      </c>
      <c r="D261" s="1217"/>
      <c r="E261" s="1216">
        <f>CEILING(63*$Z$1,0.1)</f>
        <v>78.80000000000001</v>
      </c>
      <c r="F261" s="1217"/>
      <c r="G261" s="1216">
        <f>CEILING(52.5*$Z$1,0.1)</f>
        <v>65.7</v>
      </c>
      <c r="H261" s="1217"/>
      <c r="I261" s="1216">
        <f>CEILING(57.4*$Z$1,0.1)</f>
        <v>71.8</v>
      </c>
      <c r="J261" s="1217"/>
      <c r="K261" s="1216">
        <f>CEILING(43.4*$Z$1,0.1)</f>
        <v>54.300000000000004</v>
      </c>
      <c r="L261" s="1217"/>
      <c r="M261" s="112"/>
      <c r="N261" s="112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</row>
    <row r="262" spans="1:41" s="94" customFormat="1" ht="34.5" customHeight="1">
      <c r="A262" s="1120" t="s">
        <v>1198</v>
      </c>
      <c r="B262" s="192" t="s">
        <v>744</v>
      </c>
      <c r="C262" s="1200">
        <f>CEILING(51*$Z$1,0.1)</f>
        <v>63.800000000000004</v>
      </c>
      <c r="D262" s="1201"/>
      <c r="E262" s="1200">
        <f>CEILING(82*$Z$1,0.1)</f>
        <v>102.5</v>
      </c>
      <c r="F262" s="1201"/>
      <c r="G262" s="1200">
        <f>CEILING(68*$Z$1,0.1)</f>
        <v>85</v>
      </c>
      <c r="H262" s="1201"/>
      <c r="I262" s="1200">
        <f>CEILING(75*$Z$1,0.1)</f>
        <v>93.80000000000001</v>
      </c>
      <c r="J262" s="1201"/>
      <c r="K262" s="1200">
        <f>CEILING(56.4*$Z$1,0.1)</f>
        <v>70.5</v>
      </c>
      <c r="L262" s="1201"/>
      <c r="M262" s="112"/>
      <c r="N262" s="112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</row>
    <row r="263" spans="1:41" s="94" customFormat="1" ht="34.5" customHeight="1">
      <c r="A263" s="1121" t="s">
        <v>1309</v>
      </c>
      <c r="B263" s="298" t="s">
        <v>536</v>
      </c>
      <c r="C263" s="1225">
        <f>CEILING((C247*0),0.1)</f>
        <v>0</v>
      </c>
      <c r="D263" s="1226"/>
      <c r="E263" s="1225">
        <v>39.4</v>
      </c>
      <c r="F263" s="1226"/>
      <c r="G263" s="1225">
        <v>32.9</v>
      </c>
      <c r="H263" s="1226"/>
      <c r="I263" s="1374">
        <v>35.9</v>
      </c>
      <c r="J263" s="1375"/>
      <c r="K263" s="1225">
        <v>0</v>
      </c>
      <c r="L263" s="1226"/>
      <c r="M263" s="112"/>
      <c r="N263" s="112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</row>
    <row r="264" spans="1:41" s="94" customFormat="1" ht="34.5" customHeight="1">
      <c r="A264" s="815"/>
      <c r="B264" s="299" t="s">
        <v>537</v>
      </c>
      <c r="C264" s="1227">
        <f>CEILING((C261*0.5),0.1)</f>
        <v>24.400000000000002</v>
      </c>
      <c r="D264" s="1228"/>
      <c r="E264" s="1227">
        <f>CEILING((E261*0.5),0.1)</f>
        <v>39.400000000000006</v>
      </c>
      <c r="F264" s="1228"/>
      <c r="G264" s="1227">
        <f>CEILING((G261*0.5),0.1)</f>
        <v>32.9</v>
      </c>
      <c r="H264" s="1228"/>
      <c r="I264" s="1227">
        <f>CEILING((I261*0.5),0.1)</f>
        <v>35.9</v>
      </c>
      <c r="J264" s="1228"/>
      <c r="K264" s="1227">
        <f>CEILING((K261*0.5),0.1)</f>
        <v>27.200000000000003</v>
      </c>
      <c r="L264" s="1228"/>
      <c r="M264" s="112"/>
      <c r="N264" s="112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</row>
    <row r="265" spans="1:41" s="94" customFormat="1" ht="34.5" customHeight="1">
      <c r="A265" s="273"/>
      <c r="B265" s="298" t="s">
        <v>404</v>
      </c>
      <c r="C265" s="1216">
        <f>CEILING(44*$Z$1,0.1)</f>
        <v>55</v>
      </c>
      <c r="D265" s="1217"/>
      <c r="E265" s="1216">
        <f>CEILING(73*$Z$1,0.1)</f>
        <v>91.30000000000001</v>
      </c>
      <c r="F265" s="1217"/>
      <c r="G265" s="1216">
        <f>CEILING(61*$Z$1,0.1)</f>
        <v>76.3</v>
      </c>
      <c r="H265" s="1217"/>
      <c r="I265" s="1216">
        <f>CEILING(64.4*$Z$1,0.1)</f>
        <v>80.5</v>
      </c>
      <c r="J265" s="1217"/>
      <c r="K265" s="1216">
        <f>CEILING(48*$Z$1,0.1)</f>
        <v>60</v>
      </c>
      <c r="L265" s="1217"/>
      <c r="M265" s="112"/>
      <c r="N265" s="112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</row>
    <row r="266" spans="1:41" s="94" customFormat="1" ht="34.5" customHeight="1">
      <c r="A266" s="300"/>
      <c r="B266" s="192" t="s">
        <v>405</v>
      </c>
      <c r="C266" s="1200">
        <f>CEILING(57.2*$Z$1,0.1)</f>
        <v>71.5</v>
      </c>
      <c r="D266" s="1201"/>
      <c r="E266" s="1200">
        <f>CEILING(95*$Z$1,0.1)</f>
        <v>118.80000000000001</v>
      </c>
      <c r="F266" s="1201"/>
      <c r="G266" s="1200">
        <f>CEILING(79.3*$Z$1,0.1)</f>
        <v>99.2</v>
      </c>
      <c r="H266" s="1201"/>
      <c r="I266" s="1200">
        <f>CEILING(84*$Z$1,0.1)</f>
        <v>105</v>
      </c>
      <c r="J266" s="1201"/>
      <c r="K266" s="1200">
        <f>CEILING(63*$Z$1,0.1)</f>
        <v>78.80000000000001</v>
      </c>
      <c r="L266" s="1201"/>
      <c r="M266" s="112"/>
      <c r="N266" s="112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</row>
    <row r="267" spans="1:41" s="94" customFormat="1" ht="34.5" customHeight="1">
      <c r="A267" s="301"/>
      <c r="B267" s="270" t="s">
        <v>536</v>
      </c>
      <c r="C267" s="1225">
        <v>0</v>
      </c>
      <c r="D267" s="1226"/>
      <c r="E267" s="1225">
        <v>45.7</v>
      </c>
      <c r="F267" s="1226"/>
      <c r="G267" s="1225">
        <v>38.2</v>
      </c>
      <c r="H267" s="1226"/>
      <c r="I267" s="1374" t="s">
        <v>1312</v>
      </c>
      <c r="J267" s="1375"/>
      <c r="K267" s="1225">
        <v>0</v>
      </c>
      <c r="L267" s="1226"/>
      <c r="M267" s="112"/>
      <c r="N267" s="112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</row>
    <row r="268" spans="1:41" s="94" customFormat="1" ht="34.5" customHeight="1" thickBot="1">
      <c r="A268" s="302" t="s">
        <v>293</v>
      </c>
      <c r="B268" s="299" t="s">
        <v>537</v>
      </c>
      <c r="C268" s="1212">
        <f>CEILING((C265*0.5),0.1)</f>
        <v>27.5</v>
      </c>
      <c r="D268" s="1213"/>
      <c r="E268" s="1212">
        <f>CEILING((E265*0.5),0.1)</f>
        <v>45.7</v>
      </c>
      <c r="F268" s="1213"/>
      <c r="G268" s="1212">
        <f>CEILING((G265*0.5),0.1)</f>
        <v>38.2</v>
      </c>
      <c r="H268" s="1213"/>
      <c r="I268" s="1212">
        <f>CEILING((I265*0.5),0.1)</f>
        <v>40.300000000000004</v>
      </c>
      <c r="J268" s="1213"/>
      <c r="K268" s="1212">
        <f>CEILING((K265*0.5),0.1)</f>
        <v>30</v>
      </c>
      <c r="L268" s="1213"/>
      <c r="M268" s="112"/>
      <c r="N268" s="112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</row>
    <row r="269" spans="1:13" s="136" customFormat="1" ht="34.5" customHeight="1" thickTop="1">
      <c r="A269" s="1296" t="s">
        <v>712</v>
      </c>
      <c r="B269" s="1297"/>
      <c r="C269" s="1298"/>
      <c r="D269" s="1298"/>
      <c r="E269" s="1297"/>
      <c r="F269" s="1297"/>
      <c r="G269" s="1297"/>
      <c r="H269" s="1297"/>
      <c r="I269" s="1298"/>
      <c r="J269" s="1298"/>
      <c r="K269" s="135"/>
      <c r="L269" s="135"/>
      <c r="M269" s="100"/>
    </row>
    <row r="270" spans="1:41" s="133" customFormat="1" ht="34.5" customHeight="1">
      <c r="A270" s="339" t="s">
        <v>415</v>
      </c>
      <c r="B270" s="1056"/>
      <c r="C270" s="1056"/>
      <c r="D270" s="1056"/>
      <c r="E270" s="1056"/>
      <c r="F270" s="1056"/>
      <c r="G270" s="1056"/>
      <c r="H270" s="1056"/>
      <c r="I270" s="1056"/>
      <c r="J270" s="1056"/>
      <c r="K270" s="135"/>
      <c r="L270" s="135"/>
      <c r="M270" s="131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</row>
    <row r="271" spans="1:70" s="94" customFormat="1" ht="34.5" customHeight="1" thickBot="1">
      <c r="A271" s="277"/>
      <c r="B271" s="278"/>
      <c r="C271" s="278"/>
      <c r="D271" s="278"/>
      <c r="E271" s="278"/>
      <c r="F271" s="278"/>
      <c r="G271" s="278"/>
      <c r="H271" s="278"/>
      <c r="I271" s="140"/>
      <c r="J271" s="140"/>
      <c r="K271" s="135"/>
      <c r="L271" s="135"/>
      <c r="M271" s="100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</row>
    <row r="272" spans="1:70" s="167" customFormat="1" ht="34.5" customHeight="1" thickTop="1">
      <c r="A272" s="837" t="s">
        <v>33</v>
      </c>
      <c r="B272" s="838" t="s">
        <v>568</v>
      </c>
      <c r="C272" s="839" t="s">
        <v>847</v>
      </c>
      <c r="D272" s="840"/>
      <c r="E272" s="841" t="s">
        <v>870</v>
      </c>
      <c r="F272" s="842"/>
      <c r="G272" s="841" t="s">
        <v>850</v>
      </c>
      <c r="H272" s="842"/>
      <c r="I272" s="841" t="s">
        <v>851</v>
      </c>
      <c r="J272" s="842"/>
      <c r="K272" s="841" t="s">
        <v>852</v>
      </c>
      <c r="L272" s="842"/>
      <c r="M272" s="151"/>
      <c r="N272" s="151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6"/>
      <c r="BQ272" s="166"/>
      <c r="BR272" s="166"/>
    </row>
    <row r="273" spans="1:41" s="94" customFormat="1" ht="34.5" customHeight="1">
      <c r="A273" s="303" t="s">
        <v>551</v>
      </c>
      <c r="B273" s="172" t="s">
        <v>64</v>
      </c>
      <c r="C273" s="1216">
        <f>CEILING(40*$Z$1,0.1)</f>
        <v>50</v>
      </c>
      <c r="D273" s="1217"/>
      <c r="E273" s="1216">
        <f>CEILING(75*$Z$1,0.1)</f>
        <v>93.80000000000001</v>
      </c>
      <c r="F273" s="1217"/>
      <c r="G273" s="1194">
        <f>CEILING(111*$Z$1,0.1)</f>
        <v>138.8</v>
      </c>
      <c r="H273" s="1195"/>
      <c r="I273" s="1194">
        <f>CEILING(123*$Z$1,0.1)</f>
        <v>153.8</v>
      </c>
      <c r="J273" s="1195"/>
      <c r="K273" s="1194">
        <f>CEILING(86*$Z$1,0.1)</f>
        <v>107.5</v>
      </c>
      <c r="L273" s="1195"/>
      <c r="M273" s="100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</row>
    <row r="274" spans="1:41" s="94" customFormat="1" ht="34.5" customHeight="1">
      <c r="A274" s="304" t="s">
        <v>552</v>
      </c>
      <c r="B274" s="172" t="s">
        <v>65</v>
      </c>
      <c r="C274" s="1200">
        <f>CEILING((C273+25*$Z$1),0.1)</f>
        <v>81.30000000000001</v>
      </c>
      <c r="D274" s="1201"/>
      <c r="E274" s="1200">
        <f>CEILING((E273+25*$Z$1),0.1)</f>
        <v>125.10000000000001</v>
      </c>
      <c r="F274" s="1201"/>
      <c r="G274" s="1192">
        <f>CEILING((G273+40*$Z$1),0.1)</f>
        <v>188.8</v>
      </c>
      <c r="H274" s="1193"/>
      <c r="I274" s="1192">
        <f>CEILING((I273+40*$Z$1),0.1)</f>
        <v>203.8</v>
      </c>
      <c r="J274" s="1193"/>
      <c r="K274" s="1192">
        <f>CEILING((K273+40*$Z$1),0.1)</f>
        <v>157.5</v>
      </c>
      <c r="L274" s="1193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</row>
    <row r="275" spans="1:41" s="94" customFormat="1" ht="34.5" customHeight="1">
      <c r="A275" s="305" t="s">
        <v>742</v>
      </c>
      <c r="B275" s="306" t="s">
        <v>37</v>
      </c>
      <c r="C275" s="1200">
        <f>CEILING((C273*0.85),0.1)</f>
        <v>42.5</v>
      </c>
      <c r="D275" s="1201"/>
      <c r="E275" s="1200">
        <f>CEILING((E273*0.85),0.1)</f>
        <v>79.80000000000001</v>
      </c>
      <c r="F275" s="1201"/>
      <c r="G275" s="1192">
        <f>CEILING((G273*0.85),0.1)</f>
        <v>118</v>
      </c>
      <c r="H275" s="1193"/>
      <c r="I275" s="1192">
        <f>CEILING((I273*0.85),0.1)</f>
        <v>130.8</v>
      </c>
      <c r="J275" s="1193"/>
      <c r="K275" s="1192">
        <f>CEILING((K273*0.85),0.1)</f>
        <v>91.4</v>
      </c>
      <c r="L275" s="1193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</row>
    <row r="276" spans="1:41" s="94" customFormat="1" ht="34.5" customHeight="1">
      <c r="A276" s="307" t="s">
        <v>35</v>
      </c>
      <c r="B276" s="171" t="s">
        <v>141</v>
      </c>
      <c r="C276" s="1200">
        <f>CEILING(60*$Z$1,0.1)</f>
        <v>75</v>
      </c>
      <c r="D276" s="1201"/>
      <c r="E276" s="1200">
        <f>CEILING(100*$Z$1,0.1)</f>
        <v>125</v>
      </c>
      <c r="F276" s="1201"/>
      <c r="G276" s="1192">
        <f>CEILING(156*$Z$1,0.1)</f>
        <v>195</v>
      </c>
      <c r="H276" s="1193"/>
      <c r="I276" s="1192">
        <f>CEILING(168*$Z$1,0.1)</f>
        <v>210</v>
      </c>
      <c r="J276" s="1193"/>
      <c r="K276" s="1192">
        <f>CEILING(131*$Z$1,0.1)</f>
        <v>163.8</v>
      </c>
      <c r="L276" s="1193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</row>
    <row r="277" spans="1:41" s="94" customFormat="1" ht="34.5" customHeight="1">
      <c r="A277" s="305"/>
      <c r="B277" s="171" t="s">
        <v>142</v>
      </c>
      <c r="C277" s="1200">
        <f>CEILING((C276+25*$Z$1),0.1)</f>
        <v>106.30000000000001</v>
      </c>
      <c r="D277" s="1201"/>
      <c r="E277" s="1200">
        <f>CEILING((E276+25*$Z$1),0.1)</f>
        <v>156.3</v>
      </c>
      <c r="F277" s="1201"/>
      <c r="G277" s="1192">
        <f>CEILING((G276+40*$Z$1),0.1)</f>
        <v>245</v>
      </c>
      <c r="H277" s="1193"/>
      <c r="I277" s="1192">
        <f>CEILING((I276+40*$Z$1),0.1)</f>
        <v>260</v>
      </c>
      <c r="J277" s="1193"/>
      <c r="K277" s="1192">
        <f>CEILING((K276+40*$Z$1),0.1)</f>
        <v>213.8</v>
      </c>
      <c r="L277" s="1193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</row>
    <row r="278" spans="1:41" s="94" customFormat="1" ht="34.5" customHeight="1">
      <c r="A278" s="305"/>
      <c r="B278" s="171" t="s">
        <v>187</v>
      </c>
      <c r="C278" s="1200">
        <f>CEILING(80*$Z$1,0.1)</f>
        <v>100</v>
      </c>
      <c r="D278" s="1201"/>
      <c r="E278" s="1200">
        <f>CEILING(125*$Z$1,0.1)</f>
        <v>156.3</v>
      </c>
      <c r="F278" s="1201"/>
      <c r="G278" s="1192">
        <f>CEILING(186*$Z$1,0.1)</f>
        <v>232.5</v>
      </c>
      <c r="H278" s="1193"/>
      <c r="I278" s="1192">
        <f>CEILING(198*$Z$1,0.1)</f>
        <v>247.5</v>
      </c>
      <c r="J278" s="1193"/>
      <c r="K278" s="1192">
        <f>CEILING(161*$Z$1,0.1)</f>
        <v>201.3</v>
      </c>
      <c r="L278" s="1193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</row>
    <row r="279" spans="1:41" s="94" customFormat="1" ht="34.5" customHeight="1" thickBot="1">
      <c r="A279" s="308" t="s">
        <v>505</v>
      </c>
      <c r="B279" s="184" t="s">
        <v>188</v>
      </c>
      <c r="C279" s="1212">
        <f>CEILING((C278+25*$Z$1),0.1)</f>
        <v>131.3</v>
      </c>
      <c r="D279" s="1213"/>
      <c r="E279" s="1212">
        <f>CEILING((E278+25*$Z$1),0.1)</f>
        <v>187.60000000000002</v>
      </c>
      <c r="F279" s="1213"/>
      <c r="G279" s="1218">
        <f>CEILING((G278+470*$Z$1),0.1)</f>
        <v>820</v>
      </c>
      <c r="H279" s="1219"/>
      <c r="I279" s="1218">
        <f>CEILING((I278+40*$Z$1),0.1)</f>
        <v>297.5</v>
      </c>
      <c r="J279" s="1219"/>
      <c r="K279" s="1218">
        <f>CEILING((K278+40*$Z$1),0.1)</f>
        <v>251.3</v>
      </c>
      <c r="L279" s="1219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</row>
    <row r="280" spans="1:41" s="133" customFormat="1" ht="34.5" customHeight="1" thickTop="1">
      <c r="A280" s="339" t="s">
        <v>553</v>
      </c>
      <c r="B280" s="339"/>
      <c r="C280" s="339"/>
      <c r="D280" s="339"/>
      <c r="E280" s="339"/>
      <c r="F280" s="339"/>
      <c r="G280" s="339"/>
      <c r="H280" s="339"/>
      <c r="I280" s="339"/>
      <c r="J280" s="339"/>
      <c r="K280" s="135" t="s">
        <v>554</v>
      </c>
      <c r="L280" s="135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</row>
    <row r="281" spans="1:41" s="311" customFormat="1" ht="34.5" customHeight="1">
      <c r="A281" s="905" t="s">
        <v>893</v>
      </c>
      <c r="B281" s="139"/>
      <c r="C281" s="139"/>
      <c r="D281" s="139"/>
      <c r="E281" s="139"/>
      <c r="F281" s="139"/>
      <c r="G281" s="139"/>
      <c r="H281" s="139"/>
      <c r="I281" s="139"/>
      <c r="J281" s="139"/>
      <c r="K281" s="309"/>
      <c r="L281" s="309"/>
      <c r="M281" s="310"/>
      <c r="N281" s="310"/>
      <c r="O281" s="310"/>
      <c r="P281" s="310"/>
      <c r="Q281" s="310"/>
      <c r="R281" s="310"/>
      <c r="S281" s="310"/>
      <c r="T281" s="310"/>
      <c r="U281" s="310"/>
      <c r="V281" s="310"/>
      <c r="W281" s="310"/>
      <c r="X281" s="310"/>
      <c r="Y281" s="310"/>
      <c r="Z281" s="310"/>
      <c r="AA281" s="310"/>
      <c r="AB281" s="310"/>
      <c r="AC281" s="310"/>
      <c r="AD281" s="310"/>
      <c r="AE281" s="310"/>
      <c r="AF281" s="310"/>
      <c r="AG281" s="310"/>
      <c r="AH281" s="310"/>
      <c r="AI281" s="310"/>
      <c r="AJ281" s="310"/>
      <c r="AK281" s="310"/>
      <c r="AL281" s="310"/>
      <c r="AM281" s="310"/>
      <c r="AN281" s="310"/>
      <c r="AO281" s="310"/>
    </row>
    <row r="282" spans="1:41" s="94" customFormat="1" ht="34.5" customHeight="1" thickBot="1">
      <c r="A282" s="314"/>
      <c r="B282" s="278"/>
      <c r="C282" s="140"/>
      <c r="D282" s="140"/>
      <c r="E282" s="140"/>
      <c r="F282" s="140"/>
      <c r="G282" s="140"/>
      <c r="H282" s="140"/>
      <c r="I282" s="147"/>
      <c r="J282" s="147"/>
      <c r="K282" s="315"/>
      <c r="L282" s="315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</row>
    <row r="283" spans="1:42" s="167" customFormat="1" ht="34.5" customHeight="1" thickTop="1">
      <c r="A283" s="837" t="s">
        <v>33</v>
      </c>
      <c r="B283" s="838" t="s">
        <v>568</v>
      </c>
      <c r="C283" s="839" t="s">
        <v>847</v>
      </c>
      <c r="D283" s="840"/>
      <c r="E283" s="841" t="s">
        <v>870</v>
      </c>
      <c r="F283" s="842"/>
      <c r="G283" s="841" t="s">
        <v>850</v>
      </c>
      <c r="H283" s="842"/>
      <c r="I283" s="841" t="s">
        <v>851</v>
      </c>
      <c r="J283" s="842"/>
      <c r="K283" s="841" t="s">
        <v>852</v>
      </c>
      <c r="L283" s="842"/>
      <c r="M283" s="151"/>
      <c r="N283" s="151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</row>
    <row r="284" spans="1:41" s="311" customFormat="1" ht="34.5" customHeight="1">
      <c r="A284" s="303" t="s">
        <v>612</v>
      </c>
      <c r="B284" s="316" t="s">
        <v>555</v>
      </c>
      <c r="C284" s="1194">
        <f>CEILING(80*$Z$1,0.1)</f>
        <v>100</v>
      </c>
      <c r="D284" s="1195"/>
      <c r="E284" s="1194">
        <f>CEILING(132*$Z$1,0.1)</f>
        <v>165</v>
      </c>
      <c r="F284" s="1195"/>
      <c r="G284" s="1194">
        <f>CEILING(104*$Z$1,0.1)</f>
        <v>130</v>
      </c>
      <c r="H284" s="1195"/>
      <c r="I284" s="1194">
        <f>CEILING(115*$Z$1,0.1)</f>
        <v>143.8</v>
      </c>
      <c r="J284" s="1195"/>
      <c r="K284" s="1194">
        <f>CEILING(96*$Z$1,0.1)</f>
        <v>120</v>
      </c>
      <c r="L284" s="1195"/>
      <c r="M284" s="317"/>
      <c r="N284" s="317"/>
      <c r="O284" s="310"/>
      <c r="P284" s="310"/>
      <c r="Q284" s="310"/>
      <c r="R284" s="310"/>
      <c r="S284" s="310"/>
      <c r="T284" s="310"/>
      <c r="U284" s="310"/>
      <c r="V284" s="310"/>
      <c r="W284" s="310"/>
      <c r="X284" s="310"/>
      <c r="Y284" s="310"/>
      <c r="Z284" s="310"/>
      <c r="AA284" s="310"/>
      <c r="AB284" s="310"/>
      <c r="AC284" s="310"/>
      <c r="AD284" s="310"/>
      <c r="AE284" s="310"/>
      <c r="AF284" s="310"/>
      <c r="AG284" s="310"/>
      <c r="AH284" s="310"/>
      <c r="AI284" s="310"/>
      <c r="AJ284" s="310"/>
      <c r="AK284" s="310"/>
      <c r="AL284" s="310"/>
      <c r="AM284" s="310"/>
      <c r="AN284" s="310"/>
      <c r="AO284" s="310"/>
    </row>
    <row r="285" spans="1:41" s="311" customFormat="1" ht="34.5" customHeight="1">
      <c r="A285" s="304" t="s">
        <v>35</v>
      </c>
      <c r="B285" s="318" t="s">
        <v>556</v>
      </c>
      <c r="C285" s="1192">
        <f>CEILING((C284+40*$Z$1),0.1)</f>
        <v>150</v>
      </c>
      <c r="D285" s="1193"/>
      <c r="E285" s="1192">
        <f>CEILING((E284+40*$Z$1),0.1)</f>
        <v>215</v>
      </c>
      <c r="F285" s="1193"/>
      <c r="G285" s="1192">
        <f>CEILING((G284+40*$Z$1),0.1)</f>
        <v>180</v>
      </c>
      <c r="H285" s="1193"/>
      <c r="I285" s="1192">
        <f>CEILING((I284+40*$Z$1),0.1)</f>
        <v>193.8</v>
      </c>
      <c r="J285" s="1193"/>
      <c r="K285" s="1192">
        <f>CEILING((K284+40*$Z$1),0.1)</f>
        <v>170</v>
      </c>
      <c r="L285" s="1193"/>
      <c r="M285" s="310"/>
      <c r="N285" s="310"/>
      <c r="O285" s="310"/>
      <c r="P285" s="310"/>
      <c r="Q285" s="310"/>
      <c r="R285" s="310"/>
      <c r="S285" s="310"/>
      <c r="T285" s="310"/>
      <c r="U285" s="310"/>
      <c r="V285" s="310"/>
      <c r="W285" s="310"/>
      <c r="X285" s="310"/>
      <c r="Y285" s="310"/>
      <c r="Z285" s="310"/>
      <c r="AA285" s="310"/>
      <c r="AB285" s="310"/>
      <c r="AC285" s="310"/>
      <c r="AD285" s="310"/>
      <c r="AE285" s="310"/>
      <c r="AF285" s="310"/>
      <c r="AG285" s="310"/>
      <c r="AH285" s="310"/>
      <c r="AI285" s="310"/>
      <c r="AJ285" s="310"/>
      <c r="AK285" s="310"/>
      <c r="AL285" s="310"/>
      <c r="AM285" s="310"/>
      <c r="AN285" s="310"/>
      <c r="AO285" s="310"/>
    </row>
    <row r="286" spans="1:41" s="311" customFormat="1" ht="34.5" customHeight="1">
      <c r="A286" s="304"/>
      <c r="B286" s="319" t="s">
        <v>37</v>
      </c>
      <c r="C286" s="1192">
        <f>CEILING((C284*0.85),0.1)</f>
        <v>85</v>
      </c>
      <c r="D286" s="1193"/>
      <c r="E286" s="1192">
        <f>CEILING((E284*0.85),0.1)</f>
        <v>140.3</v>
      </c>
      <c r="F286" s="1193"/>
      <c r="G286" s="1192">
        <f>CEILING((G284*0.85),0.1)</f>
        <v>110.5</v>
      </c>
      <c r="H286" s="1193"/>
      <c r="I286" s="1192">
        <f>CEILING((I284*0.85),0.1)</f>
        <v>122.30000000000001</v>
      </c>
      <c r="J286" s="1193"/>
      <c r="K286" s="1192">
        <f>CEILING((K284*0.85),0.1)</f>
        <v>102</v>
      </c>
      <c r="L286" s="1193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0"/>
      <c r="AA286" s="310"/>
      <c r="AB286" s="310"/>
      <c r="AC286" s="310"/>
      <c r="AD286" s="310"/>
      <c r="AE286" s="310"/>
      <c r="AF286" s="310"/>
      <c r="AG286" s="310"/>
      <c r="AH286" s="310"/>
      <c r="AI286" s="310"/>
      <c r="AJ286" s="310"/>
      <c r="AK286" s="310"/>
      <c r="AL286" s="310"/>
      <c r="AM286" s="310"/>
      <c r="AN286" s="310"/>
      <c r="AO286" s="310"/>
    </row>
    <row r="287" spans="1:41" s="311" customFormat="1" ht="34.5" customHeight="1">
      <c r="A287" s="320"/>
      <c r="B287" s="321" t="s">
        <v>484</v>
      </c>
      <c r="C287" s="1192">
        <f>CEILING((C284*0.5),0.1)</f>
        <v>50</v>
      </c>
      <c r="D287" s="1193"/>
      <c r="E287" s="1192">
        <f>CEILING((E284*0.5),0.1)</f>
        <v>82.5</v>
      </c>
      <c r="F287" s="1193"/>
      <c r="G287" s="1192">
        <f>CEILING((G284*0.5),0.1)</f>
        <v>65</v>
      </c>
      <c r="H287" s="1193"/>
      <c r="I287" s="1192">
        <f>CEILING((I284*0.5),0.1)</f>
        <v>71.9</v>
      </c>
      <c r="J287" s="1193"/>
      <c r="K287" s="1192">
        <f>CEILING((K284*0.5),0.1)</f>
        <v>60</v>
      </c>
      <c r="L287" s="1193"/>
      <c r="M287" s="310"/>
      <c r="N287" s="310"/>
      <c r="O287" s="310"/>
      <c r="P287" s="310"/>
      <c r="Q287" s="310"/>
      <c r="R287" s="310"/>
      <c r="S287" s="310"/>
      <c r="T287" s="310"/>
      <c r="U287" s="310"/>
      <c r="V287" s="310"/>
      <c r="W287" s="310"/>
      <c r="X287" s="310"/>
      <c r="Y287" s="310"/>
      <c r="Z287" s="310"/>
      <c r="AA287" s="310"/>
      <c r="AB287" s="310"/>
      <c r="AC287" s="310"/>
      <c r="AD287" s="310"/>
      <c r="AE287" s="310"/>
      <c r="AF287" s="310"/>
      <c r="AG287" s="310"/>
      <c r="AH287" s="310"/>
      <c r="AI287" s="310"/>
      <c r="AJ287" s="310"/>
      <c r="AK287" s="310"/>
      <c r="AL287" s="310"/>
      <c r="AM287" s="310"/>
      <c r="AN287" s="310"/>
      <c r="AO287" s="310"/>
    </row>
    <row r="288" spans="1:41" s="311" customFormat="1" ht="34.5" customHeight="1">
      <c r="A288" s="304"/>
      <c r="B288" s="318" t="s">
        <v>614</v>
      </c>
      <c r="C288" s="1192">
        <f>CEILING(125*$Z$1,0.1)</f>
        <v>156.3</v>
      </c>
      <c r="D288" s="1193"/>
      <c r="E288" s="1192">
        <f>CEILING(177*$Z$1,0.1)</f>
        <v>221.3</v>
      </c>
      <c r="F288" s="1193"/>
      <c r="G288" s="1192">
        <f>CEILING(149*$Z$1,0.1)</f>
        <v>186.3</v>
      </c>
      <c r="H288" s="1193"/>
      <c r="I288" s="1192">
        <f>CEILING(160*$Z$1,0.1)</f>
        <v>200</v>
      </c>
      <c r="J288" s="1193"/>
      <c r="K288" s="1192">
        <f>CEILING(141*$Z$1,0.1)</f>
        <v>176.3</v>
      </c>
      <c r="L288" s="1193"/>
      <c r="M288" s="310"/>
      <c r="N288" s="310"/>
      <c r="O288" s="310"/>
      <c r="P288" s="310"/>
      <c r="Q288" s="310"/>
      <c r="R288" s="310"/>
      <c r="S288" s="310"/>
      <c r="T288" s="310"/>
      <c r="U288" s="310"/>
      <c r="V288" s="310"/>
      <c r="W288" s="310"/>
      <c r="X288" s="310"/>
      <c r="Y288" s="310"/>
      <c r="Z288" s="310"/>
      <c r="AA288" s="310"/>
      <c r="AB288" s="310"/>
      <c r="AC288" s="310"/>
      <c r="AD288" s="310"/>
      <c r="AE288" s="310"/>
      <c r="AF288" s="310"/>
      <c r="AG288" s="310"/>
      <c r="AH288" s="310"/>
      <c r="AI288" s="310"/>
      <c r="AJ288" s="310"/>
      <c r="AK288" s="310"/>
      <c r="AL288" s="310"/>
      <c r="AM288" s="310"/>
      <c r="AN288" s="310"/>
      <c r="AO288" s="310"/>
    </row>
    <row r="289" spans="1:41" s="311" customFormat="1" ht="34.5" customHeight="1">
      <c r="A289" s="322"/>
      <c r="B289" s="318" t="s">
        <v>615</v>
      </c>
      <c r="C289" s="1192">
        <f>CEILING((C288+40*$Z$1),0.1)</f>
        <v>206.3</v>
      </c>
      <c r="D289" s="1193"/>
      <c r="E289" s="1192">
        <f>CEILING((E288+40*$Z$1),0.1)</f>
        <v>271.3</v>
      </c>
      <c r="F289" s="1193"/>
      <c r="G289" s="1192">
        <f>CEILING((G288+40*$Z$1),0.1)</f>
        <v>236.3</v>
      </c>
      <c r="H289" s="1193"/>
      <c r="I289" s="1192">
        <f>CEILING((I288+40*$Z$1),0.1)</f>
        <v>250</v>
      </c>
      <c r="J289" s="1193"/>
      <c r="K289" s="1192">
        <f>CEILING((K288+40*$Z$1),0.1)</f>
        <v>226.3</v>
      </c>
      <c r="L289" s="1193"/>
      <c r="M289" s="310"/>
      <c r="N289" s="310"/>
      <c r="O289" s="310"/>
      <c r="P289" s="310"/>
      <c r="Q289" s="310"/>
      <c r="R289" s="310"/>
      <c r="S289" s="310"/>
      <c r="T289" s="310"/>
      <c r="U289" s="310"/>
      <c r="V289" s="310"/>
      <c r="W289" s="310"/>
      <c r="X289" s="310"/>
      <c r="Y289" s="310"/>
      <c r="Z289" s="310"/>
      <c r="AA289" s="310"/>
      <c r="AB289" s="310"/>
      <c r="AC289" s="310"/>
      <c r="AD289" s="310"/>
      <c r="AE289" s="310"/>
      <c r="AF289" s="310"/>
      <c r="AG289" s="310"/>
      <c r="AH289" s="310"/>
      <c r="AI289" s="310"/>
      <c r="AJ289" s="310"/>
      <c r="AK289" s="310"/>
      <c r="AL289" s="310"/>
      <c r="AM289" s="310"/>
      <c r="AN289" s="310"/>
      <c r="AO289" s="310"/>
    </row>
    <row r="290" spans="1:41" s="311" customFormat="1" ht="34.5" customHeight="1">
      <c r="A290" s="214"/>
      <c r="B290" s="318" t="s">
        <v>616</v>
      </c>
      <c r="C290" s="1192">
        <f>CEILING(140*$Z$1,0.1)</f>
        <v>175</v>
      </c>
      <c r="D290" s="1193"/>
      <c r="E290" s="1192">
        <f>CEILING(192*$Z$1,0.1)</f>
        <v>240</v>
      </c>
      <c r="F290" s="1193"/>
      <c r="G290" s="1192">
        <f>CEILING(164*$Z$1,0.1)</f>
        <v>205</v>
      </c>
      <c r="H290" s="1193"/>
      <c r="I290" s="1192">
        <f>CEILING(175*$Z$1,0.1)</f>
        <v>218.8</v>
      </c>
      <c r="J290" s="1193"/>
      <c r="K290" s="1192">
        <f>CEILING(156*$Z$1,0.1)</f>
        <v>195</v>
      </c>
      <c r="L290" s="1193"/>
      <c r="M290" s="310"/>
      <c r="N290" s="310"/>
      <c r="O290" s="310"/>
      <c r="P290" s="310"/>
      <c r="Q290" s="310"/>
      <c r="R290" s="310"/>
      <c r="S290" s="310"/>
      <c r="T290" s="310"/>
      <c r="U290" s="310"/>
      <c r="V290" s="310"/>
      <c r="W290" s="310"/>
      <c r="X290" s="310"/>
      <c r="Y290" s="310"/>
      <c r="Z290" s="310"/>
      <c r="AA290" s="310"/>
      <c r="AB290" s="310"/>
      <c r="AC290" s="310"/>
      <c r="AD290" s="310"/>
      <c r="AE290" s="310"/>
      <c r="AF290" s="310"/>
      <c r="AG290" s="310"/>
      <c r="AH290" s="310"/>
      <c r="AI290" s="310"/>
      <c r="AJ290" s="310"/>
      <c r="AK290" s="310"/>
      <c r="AL290" s="310"/>
      <c r="AM290" s="310"/>
      <c r="AN290" s="310"/>
      <c r="AO290" s="310"/>
    </row>
    <row r="291" spans="1:41" s="311" customFormat="1" ht="34.5" customHeight="1">
      <c r="A291" s="323"/>
      <c r="B291" s="318" t="s">
        <v>617</v>
      </c>
      <c r="C291" s="1192">
        <f>CEILING((C290+40*$Z$1),0.1)</f>
        <v>225</v>
      </c>
      <c r="D291" s="1193"/>
      <c r="E291" s="1192">
        <f>CEILING((E290+40*$Z$1),0.1)</f>
        <v>290</v>
      </c>
      <c r="F291" s="1193"/>
      <c r="G291" s="1192">
        <f>CEILING((G290+40*$Z$1),0.1)</f>
        <v>255</v>
      </c>
      <c r="H291" s="1193"/>
      <c r="I291" s="1192">
        <f>CEILING((I290+40*$Z$1),0.1)</f>
        <v>268.8</v>
      </c>
      <c r="J291" s="1193"/>
      <c r="K291" s="1192">
        <f>CEILING((K290+40*$Z$1),0.1)</f>
        <v>245</v>
      </c>
      <c r="L291" s="1193"/>
      <c r="M291" s="310"/>
      <c r="N291" s="310"/>
      <c r="O291" s="310"/>
      <c r="P291" s="310"/>
      <c r="Q291" s="310"/>
      <c r="R291" s="310"/>
      <c r="S291" s="310"/>
      <c r="T291" s="310"/>
      <c r="U291" s="310"/>
      <c r="V291" s="310"/>
      <c r="W291" s="310"/>
      <c r="X291" s="310"/>
      <c r="Y291" s="310"/>
      <c r="Z291" s="310"/>
      <c r="AA291" s="310"/>
      <c r="AB291" s="310"/>
      <c r="AC291" s="310"/>
      <c r="AD291" s="310"/>
      <c r="AE291" s="310"/>
      <c r="AF291" s="310"/>
      <c r="AG291" s="310"/>
      <c r="AH291" s="310"/>
      <c r="AI291" s="310"/>
      <c r="AJ291" s="310"/>
      <c r="AK291" s="310"/>
      <c r="AL291" s="310"/>
      <c r="AM291" s="310"/>
      <c r="AN291" s="310"/>
      <c r="AO291" s="310"/>
    </row>
    <row r="292" spans="1:41" s="311" customFormat="1" ht="34.5" customHeight="1">
      <c r="A292" s="323"/>
      <c r="B292" s="318" t="s">
        <v>485</v>
      </c>
      <c r="C292" s="1192">
        <f>CEILING(150*$Z$1,0.1)</f>
        <v>187.5</v>
      </c>
      <c r="D292" s="1193"/>
      <c r="E292" s="1192">
        <f>CEILING(202*$Z$1,0.1)</f>
        <v>252.5</v>
      </c>
      <c r="F292" s="1193"/>
      <c r="G292" s="1192">
        <f>CEILING(174*$Z$1,0.1)</f>
        <v>217.5</v>
      </c>
      <c r="H292" s="1193"/>
      <c r="I292" s="1192">
        <f>CEILING(185*$Z$1,0.1)</f>
        <v>231.3</v>
      </c>
      <c r="J292" s="1193"/>
      <c r="K292" s="1192">
        <f>CEILING(166*$Z$1,0.1)</f>
        <v>207.5</v>
      </c>
      <c r="L292" s="1193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  <c r="AA292" s="310"/>
      <c r="AB292" s="310"/>
      <c r="AC292" s="310"/>
      <c r="AD292" s="310"/>
      <c r="AE292" s="310"/>
      <c r="AF292" s="310"/>
      <c r="AG292" s="310"/>
      <c r="AH292" s="310"/>
      <c r="AI292" s="310"/>
      <c r="AJ292" s="310"/>
      <c r="AK292" s="310"/>
      <c r="AL292" s="310"/>
      <c r="AM292" s="310"/>
      <c r="AN292" s="310"/>
      <c r="AO292" s="310"/>
    </row>
    <row r="293" spans="1:41" s="311" customFormat="1" ht="34.5" customHeight="1">
      <c r="A293" s="323"/>
      <c r="B293" s="318" t="s">
        <v>618</v>
      </c>
      <c r="C293" s="1192">
        <f>CEILING((C292+40*$Z$1),0.1)</f>
        <v>237.5</v>
      </c>
      <c r="D293" s="1193"/>
      <c r="E293" s="1192">
        <f>CEILING((E292+40*$Z$1),0.1)</f>
        <v>302.5</v>
      </c>
      <c r="F293" s="1193"/>
      <c r="G293" s="1192">
        <f>CEILING((G292+40*$Z$1),0.1)</f>
        <v>267.5</v>
      </c>
      <c r="H293" s="1193"/>
      <c r="I293" s="1192">
        <f>CEILING((I292+40*$Z$1),0.1)</f>
        <v>281.3</v>
      </c>
      <c r="J293" s="1193"/>
      <c r="K293" s="1192">
        <f>CEILING((K292+40*$Z$1),0.1)</f>
        <v>257.5</v>
      </c>
      <c r="L293" s="1193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0"/>
      <c r="AA293" s="310"/>
      <c r="AB293" s="310"/>
      <c r="AC293" s="310"/>
      <c r="AD293" s="310"/>
      <c r="AE293" s="310"/>
      <c r="AF293" s="310"/>
      <c r="AG293" s="310"/>
      <c r="AH293" s="310"/>
      <c r="AI293" s="310"/>
      <c r="AJ293" s="310"/>
      <c r="AK293" s="310"/>
      <c r="AL293" s="310"/>
      <c r="AM293" s="310"/>
      <c r="AN293" s="310"/>
      <c r="AO293" s="310"/>
    </row>
    <row r="294" spans="1:41" s="311" customFormat="1" ht="34.5" customHeight="1">
      <c r="A294" s="323"/>
      <c r="B294" s="318" t="s">
        <v>619</v>
      </c>
      <c r="C294" s="1192">
        <f>CEILING(190*$Z$1,0.1)</f>
        <v>237.5</v>
      </c>
      <c r="D294" s="1193"/>
      <c r="E294" s="1192">
        <f>CEILING(252*$Z$1,0.1)</f>
        <v>315</v>
      </c>
      <c r="F294" s="1193"/>
      <c r="G294" s="1192">
        <f>CEILING(224*$Z$1,0.1)</f>
        <v>280</v>
      </c>
      <c r="H294" s="1193"/>
      <c r="I294" s="1192">
        <f>CEILING(235*$Z$1,0.1)</f>
        <v>293.8</v>
      </c>
      <c r="J294" s="1193"/>
      <c r="K294" s="1192">
        <f>CEILING(216*$Z$1,0.1)</f>
        <v>270</v>
      </c>
      <c r="L294" s="1193"/>
      <c r="M294" s="310"/>
      <c r="N294" s="310"/>
      <c r="O294" s="310"/>
      <c r="P294" s="310"/>
      <c r="Q294" s="310"/>
      <c r="R294" s="310"/>
      <c r="S294" s="310"/>
      <c r="T294" s="310"/>
      <c r="U294" s="310"/>
      <c r="V294" s="310"/>
      <c r="W294" s="310"/>
      <c r="X294" s="310"/>
      <c r="Y294" s="310"/>
      <c r="Z294" s="310"/>
      <c r="AA294" s="310"/>
      <c r="AB294" s="310"/>
      <c r="AC294" s="310"/>
      <c r="AD294" s="310"/>
      <c r="AE294" s="310"/>
      <c r="AF294" s="310"/>
      <c r="AG294" s="310"/>
      <c r="AH294" s="310"/>
      <c r="AI294" s="310"/>
      <c r="AJ294" s="310"/>
      <c r="AK294" s="310"/>
      <c r="AL294" s="310"/>
      <c r="AM294" s="310"/>
      <c r="AN294" s="310"/>
      <c r="AO294" s="310"/>
    </row>
    <row r="295" spans="1:41" s="311" customFormat="1" ht="34.5" customHeight="1" thickBot="1">
      <c r="A295" s="324" t="s">
        <v>613</v>
      </c>
      <c r="B295" s="325" t="s">
        <v>620</v>
      </c>
      <c r="C295" s="1218">
        <f>CEILING((C294+40*$Z$1),0.1)</f>
        <v>287.5</v>
      </c>
      <c r="D295" s="1219"/>
      <c r="E295" s="1218">
        <f>CEILING((E294+40*$Z$1),0.1)</f>
        <v>365</v>
      </c>
      <c r="F295" s="1219"/>
      <c r="G295" s="1218">
        <f>CEILING((G294+40*$Z$1),0.1)</f>
        <v>330</v>
      </c>
      <c r="H295" s="1219"/>
      <c r="I295" s="1218">
        <f>CEILING((I294+40*$Z$1),0.1)</f>
        <v>343.8</v>
      </c>
      <c r="J295" s="1219"/>
      <c r="K295" s="1218">
        <f>CEILING((K294+40*$Z$1),0.1)</f>
        <v>320</v>
      </c>
      <c r="L295" s="1219"/>
      <c r="M295" s="310"/>
      <c r="N295" s="310"/>
      <c r="O295" s="310"/>
      <c r="P295" s="310"/>
      <c r="Q295" s="310"/>
      <c r="R295" s="310"/>
      <c r="S295" s="310"/>
      <c r="T295" s="310"/>
      <c r="U295" s="310"/>
      <c r="V295" s="310"/>
      <c r="W295" s="310"/>
      <c r="X295" s="310"/>
      <c r="Y295" s="310"/>
      <c r="Z295" s="310"/>
      <c r="AA295" s="310"/>
      <c r="AB295" s="310"/>
      <c r="AC295" s="310"/>
      <c r="AD295" s="310"/>
      <c r="AE295" s="310"/>
      <c r="AF295" s="310"/>
      <c r="AG295" s="310"/>
      <c r="AH295" s="310"/>
      <c r="AI295" s="310"/>
      <c r="AJ295" s="310"/>
      <c r="AK295" s="310"/>
      <c r="AL295" s="310"/>
      <c r="AM295" s="310"/>
      <c r="AN295" s="310"/>
      <c r="AO295" s="310"/>
    </row>
    <row r="296" spans="1:41" s="133" customFormat="1" ht="34.5" customHeight="1" thickTop="1">
      <c r="A296" s="326" t="s">
        <v>1156</v>
      </c>
      <c r="B296" s="327"/>
      <c r="C296" s="328"/>
      <c r="D296" s="328"/>
      <c r="E296" s="127"/>
      <c r="F296" s="127"/>
      <c r="G296" s="127"/>
      <c r="H296" s="127"/>
      <c r="I296" s="127"/>
      <c r="J296" s="127"/>
      <c r="K296" s="329"/>
      <c r="L296" s="329"/>
      <c r="M296" s="106"/>
      <c r="N296" s="106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</row>
    <row r="297" spans="1:41" s="133" customFormat="1" ht="34.5" customHeight="1">
      <c r="A297" s="906" t="s">
        <v>1157</v>
      </c>
      <c r="B297" s="906"/>
      <c r="C297" s="906"/>
      <c r="D297" s="906"/>
      <c r="E297" s="906"/>
      <c r="F297" s="906"/>
      <c r="G297" s="906"/>
      <c r="H297" s="906"/>
      <c r="I297" s="906"/>
      <c r="J297" s="906"/>
      <c r="K297" s="907"/>
      <c r="L297" s="907"/>
      <c r="M297" s="106"/>
      <c r="N297" s="106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</row>
    <row r="298" spans="1:41" s="133" customFormat="1" ht="34.5" customHeight="1">
      <c r="A298" s="906" t="s">
        <v>1158</v>
      </c>
      <c r="B298" s="906"/>
      <c r="C298" s="906"/>
      <c r="D298" s="906"/>
      <c r="E298" s="906"/>
      <c r="F298" s="906"/>
      <c r="G298" s="906"/>
      <c r="H298" s="906"/>
      <c r="I298" s="906"/>
      <c r="J298" s="906"/>
      <c r="K298" s="907"/>
      <c r="L298" s="907"/>
      <c r="M298" s="106"/>
      <c r="N298" s="106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</row>
    <row r="299" spans="1:13" s="335" customFormat="1" ht="34.5" customHeight="1">
      <c r="A299" s="331"/>
      <c r="B299" s="331"/>
      <c r="C299" s="331"/>
      <c r="D299" s="331"/>
      <c r="E299" s="331"/>
      <c r="F299" s="331"/>
      <c r="G299" s="331"/>
      <c r="H299" s="331"/>
      <c r="I299" s="332"/>
      <c r="J299" s="332"/>
      <c r="K299" s="333"/>
      <c r="L299" s="333"/>
      <c r="M299" s="334"/>
    </row>
    <row r="300" spans="1:42" s="167" customFormat="1" ht="34.5" customHeight="1">
      <c r="A300" s="837" t="s">
        <v>33</v>
      </c>
      <c r="B300" s="838" t="s">
        <v>568</v>
      </c>
      <c r="C300" s="839" t="s">
        <v>847</v>
      </c>
      <c r="D300" s="840"/>
      <c r="E300" s="841" t="s">
        <v>870</v>
      </c>
      <c r="F300" s="842"/>
      <c r="G300" s="841" t="s">
        <v>850</v>
      </c>
      <c r="H300" s="842"/>
      <c r="I300" s="841" t="s">
        <v>851</v>
      </c>
      <c r="J300" s="842"/>
      <c r="K300" s="841" t="s">
        <v>852</v>
      </c>
      <c r="L300" s="842"/>
      <c r="M300" s="151"/>
      <c r="N300" s="151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</row>
    <row r="301" spans="1:41" s="94" customFormat="1" ht="34.5" customHeight="1">
      <c r="A301" s="242" t="s">
        <v>175</v>
      </c>
      <c r="B301" s="213" t="s">
        <v>159</v>
      </c>
      <c r="C301" s="1194">
        <f>CEILING(125*$Z$1,0.1)</f>
        <v>156.3</v>
      </c>
      <c r="D301" s="1195"/>
      <c r="E301" s="1194">
        <f>CEILING(180*$Z$1,0.1)</f>
        <v>225</v>
      </c>
      <c r="F301" s="1195"/>
      <c r="G301" s="1194">
        <f>CEILING(150*$Z$1,0.1)</f>
        <v>187.5</v>
      </c>
      <c r="H301" s="1195"/>
      <c r="I301" s="1194">
        <f>CEILING(160*$Z$1,0.1)</f>
        <v>200</v>
      </c>
      <c r="J301" s="1195"/>
      <c r="K301" s="1194">
        <f>CEILING(111*$Z$1,0.1)</f>
        <v>138.8</v>
      </c>
      <c r="L301" s="1195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</row>
    <row r="302" spans="1:41" s="94" customFormat="1" ht="34.5" customHeight="1">
      <c r="A302" s="244" t="s">
        <v>35</v>
      </c>
      <c r="B302" s="192" t="s">
        <v>160</v>
      </c>
      <c r="C302" s="1192">
        <f>CEILING((C301+40*$Z$1),0.1)</f>
        <v>206.3</v>
      </c>
      <c r="D302" s="1193"/>
      <c r="E302" s="1192">
        <f>CEILING((E301+40*$Z$1),0.1)</f>
        <v>275</v>
      </c>
      <c r="F302" s="1193"/>
      <c r="G302" s="1192">
        <f>CEILING((G301+40*$Z$1),0.1)</f>
        <v>237.5</v>
      </c>
      <c r="H302" s="1193"/>
      <c r="I302" s="1192">
        <f>CEILING((I301+40*$Z$1),0.1)</f>
        <v>250</v>
      </c>
      <c r="J302" s="1193"/>
      <c r="K302" s="1192">
        <f>CEILING((K301+40*$Z$1),0.1)</f>
        <v>188.8</v>
      </c>
      <c r="L302" s="1193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</row>
    <row r="303" spans="1:41" s="94" customFormat="1" ht="34.5" customHeight="1">
      <c r="A303" s="305" t="s">
        <v>745</v>
      </c>
      <c r="B303" s="192" t="s">
        <v>161</v>
      </c>
      <c r="C303" s="1192">
        <f>CEILING(140*$Z$1,0.1)</f>
        <v>175</v>
      </c>
      <c r="D303" s="1193"/>
      <c r="E303" s="1192">
        <f>CEILING(240*$Z$1,0.1)</f>
        <v>300</v>
      </c>
      <c r="F303" s="1193"/>
      <c r="G303" s="1192">
        <f>CEILING(210*$Z$1,0.1)</f>
        <v>262.5</v>
      </c>
      <c r="H303" s="1193"/>
      <c r="I303" s="1192">
        <f>CEILING(220*$Z$1,0.1)</f>
        <v>275</v>
      </c>
      <c r="J303" s="1193"/>
      <c r="K303" s="1192">
        <f>CEILING(171*$Z$1,0.1)</f>
        <v>213.8</v>
      </c>
      <c r="L303" s="1193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</row>
    <row r="304" spans="1:41" s="94" customFormat="1" ht="34.5" customHeight="1">
      <c r="A304" s="336"/>
      <c r="B304" s="192" t="s">
        <v>162</v>
      </c>
      <c r="C304" s="1192">
        <f>CEILING((C303+80*$Z$1),0.1)</f>
        <v>275</v>
      </c>
      <c r="D304" s="1193"/>
      <c r="E304" s="1192">
        <f>CEILING((E303+80*$Z$1),0.1)</f>
        <v>400</v>
      </c>
      <c r="F304" s="1193"/>
      <c r="G304" s="1192">
        <f>CEILING((G303+80*$Z$1),0.1)</f>
        <v>362.5</v>
      </c>
      <c r="H304" s="1193"/>
      <c r="I304" s="1192">
        <f>CEILING((I303+80*$Z$1),0.1)</f>
        <v>375</v>
      </c>
      <c r="J304" s="1193"/>
      <c r="K304" s="1192">
        <f>CEILING((K303+80*$Z$1),0.1)</f>
        <v>313.8</v>
      </c>
      <c r="L304" s="1193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</row>
    <row r="305" spans="1:41" s="94" customFormat="1" ht="34.5" customHeight="1">
      <c r="A305" s="337"/>
      <c r="B305" s="192" t="s">
        <v>749</v>
      </c>
      <c r="C305" s="1192">
        <f>CEILING(205*$Z$1,0.1)</f>
        <v>256.3</v>
      </c>
      <c r="D305" s="1193"/>
      <c r="E305" s="1192">
        <f>CEILING(280*$Z$1,0.1)</f>
        <v>350</v>
      </c>
      <c r="F305" s="1193"/>
      <c r="G305" s="1192">
        <f>CEILING(230*$Z$1,0.1)</f>
        <v>287.5</v>
      </c>
      <c r="H305" s="1193"/>
      <c r="I305" s="1192">
        <f>CEILING(240*$Z$1,0.1)</f>
        <v>300</v>
      </c>
      <c r="J305" s="1193"/>
      <c r="K305" s="1192">
        <f>CEILING(191*$Z$1,0.1)</f>
        <v>238.8</v>
      </c>
      <c r="L305" s="1193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</row>
    <row r="306" spans="1:41" s="94" customFormat="1" ht="34.5" customHeight="1">
      <c r="A306" s="338" t="s">
        <v>746</v>
      </c>
      <c r="B306" s="274" t="s">
        <v>750</v>
      </c>
      <c r="C306" s="1202">
        <f>CEILING((C305+100*$Z$1),0.1)</f>
        <v>381.3</v>
      </c>
      <c r="D306" s="1203"/>
      <c r="E306" s="1202">
        <f>CEILING((E305+100*$Z$1),0.1)</f>
        <v>475</v>
      </c>
      <c r="F306" s="1203"/>
      <c r="G306" s="1202">
        <f>CEILING((G305+100*$Z$1),0.1)</f>
        <v>412.5</v>
      </c>
      <c r="H306" s="1203"/>
      <c r="I306" s="1202">
        <f>CEILING((I305+100*$Z$1),0.1)</f>
        <v>425</v>
      </c>
      <c r="J306" s="1203"/>
      <c r="K306" s="1202">
        <f>CEILING((K305+100*$Z$1),0.1)</f>
        <v>363.8</v>
      </c>
      <c r="L306" s="1203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</row>
    <row r="307" spans="1:41" s="121" customFormat="1" ht="34.5" customHeight="1">
      <c r="A307" s="339" t="s">
        <v>715</v>
      </c>
      <c r="B307" s="866"/>
      <c r="C307" s="866"/>
      <c r="D307" s="866"/>
      <c r="E307" s="866"/>
      <c r="F307" s="866"/>
      <c r="G307" s="866"/>
      <c r="H307" s="866"/>
      <c r="I307" s="95"/>
      <c r="J307" s="95"/>
      <c r="K307" s="95"/>
      <c r="L307" s="95"/>
      <c r="M307" s="106"/>
      <c r="N307" s="106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</row>
    <row r="308" spans="1:41" s="94" customFormat="1" ht="34.5" customHeight="1">
      <c r="A308" s="234"/>
      <c r="B308" s="140"/>
      <c r="C308" s="140"/>
      <c r="D308" s="140"/>
      <c r="E308" s="140"/>
      <c r="F308" s="140"/>
      <c r="G308" s="140"/>
      <c r="H308" s="140"/>
      <c r="I308" s="95"/>
      <c r="J308" s="95"/>
      <c r="K308" s="119"/>
      <c r="L308" s="119"/>
      <c r="M308" s="106"/>
      <c r="N308" s="10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</row>
    <row r="309" spans="1:42" s="167" customFormat="1" ht="34.5" customHeight="1">
      <c r="A309" s="837" t="s">
        <v>33</v>
      </c>
      <c r="B309" s="838" t="s">
        <v>568</v>
      </c>
      <c r="C309" s="839" t="s">
        <v>847</v>
      </c>
      <c r="D309" s="840"/>
      <c r="E309" s="841" t="s">
        <v>870</v>
      </c>
      <c r="F309" s="842"/>
      <c r="G309" s="841" t="s">
        <v>850</v>
      </c>
      <c r="H309" s="842"/>
      <c r="I309" s="841" t="s">
        <v>851</v>
      </c>
      <c r="J309" s="842"/>
      <c r="K309" s="841" t="s">
        <v>852</v>
      </c>
      <c r="L309" s="842"/>
      <c r="M309" s="151"/>
      <c r="N309" s="151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</row>
    <row r="310" spans="1:41" s="94" customFormat="1" ht="34.5" customHeight="1">
      <c r="A310" s="303" t="s">
        <v>15</v>
      </c>
      <c r="B310" s="172" t="s">
        <v>41</v>
      </c>
      <c r="C310" s="1194">
        <f>CEILING(50*$Z$1,0.1)</f>
        <v>62.5</v>
      </c>
      <c r="D310" s="1195"/>
      <c r="E310" s="1194">
        <f>CEILING(77*$Z$1,0.1)</f>
        <v>96.30000000000001</v>
      </c>
      <c r="F310" s="1195"/>
      <c r="G310" s="1216">
        <f>CEILING(54*$Z$1,0.1)</f>
        <v>67.5</v>
      </c>
      <c r="H310" s="1217"/>
      <c r="I310" s="1216">
        <f>CEILING(54*$Z$1,0.1)</f>
        <v>67.5</v>
      </c>
      <c r="J310" s="1217"/>
      <c r="K310" s="1194">
        <f>CEILING(52*$Z$1,0.1)</f>
        <v>65</v>
      </c>
      <c r="L310" s="1195"/>
      <c r="M310" s="106"/>
      <c r="N310" s="10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</row>
    <row r="311" spans="1:41" s="94" customFormat="1" ht="34.5" customHeight="1">
      <c r="A311" s="304" t="s">
        <v>35</v>
      </c>
      <c r="B311" s="172" t="s">
        <v>42</v>
      </c>
      <c r="C311" s="1192">
        <f>CEILING((C310+25*$Z$1),0.1)</f>
        <v>93.80000000000001</v>
      </c>
      <c r="D311" s="1193"/>
      <c r="E311" s="1192">
        <f>CEILING((E310+25*$Z$1),0.1)</f>
        <v>127.60000000000001</v>
      </c>
      <c r="F311" s="1193"/>
      <c r="G311" s="1200">
        <f>CEILING((G310+25*$Z$1),0.1)</f>
        <v>98.80000000000001</v>
      </c>
      <c r="H311" s="1201"/>
      <c r="I311" s="1200">
        <f>CEILING((I310+25*$Z$1),0.1)</f>
        <v>98.80000000000001</v>
      </c>
      <c r="J311" s="1201"/>
      <c r="K311" s="1192">
        <f>CEILING((K310+25*$Z$1),0.1)</f>
        <v>96.30000000000001</v>
      </c>
      <c r="L311" s="1193"/>
      <c r="M311" s="106"/>
      <c r="N311" s="10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</row>
    <row r="312" spans="1:41" s="94" customFormat="1" ht="34.5" customHeight="1">
      <c r="A312" s="305"/>
      <c r="B312" s="306" t="s">
        <v>37</v>
      </c>
      <c r="C312" s="1192">
        <f>CEILING((C310*0.85),0.1)</f>
        <v>53.2</v>
      </c>
      <c r="D312" s="1193"/>
      <c r="E312" s="1192">
        <f>CEILING((E310*0.85),0.1)</f>
        <v>81.9</v>
      </c>
      <c r="F312" s="1193"/>
      <c r="G312" s="1200">
        <f>CEILING((G310*0.855),0.1)</f>
        <v>57.800000000000004</v>
      </c>
      <c r="H312" s="1201"/>
      <c r="I312" s="1200">
        <f>CEILING((I310*0.855),0.1)</f>
        <v>57.800000000000004</v>
      </c>
      <c r="J312" s="1201"/>
      <c r="K312" s="1192">
        <f>CEILING((K310*0.85),0.1)</f>
        <v>55.300000000000004</v>
      </c>
      <c r="L312" s="1193"/>
      <c r="M312" s="106"/>
      <c r="N312" s="10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</row>
    <row r="313" spans="1:41" s="94" customFormat="1" ht="34.5" customHeight="1">
      <c r="A313" s="305"/>
      <c r="B313" s="172" t="s">
        <v>673</v>
      </c>
      <c r="C313" s="1192">
        <f>CEILING((C310*0.5),0.1)</f>
        <v>31.3</v>
      </c>
      <c r="D313" s="1193"/>
      <c r="E313" s="1192">
        <f>CEILING((E310*0.5),0.1)</f>
        <v>48.2</v>
      </c>
      <c r="F313" s="1193"/>
      <c r="G313" s="1200">
        <f>CEILING((G310*0.5),0.1)</f>
        <v>33.800000000000004</v>
      </c>
      <c r="H313" s="1201"/>
      <c r="I313" s="1200">
        <f>CEILING((I310*0.5),0.1)</f>
        <v>33.800000000000004</v>
      </c>
      <c r="J313" s="1201"/>
      <c r="K313" s="1192">
        <f>CEILING((K310*0),0.1)</f>
        <v>0</v>
      </c>
      <c r="L313" s="1193"/>
      <c r="M313" s="106"/>
      <c r="N313" s="10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</row>
    <row r="314" spans="1:41" s="94" customFormat="1" ht="34.5" customHeight="1">
      <c r="A314" s="337" t="s">
        <v>1297</v>
      </c>
      <c r="B314" s="340" t="s">
        <v>152</v>
      </c>
      <c r="C314" s="1192">
        <f>CEILING(54*$Z$1,0.1)</f>
        <v>67.5</v>
      </c>
      <c r="D314" s="1193"/>
      <c r="E314" s="1192">
        <f>CEILING(81*$Z$1,0.1)</f>
        <v>101.30000000000001</v>
      </c>
      <c r="F314" s="1193"/>
      <c r="G314" s="1192">
        <f>CEILING(69*$Z$1,0.1)</f>
        <v>86.30000000000001</v>
      </c>
      <c r="H314" s="1193"/>
      <c r="I314" s="1192">
        <f>CEILING(72*$Z$1,0.1)</f>
        <v>90</v>
      </c>
      <c r="J314" s="1193"/>
      <c r="K314" s="1192">
        <f>CEILING(56*$Z$1,0.1)</f>
        <v>70</v>
      </c>
      <c r="L314" s="1193"/>
      <c r="M314" s="106"/>
      <c r="N314" s="10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</row>
    <row r="315" spans="1:41" s="94" customFormat="1" ht="34.5" customHeight="1">
      <c r="A315" s="305"/>
      <c r="B315" s="340" t="s">
        <v>363</v>
      </c>
      <c r="C315" s="1192">
        <f>CEILING(60*$Z$1,0.1)</f>
        <v>75</v>
      </c>
      <c r="D315" s="1193"/>
      <c r="E315" s="1192">
        <f>CEILING(87*$Z$1,0.1)</f>
        <v>108.80000000000001</v>
      </c>
      <c r="F315" s="1193"/>
      <c r="G315" s="1192">
        <f>CEILING(75*$Z$1,0.1)</f>
        <v>93.80000000000001</v>
      </c>
      <c r="H315" s="1193"/>
      <c r="I315" s="1192">
        <f>CEILING(78*$Z$1,0.1)</f>
        <v>97.5</v>
      </c>
      <c r="J315" s="1193"/>
      <c r="K315" s="1192">
        <f>CEILING(62*$Z$1,0.1)</f>
        <v>77.5</v>
      </c>
      <c r="L315" s="1193"/>
      <c r="M315" s="106"/>
      <c r="N315" s="10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</row>
    <row r="316" spans="1:41" s="94" customFormat="1" ht="34.5" customHeight="1">
      <c r="A316" s="305"/>
      <c r="B316" s="340" t="s">
        <v>364</v>
      </c>
      <c r="C316" s="1192">
        <f>CEILING((C315+30*$Z$1),0.1)</f>
        <v>112.5</v>
      </c>
      <c r="D316" s="1193"/>
      <c r="E316" s="1192">
        <f>CEILING((E315+30*$Z$1),0.1)</f>
        <v>146.3</v>
      </c>
      <c r="F316" s="1193"/>
      <c r="G316" s="1192">
        <f>CEILING((G315+30*$Z$1),0.1)</f>
        <v>131.3</v>
      </c>
      <c r="H316" s="1193"/>
      <c r="I316" s="1192">
        <f>CEILING((I315+30*$Z$1),0.1)</f>
        <v>135</v>
      </c>
      <c r="J316" s="1193"/>
      <c r="K316" s="1192">
        <f>CEILING((K315+30*$Z$1),0.1)</f>
        <v>115</v>
      </c>
      <c r="L316" s="1193"/>
      <c r="M316" s="1308"/>
      <c r="N316" s="1308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</row>
    <row r="317" spans="1:41" s="94" customFormat="1" ht="34.5" customHeight="1">
      <c r="A317" s="341"/>
      <c r="B317" s="340" t="s">
        <v>365</v>
      </c>
      <c r="C317" s="1192">
        <f>CEILING(80*$Z$1,0.1)</f>
        <v>100</v>
      </c>
      <c r="D317" s="1193"/>
      <c r="E317" s="1192">
        <f>CEILING(107*$Z$1,0.1)</f>
        <v>133.8</v>
      </c>
      <c r="F317" s="1193"/>
      <c r="G317" s="1192">
        <f>CEILING(95*$Z$1,0.1)</f>
        <v>118.80000000000001</v>
      </c>
      <c r="H317" s="1193"/>
      <c r="I317" s="1192">
        <f>CEILING(98*$Z$1,0.1)</f>
        <v>122.5</v>
      </c>
      <c r="J317" s="1193"/>
      <c r="K317" s="1192">
        <f>CEILING(82*$Z$1,0.1)</f>
        <v>102.5</v>
      </c>
      <c r="L317" s="1193"/>
      <c r="M317" s="1270"/>
      <c r="N317" s="1270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</row>
    <row r="318" spans="1:41" s="94" customFormat="1" ht="34.5" customHeight="1" thickBot="1">
      <c r="A318" s="342" t="s">
        <v>746</v>
      </c>
      <c r="B318" s="343" t="s">
        <v>366</v>
      </c>
      <c r="C318" s="1218">
        <f>CEILING((C317+40*$Z$1),0.1)</f>
        <v>150</v>
      </c>
      <c r="D318" s="1219"/>
      <c r="E318" s="1218">
        <f>CEILING((E317+40*$Z$1),0.1)</f>
        <v>183.8</v>
      </c>
      <c r="F318" s="1219"/>
      <c r="G318" s="1218">
        <f>CEILING((G317+40*$Z$1),0.1)</f>
        <v>168.8</v>
      </c>
      <c r="H318" s="1219"/>
      <c r="I318" s="1218">
        <f>CEILING((I317+40*$Z$1),0.1)</f>
        <v>172.5</v>
      </c>
      <c r="J318" s="1219"/>
      <c r="K318" s="1218">
        <f>CEILING((K317+40*$Z$1),0.1)</f>
        <v>152.5</v>
      </c>
      <c r="L318" s="1219"/>
      <c r="M318" s="1270"/>
      <c r="N318" s="1270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</row>
    <row r="319" spans="1:41" s="94" customFormat="1" ht="34.5" customHeight="1" thickTop="1">
      <c r="A319" s="339" t="s">
        <v>367</v>
      </c>
      <c r="B319" s="90"/>
      <c r="C319" s="127"/>
      <c r="D319" s="127"/>
      <c r="E319" s="127"/>
      <c r="F319" s="127"/>
      <c r="G319" s="127"/>
      <c r="H319" s="127"/>
      <c r="I319" s="127"/>
      <c r="J319" s="127"/>
      <c r="K319" s="344"/>
      <c r="L319" s="344"/>
      <c r="M319" s="1270"/>
      <c r="N319" s="1270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</row>
    <row r="320" spans="1:41" s="94" customFormat="1" ht="34.5" customHeight="1" thickBot="1">
      <c r="A320" s="345"/>
      <c r="B320" s="346"/>
      <c r="C320" s="347"/>
      <c r="D320" s="347"/>
      <c r="E320" s="347"/>
      <c r="F320" s="347"/>
      <c r="G320" s="347"/>
      <c r="H320" s="347"/>
      <c r="I320" s="127"/>
      <c r="J320" s="127"/>
      <c r="K320" s="135"/>
      <c r="L320" s="135"/>
      <c r="M320" s="1270"/>
      <c r="N320" s="1270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</row>
    <row r="321" spans="1:42" s="167" customFormat="1" ht="34.5" customHeight="1" thickTop="1">
      <c r="A321" s="837" t="s">
        <v>33</v>
      </c>
      <c r="B321" s="838" t="s">
        <v>568</v>
      </c>
      <c r="C321" s="839" t="s">
        <v>847</v>
      </c>
      <c r="D321" s="840"/>
      <c r="E321" s="841" t="s">
        <v>870</v>
      </c>
      <c r="F321" s="842"/>
      <c r="G321" s="841" t="s">
        <v>850</v>
      </c>
      <c r="H321" s="842"/>
      <c r="I321" s="841" t="s">
        <v>851</v>
      </c>
      <c r="J321" s="842"/>
      <c r="K321" s="841" t="s">
        <v>852</v>
      </c>
      <c r="L321" s="842"/>
      <c r="M321" s="151"/>
      <c r="N321" s="151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</row>
    <row r="322" spans="1:41" s="94" customFormat="1" ht="34.5" customHeight="1">
      <c r="A322" s="348" t="s">
        <v>63</v>
      </c>
      <c r="B322" s="349" t="s">
        <v>555</v>
      </c>
      <c r="C322" s="1194">
        <f>CEILING(45*$Z$1,0.1)</f>
        <v>56.300000000000004</v>
      </c>
      <c r="D322" s="1195"/>
      <c r="E322" s="1194">
        <f>CEILING(72*$Z$1,0.1)</f>
        <v>90</v>
      </c>
      <c r="F322" s="1195"/>
      <c r="G322" s="1216">
        <f>CEILING(47*$Z$1,0.1)</f>
        <v>58.800000000000004</v>
      </c>
      <c r="H322" s="1217"/>
      <c r="I322" s="1216">
        <f>CEILING(47*$Z$1,0.1)</f>
        <v>58.800000000000004</v>
      </c>
      <c r="J322" s="1217"/>
      <c r="K322" s="1194">
        <f>CEILING(47*$Z$1,0.1)</f>
        <v>58.800000000000004</v>
      </c>
      <c r="L322" s="1195"/>
      <c r="M322" s="1270"/>
      <c r="N322" s="1270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</row>
    <row r="323" spans="1:41" s="94" customFormat="1" ht="34.5" customHeight="1">
      <c r="A323" s="350" t="s">
        <v>49</v>
      </c>
      <c r="B323" s="172" t="s">
        <v>556</v>
      </c>
      <c r="C323" s="1192">
        <f>CEILING((C322+20*$Z$1),0.1)</f>
        <v>81.30000000000001</v>
      </c>
      <c r="D323" s="1193"/>
      <c r="E323" s="1192">
        <f>CEILING((E322+20*$Z$1),0.1)</f>
        <v>115</v>
      </c>
      <c r="F323" s="1193"/>
      <c r="G323" s="1200">
        <f>CEILING((G322+20*$Z$1),0.1)</f>
        <v>83.80000000000001</v>
      </c>
      <c r="H323" s="1201"/>
      <c r="I323" s="1200">
        <f>CEILING((I322+20*$Z$1),0.1)</f>
        <v>83.80000000000001</v>
      </c>
      <c r="J323" s="1201"/>
      <c r="K323" s="1192">
        <f>CEILING((K322+20*$Z$1),0.1)</f>
        <v>83.80000000000001</v>
      </c>
      <c r="L323" s="1193"/>
      <c r="M323" s="127"/>
      <c r="N323" s="127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</row>
    <row r="324" spans="1:41" s="94" customFormat="1" ht="34.5" customHeight="1">
      <c r="A324" s="114"/>
      <c r="B324" s="306" t="s">
        <v>37</v>
      </c>
      <c r="C324" s="1192">
        <f>CEILING((C322*0.85),0.1)</f>
        <v>47.900000000000006</v>
      </c>
      <c r="D324" s="1193"/>
      <c r="E324" s="1192">
        <f>CEILING((E322*0.85),0.1)</f>
        <v>76.5</v>
      </c>
      <c r="F324" s="1193"/>
      <c r="G324" s="1200">
        <f>CEILING((G322*0.85),0.1)</f>
        <v>50</v>
      </c>
      <c r="H324" s="1201"/>
      <c r="I324" s="1200">
        <f>CEILING((I322*0.85),0.1)</f>
        <v>50</v>
      </c>
      <c r="J324" s="1201"/>
      <c r="K324" s="1192">
        <f>CEILING((K322*0.85),0.1)</f>
        <v>50</v>
      </c>
      <c r="L324" s="1193"/>
      <c r="M324" s="127"/>
      <c r="N324" s="127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</row>
    <row r="325" spans="1:41" s="94" customFormat="1" ht="34.5" customHeight="1">
      <c r="A325" s="337" t="s">
        <v>1297</v>
      </c>
      <c r="B325" s="172" t="s">
        <v>673</v>
      </c>
      <c r="C325" s="1192">
        <f>CEILING((C322*0.5),0.1)</f>
        <v>28.200000000000003</v>
      </c>
      <c r="D325" s="1193"/>
      <c r="E325" s="1192">
        <f>CEILING((E322*0.5),0.1)</f>
        <v>45</v>
      </c>
      <c r="F325" s="1193"/>
      <c r="G325" s="1200">
        <f>CEILING((G322*0.51),0.1)</f>
        <v>30</v>
      </c>
      <c r="H325" s="1201"/>
      <c r="I325" s="1200">
        <f>CEILING((I322*0.51),0.1)</f>
        <v>30</v>
      </c>
      <c r="J325" s="1201"/>
      <c r="K325" s="1192">
        <f>CEILING((K322*0),0.1)</f>
        <v>0</v>
      </c>
      <c r="L325" s="1193"/>
      <c r="M325" s="127"/>
      <c r="N325" s="127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</row>
    <row r="326" spans="1:41" s="94" customFormat="1" ht="34.5" customHeight="1">
      <c r="A326" s="337"/>
      <c r="B326" s="172" t="s">
        <v>46</v>
      </c>
      <c r="C326" s="1192">
        <f>CEILING(85*$Z$1,0.1)</f>
        <v>106.30000000000001</v>
      </c>
      <c r="D326" s="1193"/>
      <c r="E326" s="1192">
        <f>CEILING(112*$Z$1,0.1)</f>
        <v>140</v>
      </c>
      <c r="F326" s="1193"/>
      <c r="G326" s="1192">
        <f>CEILING(96*$Z$1,0.1)</f>
        <v>120</v>
      </c>
      <c r="H326" s="1193"/>
      <c r="I326" s="1192">
        <f>CEILING(100*$Z$1,0.1)</f>
        <v>125</v>
      </c>
      <c r="J326" s="1193"/>
      <c r="K326" s="1192">
        <f>CEILING(87*$Z$1,0.1)</f>
        <v>108.80000000000001</v>
      </c>
      <c r="L326" s="1193"/>
      <c r="M326" s="1270"/>
      <c r="N326" s="1270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</row>
    <row r="327" spans="1:41" s="94" customFormat="1" ht="34.5" customHeight="1" thickBot="1">
      <c r="A327" s="342" t="s">
        <v>310</v>
      </c>
      <c r="B327" s="343" t="s">
        <v>47</v>
      </c>
      <c r="C327" s="1218">
        <f>CEILING((C326+40*$Z$1),0.1)</f>
        <v>156.3</v>
      </c>
      <c r="D327" s="1219"/>
      <c r="E327" s="1218">
        <f>CEILING((E326+40*$Z$1),0.1)</f>
        <v>190</v>
      </c>
      <c r="F327" s="1219"/>
      <c r="G327" s="1218">
        <f>CEILING((G326+40*$Z$1),0.1)</f>
        <v>170</v>
      </c>
      <c r="H327" s="1219"/>
      <c r="I327" s="1218">
        <f>CEILING((I326+40*$Z$1),0.1)</f>
        <v>175</v>
      </c>
      <c r="J327" s="1219"/>
      <c r="K327" s="1218">
        <f>CEILING((K326+40*$Z$1),0.1)</f>
        <v>158.8</v>
      </c>
      <c r="L327" s="1219"/>
      <c r="M327" s="106"/>
      <c r="N327" s="10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</row>
    <row r="328" spans="1:41" s="94" customFormat="1" ht="34.5" customHeight="1" thickTop="1">
      <c r="A328" s="339" t="s">
        <v>257</v>
      </c>
      <c r="B328" s="90"/>
      <c r="C328" s="127"/>
      <c r="D328" s="127"/>
      <c r="E328" s="127"/>
      <c r="F328" s="127"/>
      <c r="G328" s="127"/>
      <c r="H328" s="127"/>
      <c r="I328" s="127"/>
      <c r="J328" s="127"/>
      <c r="K328" s="135"/>
      <c r="L328" s="135"/>
      <c r="M328" s="106"/>
      <c r="N328" s="10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</row>
    <row r="329" spans="1:41" s="145" customFormat="1" ht="34.5" customHeight="1">
      <c r="A329" s="900" t="s">
        <v>873</v>
      </c>
      <c r="B329" s="900"/>
      <c r="C329" s="864"/>
      <c r="D329" s="864"/>
      <c r="E329" s="864"/>
      <c r="F329" s="864"/>
      <c r="G329" s="864"/>
      <c r="H329" s="864"/>
      <c r="I329" s="864"/>
      <c r="J329" s="864"/>
      <c r="K329" s="445"/>
      <c r="L329" s="445"/>
      <c r="M329" s="149"/>
      <c r="N329" s="149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</row>
    <row r="330" spans="1:41" s="94" customFormat="1" ht="34.5" customHeight="1">
      <c r="A330" s="234"/>
      <c r="B330" s="140"/>
      <c r="C330" s="140"/>
      <c r="D330" s="140"/>
      <c r="E330" s="140"/>
      <c r="F330" s="140"/>
      <c r="G330" s="140"/>
      <c r="H330" s="140"/>
      <c r="I330" s="140"/>
      <c r="J330" s="140"/>
      <c r="K330" s="95"/>
      <c r="L330" s="95"/>
      <c r="M330" s="127"/>
      <c r="N330" s="127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</row>
    <row r="331" spans="1:42" s="167" customFormat="1" ht="34.5" customHeight="1">
      <c r="A331" s="837" t="s">
        <v>33</v>
      </c>
      <c r="B331" s="838" t="s">
        <v>874</v>
      </c>
      <c r="C331" s="839" t="s">
        <v>847</v>
      </c>
      <c r="D331" s="840"/>
      <c r="E331" s="841" t="s">
        <v>870</v>
      </c>
      <c r="F331" s="842"/>
      <c r="G331" s="841" t="s">
        <v>850</v>
      </c>
      <c r="H331" s="842"/>
      <c r="I331" s="841" t="s">
        <v>851</v>
      </c>
      <c r="J331" s="842"/>
      <c r="K331" s="841" t="s">
        <v>852</v>
      </c>
      <c r="L331" s="842"/>
      <c r="M331" s="151"/>
      <c r="N331" s="151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</row>
    <row r="332" spans="1:41" s="94" customFormat="1" ht="34.5" customHeight="1">
      <c r="A332" s="351" t="s">
        <v>564</v>
      </c>
      <c r="B332" s="352" t="s">
        <v>410</v>
      </c>
      <c r="C332" s="353">
        <f>CEILING(100*$Z$1,0.1)</f>
        <v>125</v>
      </c>
      <c r="D332" s="354"/>
      <c r="E332" s="353">
        <f>CEILING(130*$Z$1,0.1)</f>
        <v>162.5</v>
      </c>
      <c r="F332" s="354"/>
      <c r="G332" s="355">
        <f>CEILING(100*$Z$1,0.1)</f>
        <v>125</v>
      </c>
      <c r="H332" s="356"/>
      <c r="I332" s="862">
        <f>CEILING(110*$Z$1,0.1)</f>
        <v>137.5</v>
      </c>
      <c r="J332" s="356"/>
      <c r="K332" s="862">
        <f>CEILING(110*$Z$1,0.1)</f>
        <v>137.5</v>
      </c>
      <c r="L332" s="356"/>
      <c r="M332" s="97"/>
      <c r="N332" s="98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</row>
    <row r="333" spans="1:41" s="94" customFormat="1" ht="34.5" customHeight="1">
      <c r="A333" s="266" t="s">
        <v>819</v>
      </c>
      <c r="B333" s="190" t="s">
        <v>411</v>
      </c>
      <c r="C333" s="357">
        <f>CEILING((C332+75*$Z$1),0.1)</f>
        <v>218.8</v>
      </c>
      <c r="D333" s="135"/>
      <c r="E333" s="357">
        <f>CEILING((E332+75*$Z$1),0.1)</f>
        <v>256.3</v>
      </c>
      <c r="F333" s="135"/>
      <c r="G333" s="358">
        <f>CEILING((G332+75*$Z$1),0.1)</f>
        <v>218.8</v>
      </c>
      <c r="H333" s="359"/>
      <c r="I333" s="859">
        <f>CEILING((I332+75*$Z$1),0.1)</f>
        <v>231.3</v>
      </c>
      <c r="J333" s="867"/>
      <c r="K333" s="859">
        <f>CEILING((K332+75*$Z$1),0.1)</f>
        <v>231.3</v>
      </c>
      <c r="L333" s="867"/>
      <c r="M333" s="112"/>
      <c r="N333" s="112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</row>
    <row r="334" spans="1:41" s="94" customFormat="1" ht="34.5" customHeight="1">
      <c r="A334" s="266" t="s">
        <v>776</v>
      </c>
      <c r="B334" s="190" t="s">
        <v>560</v>
      </c>
      <c r="C334" s="357">
        <f>CEILING(110*$Z$1,0.1)</f>
        <v>137.5</v>
      </c>
      <c r="D334" s="135"/>
      <c r="E334" s="357">
        <f>CEILING(140*$Z$1,0.1)</f>
        <v>175</v>
      </c>
      <c r="F334" s="135"/>
      <c r="G334" s="358">
        <f>CEILING(110*$Z$1,0.1)</f>
        <v>137.5</v>
      </c>
      <c r="H334" s="359"/>
      <c r="I334" s="859">
        <f>CEILING(120*$Z$1,0.1)</f>
        <v>150</v>
      </c>
      <c r="J334" s="867"/>
      <c r="K334" s="859">
        <f>CEILING(120*$Z$1,0.1)</f>
        <v>150</v>
      </c>
      <c r="L334" s="867"/>
      <c r="M334" s="112"/>
      <c r="N334" s="112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</row>
    <row r="335" spans="1:41" s="94" customFormat="1" ht="34.5" customHeight="1">
      <c r="A335" s="266" t="s">
        <v>570</v>
      </c>
      <c r="B335" s="190" t="s">
        <v>561</v>
      </c>
      <c r="C335" s="357">
        <f>CEILING((C334+75*$Z$1),0.1)</f>
        <v>231.3</v>
      </c>
      <c r="D335" s="135"/>
      <c r="E335" s="357">
        <f>CEILING((E334+75*$Z$1),0.1)</f>
        <v>268.8</v>
      </c>
      <c r="F335" s="135"/>
      <c r="G335" s="358">
        <f>CEILING((G334+75*$Z$1),0.1)</f>
        <v>231.3</v>
      </c>
      <c r="H335" s="359"/>
      <c r="I335" s="859">
        <f>CEILING((I334+75*$Z$1),0.1)</f>
        <v>243.8</v>
      </c>
      <c r="J335" s="867"/>
      <c r="K335" s="859">
        <f>CEILING((K334+75*$Z$1),0.1)</f>
        <v>243.8</v>
      </c>
      <c r="L335" s="867"/>
      <c r="M335" s="112"/>
      <c r="N335" s="112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</row>
    <row r="336" spans="1:41" s="94" customFormat="1" ht="34.5" customHeight="1">
      <c r="A336" s="266" t="s">
        <v>35</v>
      </c>
      <c r="B336" s="190" t="s">
        <v>562</v>
      </c>
      <c r="C336" s="357">
        <f>CEILING(135*$Z$1,0.1)</f>
        <v>168.8</v>
      </c>
      <c r="D336" s="135"/>
      <c r="E336" s="357">
        <f>CEILING(165*$Z$1,0.1)</f>
        <v>206.3</v>
      </c>
      <c r="F336" s="135"/>
      <c r="G336" s="358">
        <f>CEILING(135*$Z$1,0.1)</f>
        <v>168.8</v>
      </c>
      <c r="H336" s="359"/>
      <c r="I336" s="859">
        <f>CEILING(145*$Z$1,0.1)</f>
        <v>181.3</v>
      </c>
      <c r="J336" s="867"/>
      <c r="K336" s="859">
        <f>CEILING(145*$Z$1,0.1)</f>
        <v>181.3</v>
      </c>
      <c r="L336" s="867"/>
      <c r="M336" s="112"/>
      <c r="N336" s="112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</row>
    <row r="337" spans="1:41" s="94" customFormat="1" ht="34.5" customHeight="1" thickBot="1">
      <c r="A337" s="342" t="s">
        <v>409</v>
      </c>
      <c r="B337" s="246" t="s">
        <v>563</v>
      </c>
      <c r="C337" s="360">
        <f>CEILING((C336+75*$Z$1),0.1)</f>
        <v>262.6</v>
      </c>
      <c r="D337" s="361"/>
      <c r="E337" s="360">
        <f>CEILING((E336+75*$Z$1),0.1)</f>
        <v>300.1</v>
      </c>
      <c r="F337" s="361"/>
      <c r="G337" s="362">
        <f>CEILING((G336+75*$Z$1),0.1)</f>
        <v>262.6</v>
      </c>
      <c r="H337" s="363"/>
      <c r="I337" s="863">
        <f>CEILING((I336+75*$Z$1),0.1)</f>
        <v>275.1</v>
      </c>
      <c r="J337" s="868"/>
      <c r="K337" s="863">
        <f>CEILING((K336+75*$Z$1),0.1)</f>
        <v>275.1</v>
      </c>
      <c r="L337" s="868"/>
      <c r="M337" s="112"/>
      <c r="N337" s="112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</row>
    <row r="338" spans="1:41" s="94" customFormat="1" ht="34.5" customHeight="1" thickTop="1">
      <c r="A338" s="339" t="s">
        <v>567</v>
      </c>
      <c r="B338" s="106"/>
      <c r="C338" s="191"/>
      <c r="D338" s="191"/>
      <c r="E338" s="191"/>
      <c r="F338" s="191"/>
      <c r="G338" s="191"/>
      <c r="H338" s="191"/>
      <c r="I338" s="127"/>
      <c r="J338" s="127"/>
      <c r="K338" s="91"/>
      <c r="L338" s="91"/>
      <c r="M338" s="112"/>
      <c r="N338" s="112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</row>
    <row r="339" spans="1:41" s="94" customFormat="1" ht="34.5" customHeight="1">
      <c r="A339" s="234"/>
      <c r="B339" s="140"/>
      <c r="C339" s="140"/>
      <c r="D339" s="140"/>
      <c r="E339" s="140"/>
      <c r="F339" s="140"/>
      <c r="G339" s="140"/>
      <c r="H339" s="140"/>
      <c r="I339" s="140"/>
      <c r="J339" s="140"/>
      <c r="K339" s="95"/>
      <c r="L339" s="95"/>
      <c r="M339" s="127"/>
      <c r="N339" s="127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</row>
    <row r="340" spans="1:42" s="167" customFormat="1" ht="34.5" customHeight="1">
      <c r="A340" s="837" t="s">
        <v>33</v>
      </c>
      <c r="B340" s="838" t="s">
        <v>568</v>
      </c>
      <c r="C340" s="839" t="s">
        <v>847</v>
      </c>
      <c r="D340" s="840"/>
      <c r="E340" s="841" t="s">
        <v>870</v>
      </c>
      <c r="F340" s="842"/>
      <c r="G340" s="841" t="s">
        <v>850</v>
      </c>
      <c r="H340" s="842"/>
      <c r="I340" s="841" t="s">
        <v>851</v>
      </c>
      <c r="J340" s="842"/>
      <c r="K340" s="841" t="s">
        <v>852</v>
      </c>
      <c r="L340" s="842"/>
      <c r="M340" s="151"/>
      <c r="N340" s="151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</row>
    <row r="341" spans="1:41" s="94" customFormat="1" ht="34.5" customHeight="1">
      <c r="A341" s="364" t="s">
        <v>176</v>
      </c>
      <c r="B341" s="189" t="s">
        <v>875</v>
      </c>
      <c r="C341" s="1194">
        <f>CEILING(47*$Z$1,0.1)</f>
        <v>58.800000000000004</v>
      </c>
      <c r="D341" s="1195"/>
      <c r="E341" s="1194">
        <f>CEILING(86*$Z$1,0.1)</f>
        <v>107.5</v>
      </c>
      <c r="F341" s="1195"/>
      <c r="G341" s="1194">
        <f>CEILING(65*$Z$1,0.1)</f>
        <v>81.30000000000001</v>
      </c>
      <c r="H341" s="1195"/>
      <c r="I341" s="1194">
        <f>CEILING(73*$Z$1,0.1)</f>
        <v>91.30000000000001</v>
      </c>
      <c r="J341" s="1195"/>
      <c r="K341" s="1194">
        <f>CEILING(62*$Z$1,0.1)</f>
        <v>77.5</v>
      </c>
      <c r="L341" s="1195"/>
      <c r="M341" s="112"/>
      <c r="N341" s="112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</row>
    <row r="342" spans="1:41" s="94" customFormat="1" ht="34.5" customHeight="1">
      <c r="A342" s="365" t="s">
        <v>49</v>
      </c>
      <c r="B342" s="190" t="s">
        <v>876</v>
      </c>
      <c r="C342" s="1192">
        <f>CEILING((C341+25*$Z$1),0.1)</f>
        <v>90.10000000000001</v>
      </c>
      <c r="D342" s="1193"/>
      <c r="E342" s="1192">
        <f>CEILING((E341+25*$Z$1),0.1)</f>
        <v>138.8</v>
      </c>
      <c r="F342" s="1193"/>
      <c r="G342" s="1192">
        <f>CEILING((G341+25*$Z$1),0.1)</f>
        <v>112.60000000000001</v>
      </c>
      <c r="H342" s="1193"/>
      <c r="I342" s="1192">
        <f>CEILING((I341+25*$Z$1),0.1)</f>
        <v>122.60000000000001</v>
      </c>
      <c r="J342" s="1193"/>
      <c r="K342" s="1192">
        <f>CEILING((K341+25*$Z$1),0.1)</f>
        <v>108.80000000000001</v>
      </c>
      <c r="L342" s="1193"/>
      <c r="M342" s="97"/>
      <c r="N342" s="98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</row>
    <row r="343" spans="1:41" s="94" customFormat="1" ht="34.5" customHeight="1">
      <c r="A343" s="365"/>
      <c r="B343" s="190" t="s">
        <v>406</v>
      </c>
      <c r="C343" s="1192">
        <f>CEILING(51*$Z$1,0.1)</f>
        <v>63.800000000000004</v>
      </c>
      <c r="D343" s="1193"/>
      <c r="E343" s="1192">
        <f>CEILING(90*$Z$1,0.1)</f>
        <v>112.5</v>
      </c>
      <c r="F343" s="1193"/>
      <c r="G343" s="1192">
        <f>CEILING(69*$Z$1,0.1)</f>
        <v>86.30000000000001</v>
      </c>
      <c r="H343" s="1193"/>
      <c r="I343" s="1192">
        <f>CEILING(77*$Z$1,0.1)</f>
        <v>96.30000000000001</v>
      </c>
      <c r="J343" s="1193"/>
      <c r="K343" s="1192">
        <f>CEILING(66*$Z$1,0.1)</f>
        <v>82.5</v>
      </c>
      <c r="L343" s="1193"/>
      <c r="M343" s="97"/>
      <c r="N343" s="98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</row>
    <row r="344" spans="1:41" s="94" customFormat="1" ht="34.5" customHeight="1">
      <c r="A344" s="337" t="s">
        <v>742</v>
      </c>
      <c r="B344" s="190" t="s">
        <v>407</v>
      </c>
      <c r="C344" s="1192">
        <f>CEILING((C343+25*$Z$1),0.1)</f>
        <v>95.10000000000001</v>
      </c>
      <c r="D344" s="1193"/>
      <c r="E344" s="1192">
        <f>CEILING((E343+25*$Z$1),0.1)</f>
        <v>143.8</v>
      </c>
      <c r="F344" s="1193"/>
      <c r="G344" s="1192">
        <f>CEILING((G343+25*$Z$1),0.1)</f>
        <v>117.60000000000001</v>
      </c>
      <c r="H344" s="1193"/>
      <c r="I344" s="1192">
        <f>CEILING((I343+25*$Z$1),0.1)</f>
        <v>127.60000000000001</v>
      </c>
      <c r="J344" s="1193"/>
      <c r="K344" s="1192">
        <f>CEILING((K343+25*$Z$1),0.1)</f>
        <v>113.80000000000001</v>
      </c>
      <c r="L344" s="1193"/>
      <c r="M344" s="97"/>
      <c r="N344" s="98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</row>
    <row r="345" spans="1:41" s="94" customFormat="1" ht="34.5" customHeight="1">
      <c r="A345" s="365"/>
      <c r="B345" s="190" t="s">
        <v>229</v>
      </c>
      <c r="C345" s="1192">
        <f>CEILING(61*$Z$1,0.1)</f>
        <v>76.3</v>
      </c>
      <c r="D345" s="1193"/>
      <c r="E345" s="1192">
        <f>CEILING(100*$Z$1,0.1)</f>
        <v>125</v>
      </c>
      <c r="F345" s="1193"/>
      <c r="G345" s="1192">
        <f>CEILING(79*$Z$1,0.1)</f>
        <v>98.80000000000001</v>
      </c>
      <c r="H345" s="1193"/>
      <c r="I345" s="1192">
        <f>CEILING(87*$Z$1,0.1)</f>
        <v>108.80000000000001</v>
      </c>
      <c r="J345" s="1193"/>
      <c r="K345" s="1192">
        <f>CEILING(76*$Z$1,0.1)</f>
        <v>95</v>
      </c>
      <c r="L345" s="1193"/>
      <c r="M345" s="97"/>
      <c r="N345" s="98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</row>
    <row r="346" spans="1:41" s="94" customFormat="1" ht="34.5" customHeight="1" thickBot="1">
      <c r="A346" s="342" t="s">
        <v>409</v>
      </c>
      <c r="B346" s="246" t="s">
        <v>230</v>
      </c>
      <c r="C346" s="1218">
        <f>CEILING((C345+25*$Z$1),0.1)</f>
        <v>107.60000000000001</v>
      </c>
      <c r="D346" s="1219"/>
      <c r="E346" s="1218">
        <f>CEILING((E345+25*$Z$1),0.1)</f>
        <v>156.3</v>
      </c>
      <c r="F346" s="1219"/>
      <c r="G346" s="1218">
        <f>CEILING((G345+25*$Z$1),0.1)</f>
        <v>130.1</v>
      </c>
      <c r="H346" s="1219"/>
      <c r="I346" s="1218">
        <f>CEILING((I345+25*$Z$1),0.1)</f>
        <v>140.1</v>
      </c>
      <c r="J346" s="1219"/>
      <c r="K346" s="1218">
        <f>CEILING((K345+25*$Z$1),0.1)</f>
        <v>126.30000000000001</v>
      </c>
      <c r="L346" s="1219"/>
      <c r="M346" s="97"/>
      <c r="N346" s="98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</row>
    <row r="347" spans="1:41" s="94" customFormat="1" ht="34.5" customHeight="1" thickTop="1">
      <c r="A347" s="1323" t="s">
        <v>1007</v>
      </c>
      <c r="B347" s="1298"/>
      <c r="C347" s="1298"/>
      <c r="D347" s="1298"/>
      <c r="E347" s="1298"/>
      <c r="F347" s="1298"/>
      <c r="G347" s="1298"/>
      <c r="H347" s="1298"/>
      <c r="I347" s="1298"/>
      <c r="J347" s="1298"/>
      <c r="K347" s="119"/>
      <c r="L347" s="119"/>
      <c r="M347" s="97"/>
      <c r="N347" s="98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</row>
    <row r="348" spans="1:41" s="94" customFormat="1" ht="34.5" customHeight="1">
      <c r="A348" s="234"/>
      <c r="B348" s="106"/>
      <c r="C348" s="191"/>
      <c r="D348" s="191"/>
      <c r="E348" s="191"/>
      <c r="F348" s="191"/>
      <c r="G348" s="191"/>
      <c r="H348" s="191"/>
      <c r="I348" s="191"/>
      <c r="J348" s="191"/>
      <c r="K348" s="119"/>
      <c r="L348" s="119"/>
      <c r="M348" s="97"/>
      <c r="N348" s="98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</row>
    <row r="349" spans="1:42" s="167" customFormat="1" ht="34.5" customHeight="1">
      <c r="A349" s="837" t="s">
        <v>33</v>
      </c>
      <c r="B349" s="838" t="s">
        <v>874</v>
      </c>
      <c r="C349" s="839" t="s">
        <v>847</v>
      </c>
      <c r="D349" s="840"/>
      <c r="E349" s="841" t="s">
        <v>870</v>
      </c>
      <c r="F349" s="842"/>
      <c r="G349" s="841" t="s">
        <v>850</v>
      </c>
      <c r="H349" s="842"/>
      <c r="I349" s="841" t="s">
        <v>851</v>
      </c>
      <c r="J349" s="842"/>
      <c r="K349" s="841" t="s">
        <v>852</v>
      </c>
      <c r="L349" s="842"/>
      <c r="M349" s="151"/>
      <c r="N349" s="151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</row>
    <row r="350" spans="1:41" s="94" customFormat="1" ht="34.5" customHeight="1">
      <c r="A350" s="364" t="s">
        <v>231</v>
      </c>
      <c r="B350" s="189" t="s">
        <v>55</v>
      </c>
      <c r="C350" s="1194">
        <f>CEILING(30*$Z$1,0.1)</f>
        <v>37.5</v>
      </c>
      <c r="D350" s="1195"/>
      <c r="E350" s="1194">
        <f>CEILING(50*$Z$1,0.1)</f>
        <v>62.5</v>
      </c>
      <c r="F350" s="1195"/>
      <c r="G350" s="1194">
        <f>CEILING(40*$Z$1,0.1)</f>
        <v>50</v>
      </c>
      <c r="H350" s="1195"/>
      <c r="I350" s="1194">
        <f>CEILING(40*$Z$1,0.1)</f>
        <v>50</v>
      </c>
      <c r="J350" s="1195"/>
      <c r="K350" s="1194">
        <f>CEILING(30*$Z$1,0.1)</f>
        <v>37.5</v>
      </c>
      <c r="L350" s="1195"/>
      <c r="M350" s="127"/>
      <c r="N350" s="127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</row>
    <row r="351" spans="1:41" s="94" customFormat="1" ht="34.5" customHeight="1">
      <c r="A351" s="1063" t="s">
        <v>742</v>
      </c>
      <c r="B351" s="190"/>
      <c r="C351" s="358"/>
      <c r="D351" s="366"/>
      <c r="E351" s="358"/>
      <c r="F351" s="366"/>
      <c r="G351" s="358"/>
      <c r="H351" s="366"/>
      <c r="I351" s="859"/>
      <c r="J351" s="860"/>
      <c r="K351" s="859"/>
      <c r="L351" s="860"/>
      <c r="M351" s="127"/>
      <c r="N351" s="127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</row>
    <row r="352" spans="1:41" s="94" customFormat="1" ht="34.5" customHeight="1" thickBot="1">
      <c r="A352" s="367" t="s">
        <v>681</v>
      </c>
      <c r="B352" s="246" t="s">
        <v>56</v>
      </c>
      <c r="C352" s="1218">
        <f>CEILING((C350+25*$Z$1),0.1)</f>
        <v>68.8</v>
      </c>
      <c r="D352" s="1219"/>
      <c r="E352" s="1218">
        <f>CEILING((E350+25*$Z$1),0.1)</f>
        <v>93.80000000000001</v>
      </c>
      <c r="F352" s="1219"/>
      <c r="G352" s="1218">
        <f>CEILING((G350+25*$Z$1),0.1)</f>
        <v>81.30000000000001</v>
      </c>
      <c r="H352" s="1219"/>
      <c r="I352" s="1218">
        <f>CEILING((I350+25*$Z$1),0.1)</f>
        <v>81.30000000000001</v>
      </c>
      <c r="J352" s="1219"/>
      <c r="K352" s="1218">
        <f>CEILING((K350+25*$Z$1),0.1)</f>
        <v>68.8</v>
      </c>
      <c r="L352" s="1219"/>
      <c r="M352" s="112"/>
      <c r="N352" s="112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</row>
    <row r="353" spans="1:41" s="94" customFormat="1" ht="34.5" customHeight="1" thickTop="1">
      <c r="A353" s="1322" t="s">
        <v>1107</v>
      </c>
      <c r="B353" s="1298"/>
      <c r="C353" s="1298"/>
      <c r="D353" s="1298"/>
      <c r="E353" s="1298"/>
      <c r="F353" s="1298"/>
      <c r="G353" s="1298"/>
      <c r="H353" s="1298"/>
      <c r="I353" s="1298"/>
      <c r="J353" s="1298"/>
      <c r="K353" s="119"/>
      <c r="L353" s="119"/>
      <c r="M353" s="97"/>
      <c r="N353" s="98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</row>
    <row r="354" spans="1:41" s="94" customFormat="1" ht="34.5" customHeight="1" thickBot="1">
      <c r="A354" s="368"/>
      <c r="B354" s="369"/>
      <c r="C354" s="369"/>
      <c r="D354" s="370"/>
      <c r="E354" s="370"/>
      <c r="F354" s="370"/>
      <c r="G354" s="370"/>
      <c r="H354" s="370"/>
      <c r="I354" s="371"/>
      <c r="J354" s="371"/>
      <c r="K354" s="119"/>
      <c r="L354" s="119"/>
      <c r="M354" s="97"/>
      <c r="N354" s="98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</row>
    <row r="355" spans="1:42" s="167" customFormat="1" ht="34.5" customHeight="1" thickTop="1">
      <c r="A355" s="837" t="s">
        <v>33</v>
      </c>
      <c r="B355" s="838" t="s">
        <v>568</v>
      </c>
      <c r="C355" s="839" t="s">
        <v>847</v>
      </c>
      <c r="D355" s="840"/>
      <c r="E355" s="841" t="s">
        <v>870</v>
      </c>
      <c r="F355" s="842"/>
      <c r="G355" s="841" t="s">
        <v>850</v>
      </c>
      <c r="H355" s="842"/>
      <c r="I355" s="841" t="s">
        <v>851</v>
      </c>
      <c r="J355" s="842"/>
      <c r="K355" s="841" t="s">
        <v>852</v>
      </c>
      <c r="L355" s="842"/>
      <c r="M355" s="151"/>
      <c r="N355" s="151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</row>
    <row r="356" spans="1:41" s="94" customFormat="1" ht="34.5" customHeight="1">
      <c r="A356" s="364" t="s">
        <v>232</v>
      </c>
      <c r="B356" s="192" t="s">
        <v>557</v>
      </c>
      <c r="C356" s="1194">
        <f>CEILING(45*$Z$1,0.1)</f>
        <v>56.300000000000004</v>
      </c>
      <c r="D356" s="1195"/>
      <c r="E356" s="1194">
        <f>CEILING(70*$Z$1,0.1)</f>
        <v>87.5</v>
      </c>
      <c r="F356" s="1195"/>
      <c r="G356" s="1216">
        <f>CEILING(41*$Z$1,0.1)</f>
        <v>51.300000000000004</v>
      </c>
      <c r="H356" s="1217"/>
      <c r="I356" s="1216">
        <f>CEILING(41*$Z$1,0.1)</f>
        <v>51.300000000000004</v>
      </c>
      <c r="J356" s="1217"/>
      <c r="K356" s="1194">
        <f>CEILING(42*$Z$1,0.1)</f>
        <v>52.5</v>
      </c>
      <c r="L356" s="1195"/>
      <c r="M356" s="1220"/>
      <c r="N356" s="1220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</row>
    <row r="357" spans="1:41" s="94" customFormat="1" ht="34.5" customHeight="1">
      <c r="A357" s="244" t="s">
        <v>76</v>
      </c>
      <c r="B357" s="192" t="s">
        <v>558</v>
      </c>
      <c r="C357" s="1192">
        <f>CEILING((C356+15*$Z$1),0.1)</f>
        <v>75.10000000000001</v>
      </c>
      <c r="D357" s="1193"/>
      <c r="E357" s="1192">
        <f>CEILING((E356+15*$Z$1),0.1)</f>
        <v>106.30000000000001</v>
      </c>
      <c r="F357" s="1193"/>
      <c r="G357" s="1200">
        <f>CEILING((G356+15*$Z$1),0.1)</f>
        <v>70.10000000000001</v>
      </c>
      <c r="H357" s="1201"/>
      <c r="I357" s="1200">
        <f>CEILING((I356+15*$Z$1),0.1)</f>
        <v>70.10000000000001</v>
      </c>
      <c r="J357" s="1201"/>
      <c r="K357" s="1192">
        <f>CEILING((K356+15*$Z$1),0.1)</f>
        <v>71.3</v>
      </c>
      <c r="L357" s="1193"/>
      <c r="M357" s="1220"/>
      <c r="N357" s="1220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</row>
    <row r="358" spans="1:41" s="94" customFormat="1" ht="34.5" customHeight="1">
      <c r="A358" s="244"/>
      <c r="B358" s="192" t="s">
        <v>37</v>
      </c>
      <c r="C358" s="1192">
        <f>CEILING((C356*0.85),0.1)</f>
        <v>47.900000000000006</v>
      </c>
      <c r="D358" s="1193"/>
      <c r="E358" s="1192">
        <f>CEILING((E356*0.85),0.1)</f>
        <v>74.4</v>
      </c>
      <c r="F358" s="1193"/>
      <c r="G358" s="1200">
        <f>CEILING((G356*0.85),0.1)</f>
        <v>43.7</v>
      </c>
      <c r="H358" s="1201"/>
      <c r="I358" s="1200">
        <f>CEILING((I356*0.85),0.1)</f>
        <v>43.7</v>
      </c>
      <c r="J358" s="1201"/>
      <c r="K358" s="1192">
        <f>CEILING((K356*0.85),0.1)</f>
        <v>44.7</v>
      </c>
      <c r="L358" s="1193"/>
      <c r="M358" s="1220"/>
      <c r="N358" s="1220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</row>
    <row r="359" spans="1:41" s="94" customFormat="1" ht="34.5" customHeight="1">
      <c r="A359" s="244"/>
      <c r="B359" s="192" t="s">
        <v>534</v>
      </c>
      <c r="C359" s="1192">
        <f>CEILING((C356*0.5),0.1)</f>
        <v>28.200000000000003</v>
      </c>
      <c r="D359" s="1193"/>
      <c r="E359" s="1192">
        <f>CEILING((E356*0.5),0.1)</f>
        <v>43.800000000000004</v>
      </c>
      <c r="F359" s="1193"/>
      <c r="G359" s="1200">
        <f>CEILING((G356*0.5),0.1)</f>
        <v>25.700000000000003</v>
      </c>
      <c r="H359" s="1201"/>
      <c r="I359" s="1200">
        <f>CEILING((I356*0.5),0.1)</f>
        <v>25.700000000000003</v>
      </c>
      <c r="J359" s="1201"/>
      <c r="K359" s="1192">
        <f>CEILING((K356*0),0.1)</f>
        <v>0</v>
      </c>
      <c r="L359" s="1193"/>
      <c r="M359" s="1220"/>
      <c r="N359" s="1220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</row>
    <row r="360" spans="1:41" s="94" customFormat="1" ht="34.5" customHeight="1">
      <c r="A360" s="337" t="s">
        <v>1297</v>
      </c>
      <c r="B360" s="192" t="s">
        <v>152</v>
      </c>
      <c r="C360" s="1192">
        <f>CEILING(52*$Z$1,0.1)</f>
        <v>65</v>
      </c>
      <c r="D360" s="1193"/>
      <c r="E360" s="1192">
        <f>CEILING(77*$Z$1,0.1)</f>
        <v>96.30000000000001</v>
      </c>
      <c r="F360" s="1193"/>
      <c r="G360" s="1200">
        <f>CEILING(46*$Z$1,0.1)</f>
        <v>57.5</v>
      </c>
      <c r="H360" s="1201"/>
      <c r="I360" s="1200">
        <f>CEILING(46*$Z$1,0.1)</f>
        <v>57.5</v>
      </c>
      <c r="J360" s="1201"/>
      <c r="K360" s="1192">
        <f>CEILING(49*$Z$1,0.1)</f>
        <v>61.300000000000004</v>
      </c>
      <c r="L360" s="1193"/>
      <c r="M360" s="1220"/>
      <c r="N360" s="1220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</row>
    <row r="361" spans="1:41" s="94" customFormat="1" ht="34.5" customHeight="1">
      <c r="A361" s="244"/>
      <c r="B361" s="192" t="s">
        <v>153</v>
      </c>
      <c r="C361" s="1192">
        <f>CEILING((C360+15*$Z$1),0.1)</f>
        <v>83.80000000000001</v>
      </c>
      <c r="D361" s="1193"/>
      <c r="E361" s="1192">
        <f>CEILING((E360+15*$Z$1),0.1)</f>
        <v>115.10000000000001</v>
      </c>
      <c r="F361" s="1193"/>
      <c r="G361" s="1200">
        <f>CEILING((G360+15*$Z$1),0.1)</f>
        <v>76.3</v>
      </c>
      <c r="H361" s="1201"/>
      <c r="I361" s="1200">
        <f>CEILING((I360+15*$Z$1),0.1)</f>
        <v>76.3</v>
      </c>
      <c r="J361" s="1201"/>
      <c r="K361" s="1192">
        <f>CEILING((K360+15*$Z$1),0.1)</f>
        <v>80.10000000000001</v>
      </c>
      <c r="L361" s="1193"/>
      <c r="M361" s="1220"/>
      <c r="N361" s="1220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</row>
    <row r="362" spans="1:41" s="94" customFormat="1" ht="34.5" customHeight="1">
      <c r="A362" s="244"/>
      <c r="B362" s="190" t="s">
        <v>143</v>
      </c>
      <c r="C362" s="1192">
        <f>CEILING(55*$Z$1,0.1)</f>
        <v>68.8</v>
      </c>
      <c r="D362" s="1193"/>
      <c r="E362" s="1192">
        <f>CEILING(80*$Z$1,0.1)</f>
        <v>100</v>
      </c>
      <c r="F362" s="1193"/>
      <c r="G362" s="1200">
        <f>CEILING(51*$Z$1,0.1)</f>
        <v>63.800000000000004</v>
      </c>
      <c r="H362" s="1201"/>
      <c r="I362" s="1200">
        <f>CEILING(51*$Z$1,0.1)</f>
        <v>63.800000000000004</v>
      </c>
      <c r="J362" s="1201"/>
      <c r="K362" s="1192">
        <f>CEILING(52*$Z$1,0.1)</f>
        <v>65</v>
      </c>
      <c r="L362" s="1193"/>
      <c r="M362" s="861"/>
      <c r="N362" s="861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</row>
    <row r="363" spans="1:41" s="94" customFormat="1" ht="34.5" customHeight="1">
      <c r="A363" s="338" t="s">
        <v>409</v>
      </c>
      <c r="B363" s="281" t="s">
        <v>144</v>
      </c>
      <c r="C363" s="1202">
        <f>CEILING((C362+15*$Z$1),0.1)</f>
        <v>87.60000000000001</v>
      </c>
      <c r="D363" s="1203"/>
      <c r="E363" s="1202">
        <f>CEILING((E362+15*$Z$1),0.1)</f>
        <v>118.80000000000001</v>
      </c>
      <c r="F363" s="1203"/>
      <c r="G363" s="1227">
        <f>CEILING((G362+15*$Z$1),0.1)</f>
        <v>82.60000000000001</v>
      </c>
      <c r="H363" s="1228"/>
      <c r="I363" s="1227">
        <f>CEILING((I362+15*$Z$1),0.1)</f>
        <v>82.60000000000001</v>
      </c>
      <c r="J363" s="1228"/>
      <c r="K363" s="1202">
        <f>CEILING((K362+15*$Z$1),0.1)</f>
        <v>83.80000000000001</v>
      </c>
      <c r="L363" s="1203"/>
      <c r="M363" s="1220"/>
      <c r="N363" s="1220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</row>
    <row r="364" spans="1:41" s="94" customFormat="1" ht="34.5" customHeight="1">
      <c r="A364" s="339" t="s">
        <v>559</v>
      </c>
      <c r="B364" s="90"/>
      <c r="C364" s="865"/>
      <c r="D364" s="865"/>
      <c r="E364" s="865"/>
      <c r="F364" s="865"/>
      <c r="G364" s="865"/>
      <c r="H364" s="865"/>
      <c r="I364" s="865"/>
      <c r="J364" s="865"/>
      <c r="K364" s="135"/>
      <c r="L364" s="135"/>
      <c r="M364" s="106"/>
      <c r="N364" s="10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</row>
    <row r="365" spans="1:41" s="94" customFormat="1" ht="34.5" customHeight="1" thickBot="1">
      <c r="A365" s="339"/>
      <c r="B365" s="346"/>
      <c r="C365" s="865"/>
      <c r="D365" s="865"/>
      <c r="E365" s="865"/>
      <c r="F365" s="865"/>
      <c r="G365" s="865"/>
      <c r="H365" s="865"/>
      <c r="I365" s="865"/>
      <c r="J365" s="865"/>
      <c r="K365" s="135"/>
      <c r="L365" s="135"/>
      <c r="M365" s="106"/>
      <c r="N365" s="10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</row>
    <row r="366" spans="1:42" s="167" customFormat="1" ht="34.5" customHeight="1" thickTop="1">
      <c r="A366" s="837" t="s">
        <v>33</v>
      </c>
      <c r="B366" s="838" t="s">
        <v>568</v>
      </c>
      <c r="C366" s="839" t="s">
        <v>847</v>
      </c>
      <c r="D366" s="840"/>
      <c r="E366" s="841" t="s">
        <v>870</v>
      </c>
      <c r="F366" s="842"/>
      <c r="G366" s="841" t="s">
        <v>850</v>
      </c>
      <c r="H366" s="842"/>
      <c r="I366" s="841" t="s">
        <v>851</v>
      </c>
      <c r="J366" s="842"/>
      <c r="K366" s="841" t="s">
        <v>852</v>
      </c>
      <c r="L366" s="842"/>
      <c r="M366" s="151"/>
      <c r="N366" s="151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</row>
    <row r="367" spans="1:41" s="94" customFormat="1" ht="34.5" customHeight="1">
      <c r="A367" s="372" t="s">
        <v>68</v>
      </c>
      <c r="B367" s="243" t="s">
        <v>152</v>
      </c>
      <c r="C367" s="1216">
        <f>CEILING(40*$Z$1,0.1)</f>
        <v>50</v>
      </c>
      <c r="D367" s="1217"/>
      <c r="E367" s="1216">
        <f>CEILING(70*$Z$1,0.1)</f>
        <v>87.5</v>
      </c>
      <c r="F367" s="1217"/>
      <c r="G367" s="1216">
        <f>CEILING(50*$Z$1,0.1)</f>
        <v>62.5</v>
      </c>
      <c r="H367" s="1217"/>
      <c r="I367" s="1216">
        <f>CEILING(55*$Z$1,0.1)</f>
        <v>68.8</v>
      </c>
      <c r="J367" s="1217"/>
      <c r="K367" s="1216">
        <f>CEILING(42*$Z$1,0.1)</f>
        <v>52.5</v>
      </c>
      <c r="L367" s="1217"/>
      <c r="M367" s="1270"/>
      <c r="N367" s="1270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</row>
    <row r="368" spans="1:41" s="94" customFormat="1" ht="34.5" customHeight="1">
      <c r="A368" s="373" t="s">
        <v>49</v>
      </c>
      <c r="B368" s="245" t="s">
        <v>153</v>
      </c>
      <c r="C368" s="1200">
        <f>CEILING((C367*1.25),0.1)</f>
        <v>62.5</v>
      </c>
      <c r="D368" s="1201"/>
      <c r="E368" s="1200">
        <f>CEILING((E367*1.25),0.1)</f>
        <v>109.4</v>
      </c>
      <c r="F368" s="1201"/>
      <c r="G368" s="1200">
        <f>CEILING((G367*1.25),0.1)</f>
        <v>78.2</v>
      </c>
      <c r="H368" s="1201"/>
      <c r="I368" s="1200">
        <f>CEILING((I367*1.25),0.1)</f>
        <v>86</v>
      </c>
      <c r="J368" s="1201"/>
      <c r="K368" s="1200">
        <f>CEILING((K367*1.25),0.1)</f>
        <v>65.7</v>
      </c>
      <c r="L368" s="1201"/>
      <c r="M368" s="374"/>
      <c r="N368" s="374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</row>
    <row r="369" spans="1:41" s="94" customFormat="1" ht="34.5" customHeight="1">
      <c r="A369" s="373" t="s">
        <v>69</v>
      </c>
      <c r="B369" s="245" t="s">
        <v>37</v>
      </c>
      <c r="C369" s="1200">
        <f>CEILING((C367*0.85),0.1)</f>
        <v>42.5</v>
      </c>
      <c r="D369" s="1201"/>
      <c r="E369" s="1200">
        <f>CEILING((E367*0.85),0.1)</f>
        <v>74.4</v>
      </c>
      <c r="F369" s="1201"/>
      <c r="G369" s="1200">
        <f>CEILING((G367*0.85),0.1)</f>
        <v>53.2</v>
      </c>
      <c r="H369" s="1201"/>
      <c r="I369" s="1200">
        <f>CEILING((I367*0.85),0.1)</f>
        <v>58.5</v>
      </c>
      <c r="J369" s="1201"/>
      <c r="K369" s="1200">
        <f>CEILING((K367*0.85),0.1)</f>
        <v>44.7</v>
      </c>
      <c r="L369" s="1201"/>
      <c r="M369" s="374"/>
      <c r="N369" s="374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</row>
    <row r="370" spans="1:41" s="94" customFormat="1" ht="34.5" customHeight="1">
      <c r="A370" s="114"/>
      <c r="B370" s="172" t="s">
        <v>66</v>
      </c>
      <c r="C370" s="1200">
        <f>CEILING((C367*0),0.1)</f>
        <v>0</v>
      </c>
      <c r="D370" s="1201"/>
      <c r="E370" s="1200">
        <f>CEILING((E367*0.5),0.1)</f>
        <v>43.800000000000004</v>
      </c>
      <c r="F370" s="1201"/>
      <c r="G370" s="1200">
        <f>CEILING((G367*0.5),0.1)</f>
        <v>31.3</v>
      </c>
      <c r="H370" s="1201"/>
      <c r="I370" s="1200">
        <f>CEILING((I367*0.5),0.1)</f>
        <v>34.4</v>
      </c>
      <c r="J370" s="1201"/>
      <c r="K370" s="1200">
        <f>CEILING((K367*0.5),0.1)</f>
        <v>26.3</v>
      </c>
      <c r="L370" s="1201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</row>
    <row r="371" spans="1:41" s="94" customFormat="1" ht="34.5" customHeight="1">
      <c r="A371" s="375" t="s">
        <v>1159</v>
      </c>
      <c r="B371" s="192" t="s">
        <v>70</v>
      </c>
      <c r="C371" s="1192">
        <f>CEILING(70*$Z$1,0.1)</f>
        <v>87.5</v>
      </c>
      <c r="D371" s="1193"/>
      <c r="E371" s="1192">
        <f>CEILING(115*$Z$1,0.1)</f>
        <v>143.8</v>
      </c>
      <c r="F371" s="1193"/>
      <c r="G371" s="1192">
        <f>CEILING(85*$Z$1,0.1)</f>
        <v>106.30000000000001</v>
      </c>
      <c r="H371" s="1193"/>
      <c r="I371" s="1192">
        <f>CEILING(92*$Z$1,0.1)</f>
        <v>115</v>
      </c>
      <c r="J371" s="1193"/>
      <c r="K371" s="1192">
        <f>CEILING(80*$Z$1,0.1)</f>
        <v>100</v>
      </c>
      <c r="L371" s="1193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</row>
    <row r="372" spans="1:41" s="94" customFormat="1" ht="34.5" customHeight="1" thickBot="1">
      <c r="A372" s="376" t="s">
        <v>820</v>
      </c>
      <c r="B372" s="193" t="s">
        <v>52</v>
      </c>
      <c r="C372" s="1218">
        <f>CEILING(80*$Z$1,0.1)</f>
        <v>100</v>
      </c>
      <c r="D372" s="1219"/>
      <c r="E372" s="1218">
        <f>CEILING(125*$Z$1,0.1)</f>
        <v>156.3</v>
      </c>
      <c r="F372" s="1219"/>
      <c r="G372" s="1218">
        <f>CEILING(95*$Z$1,0.1)</f>
        <v>118.80000000000001</v>
      </c>
      <c r="H372" s="1219"/>
      <c r="I372" s="1218">
        <f>CEILING(102*$Z$1,0.1)</f>
        <v>127.5</v>
      </c>
      <c r="J372" s="1219"/>
      <c r="K372" s="1218">
        <f>CEILING(90*$Z$1,0.1)</f>
        <v>112.5</v>
      </c>
      <c r="L372" s="1219"/>
      <c r="M372" s="1270"/>
      <c r="N372" s="1270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</row>
    <row r="373" spans="1:41" s="94" customFormat="1" ht="34.5" customHeight="1" thickTop="1">
      <c r="A373" s="387" t="s">
        <v>463</v>
      </c>
      <c r="B373" s="106"/>
      <c r="C373" s="916"/>
      <c r="D373" s="916"/>
      <c r="E373" s="916"/>
      <c r="F373" s="916"/>
      <c r="G373" s="916"/>
      <c r="H373" s="916"/>
      <c r="I373" s="916"/>
      <c r="J373" s="916"/>
      <c r="K373" s="916"/>
      <c r="L373" s="916"/>
      <c r="M373" s="916"/>
      <c r="N373" s="91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</row>
    <row r="374" spans="1:41" s="94" customFormat="1" ht="34.5" customHeight="1" thickBot="1">
      <c r="A374" s="378"/>
      <c r="B374" s="378"/>
      <c r="C374" s="378"/>
      <c r="D374" s="378"/>
      <c r="E374" s="378"/>
      <c r="F374" s="378"/>
      <c r="G374" s="378"/>
      <c r="H374" s="378"/>
      <c r="I374" s="379"/>
      <c r="J374" s="379"/>
      <c r="K374" s="95"/>
      <c r="L374" s="95"/>
      <c r="M374" s="1270"/>
      <c r="N374" s="1270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</row>
    <row r="375" spans="1:42" s="167" customFormat="1" ht="34.5" customHeight="1" thickTop="1">
      <c r="A375" s="837" t="s">
        <v>33</v>
      </c>
      <c r="B375" s="838" t="s">
        <v>568</v>
      </c>
      <c r="C375" s="839" t="s">
        <v>847</v>
      </c>
      <c r="D375" s="840"/>
      <c r="E375" s="841" t="s">
        <v>870</v>
      </c>
      <c r="F375" s="842"/>
      <c r="G375" s="841" t="s">
        <v>850</v>
      </c>
      <c r="H375" s="842"/>
      <c r="I375" s="841" t="s">
        <v>851</v>
      </c>
      <c r="J375" s="842"/>
      <c r="K375" s="841" t="s">
        <v>852</v>
      </c>
      <c r="L375" s="842"/>
      <c r="M375" s="151"/>
      <c r="N375" s="151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</row>
    <row r="376" spans="1:41" s="94" customFormat="1" ht="34.5" customHeight="1">
      <c r="A376" s="372" t="s">
        <v>151</v>
      </c>
      <c r="B376" s="213" t="s">
        <v>460</v>
      </c>
      <c r="C376" s="1194">
        <f>CEILING(66*$Z$1,0.1)</f>
        <v>82.5</v>
      </c>
      <c r="D376" s="1195"/>
      <c r="E376" s="1194">
        <f>CEILING(116*$Z$1,0.1)</f>
        <v>145</v>
      </c>
      <c r="F376" s="1195"/>
      <c r="G376" s="1194">
        <f>CEILING(83*$Z$1,0.1)</f>
        <v>103.80000000000001</v>
      </c>
      <c r="H376" s="1195"/>
      <c r="I376" s="1194">
        <f>CEILING(90*$Z$1,0.1)</f>
        <v>112.5</v>
      </c>
      <c r="J376" s="1195"/>
      <c r="K376" s="1194">
        <f>CEILING(77*$Z$1,0.1)</f>
        <v>96.30000000000001</v>
      </c>
      <c r="L376" s="1195"/>
      <c r="M376" s="127"/>
      <c r="N376" s="127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</row>
    <row r="377" spans="1:41" s="94" customFormat="1" ht="34.5" customHeight="1">
      <c r="A377" s="373" t="s">
        <v>49</v>
      </c>
      <c r="B377" s="192" t="s">
        <v>461</v>
      </c>
      <c r="C377" s="1192">
        <f>CEILING((C376*1.25),0.1)</f>
        <v>103.2</v>
      </c>
      <c r="D377" s="1193"/>
      <c r="E377" s="1192">
        <f>CEILING((E376*1.25),0.1)</f>
        <v>181.3</v>
      </c>
      <c r="F377" s="1193"/>
      <c r="G377" s="1192">
        <f>CEILING((G376*1.25),0.1)</f>
        <v>129.8</v>
      </c>
      <c r="H377" s="1193"/>
      <c r="I377" s="1192">
        <f>CEILING((I376*1.25),0.1)</f>
        <v>140.70000000000002</v>
      </c>
      <c r="J377" s="1193"/>
      <c r="K377" s="1192">
        <f>CEILING((K376*1.25),0.1)</f>
        <v>120.4</v>
      </c>
      <c r="L377" s="1193"/>
      <c r="M377" s="127"/>
      <c r="N377" s="127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</row>
    <row r="378" spans="1:41" s="94" customFormat="1" ht="34.5" customHeight="1">
      <c r="A378" s="380" t="s">
        <v>459</v>
      </c>
      <c r="B378" s="172" t="s">
        <v>66</v>
      </c>
      <c r="C378" s="1192">
        <f>CEILING((C376*0.5),0.1)</f>
        <v>41.300000000000004</v>
      </c>
      <c r="D378" s="1193"/>
      <c r="E378" s="1192">
        <f>CEILING((E376*0.5),0.1)</f>
        <v>72.5</v>
      </c>
      <c r="F378" s="1193"/>
      <c r="G378" s="1192">
        <f>CEILING((G376*0.5),0.1)</f>
        <v>51.900000000000006</v>
      </c>
      <c r="H378" s="1193"/>
      <c r="I378" s="1192">
        <f>CEILING((I376*0.5),0.1)</f>
        <v>56.300000000000004</v>
      </c>
      <c r="J378" s="1193"/>
      <c r="K378" s="1192">
        <f>CEILING((K376*0.5),0.1)</f>
        <v>48.2</v>
      </c>
      <c r="L378" s="1193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</row>
    <row r="379" spans="1:41" s="94" customFormat="1" ht="34.5" customHeight="1" thickBot="1">
      <c r="A379" s="376" t="s">
        <v>820</v>
      </c>
      <c r="B379" s="193" t="s">
        <v>462</v>
      </c>
      <c r="C379" s="1218">
        <f>CEILING(71*$Z$1,0.1)</f>
        <v>88.80000000000001</v>
      </c>
      <c r="D379" s="1219"/>
      <c r="E379" s="1218">
        <f>CEILING(121*$Z$1,0.1)</f>
        <v>151.3</v>
      </c>
      <c r="F379" s="1219"/>
      <c r="G379" s="1218">
        <f>CEILING(88*$Z$1,0.1)</f>
        <v>110</v>
      </c>
      <c r="H379" s="1219"/>
      <c r="I379" s="1218">
        <f>CEILING(95*$Z$1,0.1)</f>
        <v>118.80000000000001</v>
      </c>
      <c r="J379" s="1219"/>
      <c r="K379" s="1218">
        <f>CEILING(82*$Z$1,0.1)</f>
        <v>102.5</v>
      </c>
      <c r="L379" s="1219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</row>
    <row r="380" spans="1:14" s="136" customFormat="1" ht="34.5" customHeight="1" thickTop="1">
      <c r="A380" s="724" t="s">
        <v>747</v>
      </c>
      <c r="B380" s="106"/>
      <c r="C380" s="916"/>
      <c r="D380" s="916"/>
      <c r="E380" s="916"/>
      <c r="F380" s="916"/>
      <c r="G380" s="916"/>
      <c r="H380" s="916"/>
      <c r="I380" s="916"/>
      <c r="J380" s="916"/>
      <c r="K380" s="916"/>
      <c r="L380" s="916"/>
      <c r="M380" s="916"/>
      <c r="N380" s="916"/>
    </row>
    <row r="381" spans="1:41" s="94" customFormat="1" ht="34.5" customHeight="1" thickBot="1">
      <c r="A381" s="381"/>
      <c r="B381" s="369"/>
      <c r="C381" s="347"/>
      <c r="D381" s="347"/>
      <c r="E381" s="347"/>
      <c r="F381" s="347"/>
      <c r="G381" s="347"/>
      <c r="H381" s="347"/>
      <c r="I381" s="127"/>
      <c r="J381" s="127"/>
      <c r="K381" s="95"/>
      <c r="L381" s="95"/>
      <c r="M381" s="1270"/>
      <c r="N381" s="1270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</row>
    <row r="382" spans="1:42" s="167" customFormat="1" ht="34.5" customHeight="1" thickTop="1">
      <c r="A382" s="837" t="s">
        <v>33</v>
      </c>
      <c r="B382" s="838" t="s">
        <v>568</v>
      </c>
      <c r="C382" s="839" t="s">
        <v>847</v>
      </c>
      <c r="D382" s="840"/>
      <c r="E382" s="841" t="s">
        <v>870</v>
      </c>
      <c r="F382" s="842"/>
      <c r="G382" s="841" t="s">
        <v>850</v>
      </c>
      <c r="H382" s="842"/>
      <c r="I382" s="841" t="s">
        <v>851</v>
      </c>
      <c r="J382" s="842"/>
      <c r="K382" s="841" t="s">
        <v>852</v>
      </c>
      <c r="L382" s="842"/>
      <c r="M382" s="151"/>
      <c r="N382" s="151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</row>
    <row r="383" spans="1:41" s="94" customFormat="1" ht="34.5" customHeight="1">
      <c r="A383" s="382" t="s">
        <v>360</v>
      </c>
      <c r="B383" s="192" t="s">
        <v>152</v>
      </c>
      <c r="C383" s="1216">
        <f>CEILING(35*$Z$1,0.1)</f>
        <v>43.800000000000004</v>
      </c>
      <c r="D383" s="1217"/>
      <c r="E383" s="1216">
        <f>CEILING(65*$Z$1,0.1)</f>
        <v>81.30000000000001</v>
      </c>
      <c r="F383" s="1217"/>
      <c r="G383" s="1216">
        <f>CEILING(45*$Z$1,0.1)</f>
        <v>56.300000000000004</v>
      </c>
      <c r="H383" s="1217"/>
      <c r="I383" s="1216">
        <f>CEILING(50*$Z$1,0.1)</f>
        <v>62.5</v>
      </c>
      <c r="J383" s="1217"/>
      <c r="K383" s="1216">
        <f>CEILING(37*$Z$1,0.1)</f>
        <v>46.300000000000004</v>
      </c>
      <c r="L383" s="1217"/>
      <c r="M383" s="1270"/>
      <c r="N383" s="1270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</row>
    <row r="384" spans="1:41" s="94" customFormat="1" ht="34.5" customHeight="1">
      <c r="A384" s="214" t="s">
        <v>49</v>
      </c>
      <c r="B384" s="192" t="s">
        <v>153</v>
      </c>
      <c r="C384" s="1200">
        <f>CEILING((C383*1.25),0.1)</f>
        <v>54.800000000000004</v>
      </c>
      <c r="D384" s="1201"/>
      <c r="E384" s="1200">
        <f>CEILING((E383*1.25),0.1)</f>
        <v>101.7</v>
      </c>
      <c r="F384" s="1201"/>
      <c r="G384" s="1200">
        <f>CEILING((G383*1.25),0.1)</f>
        <v>70.4</v>
      </c>
      <c r="H384" s="1201"/>
      <c r="I384" s="1200">
        <f>CEILING((I383*1.25),0.1)</f>
        <v>78.2</v>
      </c>
      <c r="J384" s="1201"/>
      <c r="K384" s="1200">
        <f>CEILING((K383*1.25),0.1)</f>
        <v>57.900000000000006</v>
      </c>
      <c r="L384" s="1201"/>
      <c r="M384" s="100"/>
      <c r="N384" s="100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</row>
    <row r="385" spans="1:41" s="94" customFormat="1" ht="34.5" customHeight="1">
      <c r="A385" s="114"/>
      <c r="B385" s="192" t="s">
        <v>37</v>
      </c>
      <c r="C385" s="1200">
        <f>CEILING((C383*0.85),0.1)</f>
        <v>37.300000000000004</v>
      </c>
      <c r="D385" s="1201"/>
      <c r="E385" s="1200">
        <f>CEILING((E383*0.85),0.1)</f>
        <v>69.2</v>
      </c>
      <c r="F385" s="1201"/>
      <c r="G385" s="1200">
        <f>CEILING((G383*0.85),0.1)</f>
        <v>47.900000000000006</v>
      </c>
      <c r="H385" s="1201"/>
      <c r="I385" s="1200">
        <f>CEILING((I383*0.85),0.1)</f>
        <v>53.2</v>
      </c>
      <c r="J385" s="1201"/>
      <c r="K385" s="1200">
        <f>CEILING((K383*0.85),0.1)</f>
        <v>39.400000000000006</v>
      </c>
      <c r="L385" s="1201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</row>
    <row r="386" spans="1:41" s="94" customFormat="1" ht="34.5" customHeight="1">
      <c r="A386" s="375" t="s">
        <v>1159</v>
      </c>
      <c r="B386" s="172" t="s">
        <v>66</v>
      </c>
      <c r="C386" s="1200">
        <f>CEILING((C383*0),0.1)</f>
        <v>0</v>
      </c>
      <c r="D386" s="1201"/>
      <c r="E386" s="1200">
        <f>CEILING((E383*0.5),0.1)</f>
        <v>40.7</v>
      </c>
      <c r="F386" s="1201"/>
      <c r="G386" s="1200">
        <f>CEILING((G383*0.5),0.1)</f>
        <v>28.200000000000003</v>
      </c>
      <c r="H386" s="1201"/>
      <c r="I386" s="1200">
        <f>CEILING((I383*0.5),0.1)</f>
        <v>31.3</v>
      </c>
      <c r="J386" s="1201"/>
      <c r="K386" s="1200">
        <f>CEILING((K383*0.5),0.1)</f>
        <v>23.200000000000003</v>
      </c>
      <c r="L386" s="1201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</row>
    <row r="387" spans="1:41" s="94" customFormat="1" ht="34.5" customHeight="1">
      <c r="A387" s="375"/>
      <c r="B387" s="192" t="s">
        <v>70</v>
      </c>
      <c r="C387" s="1192">
        <f>CEILING(64*$Z$1,0.1)</f>
        <v>80</v>
      </c>
      <c r="D387" s="1193"/>
      <c r="E387" s="1192">
        <f>CEILING(105*$Z$1,0.1)</f>
        <v>131.3</v>
      </c>
      <c r="F387" s="1193"/>
      <c r="G387" s="1192">
        <f>CEILING(78*$Z$1,0.1)</f>
        <v>97.5</v>
      </c>
      <c r="H387" s="1193"/>
      <c r="I387" s="1192">
        <f>CEILING(84*$Z$1,0.1)</f>
        <v>105</v>
      </c>
      <c r="J387" s="1193"/>
      <c r="K387" s="1192">
        <f>CEILING(73*$Z$1,0.1)</f>
        <v>91.30000000000001</v>
      </c>
      <c r="L387" s="1193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</row>
    <row r="388" spans="1:41" s="94" customFormat="1" ht="34.5" customHeight="1" thickBot="1">
      <c r="A388" s="376" t="s">
        <v>821</v>
      </c>
      <c r="B388" s="193" t="s">
        <v>52</v>
      </c>
      <c r="C388" s="1218">
        <f>CEILING(74*$Z$1,0.1)</f>
        <v>92.5</v>
      </c>
      <c r="D388" s="1219"/>
      <c r="E388" s="1218">
        <f>CEILING(115*$Z$1,0.1)</f>
        <v>143.8</v>
      </c>
      <c r="F388" s="1219"/>
      <c r="G388" s="1218">
        <f>CEILING(88*$Z$1,0.1)</f>
        <v>110</v>
      </c>
      <c r="H388" s="1219"/>
      <c r="I388" s="1218">
        <f>CEILING(94*$Z$1,0.1)</f>
        <v>117.5</v>
      </c>
      <c r="J388" s="1219"/>
      <c r="K388" s="1218">
        <f>CEILING(83*$Z$1,0.1)</f>
        <v>103.80000000000001</v>
      </c>
      <c r="L388" s="1219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</row>
    <row r="389" spans="1:41" s="94" customFormat="1" ht="34.5" customHeight="1" thickTop="1">
      <c r="A389" s="387" t="s">
        <v>458</v>
      </c>
      <c r="B389" s="106"/>
      <c r="C389" s="916"/>
      <c r="D389" s="916"/>
      <c r="E389" s="916"/>
      <c r="F389" s="916"/>
      <c r="G389" s="916"/>
      <c r="H389" s="916"/>
      <c r="I389" s="916"/>
      <c r="J389" s="916"/>
      <c r="K389" s="916"/>
      <c r="L389" s="91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</row>
    <row r="390" spans="1:41" s="94" customFormat="1" ht="34.5" customHeight="1">
      <c r="A390" s="377"/>
      <c r="B390" s="106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</row>
    <row r="391" spans="1:42" s="167" customFormat="1" ht="34.5" customHeight="1">
      <c r="A391" s="837" t="s">
        <v>33</v>
      </c>
      <c r="B391" s="838" t="s">
        <v>568</v>
      </c>
      <c r="C391" s="839" t="s">
        <v>847</v>
      </c>
      <c r="D391" s="840"/>
      <c r="E391" s="841" t="s">
        <v>870</v>
      </c>
      <c r="F391" s="842"/>
      <c r="G391" s="841" t="s">
        <v>850</v>
      </c>
      <c r="H391" s="842"/>
      <c r="I391" s="841" t="s">
        <v>851</v>
      </c>
      <c r="J391" s="842"/>
      <c r="K391" s="841" t="s">
        <v>852</v>
      </c>
      <c r="L391" s="842"/>
      <c r="M391" s="151"/>
      <c r="N391" s="151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</row>
    <row r="392" spans="1:22" s="94" customFormat="1" ht="34.5" customHeight="1">
      <c r="A392" s="382" t="s">
        <v>361</v>
      </c>
      <c r="B392" s="192" t="s">
        <v>152</v>
      </c>
      <c r="C392" s="1194">
        <f>CEILING(41*$Z$1,0.1)</f>
        <v>51.300000000000004</v>
      </c>
      <c r="D392" s="1195"/>
      <c r="E392" s="1194">
        <f>CEILING(71*$Z$1,0.1)</f>
        <v>88.80000000000001</v>
      </c>
      <c r="F392" s="1195"/>
      <c r="G392" s="1216">
        <f>CEILING(35*$Z$1,0.1)</f>
        <v>43.800000000000004</v>
      </c>
      <c r="H392" s="1217"/>
      <c r="I392" s="1216">
        <f>CEILING(40*$Z$1,0.1)</f>
        <v>50</v>
      </c>
      <c r="J392" s="1217"/>
      <c r="K392" s="1216">
        <f>CEILING(30*$Z$1,0.1)</f>
        <v>37.5</v>
      </c>
      <c r="L392" s="1217"/>
      <c r="M392" s="101"/>
      <c r="N392" s="92"/>
      <c r="O392" s="92"/>
      <c r="P392" s="92"/>
      <c r="Q392" s="92"/>
      <c r="R392" s="92"/>
      <c r="S392" s="92"/>
      <c r="T392" s="92"/>
      <c r="U392" s="92"/>
      <c r="V392" s="92"/>
    </row>
    <row r="393" spans="1:22" s="94" customFormat="1" ht="34.5" customHeight="1">
      <c r="A393" s="214" t="s">
        <v>49</v>
      </c>
      <c r="B393" s="192" t="s">
        <v>153</v>
      </c>
      <c r="C393" s="1192">
        <f>CEILING((C392*1.25),0.1)</f>
        <v>64.2</v>
      </c>
      <c r="D393" s="1193"/>
      <c r="E393" s="1192">
        <f>CEILING((E392*1.25),0.1)</f>
        <v>111</v>
      </c>
      <c r="F393" s="1193"/>
      <c r="G393" s="1200">
        <f>CEILING((G392*1.25),0.1)</f>
        <v>54.800000000000004</v>
      </c>
      <c r="H393" s="1201"/>
      <c r="I393" s="1200">
        <f>CEILING((I392*1.25),0.1)</f>
        <v>62.5</v>
      </c>
      <c r="J393" s="1201"/>
      <c r="K393" s="1200">
        <f>CEILING((K392*1.25),0.1)</f>
        <v>46.900000000000006</v>
      </c>
      <c r="L393" s="1201"/>
      <c r="M393" s="92"/>
      <c r="N393" s="92"/>
      <c r="O393" s="92"/>
      <c r="P393" s="92"/>
      <c r="Q393" s="92"/>
      <c r="R393" s="92"/>
      <c r="S393" s="92"/>
      <c r="T393" s="92"/>
      <c r="U393" s="92"/>
      <c r="V393" s="92"/>
    </row>
    <row r="394" spans="1:22" s="94" customFormat="1" ht="34.5" customHeight="1">
      <c r="A394" s="383" t="s">
        <v>362</v>
      </c>
      <c r="B394" s="192" t="s">
        <v>37</v>
      </c>
      <c r="C394" s="1192">
        <f>CEILING((C392*0.85),0.1)</f>
        <v>43.7</v>
      </c>
      <c r="D394" s="1193"/>
      <c r="E394" s="1192">
        <f>CEILING((E392*0.85),0.1)</f>
        <v>75.5</v>
      </c>
      <c r="F394" s="1193"/>
      <c r="G394" s="1200">
        <f>CEILING((G392*0.85),0.1)</f>
        <v>37.300000000000004</v>
      </c>
      <c r="H394" s="1201"/>
      <c r="I394" s="1200">
        <f>CEILING((I392*0.85),0.1)</f>
        <v>42.5</v>
      </c>
      <c r="J394" s="1201"/>
      <c r="K394" s="1200">
        <f>CEILING((K392*0.85),0.1)</f>
        <v>31.900000000000002</v>
      </c>
      <c r="L394" s="1201"/>
      <c r="M394" s="92"/>
      <c r="N394" s="92"/>
      <c r="O394" s="92"/>
      <c r="P394" s="92"/>
      <c r="Q394" s="92"/>
      <c r="R394" s="92"/>
      <c r="S394" s="92"/>
      <c r="T394" s="92"/>
      <c r="U394" s="92"/>
      <c r="V394" s="92"/>
    </row>
    <row r="395" spans="1:22" s="94" customFormat="1" ht="34.5" customHeight="1">
      <c r="A395" s="114" t="s">
        <v>1250</v>
      </c>
      <c r="B395" s="172" t="s">
        <v>66</v>
      </c>
      <c r="C395" s="1192">
        <f>CEILING((C392*0.5),0.1)</f>
        <v>25.700000000000003</v>
      </c>
      <c r="D395" s="1193"/>
      <c r="E395" s="1192">
        <f>CEILING((E392*0.5),0.1)</f>
        <v>44.400000000000006</v>
      </c>
      <c r="F395" s="1193"/>
      <c r="G395" s="1200">
        <f>CEILING((G392*0.5),0.1)</f>
        <v>21.900000000000002</v>
      </c>
      <c r="H395" s="1201"/>
      <c r="I395" s="1200">
        <f>CEILING((I392*0.5),0.1)</f>
        <v>25</v>
      </c>
      <c r="J395" s="1201"/>
      <c r="K395" s="1200">
        <f>CEILING((K392*0.5),0.1)</f>
        <v>18.8</v>
      </c>
      <c r="L395" s="1201"/>
      <c r="M395" s="92"/>
      <c r="N395" s="92"/>
      <c r="O395" s="92"/>
      <c r="P395" s="92"/>
      <c r="Q395" s="92"/>
      <c r="R395" s="92"/>
      <c r="S395" s="92"/>
      <c r="T395" s="92"/>
      <c r="U395" s="92"/>
      <c r="V395" s="92"/>
    </row>
    <row r="396" spans="1:22" s="94" customFormat="1" ht="34.5" customHeight="1">
      <c r="A396" s="375"/>
      <c r="B396" s="192" t="s">
        <v>70</v>
      </c>
      <c r="C396" s="1192">
        <f>CEILING(51*$Z$1,0.1)</f>
        <v>63.800000000000004</v>
      </c>
      <c r="D396" s="1193"/>
      <c r="E396" s="1192">
        <f>CEILING(81*$Z$1,0.1)</f>
        <v>101.30000000000001</v>
      </c>
      <c r="F396" s="1193"/>
      <c r="G396" s="1192">
        <f>CEILING(61*$Z$1,0.1)</f>
        <v>76.3</v>
      </c>
      <c r="H396" s="1193"/>
      <c r="I396" s="1192">
        <f>CEILING(65*$Z$1,0.1)</f>
        <v>81.30000000000001</v>
      </c>
      <c r="J396" s="1193"/>
      <c r="K396" s="1192">
        <f>CEILING(57*$Z$1,0.1)</f>
        <v>71.3</v>
      </c>
      <c r="L396" s="1193"/>
      <c r="M396" s="92"/>
      <c r="N396" s="92"/>
      <c r="O396" s="92"/>
      <c r="P396" s="92"/>
      <c r="Q396" s="92"/>
      <c r="R396" s="92"/>
      <c r="S396" s="92"/>
      <c r="T396" s="92"/>
      <c r="U396" s="92"/>
      <c r="V396" s="92"/>
    </row>
    <row r="397" spans="1:22" s="94" customFormat="1" ht="34.5" customHeight="1" thickBot="1">
      <c r="A397" s="376" t="s">
        <v>821</v>
      </c>
      <c r="B397" s="193" t="s">
        <v>169</v>
      </c>
      <c r="C397" s="1218">
        <f>CEILING(56*$Z$1,0.1)</f>
        <v>70</v>
      </c>
      <c r="D397" s="1219"/>
      <c r="E397" s="1218">
        <f>CEILING(86*$Z$1,0.1)</f>
        <v>107.5</v>
      </c>
      <c r="F397" s="1219"/>
      <c r="G397" s="1218">
        <f>CEILING(66*$Z$1,0.1)</f>
        <v>82.5</v>
      </c>
      <c r="H397" s="1219"/>
      <c r="I397" s="1218">
        <f>CEILING(70*$Z$1,0.1)</f>
        <v>87.5</v>
      </c>
      <c r="J397" s="1219"/>
      <c r="K397" s="1218">
        <f>CEILING(62*$Z$1,0.1)</f>
        <v>77.5</v>
      </c>
      <c r="L397" s="1219"/>
      <c r="M397" s="92"/>
      <c r="N397" s="92"/>
      <c r="O397" s="92"/>
      <c r="P397" s="92"/>
      <c r="Q397" s="92"/>
      <c r="R397" s="92"/>
      <c r="S397" s="92"/>
      <c r="T397" s="92"/>
      <c r="U397" s="92"/>
      <c r="V397" s="92"/>
    </row>
    <row r="398" spans="1:22" s="94" customFormat="1" ht="34.5" customHeight="1" thickTop="1">
      <c r="A398" s="387" t="s">
        <v>538</v>
      </c>
      <c r="B398" s="106"/>
      <c r="C398" s="916"/>
      <c r="D398" s="916"/>
      <c r="E398" s="916"/>
      <c r="F398" s="916"/>
      <c r="G398" s="916"/>
      <c r="H398" s="916"/>
      <c r="I398" s="916"/>
      <c r="J398" s="916"/>
      <c r="K398" s="916"/>
      <c r="L398" s="916"/>
      <c r="M398" s="92"/>
      <c r="N398" s="92"/>
      <c r="O398" s="92"/>
      <c r="P398" s="92"/>
      <c r="Q398" s="92"/>
      <c r="R398" s="92"/>
      <c r="S398" s="92"/>
      <c r="T398" s="92"/>
      <c r="U398" s="92"/>
      <c r="V398" s="92"/>
    </row>
    <row r="399" spans="1:22" s="94" customFormat="1" ht="35.25" customHeight="1">
      <c r="A399" s="377"/>
      <c r="B399" s="106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92"/>
      <c r="N399" s="92"/>
      <c r="O399" s="92"/>
      <c r="P399" s="92"/>
      <c r="Q399" s="92"/>
      <c r="R399" s="92"/>
      <c r="S399" s="92"/>
      <c r="T399" s="92"/>
      <c r="U399" s="92"/>
      <c r="V399" s="92"/>
    </row>
    <row r="400" spans="1:42" s="167" customFormat="1" ht="34.5" customHeight="1">
      <c r="A400" s="837" t="s">
        <v>33</v>
      </c>
      <c r="B400" s="838" t="s">
        <v>568</v>
      </c>
      <c r="C400" s="839" t="s">
        <v>847</v>
      </c>
      <c r="D400" s="840"/>
      <c r="E400" s="841" t="s">
        <v>1010</v>
      </c>
      <c r="F400" s="842"/>
      <c r="G400" s="841" t="s">
        <v>1011</v>
      </c>
      <c r="H400" s="842"/>
      <c r="I400" s="841" t="s">
        <v>851</v>
      </c>
      <c r="J400" s="842"/>
      <c r="K400" s="841" t="s">
        <v>852</v>
      </c>
      <c r="L400" s="842"/>
      <c r="M400" s="151"/>
      <c r="N400" s="151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</row>
    <row r="401" spans="1:23" s="94" customFormat="1" ht="34.5" customHeight="1">
      <c r="A401" s="384" t="s">
        <v>445</v>
      </c>
      <c r="B401" s="192" t="s">
        <v>797</v>
      </c>
      <c r="C401" s="1194">
        <f>CEILING(81.5*$Z$1,0.1)</f>
        <v>101.9</v>
      </c>
      <c r="D401" s="1195"/>
      <c r="E401" s="1194">
        <f>CEILING(152.9*$Z$1,0.1)</f>
        <v>191.20000000000002</v>
      </c>
      <c r="F401" s="1195"/>
      <c r="G401" s="1194">
        <f>CEILING(91.7*$Z$1,0.1)</f>
        <v>114.7</v>
      </c>
      <c r="H401" s="1195"/>
      <c r="I401" s="1194">
        <f>CEILING(117.2*$Z$1,0.1)</f>
        <v>146.5</v>
      </c>
      <c r="J401" s="1195"/>
      <c r="K401" s="1194">
        <f>CEILING(91.7*$Z$1,0.1)</f>
        <v>114.7</v>
      </c>
      <c r="L401" s="1195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</row>
    <row r="402" spans="1:23" s="94" customFormat="1" ht="34.5" customHeight="1">
      <c r="A402" s="266" t="s">
        <v>49</v>
      </c>
      <c r="B402" s="192" t="s">
        <v>798</v>
      </c>
      <c r="C402" s="1192">
        <f>CEILING((C401+35*$Z$1),0.1)</f>
        <v>145.70000000000002</v>
      </c>
      <c r="D402" s="1193"/>
      <c r="E402" s="1192">
        <f>CEILING((E401+50*$Z$1),0.1)</f>
        <v>253.70000000000002</v>
      </c>
      <c r="F402" s="1193"/>
      <c r="G402" s="1192">
        <f>CEILING((G401+35*$Z$1),0.1)</f>
        <v>158.5</v>
      </c>
      <c r="H402" s="1193"/>
      <c r="I402" s="1192">
        <f>CEILING((I401+35*$Z$1),0.1)</f>
        <v>190.3</v>
      </c>
      <c r="J402" s="1193"/>
      <c r="K402" s="1192">
        <f>CEILING((K401+35*$Z$1),0.1)</f>
        <v>158.5</v>
      </c>
      <c r="L402" s="1193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</row>
    <row r="403" spans="1:23" s="94" customFormat="1" ht="34.5" customHeight="1">
      <c r="A403" s="115" t="s">
        <v>745</v>
      </c>
      <c r="B403" s="190" t="s">
        <v>37</v>
      </c>
      <c r="C403" s="1192">
        <f>CEILING((C401*0.85),0.1)</f>
        <v>86.7</v>
      </c>
      <c r="D403" s="1193"/>
      <c r="E403" s="1192">
        <f>CEILING((E401*0.85),0.1)</f>
        <v>162.60000000000002</v>
      </c>
      <c r="F403" s="1193"/>
      <c r="G403" s="1192">
        <f>CEILING((G401*0.85),0.1)</f>
        <v>97.5</v>
      </c>
      <c r="H403" s="1193"/>
      <c r="I403" s="1192">
        <f>CEILING((I401*0.85),0.1)</f>
        <v>124.60000000000001</v>
      </c>
      <c r="J403" s="1193"/>
      <c r="K403" s="1192">
        <f>CEILING((K401*0.85),0.1)</f>
        <v>97.5</v>
      </c>
      <c r="L403" s="1193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</row>
    <row r="404" spans="1:23" s="94" customFormat="1" ht="34.5" customHeight="1">
      <c r="A404" s="115"/>
      <c r="B404" s="190" t="s">
        <v>317</v>
      </c>
      <c r="C404" s="1192">
        <f>CEILING(91.5*$Z$1,0.1)</f>
        <v>114.4</v>
      </c>
      <c r="D404" s="1193"/>
      <c r="E404" s="1192">
        <f>CEILING(162.9*$Z$1,0.1)</f>
        <v>203.70000000000002</v>
      </c>
      <c r="F404" s="1193"/>
      <c r="G404" s="1192">
        <f>CEILING(101.7*$Z$1,0.1)</f>
        <v>127.2</v>
      </c>
      <c r="H404" s="1193"/>
      <c r="I404" s="1192">
        <f>CEILING(127.2*$Z$1,0.1)</f>
        <v>159</v>
      </c>
      <c r="J404" s="1193"/>
      <c r="K404" s="1192">
        <f>CEILING(101.7*$Z$1,0.1)</f>
        <v>127.2</v>
      </c>
      <c r="L404" s="1193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</row>
    <row r="405" spans="1:23" s="94" customFormat="1" ht="34.5" customHeight="1">
      <c r="A405" s="115"/>
      <c r="B405" s="192" t="s">
        <v>446</v>
      </c>
      <c r="C405" s="1192">
        <f>CEILING((C404+35*$Z$1),0.1)</f>
        <v>158.20000000000002</v>
      </c>
      <c r="D405" s="1193"/>
      <c r="E405" s="1192">
        <f>CEILING((E404+50*$Z$1),0.1)</f>
        <v>266.2</v>
      </c>
      <c r="F405" s="1193"/>
      <c r="G405" s="1192">
        <f>CEILING((G404+35*$Z$1),0.1)</f>
        <v>171</v>
      </c>
      <c r="H405" s="1193"/>
      <c r="I405" s="1192">
        <f>CEILING((I404+35*$Z$1),0.1)</f>
        <v>202.8</v>
      </c>
      <c r="J405" s="1193"/>
      <c r="K405" s="1192">
        <f>CEILING((K404+35*$Z$1),0.1)</f>
        <v>171</v>
      </c>
      <c r="L405" s="1193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</row>
    <row r="406" spans="1:23" s="94" customFormat="1" ht="34.5" customHeight="1">
      <c r="A406" s="1001" t="s">
        <v>822</v>
      </c>
      <c r="B406" s="274" t="s">
        <v>447</v>
      </c>
      <c r="C406" s="1202">
        <f>CEILING(103.5*$Z$1,0.1)</f>
        <v>129.4</v>
      </c>
      <c r="D406" s="1203"/>
      <c r="E406" s="1202">
        <f>CEILING(174.9*$Z$1,0.1)</f>
        <v>218.70000000000002</v>
      </c>
      <c r="F406" s="1203"/>
      <c r="G406" s="1202">
        <f>CEILING(113.7*$Z$1,0.1)</f>
        <v>142.20000000000002</v>
      </c>
      <c r="H406" s="1203"/>
      <c r="I406" s="1202">
        <f>CEILING(139.2*$Z$1,0.1)</f>
        <v>174</v>
      </c>
      <c r="J406" s="1203"/>
      <c r="K406" s="1202">
        <f>CEILING(113.7*$Z$1,0.1)</f>
        <v>142.20000000000002</v>
      </c>
      <c r="L406" s="1203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</row>
    <row r="407" spans="1:23" s="875" customFormat="1" ht="34.5" customHeight="1">
      <c r="A407" s="339" t="s">
        <v>893</v>
      </c>
      <c r="B407" s="387"/>
      <c r="C407" s="1065"/>
      <c r="D407" s="1065"/>
      <c r="E407" s="1065"/>
      <c r="F407" s="1065"/>
      <c r="G407" s="1065"/>
      <c r="H407" s="1065"/>
      <c r="I407" s="1065"/>
      <c r="J407" s="1065"/>
      <c r="K407" s="1065"/>
      <c r="L407" s="1065"/>
      <c r="M407" s="1066"/>
      <c r="N407" s="1066"/>
      <c r="O407" s="1066"/>
      <c r="P407" s="1066"/>
      <c r="Q407" s="1066"/>
      <c r="R407" s="1066"/>
      <c r="S407" s="1066"/>
      <c r="T407" s="1066"/>
      <c r="U407" s="1066"/>
      <c r="V407" s="1066"/>
      <c r="W407" s="1066"/>
    </row>
    <row r="408" spans="1:23" s="94" customFormat="1" ht="34.5" customHeight="1">
      <c r="A408" s="994" t="s">
        <v>1012</v>
      </c>
      <c r="B408" s="106"/>
      <c r="C408" s="127"/>
      <c r="D408" s="127"/>
      <c r="E408" s="127"/>
      <c r="F408" s="127"/>
      <c r="G408" s="127"/>
      <c r="H408" s="127"/>
      <c r="I408" s="127"/>
      <c r="J408" s="127"/>
      <c r="K408" s="135"/>
      <c r="L408" s="135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</row>
    <row r="409" spans="1:25" s="145" customFormat="1" ht="34.5" customHeight="1">
      <c r="A409" s="900" t="s">
        <v>1255</v>
      </c>
      <c r="B409" s="900"/>
      <c r="C409" s="1096"/>
      <c r="D409" s="1096"/>
      <c r="E409" s="1096"/>
      <c r="F409" s="1096"/>
      <c r="G409" s="1096"/>
      <c r="H409" s="1096"/>
      <c r="I409" s="1096"/>
      <c r="J409" s="1096"/>
      <c r="K409" s="143"/>
      <c r="L409" s="143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</row>
    <row r="410" spans="1:25" s="145" customFormat="1" ht="34.5" customHeight="1">
      <c r="A410" s="900" t="s">
        <v>1256</v>
      </c>
      <c r="B410" s="900"/>
      <c r="C410" s="1104"/>
      <c r="D410" s="1104"/>
      <c r="E410" s="1104"/>
      <c r="F410" s="1104"/>
      <c r="G410" s="1104"/>
      <c r="H410" s="1104"/>
      <c r="I410" s="1104"/>
      <c r="J410" s="1104"/>
      <c r="K410" s="143"/>
      <c r="L410" s="143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</row>
    <row r="411" spans="1:23" s="94" customFormat="1" ht="34.5" customHeight="1">
      <c r="A411" s="1097"/>
      <c r="B411" s="106"/>
      <c r="C411" s="813"/>
      <c r="D411" s="813"/>
      <c r="E411" s="813"/>
      <c r="F411" s="813"/>
      <c r="G411" s="813"/>
      <c r="H411" s="813"/>
      <c r="I411" s="813"/>
      <c r="J411" s="813"/>
      <c r="K411" s="135"/>
      <c r="L411" s="135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</row>
    <row r="412" spans="1:42" s="167" customFormat="1" ht="34.5" customHeight="1">
      <c r="A412" s="837" t="s">
        <v>33</v>
      </c>
      <c r="B412" s="838" t="s">
        <v>568</v>
      </c>
      <c r="C412" s="839" t="s">
        <v>847</v>
      </c>
      <c r="D412" s="840"/>
      <c r="E412" s="841" t="s">
        <v>870</v>
      </c>
      <c r="F412" s="842"/>
      <c r="G412" s="841" t="s">
        <v>850</v>
      </c>
      <c r="H412" s="842"/>
      <c r="I412" s="841" t="s">
        <v>851</v>
      </c>
      <c r="J412" s="842"/>
      <c r="K412" s="841" t="s">
        <v>852</v>
      </c>
      <c r="L412" s="842"/>
      <c r="M412" s="151"/>
      <c r="N412" s="151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</row>
    <row r="413" spans="1:49" s="240" customFormat="1" ht="34.5" customHeight="1">
      <c r="A413" s="242" t="s">
        <v>545</v>
      </c>
      <c r="B413" s="189" t="s">
        <v>79</v>
      </c>
      <c r="C413" s="1194">
        <f>CEILING(28*$Z$1,0.1)</f>
        <v>35</v>
      </c>
      <c r="D413" s="1195"/>
      <c r="E413" s="1194">
        <f>CEILING(85*$Z$1,0.1)</f>
        <v>106.30000000000001</v>
      </c>
      <c r="F413" s="1195"/>
      <c r="G413" s="1194">
        <f>CEILING(62*$Z$1,0.1)</f>
        <v>77.5</v>
      </c>
      <c r="H413" s="1195"/>
      <c r="I413" s="1194">
        <f>CEILING(70*$Z$1,0.1)</f>
        <v>87.5</v>
      </c>
      <c r="J413" s="1195"/>
      <c r="K413" s="1194">
        <f>CEILING(55*$Z$1,0.1)</f>
        <v>68.8</v>
      </c>
      <c r="L413" s="1195"/>
      <c r="M413" s="106"/>
      <c r="N413" s="106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</row>
    <row r="414" spans="1:25" s="121" customFormat="1" ht="34.5" customHeight="1">
      <c r="A414" s="266" t="s">
        <v>544</v>
      </c>
      <c r="B414" s="190" t="s">
        <v>8</v>
      </c>
      <c r="C414" s="1192">
        <f>CEILING((C413+12*$Z$1),0.1)</f>
        <v>50</v>
      </c>
      <c r="D414" s="1193"/>
      <c r="E414" s="1192">
        <f>CEILING((E413+35*$Z$1),0.1)</f>
        <v>150.1</v>
      </c>
      <c r="F414" s="1193"/>
      <c r="G414" s="1192">
        <f>CEILING((G413+32*$Z$1),0.1)</f>
        <v>117.5</v>
      </c>
      <c r="H414" s="1193"/>
      <c r="I414" s="1192">
        <f>CEILING((I413+32*$Z$1),0.1)</f>
        <v>127.5</v>
      </c>
      <c r="J414" s="1193"/>
      <c r="K414" s="1192">
        <f>CEILING((K413+32*$Z$1),0.1)</f>
        <v>108.80000000000001</v>
      </c>
      <c r="L414" s="1193"/>
      <c r="M414" s="106"/>
      <c r="N414" s="106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</row>
    <row r="415" spans="1:25" s="121" customFormat="1" ht="34.5" customHeight="1">
      <c r="A415" s="385"/>
      <c r="B415" s="190" t="s">
        <v>546</v>
      </c>
      <c r="C415" s="1192">
        <f>CEILING((C413*0.85),0.1)</f>
        <v>29.8</v>
      </c>
      <c r="D415" s="1193"/>
      <c r="E415" s="1192">
        <f>CEILING((E413*0.85),0.1)</f>
        <v>90.4</v>
      </c>
      <c r="F415" s="1193"/>
      <c r="G415" s="1192">
        <f>CEILING((G413*0.85),0.1)</f>
        <v>65.9</v>
      </c>
      <c r="H415" s="1193"/>
      <c r="I415" s="1192">
        <f>CEILING((I413*0.85),0.1)</f>
        <v>74.4</v>
      </c>
      <c r="J415" s="1193"/>
      <c r="K415" s="1192">
        <f>CEILING((K413*0.85),0.1)</f>
        <v>58.5</v>
      </c>
      <c r="L415" s="1193"/>
      <c r="M415" s="106"/>
      <c r="N415" s="106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</row>
    <row r="416" spans="1:25" s="121" customFormat="1" ht="34.5" customHeight="1">
      <c r="A416" s="386"/>
      <c r="B416" s="190" t="s">
        <v>61</v>
      </c>
      <c r="C416" s="1192">
        <f>CEILING((C413*0.5),0.1)</f>
        <v>17.5</v>
      </c>
      <c r="D416" s="1193"/>
      <c r="E416" s="1192">
        <f>CEILING((E413*0.5),0.1)</f>
        <v>53.2</v>
      </c>
      <c r="F416" s="1193"/>
      <c r="G416" s="1192">
        <f>CEILING((G413*0.5),0.1)</f>
        <v>38.800000000000004</v>
      </c>
      <c r="H416" s="1193"/>
      <c r="I416" s="1192">
        <f>CEILING((I413*0.5),0.1)</f>
        <v>43.800000000000004</v>
      </c>
      <c r="J416" s="1193"/>
      <c r="K416" s="1192">
        <f>CEILING((K413*0.5),0.1)</f>
        <v>34.4</v>
      </c>
      <c r="L416" s="1193"/>
      <c r="M416" s="106"/>
      <c r="N416" s="106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</row>
    <row r="417" spans="1:25" s="121" customFormat="1" ht="34.5" customHeight="1">
      <c r="A417" s="164" t="s">
        <v>49</v>
      </c>
      <c r="B417" s="190" t="s">
        <v>57</v>
      </c>
      <c r="C417" s="1192">
        <f>CEILING(54*$Z$1,0.1)</f>
        <v>67.5</v>
      </c>
      <c r="D417" s="1193"/>
      <c r="E417" s="1192">
        <f>CEILING(90*$Z$1,0.1)</f>
        <v>112.5</v>
      </c>
      <c r="F417" s="1193"/>
      <c r="G417" s="1192">
        <f>CEILING(67*$Z$1,0.1)</f>
        <v>83.80000000000001</v>
      </c>
      <c r="H417" s="1193"/>
      <c r="I417" s="1192">
        <f>CEILING(75*$Z$1,0.1)</f>
        <v>93.80000000000001</v>
      </c>
      <c r="J417" s="1193"/>
      <c r="K417" s="1192">
        <f>CEILING(60*$Z$1,0.1)</f>
        <v>75</v>
      </c>
      <c r="L417" s="1193"/>
      <c r="M417" s="106"/>
      <c r="N417" s="106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</row>
    <row r="418" spans="1:25" s="121" customFormat="1" ht="34.5" customHeight="1">
      <c r="A418" s="387" t="s">
        <v>543</v>
      </c>
      <c r="B418" s="190" t="s">
        <v>58</v>
      </c>
      <c r="C418" s="1192">
        <f>CEILING((C417+30*$Z$1),0.1)</f>
        <v>105</v>
      </c>
      <c r="D418" s="1193"/>
      <c r="E418" s="1192">
        <f>CEILING((E417+35*$Z$1),0.1)</f>
        <v>156.3</v>
      </c>
      <c r="F418" s="1193"/>
      <c r="G418" s="1192">
        <f>CEILING((G417+32*$Z$1),0.1)</f>
        <v>123.80000000000001</v>
      </c>
      <c r="H418" s="1193"/>
      <c r="I418" s="1192">
        <f>CEILING((I417+32*$Z$1),0.1)</f>
        <v>133.8</v>
      </c>
      <c r="J418" s="1193"/>
      <c r="K418" s="1192">
        <f>CEILING((K417+32*$Z$1),0.1)</f>
        <v>115</v>
      </c>
      <c r="L418" s="1193"/>
      <c r="M418" s="106"/>
      <c r="N418" s="106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</row>
    <row r="419" spans="1:23" s="121" customFormat="1" ht="34.5" customHeight="1">
      <c r="A419" s="388"/>
      <c r="B419" s="190" t="s">
        <v>547</v>
      </c>
      <c r="C419" s="1192">
        <f>CEILING(59*$Z$1,0.1)</f>
        <v>73.8</v>
      </c>
      <c r="D419" s="1193"/>
      <c r="E419" s="1192">
        <f>CEILING(95*$Z$1,0.1)</f>
        <v>118.80000000000001</v>
      </c>
      <c r="F419" s="1193"/>
      <c r="G419" s="1192">
        <f>CEILING(72*$Z$1,0.1)</f>
        <v>90</v>
      </c>
      <c r="H419" s="1193"/>
      <c r="I419" s="1192">
        <f>CEILING(80*$Z$1,0.1)</f>
        <v>100</v>
      </c>
      <c r="J419" s="1193"/>
      <c r="K419" s="1192">
        <f>CEILING(65*$Z$1,0.1)</f>
        <v>81.30000000000001</v>
      </c>
      <c r="L419" s="1193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</row>
    <row r="420" spans="1:23" s="121" customFormat="1" ht="34.5" customHeight="1">
      <c r="A420" s="389"/>
      <c r="B420" s="281" t="s">
        <v>548</v>
      </c>
      <c r="C420" s="1202">
        <f>CEILING((C419+30*$Z$1),0.1)</f>
        <v>111.30000000000001</v>
      </c>
      <c r="D420" s="1203"/>
      <c r="E420" s="1202">
        <f>CEILING((E419+35*$Z$1),0.1)</f>
        <v>162.60000000000002</v>
      </c>
      <c r="F420" s="1203"/>
      <c r="G420" s="1202">
        <f>CEILING((G419+32*$Z$1),0.1)</f>
        <v>130</v>
      </c>
      <c r="H420" s="1203"/>
      <c r="I420" s="1202">
        <f>CEILING((I419+32*$Z$1),0.1)</f>
        <v>140</v>
      </c>
      <c r="J420" s="1203"/>
      <c r="K420" s="1202">
        <f>CEILING((K419+32*$Z$1),0.1)</f>
        <v>121.30000000000001</v>
      </c>
      <c r="L420" s="1203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</row>
    <row r="421" spans="1:25" s="911" customFormat="1" ht="34.5" customHeight="1">
      <c r="A421" s="339" t="s">
        <v>1108</v>
      </c>
      <c r="B421" s="339"/>
      <c r="C421" s="339"/>
      <c r="D421" s="339"/>
      <c r="E421" s="339"/>
      <c r="F421" s="339"/>
      <c r="G421" s="339"/>
      <c r="H421" s="339"/>
      <c r="I421" s="339"/>
      <c r="J421" s="339"/>
      <c r="K421" s="403"/>
      <c r="L421" s="403"/>
      <c r="M421" s="106"/>
      <c r="N421" s="106"/>
      <c r="O421" s="687"/>
      <c r="P421" s="687"/>
      <c r="Q421" s="687"/>
      <c r="R421" s="687"/>
      <c r="S421" s="687"/>
      <c r="T421" s="687"/>
      <c r="U421" s="687"/>
      <c r="V421" s="687"/>
      <c r="W421" s="687"/>
      <c r="X421" s="687"/>
      <c r="Y421" s="687"/>
    </row>
    <row r="422" spans="1:25" s="121" customFormat="1" ht="34.5" customHeight="1">
      <c r="A422" s="140"/>
      <c r="B422" s="138"/>
      <c r="C422" s="138"/>
      <c r="D422" s="138"/>
      <c r="E422" s="138"/>
      <c r="F422" s="138"/>
      <c r="G422" s="138"/>
      <c r="H422" s="138"/>
      <c r="I422" s="138"/>
      <c r="J422" s="138"/>
      <c r="K422" s="95"/>
      <c r="L422" s="95"/>
      <c r="M422" s="1270"/>
      <c r="N422" s="1270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</row>
    <row r="423" spans="1:42" s="167" customFormat="1" ht="34.5" customHeight="1">
      <c r="A423" s="837" t="s">
        <v>33</v>
      </c>
      <c r="B423" s="838" t="s">
        <v>568</v>
      </c>
      <c r="C423" s="839" t="s">
        <v>847</v>
      </c>
      <c r="D423" s="840"/>
      <c r="E423" s="841" t="s">
        <v>870</v>
      </c>
      <c r="F423" s="842"/>
      <c r="G423" s="841" t="s">
        <v>850</v>
      </c>
      <c r="H423" s="842"/>
      <c r="I423" s="841" t="s">
        <v>851</v>
      </c>
      <c r="J423" s="842"/>
      <c r="K423" s="841" t="s">
        <v>852</v>
      </c>
      <c r="L423" s="842"/>
      <c r="M423" s="151"/>
      <c r="N423" s="151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</row>
    <row r="424" spans="1:25" s="94" customFormat="1" ht="34.5" customHeight="1">
      <c r="A424" s="372" t="s">
        <v>748</v>
      </c>
      <c r="B424" s="213" t="s">
        <v>41</v>
      </c>
      <c r="C424" s="1194">
        <f>CEILING(34*$Z$1,0.1)</f>
        <v>42.5</v>
      </c>
      <c r="D424" s="1195"/>
      <c r="E424" s="1194">
        <f>CEILING(99*$Z$1,0.1)</f>
        <v>123.80000000000001</v>
      </c>
      <c r="F424" s="1195"/>
      <c r="G424" s="1194">
        <f>CEILING(69*$Z$1,0.1)</f>
        <v>86.30000000000001</v>
      </c>
      <c r="H424" s="1195"/>
      <c r="I424" s="1194">
        <f>CEILING(80*$Z$1,0.1)</f>
        <v>100</v>
      </c>
      <c r="J424" s="1195"/>
      <c r="K424" s="1194">
        <f>CEILING(62*$Z$1,0.1)</f>
        <v>77.5</v>
      </c>
      <c r="L424" s="1195"/>
      <c r="M424" s="106"/>
      <c r="N424" s="106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</row>
    <row r="425" spans="1:25" s="94" customFormat="1" ht="34.5" customHeight="1">
      <c r="A425" s="373" t="s">
        <v>49</v>
      </c>
      <c r="B425" s="192" t="s">
        <v>42</v>
      </c>
      <c r="C425" s="1192">
        <f>CEILING((C424+12*$Z$1),0.1)</f>
        <v>57.5</v>
      </c>
      <c r="D425" s="1193"/>
      <c r="E425" s="1192">
        <f>CEILING((E424+42*$Z$1),0.1)</f>
        <v>176.3</v>
      </c>
      <c r="F425" s="1193"/>
      <c r="G425" s="1192">
        <f>CEILING((G424+40*$Z$1),0.1)</f>
        <v>136.3</v>
      </c>
      <c r="H425" s="1193"/>
      <c r="I425" s="1192">
        <f>CEILING((I424+40*$Z$1),0.1)</f>
        <v>150</v>
      </c>
      <c r="J425" s="1193"/>
      <c r="K425" s="1192">
        <f>CEILING((K424+35*$Z$1),0.1)</f>
        <v>121.30000000000001</v>
      </c>
      <c r="L425" s="1193"/>
      <c r="M425" s="106"/>
      <c r="N425" s="106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</row>
    <row r="426" spans="1:25" s="94" customFormat="1" ht="34.5" customHeight="1">
      <c r="A426" s="386"/>
      <c r="B426" s="192" t="s">
        <v>37</v>
      </c>
      <c r="C426" s="1192">
        <f>CEILING((C424*0.85),0.1)</f>
        <v>36.2</v>
      </c>
      <c r="D426" s="1193"/>
      <c r="E426" s="1192">
        <f>CEILING((E424*0.85),0.1)</f>
        <v>105.30000000000001</v>
      </c>
      <c r="F426" s="1193"/>
      <c r="G426" s="1192">
        <f>CEILING((G424*0.85),0.1)</f>
        <v>73.4</v>
      </c>
      <c r="H426" s="1193"/>
      <c r="I426" s="1192">
        <f>CEILING((I424*0.85),0.1)</f>
        <v>85</v>
      </c>
      <c r="J426" s="1193"/>
      <c r="K426" s="1192">
        <f>CEILING((K424*0.85),0.1)</f>
        <v>65.9</v>
      </c>
      <c r="L426" s="1193"/>
      <c r="M426" s="97"/>
      <c r="N426" s="106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</row>
    <row r="427" spans="1:25" s="94" customFormat="1" ht="34.5" customHeight="1">
      <c r="A427" s="386"/>
      <c r="B427" s="192" t="s">
        <v>73</v>
      </c>
      <c r="C427" s="1192">
        <f>CEILING((C424*0.5),0.1)</f>
        <v>21.3</v>
      </c>
      <c r="D427" s="1193"/>
      <c r="E427" s="1192">
        <f>CEILING((E424*0.5),0.1)</f>
        <v>61.900000000000006</v>
      </c>
      <c r="F427" s="1193"/>
      <c r="G427" s="1192">
        <f>CEILING((G424*0.5),0.1)</f>
        <v>43.2</v>
      </c>
      <c r="H427" s="1193"/>
      <c r="I427" s="1192">
        <f>CEILING((I424*0.5),0.1)</f>
        <v>50</v>
      </c>
      <c r="J427" s="1193"/>
      <c r="K427" s="1192">
        <f>CEILING((K424*0.5),0.1)</f>
        <v>38.800000000000004</v>
      </c>
      <c r="L427" s="1193"/>
      <c r="M427" s="97"/>
      <c r="N427" s="106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</row>
    <row r="428" spans="1:25" s="94" customFormat="1" ht="34.5" customHeight="1">
      <c r="A428" s="386"/>
      <c r="B428" s="192" t="s">
        <v>539</v>
      </c>
      <c r="C428" s="1192">
        <f>CEILING(71*$Z$1,0.1)</f>
        <v>88.80000000000001</v>
      </c>
      <c r="D428" s="1193"/>
      <c r="E428" s="1192">
        <f>CEILING(114*$Z$1,0.1)</f>
        <v>142.5</v>
      </c>
      <c r="F428" s="1193"/>
      <c r="G428" s="1192">
        <f>CEILING(84*$Z$1,0.1)</f>
        <v>105</v>
      </c>
      <c r="H428" s="1193"/>
      <c r="I428" s="1192">
        <f>CEILING(95*$Z$1,0.1)</f>
        <v>118.80000000000001</v>
      </c>
      <c r="J428" s="1193"/>
      <c r="K428" s="1192">
        <f>CEILING(77*$Z$1,0.1)</f>
        <v>96.30000000000001</v>
      </c>
      <c r="L428" s="1193"/>
      <c r="M428" s="97"/>
      <c r="N428" s="106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</row>
    <row r="429" spans="1:25" s="94" customFormat="1" ht="34.5" customHeight="1" thickBot="1">
      <c r="A429" s="390" t="s">
        <v>464</v>
      </c>
      <c r="B429" s="193" t="s">
        <v>540</v>
      </c>
      <c r="C429" s="1202">
        <f>CEILING((C428+35*$Z$1),0.1)</f>
        <v>132.6</v>
      </c>
      <c r="D429" s="1203"/>
      <c r="E429" s="1202">
        <f>CEILING((E428+42*$Z$1),0.1)</f>
        <v>195</v>
      </c>
      <c r="F429" s="1203"/>
      <c r="G429" s="1202">
        <f>CEILING((G428+40*$Z$1),0.1)</f>
        <v>155</v>
      </c>
      <c r="H429" s="1203"/>
      <c r="I429" s="1202">
        <f>CEILING((I428+40*$Z$1),0.1)</f>
        <v>168.8</v>
      </c>
      <c r="J429" s="1203"/>
      <c r="K429" s="1202">
        <f>CEILING((K428+35*$Z$1),0.1)</f>
        <v>140.1</v>
      </c>
      <c r="L429" s="1203"/>
      <c r="M429" s="97"/>
      <c r="N429" s="106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</row>
    <row r="430" spans="1:25" s="911" customFormat="1" ht="34.5" customHeight="1" thickTop="1">
      <c r="A430" s="339" t="s">
        <v>1109</v>
      </c>
      <c r="B430" s="339"/>
      <c r="C430" s="339"/>
      <c r="D430" s="339"/>
      <c r="E430" s="339"/>
      <c r="F430" s="339"/>
      <c r="G430" s="339"/>
      <c r="H430" s="339"/>
      <c r="I430" s="1056"/>
      <c r="J430" s="1056"/>
      <c r="K430" s="403"/>
      <c r="L430" s="403"/>
      <c r="M430" s="106"/>
      <c r="N430" s="106"/>
      <c r="O430" s="687"/>
      <c r="P430" s="687"/>
      <c r="Q430" s="687"/>
      <c r="R430" s="687"/>
      <c r="S430" s="687"/>
      <c r="T430" s="687"/>
      <c r="U430" s="687"/>
      <c r="V430" s="687"/>
      <c r="W430" s="687"/>
      <c r="X430" s="687"/>
      <c r="Y430" s="687"/>
    </row>
    <row r="431" spans="1:58" s="94" customFormat="1" ht="34.5" customHeight="1" thickBot="1">
      <c r="A431" s="277"/>
      <c r="B431" s="278"/>
      <c r="C431" s="278"/>
      <c r="D431" s="278"/>
      <c r="E431" s="278"/>
      <c r="F431" s="278"/>
      <c r="G431" s="278"/>
      <c r="H431" s="278"/>
      <c r="I431" s="140"/>
      <c r="J431" s="140"/>
      <c r="K431" s="135"/>
      <c r="L431" s="135"/>
      <c r="M431" s="100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</row>
    <row r="432" spans="1:42" s="167" customFormat="1" ht="34.5" customHeight="1" thickTop="1">
      <c r="A432" s="837" t="s">
        <v>33</v>
      </c>
      <c r="B432" s="838" t="s">
        <v>568</v>
      </c>
      <c r="C432" s="839" t="s">
        <v>847</v>
      </c>
      <c r="D432" s="840"/>
      <c r="E432" s="841" t="s">
        <v>870</v>
      </c>
      <c r="F432" s="842"/>
      <c r="G432" s="841" t="s">
        <v>850</v>
      </c>
      <c r="H432" s="842"/>
      <c r="I432" s="841" t="s">
        <v>851</v>
      </c>
      <c r="J432" s="842"/>
      <c r="K432" s="841" t="s">
        <v>852</v>
      </c>
      <c r="L432" s="842"/>
      <c r="M432" s="151"/>
      <c r="N432" s="151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</row>
    <row r="433" spans="1:58" s="94" customFormat="1" ht="34.5" customHeight="1">
      <c r="A433" s="296" t="s">
        <v>541</v>
      </c>
      <c r="B433" s="189" t="s">
        <v>41</v>
      </c>
      <c r="C433" s="1194">
        <f>CEILING(32*$Z$1,0.1)</f>
        <v>40</v>
      </c>
      <c r="D433" s="1195"/>
      <c r="E433" s="1192">
        <f>CEILING(97*$Z$1,0.1)</f>
        <v>121.30000000000001</v>
      </c>
      <c r="F433" s="1193"/>
      <c r="G433" s="1194">
        <f>CEILING(67*$Z$1,0.1)</f>
        <v>83.80000000000001</v>
      </c>
      <c r="H433" s="1195"/>
      <c r="I433" s="1194">
        <f>CEILING(78*$Z$1,0.1)</f>
        <v>97.5</v>
      </c>
      <c r="J433" s="1195"/>
      <c r="K433" s="1194">
        <f>CEILING(60*$Z$1,0.1)</f>
        <v>75</v>
      </c>
      <c r="L433" s="1195"/>
      <c r="M433" s="106"/>
      <c r="N433" s="10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</row>
    <row r="434" spans="1:58" s="94" customFormat="1" ht="34.5" customHeight="1">
      <c r="A434" s="244" t="s">
        <v>823</v>
      </c>
      <c r="B434" s="190" t="s">
        <v>42</v>
      </c>
      <c r="C434" s="1192">
        <f>CEILING((C433+12*$Z$1),0.1)</f>
        <v>55</v>
      </c>
      <c r="D434" s="1193"/>
      <c r="E434" s="1192">
        <f>CEILING((E433+40*$Z$1),0.1)</f>
        <v>171.3</v>
      </c>
      <c r="F434" s="1193"/>
      <c r="G434" s="1192">
        <f>CEILING((G433+35*$Z$1),0.1)</f>
        <v>127.60000000000001</v>
      </c>
      <c r="H434" s="1193"/>
      <c r="I434" s="1192">
        <f>CEILING((I433+35*$Z$1),0.1)</f>
        <v>141.3</v>
      </c>
      <c r="J434" s="1193"/>
      <c r="K434" s="1192">
        <f>CEILING((K433+32*$Z$1),0.1)</f>
        <v>115</v>
      </c>
      <c r="L434" s="1193"/>
      <c r="M434" s="106"/>
      <c r="N434" s="10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</row>
    <row r="435" spans="1:58" s="94" customFormat="1" ht="34.5" customHeight="1">
      <c r="A435" s="386"/>
      <c r="B435" s="190" t="s">
        <v>539</v>
      </c>
      <c r="C435" s="1192">
        <f>CEILING(64*$Z$1,0.1)</f>
        <v>80</v>
      </c>
      <c r="D435" s="1193"/>
      <c r="E435" s="1192">
        <f>CEILING(107*$Z$1,0.1)</f>
        <v>133.8</v>
      </c>
      <c r="F435" s="1193"/>
      <c r="G435" s="1192">
        <f>CEILING(77*$Z$1,0.1)</f>
        <v>96.30000000000001</v>
      </c>
      <c r="H435" s="1193"/>
      <c r="I435" s="1192">
        <f>CEILING(88*$Z$1,0.1)</f>
        <v>110</v>
      </c>
      <c r="J435" s="1193"/>
      <c r="K435" s="1192">
        <f>CEILING(70*$Z$1,0.1)</f>
        <v>87.5</v>
      </c>
      <c r="L435" s="1193"/>
      <c r="M435" s="106"/>
      <c r="N435" s="10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</row>
    <row r="436" spans="1:58" s="94" customFormat="1" ht="34.5" customHeight="1" thickBot="1">
      <c r="A436" s="390" t="s">
        <v>464</v>
      </c>
      <c r="B436" s="246" t="s">
        <v>540</v>
      </c>
      <c r="C436" s="1202">
        <f>CEILING((C435+32*$Z$1),0.1)</f>
        <v>120</v>
      </c>
      <c r="D436" s="1203"/>
      <c r="E436" s="1202">
        <f>CEILING((E435+40*$Z$1),0.1)</f>
        <v>183.8</v>
      </c>
      <c r="F436" s="1203"/>
      <c r="G436" s="1202">
        <f>CEILING((G435+35*$Z$1),0.1)</f>
        <v>140.1</v>
      </c>
      <c r="H436" s="1203"/>
      <c r="I436" s="1202">
        <f>CEILING((I435+35*$Z$1),0.1)</f>
        <v>153.8</v>
      </c>
      <c r="J436" s="1203"/>
      <c r="K436" s="1202">
        <f>CEILING((K435+32*$Z$1),0.1)</f>
        <v>127.5</v>
      </c>
      <c r="L436" s="1203"/>
      <c r="M436" s="106"/>
      <c r="N436" s="10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</row>
    <row r="437" spans="1:58" s="121" customFormat="1" ht="34.5" customHeight="1" thickTop="1">
      <c r="A437" s="339" t="s">
        <v>542</v>
      </c>
      <c r="B437" s="339"/>
      <c r="C437" s="339"/>
      <c r="D437" s="339"/>
      <c r="E437" s="339"/>
      <c r="F437" s="339"/>
      <c r="G437" s="339"/>
      <c r="H437" s="339"/>
      <c r="I437" s="339"/>
      <c r="J437" s="339"/>
      <c r="K437" s="148"/>
      <c r="L437" s="148"/>
      <c r="M437" s="106"/>
      <c r="N437" s="106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</row>
    <row r="438" spans="1:12" s="100" customFormat="1" ht="34.5" customHeight="1">
      <c r="A438" s="1233"/>
      <c r="B438" s="1298"/>
      <c r="C438" s="1298"/>
      <c r="D438" s="1298"/>
      <c r="E438" s="1298"/>
      <c r="F438" s="1298"/>
      <c r="G438" s="1298"/>
      <c r="H438" s="1298"/>
      <c r="I438" s="1298"/>
      <c r="J438" s="1298"/>
      <c r="K438" s="135"/>
      <c r="L438" s="135"/>
    </row>
    <row r="439" spans="1:42" s="167" customFormat="1" ht="34.5" customHeight="1">
      <c r="A439" s="837" t="s">
        <v>33</v>
      </c>
      <c r="B439" s="838" t="s">
        <v>568</v>
      </c>
      <c r="C439" s="839" t="s">
        <v>847</v>
      </c>
      <c r="D439" s="840"/>
      <c r="E439" s="841" t="s">
        <v>1175</v>
      </c>
      <c r="F439" s="842"/>
      <c r="G439" s="841" t="s">
        <v>1177</v>
      </c>
      <c r="H439" s="842"/>
      <c r="I439" s="841" t="s">
        <v>851</v>
      </c>
      <c r="J439" s="842"/>
      <c r="K439" s="841" t="s">
        <v>852</v>
      </c>
      <c r="L439" s="842"/>
      <c r="M439" s="151"/>
      <c r="N439" s="151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</row>
    <row r="440" spans="1:58" s="94" customFormat="1" ht="34.5" customHeight="1">
      <c r="A440" s="392" t="s">
        <v>246</v>
      </c>
      <c r="B440" s="245" t="s">
        <v>312</v>
      </c>
      <c r="C440" s="1216">
        <f>CEILING(34*$Z$1,0.1)</f>
        <v>42.5</v>
      </c>
      <c r="D440" s="1217"/>
      <c r="E440" s="1216">
        <f>CEILING(60*$Z$1,0.1)</f>
        <v>75</v>
      </c>
      <c r="F440" s="1217"/>
      <c r="G440" s="1216">
        <f>CEILING(47*$Z$1,0.1)</f>
        <v>58.800000000000004</v>
      </c>
      <c r="H440" s="1217"/>
      <c r="I440" s="1216">
        <f>CEILING(54*$Z$1,0.1)</f>
        <v>67.5</v>
      </c>
      <c r="J440" s="1217"/>
      <c r="K440" s="1216">
        <f>CEILING(41.4*$Z$1,0.1)</f>
        <v>51.800000000000004</v>
      </c>
      <c r="L440" s="1217"/>
      <c r="M440" s="106"/>
      <c r="N440" s="10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</row>
    <row r="441" spans="1:58" s="94" customFormat="1" ht="34.5" customHeight="1">
      <c r="A441" s="393" t="s">
        <v>49</v>
      </c>
      <c r="B441" s="245" t="s">
        <v>313</v>
      </c>
      <c r="C441" s="1200">
        <f>CEILING((C440+22*$Z$1),0.1)</f>
        <v>70</v>
      </c>
      <c r="D441" s="1201"/>
      <c r="E441" s="1200">
        <f>CEILING((E440+22*$Z$1),0.1)</f>
        <v>102.5</v>
      </c>
      <c r="F441" s="1201"/>
      <c r="G441" s="1200">
        <f>CEILING((G440+22*$Z$1),0.1)</f>
        <v>86.30000000000001</v>
      </c>
      <c r="H441" s="1201"/>
      <c r="I441" s="1200">
        <f>CEILING((I440+22*$Z$1),0.1)</f>
        <v>95</v>
      </c>
      <c r="J441" s="1201"/>
      <c r="K441" s="1200">
        <f>CEILING((K440+22*$Z$1),0.1)</f>
        <v>79.30000000000001</v>
      </c>
      <c r="L441" s="1201"/>
      <c r="M441" s="112"/>
      <c r="N441" s="111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</row>
    <row r="442" spans="1:58" s="94" customFormat="1" ht="34.5" customHeight="1">
      <c r="A442" s="394"/>
      <c r="B442" s="245" t="s">
        <v>73</v>
      </c>
      <c r="C442" s="1200">
        <f>CEILING((C440*0.5),0.1)</f>
        <v>21.3</v>
      </c>
      <c r="D442" s="1201"/>
      <c r="E442" s="1200">
        <f>CEILING((E440*0.5),0.1)</f>
        <v>37.5</v>
      </c>
      <c r="F442" s="1201"/>
      <c r="G442" s="1200">
        <f>CEILING((G440*0.5),0.1)</f>
        <v>29.400000000000002</v>
      </c>
      <c r="H442" s="1201"/>
      <c r="I442" s="1200">
        <f>CEILING((I440*0.5),0.1)</f>
        <v>33.800000000000004</v>
      </c>
      <c r="J442" s="1201"/>
      <c r="K442" s="1200">
        <f>CEILING((K440*0.5),0.1)</f>
        <v>25.900000000000002</v>
      </c>
      <c r="L442" s="1201"/>
      <c r="M442" s="97"/>
      <c r="N442" s="10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</row>
    <row r="443" spans="1:58" s="94" customFormat="1" ht="34.5" customHeight="1">
      <c r="A443" s="395" t="s">
        <v>1178</v>
      </c>
      <c r="B443" s="245" t="s">
        <v>465</v>
      </c>
      <c r="C443" s="1200">
        <f>CEILING(36*$Z$1,0.1)</f>
        <v>45</v>
      </c>
      <c r="D443" s="1201"/>
      <c r="E443" s="1200">
        <f>CEILING(64*$Z$1,0.1)</f>
        <v>80</v>
      </c>
      <c r="F443" s="1201"/>
      <c r="G443" s="1200">
        <f>CEILING(50*$Z$1,0.1)</f>
        <v>62.5</v>
      </c>
      <c r="H443" s="1201"/>
      <c r="I443" s="1200">
        <f>CEILING(58*$Z$1,0.1)</f>
        <v>72.5</v>
      </c>
      <c r="J443" s="1201"/>
      <c r="K443" s="1200">
        <f>CEILING(46*$Z$1,0.1)</f>
        <v>57.5</v>
      </c>
      <c r="L443" s="1201"/>
      <c r="M443" s="97"/>
      <c r="N443" s="10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</row>
    <row r="444" spans="1:58" s="94" customFormat="1" ht="34.5" customHeight="1">
      <c r="A444" s="302" t="s">
        <v>467</v>
      </c>
      <c r="B444" s="396" t="s">
        <v>466</v>
      </c>
      <c r="C444" s="1227">
        <f>CEILING((C443+22*$Z$1),0.1)</f>
        <v>72.5</v>
      </c>
      <c r="D444" s="1228"/>
      <c r="E444" s="1227">
        <f>CEILING((E443+22*$Z$1),0.1)</f>
        <v>107.5</v>
      </c>
      <c r="F444" s="1228"/>
      <c r="G444" s="1227">
        <f>CEILING((G443+22*$Z$1),0.1)</f>
        <v>90</v>
      </c>
      <c r="H444" s="1228"/>
      <c r="I444" s="1227">
        <f>CEILING((I443+22*$Z$1),0.1)</f>
        <v>100</v>
      </c>
      <c r="J444" s="1228"/>
      <c r="K444" s="1227">
        <f>CEILING((K443+22*$Z$1),0.1)</f>
        <v>85</v>
      </c>
      <c r="L444" s="1228"/>
      <c r="M444" s="97"/>
      <c r="N444" s="10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</row>
    <row r="445" spans="1:58" s="121" customFormat="1" ht="34.5" customHeight="1">
      <c r="A445" s="339" t="s">
        <v>923</v>
      </c>
      <c r="B445" s="339"/>
      <c r="C445" s="339"/>
      <c r="D445" s="339"/>
      <c r="E445" s="339"/>
      <c r="F445" s="339"/>
      <c r="G445" s="339"/>
      <c r="H445" s="339"/>
      <c r="I445" s="339"/>
      <c r="J445" s="339"/>
      <c r="K445" s="148"/>
      <c r="L445" s="148"/>
      <c r="M445" s="106"/>
      <c r="N445" s="106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</row>
    <row r="446" spans="1:58" s="121" customFormat="1" ht="34.5" customHeight="1">
      <c r="A446" s="397"/>
      <c r="B446" s="398"/>
      <c r="C446" s="379"/>
      <c r="D446" s="379"/>
      <c r="E446" s="379"/>
      <c r="F446" s="379"/>
      <c r="G446" s="379"/>
      <c r="H446" s="379"/>
      <c r="I446" s="379"/>
      <c r="J446" s="379"/>
      <c r="K446" s="127"/>
      <c r="L446" s="127"/>
      <c r="M446" s="106"/>
      <c r="N446" s="106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</row>
    <row r="447" spans="1:42" s="167" customFormat="1" ht="34.5" customHeight="1">
      <c r="A447" s="837" t="s">
        <v>33</v>
      </c>
      <c r="B447" s="838" t="s">
        <v>568</v>
      </c>
      <c r="C447" s="839" t="s">
        <v>924</v>
      </c>
      <c r="D447" s="840"/>
      <c r="E447" s="841" t="s">
        <v>925</v>
      </c>
      <c r="F447" s="842"/>
      <c r="G447" s="841" t="s">
        <v>926</v>
      </c>
      <c r="H447" s="842"/>
      <c r="I447" s="841" t="s">
        <v>851</v>
      </c>
      <c r="J447" s="842"/>
      <c r="K447" s="841" t="s">
        <v>852</v>
      </c>
      <c r="L447" s="842"/>
      <c r="M447" s="151"/>
      <c r="N447" s="151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</row>
    <row r="448" spans="1:58" s="94" customFormat="1" ht="34.5" customHeight="1">
      <c r="A448" s="372" t="s">
        <v>245</v>
      </c>
      <c r="B448" s="190" t="s">
        <v>41</v>
      </c>
      <c r="C448" s="1194">
        <f>CEILING(52*$Z$1,0.1)</f>
        <v>65</v>
      </c>
      <c r="D448" s="1195"/>
      <c r="E448" s="1194">
        <f>CEILING(99*$Z$1,0.1)</f>
        <v>123.80000000000001</v>
      </c>
      <c r="F448" s="1195"/>
      <c r="G448" s="1194">
        <f>CEILING(72*$Z$1,0.1)</f>
        <v>90</v>
      </c>
      <c r="H448" s="1195"/>
      <c r="I448" s="1194">
        <f>CEILING(84*$Z$1,0.1)</f>
        <v>105</v>
      </c>
      <c r="J448" s="1195"/>
      <c r="K448" s="1194">
        <f>CEILING(55*$Z$1,0.1)</f>
        <v>68.8</v>
      </c>
      <c r="L448" s="1195"/>
      <c r="M448" s="106"/>
      <c r="N448" s="10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</row>
    <row r="449" spans="1:58" s="94" customFormat="1" ht="34.5" customHeight="1">
      <c r="A449" s="373" t="s">
        <v>49</v>
      </c>
      <c r="B449" s="190" t="s">
        <v>42</v>
      </c>
      <c r="C449" s="1192">
        <f>CEILING((C448+25*$Z$1),0.1)</f>
        <v>96.30000000000001</v>
      </c>
      <c r="D449" s="1193"/>
      <c r="E449" s="1192">
        <f>CEILING((E448+25*$Z$1),0.1)</f>
        <v>155.10000000000002</v>
      </c>
      <c r="F449" s="1193"/>
      <c r="G449" s="1192">
        <f>CEILING((G448+25*$Z$1),0.1)</f>
        <v>121.30000000000001</v>
      </c>
      <c r="H449" s="1193"/>
      <c r="I449" s="1192">
        <f>CEILING((I448+25*$Z$1),0.1)</f>
        <v>136.3</v>
      </c>
      <c r="J449" s="1193"/>
      <c r="K449" s="1192">
        <f>CEILING((K448+25*$Z$1),0.1)</f>
        <v>100.10000000000001</v>
      </c>
      <c r="L449" s="1193"/>
      <c r="M449" s="106"/>
      <c r="N449" s="10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</row>
    <row r="450" spans="1:53" s="94" customFormat="1" ht="34.5" customHeight="1">
      <c r="A450" s="113" t="s">
        <v>1222</v>
      </c>
      <c r="B450" s="190" t="s">
        <v>37</v>
      </c>
      <c r="C450" s="1192">
        <f>CEILING((C448*0.85),0.1)</f>
        <v>55.300000000000004</v>
      </c>
      <c r="D450" s="1193"/>
      <c r="E450" s="1192">
        <f>CEILING((E448*0.85),0.1)</f>
        <v>105.30000000000001</v>
      </c>
      <c r="F450" s="1193"/>
      <c r="G450" s="1192">
        <f>CEILING((G448*0.85),0.1)</f>
        <v>76.5</v>
      </c>
      <c r="H450" s="1193"/>
      <c r="I450" s="1192">
        <f>CEILING((I448*0.85),0.1)</f>
        <v>89.30000000000001</v>
      </c>
      <c r="J450" s="1193"/>
      <c r="K450" s="1192">
        <f>CEILING((K448*0.85),0.1)</f>
        <v>58.5</v>
      </c>
      <c r="L450" s="1193"/>
      <c r="M450" s="106"/>
      <c r="N450" s="10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</row>
    <row r="451" spans="1:53" s="94" customFormat="1" ht="34.5" customHeight="1" thickBot="1">
      <c r="A451" s="399" t="s">
        <v>467</v>
      </c>
      <c r="B451" s="246" t="s">
        <v>66</v>
      </c>
      <c r="C451" s="1202">
        <f>CEILING((C448*0.5),0.1)</f>
        <v>32.5</v>
      </c>
      <c r="D451" s="1203"/>
      <c r="E451" s="1202">
        <f>CEILING((E448*0.5),0.1)</f>
        <v>61.900000000000006</v>
      </c>
      <c r="F451" s="1203"/>
      <c r="G451" s="1202">
        <f>CEILING((G448*0.5),0.1)</f>
        <v>45</v>
      </c>
      <c r="H451" s="1203"/>
      <c r="I451" s="1202">
        <f>CEILING((I448*0.5),0.1)</f>
        <v>52.5</v>
      </c>
      <c r="J451" s="1203"/>
      <c r="K451" s="1202">
        <f>CEILING((K448*0.5),0.1)</f>
        <v>34.4</v>
      </c>
      <c r="L451" s="1203"/>
      <c r="M451" s="106"/>
      <c r="N451" s="10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</row>
    <row r="452" spans="1:53" s="121" customFormat="1" ht="34.5" customHeight="1" thickTop="1">
      <c r="A452" s="339" t="s">
        <v>549</v>
      </c>
      <c r="B452" s="339"/>
      <c r="C452" s="339"/>
      <c r="D452" s="339"/>
      <c r="E452" s="339"/>
      <c r="F452" s="339"/>
      <c r="G452" s="339"/>
      <c r="H452" s="339"/>
      <c r="I452" s="339"/>
      <c r="J452" s="339"/>
      <c r="K452" s="148"/>
      <c r="L452" s="148"/>
      <c r="M452" s="106"/>
      <c r="N452" s="106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</row>
    <row r="453" spans="1:53" s="94" customFormat="1" ht="34.5" customHeight="1">
      <c r="A453" s="387" t="s">
        <v>468</v>
      </c>
      <c r="B453" s="106"/>
      <c r="C453" s="191"/>
      <c r="D453" s="191"/>
      <c r="E453" s="191"/>
      <c r="F453" s="191"/>
      <c r="G453" s="191"/>
      <c r="H453" s="191"/>
      <c r="I453" s="191"/>
      <c r="J453" s="191"/>
      <c r="K453" s="191"/>
      <c r="L453" s="191"/>
      <c r="M453" s="106"/>
      <c r="N453" s="10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</row>
    <row r="454" spans="1:25" s="94" customFormat="1" ht="34.5" customHeight="1">
      <c r="A454" s="339"/>
      <c r="B454" s="379"/>
      <c r="C454" s="379"/>
      <c r="D454" s="379"/>
      <c r="E454" s="379"/>
      <c r="F454" s="379"/>
      <c r="G454" s="379"/>
      <c r="H454" s="379"/>
      <c r="I454" s="379"/>
      <c r="J454" s="379"/>
      <c r="K454" s="99"/>
      <c r="L454" s="91"/>
      <c r="M454" s="106"/>
      <c r="N454" s="106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</row>
    <row r="455" spans="1:42" s="167" customFormat="1" ht="34.5" customHeight="1">
      <c r="A455" s="837" t="s">
        <v>33</v>
      </c>
      <c r="B455" s="838" t="s">
        <v>568</v>
      </c>
      <c r="C455" s="839" t="s">
        <v>847</v>
      </c>
      <c r="D455" s="840"/>
      <c r="E455" s="841" t="s">
        <v>925</v>
      </c>
      <c r="F455" s="842"/>
      <c r="G455" s="841" t="s">
        <v>1177</v>
      </c>
      <c r="H455" s="842"/>
      <c r="I455" s="841" t="s">
        <v>851</v>
      </c>
      <c r="J455" s="842"/>
      <c r="K455" s="841" t="s">
        <v>852</v>
      </c>
      <c r="L455" s="842"/>
      <c r="M455" s="151"/>
      <c r="N455" s="151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</row>
    <row r="456" spans="1:25" s="94" customFormat="1" ht="34.5" customHeight="1">
      <c r="A456" s="372" t="s">
        <v>550</v>
      </c>
      <c r="B456" s="190" t="s">
        <v>528</v>
      </c>
      <c r="C456" s="1216">
        <f>CEILING(39*$Z$1,0.1)</f>
        <v>48.800000000000004</v>
      </c>
      <c r="D456" s="1217"/>
      <c r="E456" s="1216">
        <f>CEILING(78*$Z$1,0.1)</f>
        <v>97.5</v>
      </c>
      <c r="F456" s="1217"/>
      <c r="G456" s="1216">
        <f>CEILING(57*$Z$1,0.1)</f>
        <v>71.3</v>
      </c>
      <c r="H456" s="1217"/>
      <c r="I456" s="1216">
        <f>CEILING(68*$Z$1,0.1)</f>
        <v>85</v>
      </c>
      <c r="J456" s="1217"/>
      <c r="K456" s="1216">
        <f>CEILING(48.3*$Z$1,0.1)</f>
        <v>60.400000000000006</v>
      </c>
      <c r="L456" s="1217"/>
      <c r="M456" s="106"/>
      <c r="N456" s="106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</row>
    <row r="457" spans="1:25" s="94" customFormat="1" ht="34.5" customHeight="1">
      <c r="A457" s="373" t="s">
        <v>49</v>
      </c>
      <c r="B457" s="190" t="s">
        <v>466</v>
      </c>
      <c r="C457" s="1200">
        <f>CEILING((C456+22*$Z$1),0.1)</f>
        <v>76.3</v>
      </c>
      <c r="D457" s="1201"/>
      <c r="E457" s="1200">
        <f>CEILING((E456+22*$Z$1),0.1)</f>
        <v>125</v>
      </c>
      <c r="F457" s="1201"/>
      <c r="G457" s="1200">
        <f>CEILING((G456+22*$Z$1),0.1)</f>
        <v>98.80000000000001</v>
      </c>
      <c r="H457" s="1201"/>
      <c r="I457" s="1200">
        <f>CEILING((I456+22*$Z$1),0.1)</f>
        <v>112.5</v>
      </c>
      <c r="J457" s="1201"/>
      <c r="K457" s="1200">
        <f>CEILING((K456+22*$Z$1),0.1)</f>
        <v>87.9</v>
      </c>
      <c r="L457" s="1201"/>
      <c r="M457" s="106"/>
      <c r="N457" s="106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</row>
    <row r="458" spans="1:25" s="94" customFormat="1" ht="34.5" customHeight="1">
      <c r="A458" s="115" t="s">
        <v>1179</v>
      </c>
      <c r="B458" s="190" t="s">
        <v>37</v>
      </c>
      <c r="C458" s="1200">
        <f>CEILING((C456*0.85),0.1)</f>
        <v>41.5</v>
      </c>
      <c r="D458" s="1201"/>
      <c r="E458" s="1200">
        <f>CEILING((E456*0.85),0.1)</f>
        <v>82.9</v>
      </c>
      <c r="F458" s="1201"/>
      <c r="G458" s="1200">
        <f>CEILING((G456*0.85),0.1)</f>
        <v>60.7</v>
      </c>
      <c r="H458" s="1201"/>
      <c r="I458" s="1200">
        <f>CEILING((I456*0.85),0.1)</f>
        <v>72.3</v>
      </c>
      <c r="J458" s="1201"/>
      <c r="K458" s="1200">
        <f>CEILING((K456*0.85),0.1)</f>
        <v>51.400000000000006</v>
      </c>
      <c r="L458" s="1201"/>
      <c r="M458" s="106"/>
      <c r="N458" s="106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</row>
    <row r="459" spans="1:25" s="94" customFormat="1" ht="34.5" customHeight="1" thickBot="1">
      <c r="A459" s="400" t="s">
        <v>467</v>
      </c>
      <c r="B459" s="193" t="s">
        <v>89</v>
      </c>
      <c r="C459" s="1227">
        <f>CEILING((C456*0.5),0.1)</f>
        <v>24.400000000000002</v>
      </c>
      <c r="D459" s="1228"/>
      <c r="E459" s="1227">
        <f>CEILING((E456*0.5),0.1)</f>
        <v>48.800000000000004</v>
      </c>
      <c r="F459" s="1228"/>
      <c r="G459" s="1227">
        <f>CEILING((G456*0.5),0.1)</f>
        <v>35.7</v>
      </c>
      <c r="H459" s="1228"/>
      <c r="I459" s="1227">
        <f>CEILING((I456*0.5),0.1)</f>
        <v>42.5</v>
      </c>
      <c r="J459" s="1228"/>
      <c r="K459" s="1227">
        <f>CEILING((K456*0.5),0.1)</f>
        <v>30.200000000000003</v>
      </c>
      <c r="L459" s="1228"/>
      <c r="M459" s="106"/>
      <c r="N459" s="106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</row>
    <row r="460" spans="1:25" s="121" customFormat="1" ht="34.5" customHeight="1" thickTop="1">
      <c r="A460" s="339" t="s">
        <v>549</v>
      </c>
      <c r="B460" s="339"/>
      <c r="C460" s="339"/>
      <c r="D460" s="339"/>
      <c r="E460" s="339"/>
      <c r="F460" s="339"/>
      <c r="G460" s="339"/>
      <c r="H460" s="339"/>
      <c r="I460" s="339"/>
      <c r="J460" s="339"/>
      <c r="K460" s="148"/>
      <c r="L460" s="148"/>
      <c r="M460" s="106"/>
      <c r="N460" s="106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</row>
    <row r="461" spans="1:27" s="94" customFormat="1" ht="34.5" customHeight="1">
      <c r="A461" s="1222"/>
      <c r="B461" s="1222"/>
      <c r="C461" s="1222"/>
      <c r="D461" s="1222"/>
      <c r="E461" s="1222"/>
      <c r="F461" s="1222"/>
      <c r="G461" s="1222"/>
      <c r="H461" s="1222"/>
      <c r="I461" s="1220"/>
      <c r="J461" s="1220"/>
      <c r="K461" s="1220"/>
      <c r="L461" s="1220"/>
      <c r="M461" s="106"/>
      <c r="N461" s="106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21"/>
      <c r="AA461" s="121"/>
    </row>
    <row r="462" spans="1:42" s="167" customFormat="1" ht="34.5" customHeight="1">
      <c r="A462" s="837" t="s">
        <v>33</v>
      </c>
      <c r="B462" s="838" t="s">
        <v>568</v>
      </c>
      <c r="C462" s="839" t="s">
        <v>924</v>
      </c>
      <c r="D462" s="840"/>
      <c r="E462" s="841" t="s">
        <v>925</v>
      </c>
      <c r="F462" s="842"/>
      <c r="G462" s="841" t="s">
        <v>926</v>
      </c>
      <c r="H462" s="842"/>
      <c r="I462" s="841" t="s">
        <v>851</v>
      </c>
      <c r="J462" s="842"/>
      <c r="K462" s="841" t="s">
        <v>852</v>
      </c>
      <c r="L462" s="842"/>
      <c r="M462" s="151"/>
      <c r="N462" s="151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</row>
    <row r="463" spans="1:25" s="94" customFormat="1" ht="34.5" customHeight="1">
      <c r="A463" s="348" t="s">
        <v>488</v>
      </c>
      <c r="B463" s="404" t="s">
        <v>252</v>
      </c>
      <c r="C463" s="1194">
        <f>CEILING(60*$Z$1,0.1)</f>
        <v>75</v>
      </c>
      <c r="D463" s="1195"/>
      <c r="E463" s="1200">
        <f>CEILING(72*$Z$1,0.1)</f>
        <v>90</v>
      </c>
      <c r="F463" s="1201"/>
      <c r="G463" s="1216">
        <f>CEILING(50*$Z$1,0.1)</f>
        <v>62.5</v>
      </c>
      <c r="H463" s="1217"/>
      <c r="I463" s="1216">
        <f>CEILING(65.3*$Z$1,0.1)</f>
        <v>81.7</v>
      </c>
      <c r="J463" s="1217"/>
      <c r="K463" s="1216">
        <f>CEILING(47*$Z$1,0.1)</f>
        <v>58.800000000000004</v>
      </c>
      <c r="L463" s="1217"/>
      <c r="M463" s="106"/>
      <c r="N463" s="106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</row>
    <row r="464" spans="1:25" s="94" customFormat="1" ht="34.5" customHeight="1">
      <c r="A464" s="350" t="s">
        <v>49</v>
      </c>
      <c r="B464" s="340" t="s">
        <v>469</v>
      </c>
      <c r="C464" s="1192">
        <f>CEILING((C463+25*$Z$1),0.1)</f>
        <v>106.30000000000001</v>
      </c>
      <c r="D464" s="1193"/>
      <c r="E464" s="1200">
        <f>CEILING((E463+25*$Z$1),0.1)</f>
        <v>121.30000000000001</v>
      </c>
      <c r="F464" s="1201"/>
      <c r="G464" s="1200">
        <f>CEILING((G463+25*$Z$1),0.1)</f>
        <v>93.80000000000001</v>
      </c>
      <c r="H464" s="1201"/>
      <c r="I464" s="1200">
        <f>CEILING((I463+25*$Z$1),0.1)</f>
        <v>113</v>
      </c>
      <c r="J464" s="1201"/>
      <c r="K464" s="1200">
        <f>CEILING((K463+25*$Z$1),0.1)</f>
        <v>90.10000000000001</v>
      </c>
      <c r="L464" s="1201"/>
      <c r="M464" s="106"/>
      <c r="N464" s="106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</row>
    <row r="465" spans="1:25" s="94" customFormat="1" ht="34.5" customHeight="1">
      <c r="A465" s="337" t="s">
        <v>742</v>
      </c>
      <c r="B465" s="405" t="s">
        <v>165</v>
      </c>
      <c r="C465" s="1200">
        <f>CEILING(38*$Z$1,0.1)</f>
        <v>47.5</v>
      </c>
      <c r="D465" s="1201"/>
      <c r="E465" s="1200">
        <f>CEILING(75*$Z$1,0.1)</f>
        <v>93.80000000000001</v>
      </c>
      <c r="F465" s="1201"/>
      <c r="G465" s="1200">
        <f>CEILING(53.3*$Z$1,0.1)</f>
        <v>66.7</v>
      </c>
      <c r="H465" s="1201"/>
      <c r="I465" s="1200">
        <f>CEILING(69*$Z$1,0.1)</f>
        <v>86.30000000000001</v>
      </c>
      <c r="J465" s="1201"/>
      <c r="K465" s="1200">
        <f>CEILING(50.4*$Z$1,0.1)</f>
        <v>63</v>
      </c>
      <c r="L465" s="1201"/>
      <c r="M465" s="106"/>
      <c r="N465" s="106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</row>
    <row r="466" spans="1:25" s="94" customFormat="1" ht="34.5" customHeight="1">
      <c r="A466" s="406"/>
      <c r="B466" s="340" t="s">
        <v>166</v>
      </c>
      <c r="C466" s="1200">
        <f>CEILING((C465+25*$Z$1),0.1)</f>
        <v>78.80000000000001</v>
      </c>
      <c r="D466" s="1201"/>
      <c r="E466" s="1200">
        <f>CEILING((E465+25*$Z$1),0.1)</f>
        <v>125.10000000000001</v>
      </c>
      <c r="F466" s="1201"/>
      <c r="G466" s="1200">
        <f>CEILING((G465+25*$Z$1),0.1)</f>
        <v>98</v>
      </c>
      <c r="H466" s="1201"/>
      <c r="I466" s="1200">
        <f>CEILING((I465+25*$Z$1),0.1)</f>
        <v>117.60000000000001</v>
      </c>
      <c r="J466" s="1201"/>
      <c r="K466" s="1200">
        <f>CEILING((K465+25*$Z$1),0.1)</f>
        <v>94.30000000000001</v>
      </c>
      <c r="L466" s="1201"/>
      <c r="M466" s="106"/>
      <c r="N466" s="106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</row>
    <row r="467" spans="1:25" s="94" customFormat="1" ht="34.5" customHeight="1">
      <c r="A467" s="406"/>
      <c r="B467" s="340" t="s">
        <v>258</v>
      </c>
      <c r="C467" s="1200">
        <f>CEILING(40*$Z$1,0.1)</f>
        <v>50</v>
      </c>
      <c r="D467" s="1201"/>
      <c r="E467" s="1192">
        <f>CEILING(120*$Z$1,0.1)</f>
        <v>150</v>
      </c>
      <c r="F467" s="1193"/>
      <c r="G467" s="1192">
        <f>CEILING(87*$Z$1,0.1)</f>
        <v>108.80000000000001</v>
      </c>
      <c r="H467" s="1193"/>
      <c r="I467" s="1192">
        <f>CEILING(97*$Z$1,0.1)</f>
        <v>121.30000000000001</v>
      </c>
      <c r="J467" s="1193"/>
      <c r="K467" s="1192">
        <f>CEILING(77*$Z$1,0.1)</f>
        <v>96.30000000000001</v>
      </c>
      <c r="L467" s="1193"/>
      <c r="M467" s="106"/>
      <c r="N467" s="106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</row>
    <row r="468" spans="1:25" s="94" customFormat="1" ht="34.5" customHeight="1">
      <c r="A468" s="395"/>
      <c r="B468" s="340" t="s">
        <v>259</v>
      </c>
      <c r="C468" s="1200">
        <f>CEILING((C467+25*$Z$1),0.1)</f>
        <v>81.30000000000001</v>
      </c>
      <c r="D468" s="1201"/>
      <c r="E468" s="1192">
        <f>CEILING((E467+25*$Z$1),0.1)</f>
        <v>181.3</v>
      </c>
      <c r="F468" s="1193"/>
      <c r="G468" s="1192">
        <f>CEILING((G467+25*$Z$1),0.1)</f>
        <v>140.1</v>
      </c>
      <c r="H468" s="1193"/>
      <c r="I468" s="1192">
        <f>CEILING((I467+25*$Z$1),0.1)</f>
        <v>152.6</v>
      </c>
      <c r="J468" s="1193"/>
      <c r="K468" s="1192">
        <f>CEILING((K467+25*$Z$1),0.1)</f>
        <v>127.60000000000001</v>
      </c>
      <c r="L468" s="1193"/>
      <c r="M468" s="106"/>
      <c r="N468" s="106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</row>
    <row r="469" spans="1:25" s="94" customFormat="1" ht="34.5" customHeight="1">
      <c r="A469" s="395" t="s">
        <v>1178</v>
      </c>
      <c r="B469" s="340" t="s">
        <v>470</v>
      </c>
      <c r="C469" s="1192">
        <f>CEILING(80*$Z$1,0.1)</f>
        <v>100</v>
      </c>
      <c r="D469" s="1193"/>
      <c r="E469" s="1192">
        <f>CEILING(130*$Z$1,0.1)</f>
        <v>162.5</v>
      </c>
      <c r="F469" s="1193"/>
      <c r="G469" s="1192">
        <f>CEILING(107*$Z$1,0.1)</f>
        <v>133.8</v>
      </c>
      <c r="H469" s="1193"/>
      <c r="I469" s="1192">
        <f>CEILING(107*$Z$1,0.1)</f>
        <v>133.8</v>
      </c>
      <c r="J469" s="1193"/>
      <c r="K469" s="1192">
        <f>CEILING(87*$Z$1,0.1)</f>
        <v>108.80000000000001</v>
      </c>
      <c r="L469" s="1193"/>
      <c r="M469" s="106"/>
      <c r="N469" s="106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</row>
    <row r="470" spans="1:25" s="94" customFormat="1" ht="34.5" customHeight="1" thickBot="1">
      <c r="A470" s="399" t="s">
        <v>467</v>
      </c>
      <c r="B470" s="407" t="s">
        <v>471</v>
      </c>
      <c r="C470" s="1218">
        <f>CEILING((C469+25*$Z$1),0.1)</f>
        <v>131.3</v>
      </c>
      <c r="D470" s="1219"/>
      <c r="E470" s="1218">
        <f>CEILING((E469+25*$Z$1),0.1)</f>
        <v>193.8</v>
      </c>
      <c r="F470" s="1219"/>
      <c r="G470" s="1218">
        <f>CEILING((G469+25*$Z$1),0.1)</f>
        <v>165.10000000000002</v>
      </c>
      <c r="H470" s="1219"/>
      <c r="I470" s="1218">
        <f>CEILING((I469+25*$Z$1),0.1)</f>
        <v>165.10000000000002</v>
      </c>
      <c r="J470" s="1219"/>
      <c r="K470" s="1218">
        <f>CEILING((K469+25*$Z$1),0.1)</f>
        <v>140.1</v>
      </c>
      <c r="L470" s="1219"/>
      <c r="M470" s="106"/>
      <c r="N470" s="106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</row>
    <row r="471" spans="1:25" s="94" customFormat="1" ht="34.5" customHeight="1" thickTop="1">
      <c r="A471" s="1373" t="s">
        <v>386</v>
      </c>
      <c r="B471" s="1222"/>
      <c r="C471" s="1222"/>
      <c r="D471" s="1222"/>
      <c r="E471" s="1222"/>
      <c r="F471" s="1222"/>
      <c r="G471" s="1222"/>
      <c r="H471" s="1222"/>
      <c r="I471" s="408"/>
      <c r="J471" s="408"/>
      <c r="K471" s="408"/>
      <c r="L471" s="408"/>
      <c r="M471" s="106"/>
      <c r="N471" s="106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</row>
    <row r="472" spans="1:25" s="121" customFormat="1" ht="34.5" customHeight="1">
      <c r="A472" s="339" t="s">
        <v>566</v>
      </c>
      <c r="B472" s="339"/>
      <c r="C472" s="339"/>
      <c r="D472" s="339"/>
      <c r="E472" s="339"/>
      <c r="F472" s="339"/>
      <c r="G472" s="339"/>
      <c r="H472" s="339"/>
      <c r="I472" s="339"/>
      <c r="J472" s="339"/>
      <c r="K472" s="148"/>
      <c r="L472" s="148"/>
      <c r="M472" s="106"/>
      <c r="N472" s="106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</row>
    <row r="473" spans="1:25" s="121" customFormat="1" ht="34.5" customHeight="1">
      <c r="A473" s="339"/>
      <c r="B473" s="339"/>
      <c r="C473" s="339"/>
      <c r="D473" s="339"/>
      <c r="E473" s="339"/>
      <c r="F473" s="339"/>
      <c r="G473" s="339"/>
      <c r="H473" s="339"/>
      <c r="I473" s="339"/>
      <c r="J473" s="339"/>
      <c r="K473" s="148"/>
      <c r="L473" s="148"/>
      <c r="M473" s="106"/>
      <c r="N473" s="106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</row>
    <row r="474" spans="1:42" s="167" customFormat="1" ht="34.5" customHeight="1">
      <c r="A474" s="837" t="s">
        <v>33</v>
      </c>
      <c r="B474" s="838" t="s">
        <v>568</v>
      </c>
      <c r="C474" s="839" t="s">
        <v>924</v>
      </c>
      <c r="D474" s="840"/>
      <c r="E474" s="841" t="s">
        <v>928</v>
      </c>
      <c r="F474" s="842"/>
      <c r="G474" s="841" t="s">
        <v>850</v>
      </c>
      <c r="H474" s="842"/>
      <c r="I474" s="841" t="s">
        <v>929</v>
      </c>
      <c r="J474" s="842"/>
      <c r="K474" s="841" t="s">
        <v>930</v>
      </c>
      <c r="L474" s="842"/>
      <c r="M474" s="151"/>
      <c r="N474" s="151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</row>
    <row r="475" spans="1:41" s="94" customFormat="1" ht="34.5" customHeight="1">
      <c r="A475" s="303" t="s">
        <v>927</v>
      </c>
      <c r="B475" s="349" t="s">
        <v>716</v>
      </c>
      <c r="C475" s="1194">
        <f>CEILING(42*$Z$1,0.1)</f>
        <v>52.5</v>
      </c>
      <c r="D475" s="1195"/>
      <c r="E475" s="1194">
        <f>CEILING(49*$Z$1,0.1)</f>
        <v>61.300000000000004</v>
      </c>
      <c r="F475" s="1195"/>
      <c r="G475" s="1194">
        <f>CEILING(49*$Z$1,0.1)</f>
        <v>61.300000000000004</v>
      </c>
      <c r="H475" s="1195"/>
      <c r="I475" s="1194">
        <f>CEILING(49*$Z$1,0.1)</f>
        <v>61.300000000000004</v>
      </c>
      <c r="J475" s="1195"/>
      <c r="K475" s="1194">
        <f>CEILING(43*$Z$1,0.1)</f>
        <v>53.800000000000004</v>
      </c>
      <c r="L475" s="1195"/>
      <c r="M475" s="106"/>
      <c r="N475" s="10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</row>
    <row r="476" spans="1:41" s="94" customFormat="1" ht="34.5" customHeight="1">
      <c r="A476" s="304" t="s">
        <v>49</v>
      </c>
      <c r="B476" s="172" t="s">
        <v>717</v>
      </c>
      <c r="C476" s="1192">
        <f>CEILING((C475+30*$Z$1),0.1)</f>
        <v>90</v>
      </c>
      <c r="D476" s="1193"/>
      <c r="E476" s="1192">
        <f>CEILING((E475+30*$Z$1),0.1)</f>
        <v>98.80000000000001</v>
      </c>
      <c r="F476" s="1193"/>
      <c r="G476" s="1192">
        <f>CEILING((G475+30*$Z$1),0.1)</f>
        <v>98.80000000000001</v>
      </c>
      <c r="H476" s="1193"/>
      <c r="I476" s="1192">
        <f>CEILING((I475+30*$Z$1),0.1)</f>
        <v>98.80000000000001</v>
      </c>
      <c r="J476" s="1193"/>
      <c r="K476" s="1192">
        <f>CEILING((K475+30*$Z$1),0.1)</f>
        <v>91.30000000000001</v>
      </c>
      <c r="L476" s="1193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</row>
    <row r="477" spans="1:41" s="94" customFormat="1" ht="34.5" customHeight="1">
      <c r="A477" s="305"/>
      <c r="B477" s="306" t="s">
        <v>37</v>
      </c>
      <c r="C477" s="1192">
        <f>CEILING((C475*0.85),0.1)</f>
        <v>44.7</v>
      </c>
      <c r="D477" s="1193"/>
      <c r="E477" s="1192">
        <f>CEILING((E475*0.85),0.1)</f>
        <v>52.2</v>
      </c>
      <c r="F477" s="1193"/>
      <c r="G477" s="1192">
        <f>CEILING((G475*0.85),0.1)</f>
        <v>52.2</v>
      </c>
      <c r="H477" s="1193"/>
      <c r="I477" s="1192">
        <f>CEILING((I475*0.85),0.1)</f>
        <v>52.2</v>
      </c>
      <c r="J477" s="1193"/>
      <c r="K477" s="1192">
        <f>CEILING((K475*0.85),0.1)</f>
        <v>45.800000000000004</v>
      </c>
      <c r="L477" s="1193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</row>
    <row r="478" spans="1:41" s="94" customFormat="1" ht="29.25" customHeight="1">
      <c r="A478" s="386"/>
      <c r="B478" s="192" t="s">
        <v>89</v>
      </c>
      <c r="C478" s="1192">
        <f>CEILING((C475*0),0.1)</f>
        <v>0</v>
      </c>
      <c r="D478" s="1193"/>
      <c r="E478" s="1192">
        <f>CEILING((E475*0),0.1)</f>
        <v>0</v>
      </c>
      <c r="F478" s="1193"/>
      <c r="G478" s="1192">
        <f>CEILING((G475*0),0.1)</f>
        <v>0</v>
      </c>
      <c r="H478" s="1193"/>
      <c r="I478" s="1192">
        <f>CEILING((I475*0),0.1)</f>
        <v>0</v>
      </c>
      <c r="J478" s="1193"/>
      <c r="K478" s="1192">
        <f>CEILING((K475*0),0.1)</f>
        <v>0</v>
      </c>
      <c r="L478" s="1193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</row>
    <row r="479" spans="1:41" s="94" customFormat="1" ht="34.5" customHeight="1" hidden="1">
      <c r="A479" s="305"/>
      <c r="B479" s="171" t="s">
        <v>718</v>
      </c>
      <c r="C479" s="1192">
        <f>CEILING(47*$Z$1,0.1)</f>
        <v>58.800000000000004</v>
      </c>
      <c r="D479" s="1193"/>
      <c r="E479" s="1192">
        <f>CEILING(54*$Z$1,0.1)</f>
        <v>67.5</v>
      </c>
      <c r="F479" s="1193"/>
      <c r="G479" s="1192">
        <f>CEILING(54*$Z$1,0.1)</f>
        <v>67.5</v>
      </c>
      <c r="H479" s="1193"/>
      <c r="I479" s="1192">
        <f>CEILING(54*$Z$1,0.1)</f>
        <v>67.5</v>
      </c>
      <c r="J479" s="1193"/>
      <c r="K479" s="1192">
        <f>CEILING(48*$Z$1,0.1)</f>
        <v>60</v>
      </c>
      <c r="L479" s="1193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</row>
    <row r="480" spans="1:41" s="94" customFormat="1" ht="34.5" customHeight="1" hidden="1">
      <c r="A480" s="250"/>
      <c r="B480" s="171" t="s">
        <v>719</v>
      </c>
      <c r="C480" s="1192">
        <f>CEILING((C479+30*$Z$1),0.1)</f>
        <v>96.30000000000001</v>
      </c>
      <c r="D480" s="1193"/>
      <c r="E480" s="1192">
        <f>CEILING((E479+30*$Z$1),0.1)</f>
        <v>105</v>
      </c>
      <c r="F480" s="1193"/>
      <c r="G480" s="1192">
        <f>CEILING((G479+30*$Z$1),0.1)</f>
        <v>105</v>
      </c>
      <c r="H480" s="1193"/>
      <c r="I480" s="1192">
        <f>CEILING((I479+30*$Z$1),0.1)</f>
        <v>105</v>
      </c>
      <c r="J480" s="1193"/>
      <c r="K480" s="1192">
        <f>CEILING((K479+30*$Z$1),0.1)</f>
        <v>97.5</v>
      </c>
      <c r="L480" s="1193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</row>
    <row r="481" spans="1:41" s="94" customFormat="1" ht="31.5" customHeight="1">
      <c r="A481" s="280"/>
      <c r="B481" s="171" t="s">
        <v>450</v>
      </c>
      <c r="C481" s="1192">
        <f>CEILING(62*$Z$1,0.1)</f>
        <v>77.5</v>
      </c>
      <c r="D481" s="1193"/>
      <c r="E481" s="1192">
        <f>CEILING(69*$Z$1,0.1)</f>
        <v>86.30000000000001</v>
      </c>
      <c r="F481" s="1193"/>
      <c r="G481" s="1192">
        <f>CEILING(69*$Z$1,0.1)</f>
        <v>86.30000000000001</v>
      </c>
      <c r="H481" s="1193"/>
      <c r="I481" s="1192">
        <f>CEILING(69*$Z$1,0.1)</f>
        <v>86.30000000000001</v>
      </c>
      <c r="J481" s="1193"/>
      <c r="K481" s="1192">
        <f>CEILING(63*$Z$1,0.1)</f>
        <v>78.80000000000001</v>
      </c>
      <c r="L481" s="1193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</row>
    <row r="482" spans="1:41" s="94" customFormat="1" ht="34.5" customHeight="1">
      <c r="A482" s="251"/>
      <c r="B482" s="171" t="s">
        <v>451</v>
      </c>
      <c r="C482" s="1192">
        <f>CEILING((C481+30*$Z$1),0.1)</f>
        <v>115</v>
      </c>
      <c r="D482" s="1193"/>
      <c r="E482" s="1192">
        <f>CEILING((E481+30*$Z$1),0.1)</f>
        <v>123.80000000000001</v>
      </c>
      <c r="F482" s="1193"/>
      <c r="G482" s="1192">
        <f>CEILING((G481+30*$Z$1),0.1)</f>
        <v>123.80000000000001</v>
      </c>
      <c r="H482" s="1193"/>
      <c r="I482" s="1192">
        <f>CEILING((I481+30*$Z$1),0.1)</f>
        <v>123.80000000000001</v>
      </c>
      <c r="J482" s="1193"/>
      <c r="K482" s="1192">
        <f>CEILING((K481+30*$Z$1),0.1)</f>
        <v>116.30000000000001</v>
      </c>
      <c r="L482" s="1193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</row>
    <row r="483" spans="1:41" s="94" customFormat="1" ht="34.5" customHeight="1">
      <c r="A483" s="251"/>
      <c r="B483" s="171" t="s">
        <v>720</v>
      </c>
      <c r="C483" s="1192">
        <f>CEILING(72*$Z$1,0.1)</f>
        <v>90</v>
      </c>
      <c r="D483" s="1193"/>
      <c r="E483" s="1192">
        <f>CEILING(79*$Z$1,0.1)</f>
        <v>98.80000000000001</v>
      </c>
      <c r="F483" s="1193"/>
      <c r="G483" s="1192">
        <f>CEILING(79*$Z$1,0.1)</f>
        <v>98.80000000000001</v>
      </c>
      <c r="H483" s="1193"/>
      <c r="I483" s="1192">
        <f>CEILING(79*$Z$1,0.1)</f>
        <v>98.80000000000001</v>
      </c>
      <c r="J483" s="1193"/>
      <c r="K483" s="1192">
        <f>CEILING(73*$Z$1,0.1)</f>
        <v>91.30000000000001</v>
      </c>
      <c r="L483" s="1193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</row>
    <row r="484" spans="1:41" s="94" customFormat="1" ht="34.5" customHeight="1">
      <c r="A484" s="251"/>
      <c r="B484" s="171" t="s">
        <v>721</v>
      </c>
      <c r="C484" s="1192">
        <f>CEILING((C483+30*$Z$1),0.1)</f>
        <v>127.5</v>
      </c>
      <c r="D484" s="1193"/>
      <c r="E484" s="1192">
        <f>CEILING((E483+30*$Z$1),0.1)</f>
        <v>136.3</v>
      </c>
      <c r="F484" s="1193"/>
      <c r="G484" s="1192">
        <f>CEILING((G483+30*$Z$1),0.1)</f>
        <v>136.3</v>
      </c>
      <c r="H484" s="1193"/>
      <c r="I484" s="1192">
        <f>CEILING((I483+30*$Z$1),0.1)</f>
        <v>136.3</v>
      </c>
      <c r="J484" s="1193"/>
      <c r="K484" s="1192">
        <f>CEILING((K483+30*$Z$1),0.1)</f>
        <v>128.8</v>
      </c>
      <c r="L484" s="1193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</row>
    <row r="485" spans="1:41" s="94" customFormat="1" ht="34.5" customHeight="1">
      <c r="A485" s="341"/>
      <c r="B485" s="171" t="s">
        <v>722</v>
      </c>
      <c r="C485" s="1192">
        <f>CEILING(47*$Z$1,0.1)</f>
        <v>58.800000000000004</v>
      </c>
      <c r="D485" s="1193"/>
      <c r="E485" s="1192">
        <f>CEILING(54*$Z$1,0.1)</f>
        <v>67.5</v>
      </c>
      <c r="F485" s="1193"/>
      <c r="G485" s="1192">
        <f>CEILING(54*$Z$1,0.1)</f>
        <v>67.5</v>
      </c>
      <c r="H485" s="1193"/>
      <c r="I485" s="1192">
        <f>CEILING(54*$Z$1,0.1)</f>
        <v>67.5</v>
      </c>
      <c r="J485" s="1193"/>
      <c r="K485" s="1192">
        <f>CEILING(48*$Z$1,0.1)</f>
        <v>60</v>
      </c>
      <c r="L485" s="1193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</row>
    <row r="486" spans="1:41" s="94" customFormat="1" ht="34.5" customHeight="1">
      <c r="A486" s="341"/>
      <c r="B486" s="171" t="s">
        <v>723</v>
      </c>
      <c r="C486" s="1192">
        <f>CEILING((C485+30*$Z$1),0.1)</f>
        <v>96.30000000000001</v>
      </c>
      <c r="D486" s="1193"/>
      <c r="E486" s="1192">
        <f>CEILING((E485+30*$Z$1),0.1)</f>
        <v>105</v>
      </c>
      <c r="F486" s="1193"/>
      <c r="G486" s="1192">
        <f>CEILING((G485+30*$Z$1),0.1)</f>
        <v>105</v>
      </c>
      <c r="H486" s="1193"/>
      <c r="I486" s="1192">
        <f>CEILING((I485+30*$Z$1),0.1)</f>
        <v>105</v>
      </c>
      <c r="J486" s="1193"/>
      <c r="K486" s="1192">
        <f>CEILING((K485+30*$Z$1),0.1)</f>
        <v>97.5</v>
      </c>
      <c r="L486" s="1193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</row>
    <row r="487" spans="1:41" s="94" customFormat="1" ht="34.5" customHeight="1">
      <c r="A487" s="341"/>
      <c r="B487" s="171" t="s">
        <v>724</v>
      </c>
      <c r="C487" s="1192">
        <f>CEILING(52*$Z$1,0.1)</f>
        <v>65</v>
      </c>
      <c r="D487" s="1193"/>
      <c r="E487" s="1192">
        <f>CEILING(59*$Z$1,0.1)</f>
        <v>73.8</v>
      </c>
      <c r="F487" s="1193"/>
      <c r="G487" s="1192">
        <f>CEILING(59*$Z$1,0.1)</f>
        <v>73.8</v>
      </c>
      <c r="H487" s="1193"/>
      <c r="I487" s="1192">
        <f>CEILING(59*$Z$1,0.1)</f>
        <v>73.8</v>
      </c>
      <c r="J487" s="1193"/>
      <c r="K487" s="1192">
        <f>CEILING(53*$Z$1,0.1)</f>
        <v>66.3</v>
      </c>
      <c r="L487" s="1193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</row>
    <row r="488" spans="1:41" s="94" customFormat="1" ht="34.5" customHeight="1" thickBot="1">
      <c r="A488" s="308" t="s">
        <v>467</v>
      </c>
      <c r="B488" s="184" t="s">
        <v>751</v>
      </c>
      <c r="C488" s="1218">
        <f>CEILING((C487+30*$Z$1),0.1)</f>
        <v>102.5</v>
      </c>
      <c r="D488" s="1219"/>
      <c r="E488" s="1218">
        <f>CEILING((E487+30*$Z$1),0.1)</f>
        <v>111.30000000000001</v>
      </c>
      <c r="F488" s="1219"/>
      <c r="G488" s="1218">
        <f>CEILING((G487+30*$Z$1),0.1)</f>
        <v>111.30000000000001</v>
      </c>
      <c r="H488" s="1219"/>
      <c r="I488" s="1218">
        <f>CEILING((I487+30*$Z$1),0.1)</f>
        <v>111.30000000000001</v>
      </c>
      <c r="J488" s="1219"/>
      <c r="K488" s="1218">
        <f>CEILING((K487+30*$Z$1),0.1)</f>
        <v>103.80000000000001</v>
      </c>
      <c r="L488" s="1219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</row>
    <row r="489" spans="1:25" s="121" customFormat="1" ht="34.5" customHeight="1" thickTop="1">
      <c r="A489" s="339" t="s">
        <v>725</v>
      </c>
      <c r="B489" s="339"/>
      <c r="C489" s="339"/>
      <c r="D489" s="339"/>
      <c r="E489" s="339"/>
      <c r="F489" s="339"/>
      <c r="G489" s="339"/>
      <c r="H489" s="339"/>
      <c r="I489" s="339"/>
      <c r="J489" s="339"/>
      <c r="K489" s="148"/>
      <c r="L489" s="148"/>
      <c r="M489" s="106"/>
      <c r="N489" s="106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</row>
    <row r="490" spans="1:25" s="565" customFormat="1" ht="34.5" customHeight="1">
      <c r="A490" s="139"/>
      <c r="B490" s="139"/>
      <c r="C490" s="139"/>
      <c r="D490" s="139"/>
      <c r="E490" s="139"/>
      <c r="F490" s="139"/>
      <c r="G490" s="139"/>
      <c r="H490" s="139"/>
      <c r="I490" s="1054"/>
      <c r="J490" s="1054"/>
      <c r="K490" s="710"/>
      <c r="L490" s="710"/>
      <c r="M490" s="816"/>
      <c r="N490" s="816"/>
      <c r="O490" s="564"/>
      <c r="P490" s="564"/>
      <c r="Q490" s="564"/>
      <c r="R490" s="564"/>
      <c r="S490" s="564"/>
      <c r="T490" s="564"/>
      <c r="U490" s="564"/>
      <c r="V490" s="564"/>
      <c r="W490" s="564"/>
      <c r="X490" s="564"/>
      <c r="Y490" s="564"/>
    </row>
    <row r="491" spans="1:25" s="565" customFormat="1" ht="34.5" customHeight="1">
      <c r="A491" s="837" t="s">
        <v>33</v>
      </c>
      <c r="B491" s="838" t="s">
        <v>568</v>
      </c>
      <c r="C491" s="839" t="s">
        <v>847</v>
      </c>
      <c r="D491" s="840"/>
      <c r="E491" s="841" t="s">
        <v>870</v>
      </c>
      <c r="F491" s="842"/>
      <c r="G491" s="841" t="s">
        <v>850</v>
      </c>
      <c r="H491" s="842"/>
      <c r="I491" s="841" t="s">
        <v>851</v>
      </c>
      <c r="J491" s="842"/>
      <c r="K491" s="841" t="s">
        <v>852</v>
      </c>
      <c r="L491" s="842"/>
      <c r="M491" s="816"/>
      <c r="N491" s="816"/>
      <c r="O491" s="564"/>
      <c r="P491" s="564"/>
      <c r="Q491" s="564"/>
      <c r="R491" s="564"/>
      <c r="S491" s="564"/>
      <c r="T491" s="564"/>
      <c r="U491" s="564"/>
      <c r="V491" s="564"/>
      <c r="W491" s="564"/>
      <c r="X491" s="564"/>
      <c r="Y491" s="564"/>
    </row>
    <row r="492" spans="1:25" s="565" customFormat="1" ht="34.5" customHeight="1">
      <c r="A492" s="372" t="s">
        <v>1086</v>
      </c>
      <c r="B492" s="190" t="s">
        <v>1091</v>
      </c>
      <c r="C492" s="1216">
        <f>CEILING(30*$Z$1,0.1)</f>
        <v>37.5</v>
      </c>
      <c r="D492" s="1217"/>
      <c r="E492" s="1216">
        <f>CEILING(35*$Z$1,0.1)</f>
        <v>43.800000000000004</v>
      </c>
      <c r="F492" s="1217"/>
      <c r="G492" s="1216">
        <f>CEILING(35*$Z$1,0.1)</f>
        <v>43.800000000000004</v>
      </c>
      <c r="H492" s="1217"/>
      <c r="I492" s="1216">
        <f>CEILING(35*$Z$1,0.1)</f>
        <v>43.800000000000004</v>
      </c>
      <c r="J492" s="1217"/>
      <c r="K492" s="1216">
        <f>CEILING(35*$Z$1,0.1)</f>
        <v>43.800000000000004</v>
      </c>
      <c r="L492" s="1217"/>
      <c r="M492" s="816"/>
      <c r="N492" s="816"/>
      <c r="O492" s="564"/>
      <c r="P492" s="564"/>
      <c r="Q492" s="564"/>
      <c r="R492" s="564"/>
      <c r="S492" s="564"/>
      <c r="T492" s="564"/>
      <c r="U492" s="564"/>
      <c r="V492" s="564"/>
      <c r="W492" s="564"/>
      <c r="X492" s="564"/>
      <c r="Y492" s="564"/>
    </row>
    <row r="493" spans="1:25" s="565" customFormat="1" ht="34.5" customHeight="1">
      <c r="A493" s="401" t="s">
        <v>49</v>
      </c>
      <c r="B493" s="190" t="s">
        <v>1092</v>
      </c>
      <c r="C493" s="1200">
        <f>CEILING((C492+25*$Z$1),0.1)</f>
        <v>68.8</v>
      </c>
      <c r="D493" s="1201"/>
      <c r="E493" s="1200">
        <f>CEILING((E492+25*$Z$1),0.1)</f>
        <v>75.10000000000001</v>
      </c>
      <c r="F493" s="1201"/>
      <c r="G493" s="1200">
        <f>CEILING((G492+25*$Z$1),0.1)</f>
        <v>75.10000000000001</v>
      </c>
      <c r="H493" s="1201"/>
      <c r="I493" s="1200">
        <f>CEILING((I492+25*$Z$1),0.1)</f>
        <v>75.10000000000001</v>
      </c>
      <c r="J493" s="1201"/>
      <c r="K493" s="1200">
        <f>CEILING((K492+25*$Z$1),0.1)</f>
        <v>75.10000000000001</v>
      </c>
      <c r="L493" s="1201"/>
      <c r="M493" s="816"/>
      <c r="N493" s="816"/>
      <c r="O493" s="564"/>
      <c r="P493" s="564"/>
      <c r="Q493" s="564"/>
      <c r="R493" s="564"/>
      <c r="S493" s="564"/>
      <c r="T493" s="564"/>
      <c r="U493" s="564"/>
      <c r="V493" s="564"/>
      <c r="W493" s="564"/>
      <c r="X493" s="564"/>
      <c r="Y493" s="564"/>
    </row>
    <row r="494" spans="1:25" s="565" customFormat="1" ht="34.5" customHeight="1">
      <c r="A494" s="250"/>
      <c r="B494" s="190" t="s">
        <v>1093</v>
      </c>
      <c r="C494" s="1200">
        <f>CEILING((C492*0.85),0.1)</f>
        <v>31.900000000000002</v>
      </c>
      <c r="D494" s="1201"/>
      <c r="E494" s="1200">
        <f>CEILING((E492*0.85),0.1)</f>
        <v>37.300000000000004</v>
      </c>
      <c r="F494" s="1201"/>
      <c r="G494" s="1200">
        <f>CEILING((G492*0.85),0.1)</f>
        <v>37.300000000000004</v>
      </c>
      <c r="H494" s="1201"/>
      <c r="I494" s="1200">
        <f>CEILING((I492*0.85),0.1)</f>
        <v>37.300000000000004</v>
      </c>
      <c r="J494" s="1201"/>
      <c r="K494" s="1200">
        <f>CEILING((K492*0.85),0.1)</f>
        <v>37.300000000000004</v>
      </c>
      <c r="L494" s="1201"/>
      <c r="M494" s="816"/>
      <c r="N494" s="816"/>
      <c r="O494" s="564"/>
      <c r="P494" s="564"/>
      <c r="Q494" s="564"/>
      <c r="R494" s="564"/>
      <c r="S494" s="564"/>
      <c r="T494" s="564"/>
      <c r="U494" s="564"/>
      <c r="V494" s="564"/>
      <c r="W494" s="564"/>
      <c r="X494" s="564"/>
      <c r="Y494" s="564"/>
    </row>
    <row r="495" spans="1:25" s="565" customFormat="1" ht="34.5" customHeight="1">
      <c r="A495" s="113"/>
      <c r="B495" s="190" t="s">
        <v>1087</v>
      </c>
      <c r="C495" s="1200">
        <f>CEILING((C492*0),0.1)</f>
        <v>0</v>
      </c>
      <c r="D495" s="1201"/>
      <c r="E495" s="1200">
        <f>CEILING((E492*0),0.1)</f>
        <v>0</v>
      </c>
      <c r="F495" s="1201"/>
      <c r="G495" s="1200">
        <f>CEILING((G492*0),0.1)</f>
        <v>0</v>
      </c>
      <c r="H495" s="1201"/>
      <c r="I495" s="1200">
        <f>CEILING((I492*0),0.1)</f>
        <v>0</v>
      </c>
      <c r="J495" s="1201"/>
      <c r="K495" s="1200">
        <f>CEILING((K492*0),0.1)</f>
        <v>0</v>
      </c>
      <c r="L495" s="1201"/>
      <c r="M495" s="816"/>
      <c r="N495" s="816"/>
      <c r="O495" s="564"/>
      <c r="P495" s="564"/>
      <c r="Q495" s="564"/>
      <c r="R495" s="564"/>
      <c r="S495" s="564"/>
      <c r="T495" s="564"/>
      <c r="U495" s="564"/>
      <c r="V495" s="564"/>
      <c r="W495" s="564"/>
      <c r="X495" s="564"/>
      <c r="Y495" s="564"/>
    </row>
    <row r="496" spans="1:25" s="565" customFormat="1" ht="34.5" customHeight="1">
      <c r="A496" s="113" t="s">
        <v>1223</v>
      </c>
      <c r="B496" s="190" t="s">
        <v>1088</v>
      </c>
      <c r="C496" s="1287">
        <f>CEILING(45*$Z$1,0.1)</f>
        <v>56.300000000000004</v>
      </c>
      <c r="D496" s="1288"/>
      <c r="E496" s="1287">
        <f>CEILING(50*$Z$1,0.1)</f>
        <v>62.5</v>
      </c>
      <c r="F496" s="1288"/>
      <c r="G496" s="1287">
        <f>CEILING(50*$Z$1,0.1)</f>
        <v>62.5</v>
      </c>
      <c r="H496" s="1288"/>
      <c r="I496" s="1287">
        <f>CEILING(50*$Z$1,0.1)</f>
        <v>62.5</v>
      </c>
      <c r="J496" s="1288"/>
      <c r="K496" s="1287">
        <f>CEILING(50*$Z$1,0.1)</f>
        <v>62.5</v>
      </c>
      <c r="L496" s="1288"/>
      <c r="M496" s="816"/>
      <c r="N496" s="816"/>
      <c r="O496" s="564"/>
      <c r="P496" s="564"/>
      <c r="Q496" s="564"/>
      <c r="R496" s="564"/>
      <c r="S496" s="564"/>
      <c r="T496" s="564"/>
      <c r="U496" s="564"/>
      <c r="V496" s="564"/>
      <c r="W496" s="564"/>
      <c r="X496" s="564"/>
      <c r="Y496" s="564"/>
    </row>
    <row r="497" spans="1:25" s="565" customFormat="1" ht="34.5" customHeight="1" thickBot="1">
      <c r="A497" s="400" t="s">
        <v>1089</v>
      </c>
      <c r="B497" s="246" t="s">
        <v>1090</v>
      </c>
      <c r="C497" s="1212">
        <f>CEILING((C496+25*$Z$1),0.1)</f>
        <v>87.60000000000001</v>
      </c>
      <c r="D497" s="1213"/>
      <c r="E497" s="1212">
        <f>CEILING((E496+25*$Z$1),0.1)</f>
        <v>93.80000000000001</v>
      </c>
      <c r="F497" s="1213"/>
      <c r="G497" s="1212">
        <f>CEILING((G496+25*$Z$1),0.1)</f>
        <v>93.80000000000001</v>
      </c>
      <c r="H497" s="1213"/>
      <c r="I497" s="1212">
        <f>CEILING((I496+25*$Z$1),0.1)</f>
        <v>93.80000000000001</v>
      </c>
      <c r="J497" s="1213"/>
      <c r="K497" s="1212">
        <f>CEILING((K496+25*$Z$1),0.1)</f>
        <v>93.80000000000001</v>
      </c>
      <c r="L497" s="1213"/>
      <c r="M497" s="816"/>
      <c r="N497" s="816"/>
      <c r="O497" s="564"/>
      <c r="P497" s="564"/>
      <c r="Q497" s="564"/>
      <c r="R497" s="564"/>
      <c r="S497" s="564"/>
      <c r="T497" s="564"/>
      <c r="U497" s="564"/>
      <c r="V497" s="564"/>
      <c r="W497" s="564"/>
      <c r="X497" s="564"/>
      <c r="Y497" s="564"/>
    </row>
    <row r="498" spans="1:25" s="565" customFormat="1" ht="34.5" customHeight="1" thickTop="1">
      <c r="A498" s="339" t="s">
        <v>549</v>
      </c>
      <c r="B498" s="339"/>
      <c r="C498" s="339"/>
      <c r="D498" s="339"/>
      <c r="E498" s="339"/>
      <c r="F498" s="339"/>
      <c r="G498" s="339"/>
      <c r="H498" s="339"/>
      <c r="I498" s="1054"/>
      <c r="J498" s="1054"/>
      <c r="K498" s="710"/>
      <c r="L498" s="710"/>
      <c r="M498" s="816"/>
      <c r="N498" s="816"/>
      <c r="O498" s="564"/>
      <c r="P498" s="564"/>
      <c r="Q498" s="564"/>
      <c r="R498" s="564"/>
      <c r="S498" s="564"/>
      <c r="T498" s="564"/>
      <c r="U498" s="564"/>
      <c r="V498" s="564"/>
      <c r="W498" s="564"/>
      <c r="X498" s="564"/>
      <c r="Y498" s="564"/>
    </row>
    <row r="499" spans="1:25" s="121" customFormat="1" ht="34.5" customHeight="1">
      <c r="A499" s="139"/>
      <c r="B499" s="140"/>
      <c r="C499" s="140"/>
      <c r="D499" s="140"/>
      <c r="E499" s="140"/>
      <c r="F499" s="140"/>
      <c r="G499" s="140"/>
      <c r="H499" s="140"/>
      <c r="I499" s="140"/>
      <c r="J499" s="140"/>
      <c r="K499" s="135"/>
      <c r="L499" s="135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</row>
    <row r="500" spans="1:42" s="167" customFormat="1" ht="34.5" customHeight="1">
      <c r="A500" s="837" t="s">
        <v>33</v>
      </c>
      <c r="B500" s="838" t="s">
        <v>568</v>
      </c>
      <c r="C500" s="839" t="s">
        <v>847</v>
      </c>
      <c r="D500" s="840"/>
      <c r="E500" s="841" t="s">
        <v>870</v>
      </c>
      <c r="F500" s="842"/>
      <c r="G500" s="841" t="s">
        <v>850</v>
      </c>
      <c r="H500" s="842"/>
      <c r="I500" s="841" t="s">
        <v>851</v>
      </c>
      <c r="J500" s="842"/>
      <c r="K500" s="841" t="s">
        <v>852</v>
      </c>
      <c r="L500" s="842"/>
      <c r="M500" s="151"/>
      <c r="N500" s="151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</row>
    <row r="501" spans="1:35" s="94" customFormat="1" ht="34.5" customHeight="1">
      <c r="A501" s="409" t="s">
        <v>74</v>
      </c>
      <c r="B501" s="190" t="s">
        <v>31</v>
      </c>
      <c r="C501" s="1216">
        <f>CEILING(29*$Z$1,0.1)</f>
        <v>36.300000000000004</v>
      </c>
      <c r="D501" s="1217"/>
      <c r="E501" s="1216">
        <f>CEILING(42*$Z$1,0.1)</f>
        <v>52.5</v>
      </c>
      <c r="F501" s="1217"/>
      <c r="G501" s="1216">
        <f>CEILING(35*$Z$1,0.1)</f>
        <v>43.800000000000004</v>
      </c>
      <c r="H501" s="1217"/>
      <c r="I501" s="1216">
        <f>CEILING(35*$Z$1,0.1)</f>
        <v>43.800000000000004</v>
      </c>
      <c r="J501" s="1217"/>
      <c r="K501" s="1216">
        <f>CEILING(25*$Z$1,0.1)</f>
        <v>31.3</v>
      </c>
      <c r="L501" s="1217"/>
      <c r="M501" s="1220"/>
      <c r="N501" s="1220"/>
      <c r="O501" s="101"/>
      <c r="P501" s="101"/>
      <c r="Q501" s="101"/>
      <c r="R501" s="101"/>
      <c r="S501" s="101"/>
      <c r="T501" s="101"/>
      <c r="U501" s="101"/>
      <c r="V501" s="101"/>
      <c r="W501" s="10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</row>
    <row r="502" spans="1:35" s="94" customFormat="1" ht="34.5" customHeight="1">
      <c r="A502" s="410" t="s">
        <v>30</v>
      </c>
      <c r="B502" s="190" t="s">
        <v>32</v>
      </c>
      <c r="C502" s="1200">
        <f>CEILING((C501+9*$Z$1),0.1)</f>
        <v>47.6</v>
      </c>
      <c r="D502" s="1201"/>
      <c r="E502" s="1200">
        <f>CEILING((E501+11*$Z$1),0.1)</f>
        <v>66.3</v>
      </c>
      <c r="F502" s="1201"/>
      <c r="G502" s="1200">
        <f>CEILING((G501+12*$Z$1),0.1)</f>
        <v>58.800000000000004</v>
      </c>
      <c r="H502" s="1201"/>
      <c r="I502" s="1200">
        <f>CEILING((I501+12*$Z$1),0.1)</f>
        <v>58.800000000000004</v>
      </c>
      <c r="J502" s="1201"/>
      <c r="K502" s="1200">
        <f>CEILING((K501+7*$Z$1),0.1)</f>
        <v>40.1</v>
      </c>
      <c r="L502" s="1201"/>
      <c r="M502" s="1220"/>
      <c r="N502" s="1220"/>
      <c r="O502" s="101"/>
      <c r="P502" s="101"/>
      <c r="Q502" s="101"/>
      <c r="R502" s="101"/>
      <c r="S502" s="101"/>
      <c r="T502" s="101"/>
      <c r="U502" s="101"/>
      <c r="V502" s="101"/>
      <c r="W502" s="10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</row>
    <row r="503" spans="1:35" s="94" customFormat="1" ht="34.5" customHeight="1">
      <c r="A503" s="124" t="s">
        <v>1299</v>
      </c>
      <c r="B503" s="190" t="s">
        <v>239</v>
      </c>
      <c r="C503" s="1200">
        <f>CEILING((C501*0.85),0.1)</f>
        <v>30.900000000000002</v>
      </c>
      <c r="D503" s="1201"/>
      <c r="E503" s="1200">
        <f>CEILING((E501*0.85),0.1)</f>
        <v>44.7</v>
      </c>
      <c r="F503" s="1201"/>
      <c r="G503" s="1200">
        <f>CEILING((G501*0.85),0.1)</f>
        <v>37.300000000000004</v>
      </c>
      <c r="H503" s="1201"/>
      <c r="I503" s="1200">
        <f>CEILING((I501*0.85),0.1)</f>
        <v>37.300000000000004</v>
      </c>
      <c r="J503" s="1201"/>
      <c r="K503" s="1200">
        <f>CEILING((K501*0.85),0.1)</f>
        <v>26.700000000000003</v>
      </c>
      <c r="L503" s="1201"/>
      <c r="M503" s="1220"/>
      <c r="N503" s="1220"/>
      <c r="O503" s="101"/>
      <c r="P503" s="101"/>
      <c r="Q503" s="101"/>
      <c r="R503" s="101"/>
      <c r="S503" s="101"/>
      <c r="T503" s="101"/>
      <c r="U503" s="101"/>
      <c r="V503" s="101"/>
      <c r="W503" s="10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</row>
    <row r="504" spans="1:35" s="94" customFormat="1" ht="34.5" customHeight="1" thickBot="1">
      <c r="A504" s="400" t="s">
        <v>309</v>
      </c>
      <c r="B504" s="281" t="s">
        <v>755</v>
      </c>
      <c r="C504" s="1227">
        <f>CEILING((C501*0),0.1)</f>
        <v>0</v>
      </c>
      <c r="D504" s="1228"/>
      <c r="E504" s="1227">
        <f>CEILING((E501*0),0.1)</f>
        <v>0</v>
      </c>
      <c r="F504" s="1228"/>
      <c r="G504" s="1227">
        <f>CEILING((G501*0),0.1)</f>
        <v>0</v>
      </c>
      <c r="H504" s="1228"/>
      <c r="I504" s="1227">
        <f>CEILING((I501*0),0.1)</f>
        <v>0</v>
      </c>
      <c r="J504" s="1228"/>
      <c r="K504" s="1227">
        <f>CEILING((K501*0),0.1)</f>
        <v>0</v>
      </c>
      <c r="L504" s="1228"/>
      <c r="M504" s="1220"/>
      <c r="N504" s="1220"/>
      <c r="O504" s="101"/>
      <c r="P504" s="101"/>
      <c r="Q504" s="101"/>
      <c r="R504" s="101"/>
      <c r="S504" s="101"/>
      <c r="T504" s="101"/>
      <c r="U504" s="101"/>
      <c r="V504" s="101"/>
      <c r="W504" s="10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</row>
    <row r="505" spans="1:23" s="121" customFormat="1" ht="34.5" customHeight="1" thickTop="1">
      <c r="A505" s="372" t="s">
        <v>75</v>
      </c>
      <c r="B505" s="190" t="s">
        <v>41</v>
      </c>
      <c r="C505" s="1216">
        <f>CEILING(28*$Z$1,0.1)</f>
        <v>35</v>
      </c>
      <c r="D505" s="1217"/>
      <c r="E505" s="1216">
        <f>CEILING(34*$Z$1,0.1)</f>
        <v>42.5</v>
      </c>
      <c r="F505" s="1217"/>
      <c r="G505" s="1216">
        <f>CEILING(27*$Z$1,0.1)</f>
        <v>33.800000000000004</v>
      </c>
      <c r="H505" s="1217"/>
      <c r="I505" s="1216">
        <f>CEILING(27*$Z$1,0.1)</f>
        <v>33.800000000000004</v>
      </c>
      <c r="J505" s="1217"/>
      <c r="K505" s="1216">
        <f>CEILING(26*$Z$1,0.1)</f>
        <v>32.5</v>
      </c>
      <c r="L505" s="1217"/>
      <c r="M505" s="1220"/>
      <c r="N505" s="1220"/>
      <c r="O505" s="101"/>
      <c r="P505" s="101"/>
      <c r="Q505" s="101"/>
      <c r="R505" s="101"/>
      <c r="S505" s="101"/>
      <c r="T505" s="101"/>
      <c r="U505" s="101"/>
      <c r="V505" s="101"/>
      <c r="W505" s="101"/>
    </row>
    <row r="506" spans="1:25" s="121" customFormat="1" ht="34.5" customHeight="1">
      <c r="A506" s="401" t="s">
        <v>76</v>
      </c>
      <c r="B506" s="190" t="s">
        <v>42</v>
      </c>
      <c r="C506" s="1200">
        <f>CEILING((C505+8*$Z$1),0.1)</f>
        <v>45</v>
      </c>
      <c r="D506" s="1201"/>
      <c r="E506" s="1200">
        <f>CEILING((E505+11*$Z$1),0.1)</f>
        <v>56.300000000000004</v>
      </c>
      <c r="F506" s="1201"/>
      <c r="G506" s="1200">
        <f>CEILING((G505+10*$Z$1),0.1)</f>
        <v>46.300000000000004</v>
      </c>
      <c r="H506" s="1201"/>
      <c r="I506" s="1200">
        <f>CEILING((I505+10*$Z$1),0.1)</f>
        <v>46.300000000000004</v>
      </c>
      <c r="J506" s="1201"/>
      <c r="K506" s="1200">
        <f>CEILING((K505+13*$Z$1),0.1)</f>
        <v>48.800000000000004</v>
      </c>
      <c r="L506" s="1201"/>
      <c r="M506" s="1220"/>
      <c r="N506" s="1220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</row>
    <row r="507" spans="1:25" s="121" customFormat="1" ht="34.5" customHeight="1">
      <c r="A507" s="124" t="s">
        <v>1299</v>
      </c>
      <c r="B507" s="190" t="s">
        <v>239</v>
      </c>
      <c r="C507" s="1200">
        <f>CEILING((C505*0.85),0.1)</f>
        <v>29.8</v>
      </c>
      <c r="D507" s="1201"/>
      <c r="E507" s="1200">
        <f>CEILING((E505*0.85),0.1)</f>
        <v>36.2</v>
      </c>
      <c r="F507" s="1201"/>
      <c r="G507" s="1200">
        <f>CEILING((G505*0.85),0.1)</f>
        <v>28.8</v>
      </c>
      <c r="H507" s="1201"/>
      <c r="I507" s="1200">
        <f>CEILING((I505*0.85),0.1)</f>
        <v>28.8</v>
      </c>
      <c r="J507" s="1201"/>
      <c r="K507" s="1200">
        <f>CEILING((K505*0.85),0.1)</f>
        <v>27.700000000000003</v>
      </c>
      <c r="L507" s="1201"/>
      <c r="M507" s="1220"/>
      <c r="N507" s="1220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</row>
    <row r="508" spans="1:35" s="411" customFormat="1" ht="34.5" customHeight="1" thickBot="1">
      <c r="A508" s="400" t="s">
        <v>308</v>
      </c>
      <c r="B508" s="281" t="s">
        <v>534</v>
      </c>
      <c r="C508" s="1227">
        <f>CEILING((C505*0),0.1)</f>
        <v>0</v>
      </c>
      <c r="D508" s="1228"/>
      <c r="E508" s="1227">
        <f>CEILING((E505*0),0.1)</f>
        <v>0</v>
      </c>
      <c r="F508" s="1228"/>
      <c r="G508" s="1227">
        <f>CEILING((G505*0),0.1)</f>
        <v>0</v>
      </c>
      <c r="H508" s="1228"/>
      <c r="I508" s="1227">
        <f>CEILING((I505*0),0.1)</f>
        <v>0</v>
      </c>
      <c r="J508" s="1228"/>
      <c r="K508" s="1227">
        <f>CEILING((K505*0),0.1)</f>
        <v>0</v>
      </c>
      <c r="L508" s="1228"/>
      <c r="M508" s="1220"/>
      <c r="N508" s="1220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</row>
    <row r="509" spans="1:37" s="94" customFormat="1" ht="34.5" customHeight="1" thickTop="1">
      <c r="A509" s="372" t="s">
        <v>799</v>
      </c>
      <c r="B509" s="190" t="s">
        <v>41</v>
      </c>
      <c r="C509" s="1194">
        <f>CEILING(38*$Z$1,0.1)</f>
        <v>47.5</v>
      </c>
      <c r="D509" s="1195"/>
      <c r="E509" s="1194">
        <f>CEILING(45*$Z$1,0.1)</f>
        <v>56.300000000000004</v>
      </c>
      <c r="F509" s="1195"/>
      <c r="G509" s="1194">
        <f>CEILING(31*$Z$1,0.1)</f>
        <v>38.800000000000004</v>
      </c>
      <c r="H509" s="1195"/>
      <c r="I509" s="1194">
        <f>CEILING(31*$Z$1,0.1)</f>
        <v>38.800000000000004</v>
      </c>
      <c r="J509" s="1195"/>
      <c r="K509" s="1216">
        <f>CEILING(21*$Z$1,0.1)</f>
        <v>26.3</v>
      </c>
      <c r="L509" s="1217"/>
      <c r="M509" s="1220"/>
      <c r="N509" s="122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36"/>
      <c r="AK509" s="136"/>
    </row>
    <row r="510" spans="1:37" s="94" customFormat="1" ht="34.5" customHeight="1">
      <c r="A510" s="401" t="s">
        <v>76</v>
      </c>
      <c r="B510" s="190" t="s">
        <v>42</v>
      </c>
      <c r="C510" s="1192">
        <f>CEILING((C509+12*$Z$1),0.1)</f>
        <v>62.5</v>
      </c>
      <c r="D510" s="1193"/>
      <c r="E510" s="1192">
        <f>CEILING((E509+15*$Z$1),0.1)</f>
        <v>75.10000000000001</v>
      </c>
      <c r="F510" s="1193"/>
      <c r="G510" s="1192">
        <f>CEILING((G509+10*$Z$1),0.1)</f>
        <v>51.300000000000004</v>
      </c>
      <c r="H510" s="1193"/>
      <c r="I510" s="1192">
        <f>CEILING((I509+10*$Z$1),0.1)</f>
        <v>51.300000000000004</v>
      </c>
      <c r="J510" s="1193"/>
      <c r="K510" s="1200">
        <f>CEILING((K509+8*$Z$1),0.1)</f>
        <v>36.300000000000004</v>
      </c>
      <c r="L510" s="1201"/>
      <c r="M510" s="1220"/>
      <c r="N510" s="122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36"/>
      <c r="AK510" s="136"/>
    </row>
    <row r="511" spans="1:37" s="94" customFormat="1" ht="34.5" customHeight="1">
      <c r="A511" s="124" t="s">
        <v>1299</v>
      </c>
      <c r="B511" s="190" t="s">
        <v>37</v>
      </c>
      <c r="C511" s="1192">
        <f>CEILING((C509*0.85),0.1)</f>
        <v>40.400000000000006</v>
      </c>
      <c r="D511" s="1193"/>
      <c r="E511" s="1192">
        <f>CEILING((E509*0.85),0.1)</f>
        <v>47.900000000000006</v>
      </c>
      <c r="F511" s="1193"/>
      <c r="G511" s="1192">
        <f>CEILING((G509*0.85),0.1)</f>
        <v>33</v>
      </c>
      <c r="H511" s="1193"/>
      <c r="I511" s="1192">
        <f>CEILING((I509*0.85),0.1)</f>
        <v>33</v>
      </c>
      <c r="J511" s="1193"/>
      <c r="K511" s="1200">
        <f>CEILING((K509*0.85),0.1)</f>
        <v>22.400000000000002</v>
      </c>
      <c r="L511" s="1201"/>
      <c r="M511" s="1220"/>
      <c r="N511" s="1220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</row>
    <row r="512" spans="1:37" s="94" customFormat="1" ht="34.5" customHeight="1" thickBot="1">
      <c r="A512" s="400" t="s">
        <v>308</v>
      </c>
      <c r="B512" s="193" t="s">
        <v>534</v>
      </c>
      <c r="C512" s="1371">
        <v>0</v>
      </c>
      <c r="D512" s="1372"/>
      <c r="E512" s="1371">
        <v>0</v>
      </c>
      <c r="F512" s="1372"/>
      <c r="G512" s="1218">
        <f>CEILING((G509*0),0.1)</f>
        <v>0</v>
      </c>
      <c r="H512" s="1219"/>
      <c r="I512" s="1218">
        <f>CEILING((I509*0),0.1)</f>
        <v>0</v>
      </c>
      <c r="J512" s="1219"/>
      <c r="K512" s="1320">
        <v>0</v>
      </c>
      <c r="L512" s="1321"/>
      <c r="M512" s="1246"/>
      <c r="N512" s="124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</row>
    <row r="513" spans="1:14" s="152" customFormat="1" ht="34.5" customHeight="1" thickTop="1">
      <c r="A513" s="915"/>
      <c r="B513" s="915"/>
      <c r="C513" s="915"/>
      <c r="D513" s="915"/>
      <c r="E513" s="915"/>
      <c r="F513" s="915"/>
      <c r="G513" s="915"/>
      <c r="H513" s="915"/>
      <c r="I513" s="915"/>
      <c r="J513" s="915"/>
      <c r="K513" s="412"/>
      <c r="L513" s="412"/>
      <c r="M513" s="151"/>
      <c r="N513" s="151"/>
    </row>
    <row r="514" spans="1:14" s="152" customFormat="1" ht="34.5" customHeight="1">
      <c r="A514" s="837" t="s">
        <v>33</v>
      </c>
      <c r="B514" s="838" t="s">
        <v>914</v>
      </c>
      <c r="C514" s="839" t="s">
        <v>847</v>
      </c>
      <c r="D514" s="840"/>
      <c r="E514" s="841" t="s">
        <v>916</v>
      </c>
      <c r="F514" s="842"/>
      <c r="G514" s="841" t="s">
        <v>917</v>
      </c>
      <c r="H514" s="842"/>
      <c r="I514" s="915"/>
      <c r="J514" s="915"/>
      <c r="K514" s="412"/>
      <c r="L514" s="412"/>
      <c r="M514" s="151"/>
      <c r="N514" s="151"/>
    </row>
    <row r="515" spans="1:14" s="152" customFormat="1" ht="34.5" customHeight="1">
      <c r="A515" s="372" t="s">
        <v>913</v>
      </c>
      <c r="B515" s="213" t="s">
        <v>55</v>
      </c>
      <c r="C515" s="1194">
        <f>CEILING(89*$Z$1,0.1)</f>
        <v>111.30000000000001</v>
      </c>
      <c r="D515" s="1195"/>
      <c r="E515" s="1194">
        <f>CEILING(109*$Z$1,0.1)</f>
        <v>136.3</v>
      </c>
      <c r="F515" s="1195"/>
      <c r="G515" s="1194">
        <f>CEILING(129*$Z$1,0.1)</f>
        <v>161.3</v>
      </c>
      <c r="H515" s="1195"/>
      <c r="I515" s="915"/>
      <c r="J515" s="915"/>
      <c r="K515" s="412"/>
      <c r="L515" s="412"/>
      <c r="M515" s="151"/>
      <c r="N515" s="151"/>
    </row>
    <row r="516" spans="1:14" s="152" customFormat="1" ht="34.5" customHeight="1">
      <c r="A516" s="373" t="s">
        <v>49</v>
      </c>
      <c r="B516" s="192" t="s">
        <v>8</v>
      </c>
      <c r="C516" s="1192">
        <f>CEILING((C515+31*$Z$1),0.1)</f>
        <v>150.1</v>
      </c>
      <c r="D516" s="1193"/>
      <c r="E516" s="1192">
        <f>CEILING((E515+54*$Z$1),0.1)</f>
        <v>203.8</v>
      </c>
      <c r="F516" s="1193"/>
      <c r="G516" s="1192">
        <f>CEILING((G515+55*$Z$1),0.1)</f>
        <v>230.10000000000002</v>
      </c>
      <c r="H516" s="1193"/>
      <c r="I516" s="915"/>
      <c r="J516" s="915"/>
      <c r="K516" s="412"/>
      <c r="L516" s="412"/>
      <c r="M516" s="151"/>
      <c r="N516" s="151"/>
    </row>
    <row r="517" spans="1:14" s="152" customFormat="1" ht="34.5" customHeight="1">
      <c r="A517" s="413"/>
      <c r="B517" s="192" t="s">
        <v>37</v>
      </c>
      <c r="C517" s="1192">
        <f>CEILING((C515*0.67),0.1)</f>
        <v>74.60000000000001</v>
      </c>
      <c r="D517" s="1193"/>
      <c r="E517" s="1192">
        <f>CEILING((E515*0.68),0.1)</f>
        <v>92.7</v>
      </c>
      <c r="F517" s="1193"/>
      <c r="G517" s="1192">
        <f>CEILING((G515*0.73),0.1)</f>
        <v>117.80000000000001</v>
      </c>
      <c r="H517" s="1193"/>
      <c r="I517" s="915"/>
      <c r="J517" s="915"/>
      <c r="K517" s="412"/>
      <c r="L517" s="412"/>
      <c r="M517" s="151"/>
      <c r="N517" s="151"/>
    </row>
    <row r="518" spans="1:14" s="152" customFormat="1" ht="34.5" customHeight="1">
      <c r="A518" s="922" t="s">
        <v>387</v>
      </c>
      <c r="B518" s="299" t="s">
        <v>915</v>
      </c>
      <c r="C518" s="1202">
        <f>CEILING((C515*0.3),0.1)</f>
        <v>33.4</v>
      </c>
      <c r="D518" s="1203"/>
      <c r="E518" s="1202">
        <f>CEILING((E515*0.3),0.1)</f>
        <v>40.900000000000006</v>
      </c>
      <c r="F518" s="1203"/>
      <c r="G518" s="1202">
        <f>CEILING((G515*0.42),0.1)</f>
        <v>67.8</v>
      </c>
      <c r="H518" s="1203"/>
      <c r="I518" s="915"/>
      <c r="J518" s="915"/>
      <c r="K518" s="412"/>
      <c r="L518" s="412"/>
      <c r="M518" s="151"/>
      <c r="N518" s="151"/>
    </row>
    <row r="519" spans="1:45" s="926" customFormat="1" ht="34.5" customHeight="1">
      <c r="A519" s="900" t="s">
        <v>918</v>
      </c>
      <c r="B519" s="900"/>
      <c r="C519" s="900"/>
      <c r="D519" s="900"/>
      <c r="E519" s="900"/>
      <c r="F519" s="900"/>
      <c r="G519" s="900"/>
      <c r="H519" s="900"/>
      <c r="I519" s="915"/>
      <c r="J519" s="915"/>
      <c r="K519" s="923"/>
      <c r="L519" s="923"/>
      <c r="M519" s="924"/>
      <c r="N519" s="924"/>
      <c r="O519" s="925"/>
      <c r="P519" s="925"/>
      <c r="Q519" s="925"/>
      <c r="R519" s="925"/>
      <c r="S519" s="925"/>
      <c r="T519" s="925"/>
      <c r="U519" s="925"/>
      <c r="V519" s="925"/>
      <c r="W519" s="925"/>
      <c r="X519" s="925"/>
      <c r="Y519" s="925"/>
      <c r="Z519" s="925"/>
      <c r="AA519" s="925"/>
      <c r="AB519" s="925"/>
      <c r="AC519" s="925"/>
      <c r="AD519" s="925"/>
      <c r="AE519" s="925"/>
      <c r="AF519" s="925"/>
      <c r="AG519" s="925"/>
      <c r="AH519" s="925"/>
      <c r="AI519" s="925"/>
      <c r="AJ519" s="925"/>
      <c r="AK519" s="925"/>
      <c r="AL519" s="925"/>
      <c r="AM519" s="925"/>
      <c r="AN519" s="925"/>
      <c r="AO519" s="925"/>
      <c r="AP519" s="925"/>
      <c r="AQ519" s="925"/>
      <c r="AR519" s="925"/>
      <c r="AS519" s="925"/>
    </row>
    <row r="520" spans="1:45" s="927" customFormat="1" ht="34.5" customHeight="1">
      <c r="A520" s="900" t="s">
        <v>919</v>
      </c>
      <c r="B520" s="900"/>
      <c r="C520" s="900"/>
      <c r="D520" s="900"/>
      <c r="E520" s="900"/>
      <c r="F520" s="900"/>
      <c r="G520" s="900"/>
      <c r="H520" s="900"/>
      <c r="I520" s="915"/>
      <c r="J520" s="915"/>
      <c r="K520" s="412"/>
      <c r="L520" s="412"/>
      <c r="M520" s="151"/>
      <c r="N520" s="151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</row>
    <row r="521" spans="1:45" s="94" customFormat="1" ht="34.5" customHeight="1">
      <c r="A521" s="234"/>
      <c r="B521" s="140"/>
      <c r="C521" s="140"/>
      <c r="D521" s="140"/>
      <c r="E521" s="140"/>
      <c r="F521" s="140"/>
      <c r="G521" s="140"/>
      <c r="H521" s="140"/>
      <c r="I521" s="917"/>
      <c r="J521" s="917"/>
      <c r="K521" s="148"/>
      <c r="L521" s="148"/>
      <c r="M521" s="916"/>
      <c r="N521" s="91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</row>
    <row r="522" spans="1:42" s="167" customFormat="1" ht="34.5" customHeight="1">
      <c r="A522" s="837" t="s">
        <v>33</v>
      </c>
      <c r="B522" s="838" t="s">
        <v>568</v>
      </c>
      <c r="C522" s="839" t="s">
        <v>847</v>
      </c>
      <c r="D522" s="840"/>
      <c r="E522" s="841" t="s">
        <v>877</v>
      </c>
      <c r="F522" s="842"/>
      <c r="G522" s="841" t="s">
        <v>878</v>
      </c>
      <c r="H522" s="842"/>
      <c r="I522" s="1332"/>
      <c r="J522" s="1224"/>
      <c r="K522" s="1224"/>
      <c r="L522" s="1224"/>
      <c r="M522" s="151"/>
      <c r="N522" s="151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</row>
    <row r="523" spans="1:37" s="94" customFormat="1" ht="34.5" customHeight="1">
      <c r="A523" s="372" t="s">
        <v>78</v>
      </c>
      <c r="B523" s="213" t="s">
        <v>189</v>
      </c>
      <c r="C523" s="1194">
        <f>CEILING(42*$Z$1,0.1)</f>
        <v>52.5</v>
      </c>
      <c r="D523" s="1195"/>
      <c r="E523" s="1194">
        <f>CEILING(53*$Z$1,0.1)</f>
        <v>66.3</v>
      </c>
      <c r="F523" s="1195"/>
      <c r="G523" s="1194">
        <f>CEILING(42*$Z$1,0.1)</f>
        <v>52.5</v>
      </c>
      <c r="H523" s="1195"/>
      <c r="I523" s="1220"/>
      <c r="J523" s="1220"/>
      <c r="K523" s="1220"/>
      <c r="L523" s="1220"/>
      <c r="M523" s="97"/>
      <c r="N523" s="98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</row>
    <row r="524" spans="1:37" s="94" customFormat="1" ht="34.5" customHeight="1">
      <c r="A524" s="373" t="s">
        <v>49</v>
      </c>
      <c r="B524" s="192" t="s">
        <v>190</v>
      </c>
      <c r="C524" s="1192">
        <f>CEILING((C523+13*$Z$1),0.1)</f>
        <v>68.8</v>
      </c>
      <c r="D524" s="1193"/>
      <c r="E524" s="1192">
        <f>CEILING((E523+15*$Z$1),0.1)</f>
        <v>85.10000000000001</v>
      </c>
      <c r="F524" s="1193"/>
      <c r="G524" s="1192">
        <f>CEILING((G523+13*$Z$1),0.1)</f>
        <v>68.8</v>
      </c>
      <c r="H524" s="1193"/>
      <c r="I524" s="1220"/>
      <c r="J524" s="1220"/>
      <c r="K524" s="1220"/>
      <c r="L524" s="1220"/>
      <c r="M524" s="97"/>
      <c r="N524" s="98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</row>
    <row r="525" spans="1:37" s="94" customFormat="1" ht="34.5" customHeight="1">
      <c r="A525" s="413"/>
      <c r="B525" s="192" t="s">
        <v>191</v>
      </c>
      <c r="C525" s="1192">
        <f>CEILING((C523*0.8),0.1)</f>
        <v>42</v>
      </c>
      <c r="D525" s="1193"/>
      <c r="E525" s="1192">
        <f>CEILING((E523*0.8),0.1)</f>
        <v>53.1</v>
      </c>
      <c r="F525" s="1193"/>
      <c r="G525" s="1192">
        <f>CEILING((G523*0.8),0.1)</f>
        <v>42</v>
      </c>
      <c r="H525" s="1193"/>
      <c r="I525" s="1220"/>
      <c r="J525" s="1220"/>
      <c r="K525" s="1220"/>
      <c r="L525" s="1220"/>
      <c r="M525" s="111"/>
      <c r="N525" s="111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</row>
    <row r="526" spans="1:37" s="94" customFormat="1" ht="34.5" customHeight="1">
      <c r="A526" s="413"/>
      <c r="B526" s="298" t="s">
        <v>534</v>
      </c>
      <c r="C526" s="1192">
        <f>CEILING((C523*0),0.1)</f>
        <v>0</v>
      </c>
      <c r="D526" s="1193"/>
      <c r="E526" s="1192">
        <f>CEILING((E523*0),0.1)</f>
        <v>0</v>
      </c>
      <c r="F526" s="1193"/>
      <c r="G526" s="1192">
        <f>CEILING((G523*0),0.1)</f>
        <v>0</v>
      </c>
      <c r="H526" s="1193"/>
      <c r="I526" s="1220"/>
      <c r="J526" s="1220"/>
      <c r="K526" s="1220"/>
      <c r="L526" s="1220"/>
      <c r="M526" s="106"/>
      <c r="N526" s="10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</row>
    <row r="527" spans="1:37" s="94" customFormat="1" ht="34.5" customHeight="1">
      <c r="A527" s="413"/>
      <c r="B527" s="298" t="s">
        <v>573</v>
      </c>
      <c r="C527" s="1202">
        <f>CEILING((C523*0.5),0.1)</f>
        <v>26.3</v>
      </c>
      <c r="D527" s="1203"/>
      <c r="E527" s="1202">
        <f>CEILING((E523*0.5),0.1)</f>
        <v>33.2</v>
      </c>
      <c r="F527" s="1203"/>
      <c r="G527" s="1202">
        <f>CEILING((G523*0.5),0.1)</f>
        <v>26.3</v>
      </c>
      <c r="H527" s="1203"/>
      <c r="I527" s="1220"/>
      <c r="J527" s="1220"/>
      <c r="K527" s="1220"/>
      <c r="L527" s="1220"/>
      <c r="M527" s="106"/>
      <c r="N527" s="10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</row>
    <row r="528" spans="1:37" s="94" customFormat="1" ht="34.5" customHeight="1">
      <c r="A528" s="886"/>
      <c r="B528" s="213" t="s">
        <v>192</v>
      </c>
      <c r="C528" s="1194">
        <f>CEILING(47*$Z$1,0.1)</f>
        <v>58.800000000000004</v>
      </c>
      <c r="D528" s="1195"/>
      <c r="E528" s="1194">
        <f>CEILING(58*$Z$1,0.1)</f>
        <v>72.5</v>
      </c>
      <c r="F528" s="1195"/>
      <c r="G528" s="1194">
        <f>CEILING(47*$Z$1,0.1)</f>
        <v>58.800000000000004</v>
      </c>
      <c r="H528" s="1195"/>
      <c r="I528" s="1220"/>
      <c r="J528" s="1220"/>
      <c r="K528" s="1220"/>
      <c r="L528" s="1220"/>
      <c r="M528" s="106"/>
      <c r="N528" s="10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</row>
    <row r="529" spans="1:37" s="94" customFormat="1" ht="34.5" customHeight="1">
      <c r="A529" s="413"/>
      <c r="B529" s="192" t="s">
        <v>193</v>
      </c>
      <c r="C529" s="1192">
        <f>CEILING((C528+13*$Z$1),0.1)</f>
        <v>75.10000000000001</v>
      </c>
      <c r="D529" s="1193"/>
      <c r="E529" s="1192">
        <f>CEILING((E528+15*$Z$1),0.1)</f>
        <v>91.30000000000001</v>
      </c>
      <c r="F529" s="1193"/>
      <c r="G529" s="1192">
        <f>CEILING((G528+13*$Z$1),0.1)</f>
        <v>75.10000000000001</v>
      </c>
      <c r="H529" s="1193"/>
      <c r="I529" s="1220"/>
      <c r="J529" s="1220"/>
      <c r="K529" s="1220"/>
      <c r="L529" s="1220"/>
      <c r="M529" s="106"/>
      <c r="N529" s="10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</row>
    <row r="530" spans="1:37" s="94" customFormat="1" ht="34.5" customHeight="1">
      <c r="A530" s="413"/>
      <c r="B530" s="192" t="s">
        <v>194</v>
      </c>
      <c r="C530" s="1192">
        <f>CEILING((C528*0.82),0.1)</f>
        <v>48.300000000000004</v>
      </c>
      <c r="D530" s="1193"/>
      <c r="E530" s="1192">
        <f>CEILING((E528*0.82),0.1)</f>
        <v>59.5</v>
      </c>
      <c r="F530" s="1193"/>
      <c r="G530" s="1192">
        <f>CEILING((G528*0.82),0.1)</f>
        <v>48.300000000000004</v>
      </c>
      <c r="H530" s="1193"/>
      <c r="I530" s="1220"/>
      <c r="J530" s="1220"/>
      <c r="K530" s="1220"/>
      <c r="L530" s="1220"/>
      <c r="M530" s="106"/>
      <c r="N530" s="10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</row>
    <row r="531" spans="1:37" s="94" customFormat="1" ht="34.5" customHeight="1">
      <c r="A531" s="413"/>
      <c r="B531" s="270" t="s">
        <v>534</v>
      </c>
      <c r="C531" s="1192">
        <f>CEILING((C528*0),0.1)</f>
        <v>0</v>
      </c>
      <c r="D531" s="1193"/>
      <c r="E531" s="1192">
        <f>CEILING((E528*0),0.1)</f>
        <v>0</v>
      </c>
      <c r="F531" s="1193"/>
      <c r="G531" s="1192">
        <f>CEILING((G528*0),0.1)</f>
        <v>0</v>
      </c>
      <c r="H531" s="1193"/>
      <c r="I531" s="1220"/>
      <c r="J531" s="1220"/>
      <c r="K531" s="1220"/>
      <c r="L531" s="1220"/>
      <c r="M531" s="97"/>
      <c r="N531" s="98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</row>
    <row r="532" spans="1:37" s="94" customFormat="1" ht="34.5" customHeight="1">
      <c r="A532" s="450" t="s">
        <v>498</v>
      </c>
      <c r="B532" s="885" t="s">
        <v>534</v>
      </c>
      <c r="C532" s="1202">
        <f>CEILING((C528*0.5),0.1)</f>
        <v>29.400000000000002</v>
      </c>
      <c r="D532" s="1203"/>
      <c r="E532" s="1202">
        <f>CEILING((E528*0.5),0.1)</f>
        <v>36.300000000000004</v>
      </c>
      <c r="F532" s="1203"/>
      <c r="G532" s="1202">
        <f>CEILING((G528*0.5),0.1)</f>
        <v>29.400000000000002</v>
      </c>
      <c r="H532" s="1203"/>
      <c r="I532" s="1220"/>
      <c r="J532" s="1220"/>
      <c r="K532" s="1220"/>
      <c r="L532" s="1220"/>
      <c r="M532" s="97"/>
      <c r="N532" s="98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</row>
    <row r="533" spans="1:37" s="94" customFormat="1" ht="34.5" customHeight="1" thickBot="1">
      <c r="A533" s="400"/>
      <c r="B533" s="369"/>
      <c r="C533" s="1324"/>
      <c r="D533" s="1324"/>
      <c r="E533" s="1325"/>
      <c r="F533" s="1325"/>
      <c r="G533" s="1325"/>
      <c r="H533" s="1325"/>
      <c r="I533" s="1270"/>
      <c r="J533" s="1270"/>
      <c r="K533" s="99"/>
      <c r="L533" s="99"/>
      <c r="M533" s="97"/>
      <c r="N533" s="98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</row>
    <row r="534" spans="1:42" s="167" customFormat="1" ht="34.5" customHeight="1" thickTop="1">
      <c r="A534" s="837" t="s">
        <v>33</v>
      </c>
      <c r="B534" s="838" t="s">
        <v>568</v>
      </c>
      <c r="C534" s="839" t="s">
        <v>847</v>
      </c>
      <c r="D534" s="840"/>
      <c r="E534" s="841" t="s">
        <v>877</v>
      </c>
      <c r="F534" s="842"/>
      <c r="G534" s="841" t="s">
        <v>878</v>
      </c>
      <c r="H534" s="842"/>
      <c r="I534" s="1224"/>
      <c r="J534" s="1281"/>
      <c r="K534" s="1224"/>
      <c r="L534" s="1224"/>
      <c r="M534" s="151"/>
      <c r="N534" s="151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</row>
    <row r="535" spans="1:37" s="94" customFormat="1" ht="34.5" customHeight="1">
      <c r="A535" s="296" t="s">
        <v>571</v>
      </c>
      <c r="B535" s="190" t="s">
        <v>79</v>
      </c>
      <c r="C535" s="1194">
        <f>CEILING(39*$Z$1,0.1)</f>
        <v>48.800000000000004</v>
      </c>
      <c r="D535" s="1195"/>
      <c r="E535" s="1194">
        <f>CEILING(51*$Z$1,0.1)</f>
        <v>63.800000000000004</v>
      </c>
      <c r="F535" s="1195"/>
      <c r="G535" s="1194">
        <f>CEILING(39*$Z$1,0.1)</f>
        <v>48.800000000000004</v>
      </c>
      <c r="H535" s="1195"/>
      <c r="I535" s="1220"/>
      <c r="J535" s="1220"/>
      <c r="K535" s="1220"/>
      <c r="L535" s="1220"/>
      <c r="M535" s="97"/>
      <c r="N535" s="98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</row>
    <row r="536" spans="1:37" s="94" customFormat="1" ht="34.5" customHeight="1">
      <c r="A536" s="214" t="s">
        <v>49</v>
      </c>
      <c r="B536" s="106" t="s">
        <v>8</v>
      </c>
      <c r="C536" s="1192">
        <f>CEILING((C535+10*$Z$1),0.1)</f>
        <v>61.300000000000004</v>
      </c>
      <c r="D536" s="1193"/>
      <c r="E536" s="1192">
        <f>CEILING((E535+13*$Z$1),0.1)</f>
        <v>80.10000000000001</v>
      </c>
      <c r="F536" s="1193"/>
      <c r="G536" s="1192">
        <f>CEILING((G535+10*$Z$1),0.1)</f>
        <v>61.300000000000004</v>
      </c>
      <c r="H536" s="1193"/>
      <c r="I536" s="1220"/>
      <c r="J536" s="1220"/>
      <c r="K536" s="1220"/>
      <c r="L536" s="1220"/>
      <c r="M536" s="97"/>
      <c r="N536" s="98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</row>
    <row r="537" spans="1:119" s="94" customFormat="1" ht="34.5" customHeight="1">
      <c r="A537" s="214"/>
      <c r="B537" s="298" t="s">
        <v>37</v>
      </c>
      <c r="C537" s="1192">
        <f>CEILING((C535*0.8),0.1)</f>
        <v>39.1</v>
      </c>
      <c r="D537" s="1193"/>
      <c r="E537" s="1192">
        <f>CEILING((E535*0.8),0.1)</f>
        <v>51.1</v>
      </c>
      <c r="F537" s="1193"/>
      <c r="G537" s="1192">
        <f>CEILING((G535*0.8),0.1)</f>
        <v>39.1</v>
      </c>
      <c r="H537" s="1193"/>
      <c r="I537" s="1220"/>
      <c r="J537" s="1220"/>
      <c r="K537" s="1220"/>
      <c r="L537" s="1220"/>
      <c r="M537" s="106"/>
      <c r="N537" s="9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21"/>
      <c r="BS537" s="121"/>
      <c r="BT537" s="121"/>
      <c r="BU537" s="121"/>
      <c r="BV537" s="121"/>
      <c r="BW537" s="121"/>
      <c r="BX537" s="121"/>
      <c r="BY537" s="121"/>
      <c r="BZ537" s="121"/>
      <c r="CA537" s="121"/>
      <c r="CB537" s="121"/>
      <c r="CC537" s="121"/>
      <c r="CD537" s="121"/>
      <c r="CE537" s="121"/>
      <c r="CF537" s="121"/>
      <c r="CG537" s="121"/>
      <c r="CH537" s="121"/>
      <c r="CI537" s="121"/>
      <c r="CJ537" s="121"/>
      <c r="CK537" s="121"/>
      <c r="CL537" s="121"/>
      <c r="CM537" s="121"/>
      <c r="CN537" s="121"/>
      <c r="CO537" s="121"/>
      <c r="CP537" s="121"/>
      <c r="CQ537" s="121"/>
      <c r="CR537" s="121"/>
      <c r="CS537" s="121"/>
      <c r="CT537" s="121"/>
      <c r="CU537" s="121"/>
      <c r="CV537" s="121"/>
      <c r="CW537" s="121"/>
      <c r="CX537" s="121"/>
      <c r="CY537" s="121"/>
      <c r="CZ537" s="121"/>
      <c r="DA537" s="121"/>
      <c r="DB537" s="121"/>
      <c r="DC537" s="121"/>
      <c r="DD537" s="121"/>
      <c r="DE537" s="121"/>
      <c r="DF537" s="121"/>
      <c r="DG537" s="121"/>
      <c r="DH537" s="121"/>
      <c r="DI537" s="121"/>
      <c r="DJ537" s="121"/>
      <c r="DK537" s="121"/>
      <c r="DL537" s="121"/>
      <c r="DM537" s="121"/>
      <c r="DN537" s="121"/>
      <c r="DO537" s="121"/>
    </row>
    <row r="538" spans="1:119" s="94" customFormat="1" ht="34.5" customHeight="1">
      <c r="A538" s="216"/>
      <c r="B538" s="298" t="s">
        <v>61</v>
      </c>
      <c r="C538" s="1192">
        <f>CEILING((C535*0),0.1)</f>
        <v>0</v>
      </c>
      <c r="D538" s="1193"/>
      <c r="E538" s="1192">
        <f>CEILING((E535*0),0.1)</f>
        <v>0</v>
      </c>
      <c r="F538" s="1193"/>
      <c r="G538" s="1192">
        <f>CEILING((G535*0),0.1)</f>
        <v>0</v>
      </c>
      <c r="H538" s="1193"/>
      <c r="I538" s="1220"/>
      <c r="J538" s="1220"/>
      <c r="K538" s="1220"/>
      <c r="L538" s="1220"/>
      <c r="M538" s="106"/>
      <c r="N538" s="9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21"/>
      <c r="BS538" s="121"/>
      <c r="BT538" s="121"/>
      <c r="BU538" s="121"/>
      <c r="BV538" s="121"/>
      <c r="BW538" s="121"/>
      <c r="BX538" s="121"/>
      <c r="BY538" s="121"/>
      <c r="BZ538" s="121"/>
      <c r="CA538" s="121"/>
      <c r="CB538" s="121"/>
      <c r="CC538" s="121"/>
      <c r="CD538" s="121"/>
      <c r="CE538" s="121"/>
      <c r="CF538" s="121"/>
      <c r="CG538" s="121"/>
      <c r="CH538" s="121"/>
      <c r="CI538" s="121"/>
      <c r="CJ538" s="121"/>
      <c r="CK538" s="121"/>
      <c r="CL538" s="121"/>
      <c r="CM538" s="121"/>
      <c r="CN538" s="121"/>
      <c r="CO538" s="121"/>
      <c r="CP538" s="121"/>
      <c r="CQ538" s="121"/>
      <c r="CR538" s="121"/>
      <c r="CS538" s="121"/>
      <c r="CT538" s="121"/>
      <c r="CU538" s="121"/>
      <c r="CV538" s="121"/>
      <c r="CW538" s="121"/>
      <c r="CX538" s="121"/>
      <c r="CY538" s="121"/>
      <c r="CZ538" s="121"/>
      <c r="DA538" s="121"/>
      <c r="DB538" s="121"/>
      <c r="DC538" s="121"/>
      <c r="DD538" s="121"/>
      <c r="DE538" s="121"/>
      <c r="DF538" s="121"/>
      <c r="DG538" s="121"/>
      <c r="DH538" s="121"/>
      <c r="DI538" s="121"/>
      <c r="DJ538" s="121"/>
      <c r="DK538" s="121"/>
      <c r="DL538" s="121"/>
      <c r="DM538" s="121"/>
      <c r="DN538" s="121"/>
      <c r="DO538" s="121"/>
    </row>
    <row r="539" spans="1:119" s="94" customFormat="1" ht="34.5" customHeight="1">
      <c r="A539" s="214"/>
      <c r="B539" s="190" t="s">
        <v>574</v>
      </c>
      <c r="C539" s="1192">
        <f>CEILING(44*$Z$1,0.1)</f>
        <v>55</v>
      </c>
      <c r="D539" s="1193"/>
      <c r="E539" s="1192">
        <f>CEILING(59*$Z$1,0.1)</f>
        <v>73.8</v>
      </c>
      <c r="F539" s="1193"/>
      <c r="G539" s="1192">
        <f>CEILING(44*$Z$1,0.1)</f>
        <v>55</v>
      </c>
      <c r="H539" s="1193"/>
      <c r="I539" s="1220"/>
      <c r="J539" s="1220"/>
      <c r="K539" s="1220"/>
      <c r="L539" s="1220"/>
      <c r="M539" s="106"/>
      <c r="N539" s="9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  <c r="BC539" s="121"/>
      <c r="BD539" s="121"/>
      <c r="BE539" s="121"/>
      <c r="BF539" s="121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21"/>
      <c r="BS539" s="121"/>
      <c r="BT539" s="121"/>
      <c r="BU539" s="121"/>
      <c r="BV539" s="121"/>
      <c r="BW539" s="121"/>
      <c r="BX539" s="121"/>
      <c r="BY539" s="121"/>
      <c r="BZ539" s="121"/>
      <c r="CA539" s="121"/>
      <c r="CB539" s="121"/>
      <c r="CC539" s="121"/>
      <c r="CD539" s="121"/>
      <c r="CE539" s="121"/>
      <c r="CF539" s="121"/>
      <c r="CG539" s="121"/>
      <c r="CH539" s="121"/>
      <c r="CI539" s="121"/>
      <c r="CJ539" s="121"/>
      <c r="CK539" s="121"/>
      <c r="CL539" s="121"/>
      <c r="CM539" s="121"/>
      <c r="CN539" s="121"/>
      <c r="CO539" s="121"/>
      <c r="CP539" s="121"/>
      <c r="CQ539" s="121"/>
      <c r="CR539" s="121"/>
      <c r="CS539" s="121"/>
      <c r="CT539" s="121"/>
      <c r="CU539" s="121"/>
      <c r="CV539" s="121"/>
      <c r="CW539" s="121"/>
      <c r="CX539" s="121"/>
      <c r="CY539" s="121"/>
      <c r="CZ539" s="121"/>
      <c r="DA539" s="121"/>
      <c r="DB539" s="121"/>
      <c r="DC539" s="121"/>
      <c r="DD539" s="121"/>
      <c r="DE539" s="121"/>
      <c r="DF539" s="121"/>
      <c r="DG539" s="121"/>
      <c r="DH539" s="121"/>
      <c r="DI539" s="121"/>
      <c r="DJ539" s="121"/>
      <c r="DK539" s="121"/>
      <c r="DL539" s="121"/>
      <c r="DM539" s="121"/>
      <c r="DN539" s="121"/>
      <c r="DO539" s="121"/>
    </row>
    <row r="540" spans="1:119" s="94" customFormat="1" ht="34.5" customHeight="1" thickBot="1">
      <c r="A540" s="399" t="s">
        <v>498</v>
      </c>
      <c r="B540" s="246" t="s">
        <v>575</v>
      </c>
      <c r="C540" s="1202">
        <f>CEILING((C539+10*$Z$1),0.1)</f>
        <v>67.5</v>
      </c>
      <c r="D540" s="1203"/>
      <c r="E540" s="1202">
        <f>CEILING((E539+13*$Z$1),0.1)</f>
        <v>90.10000000000001</v>
      </c>
      <c r="F540" s="1203"/>
      <c r="G540" s="1202">
        <f>CEILING((G539+10*$Z$1),0.1)</f>
        <v>67.5</v>
      </c>
      <c r="H540" s="1203"/>
      <c r="I540" s="1220"/>
      <c r="J540" s="1220"/>
      <c r="K540" s="1220"/>
      <c r="L540" s="1220"/>
      <c r="M540" s="106"/>
      <c r="N540" s="9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1"/>
      <c r="BC540" s="121"/>
      <c r="BD540" s="121"/>
      <c r="BE540" s="121"/>
      <c r="BF540" s="121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21"/>
      <c r="BS540" s="121"/>
      <c r="BT540" s="121"/>
      <c r="BU540" s="121"/>
      <c r="BV540" s="121"/>
      <c r="BW540" s="121"/>
      <c r="BX540" s="121"/>
      <c r="BY540" s="121"/>
      <c r="BZ540" s="121"/>
      <c r="CA540" s="121"/>
      <c r="CB540" s="121"/>
      <c r="CC540" s="121"/>
      <c r="CD540" s="121"/>
      <c r="CE540" s="121"/>
      <c r="CF540" s="121"/>
      <c r="CG540" s="121"/>
      <c r="CH540" s="121"/>
      <c r="CI540" s="121"/>
      <c r="CJ540" s="121"/>
      <c r="CK540" s="121"/>
      <c r="CL540" s="121"/>
      <c r="CM540" s="121"/>
      <c r="CN540" s="121"/>
      <c r="CO540" s="121"/>
      <c r="CP540" s="121"/>
      <c r="CQ540" s="121"/>
      <c r="CR540" s="121"/>
      <c r="CS540" s="121"/>
      <c r="CT540" s="121"/>
      <c r="CU540" s="121"/>
      <c r="CV540" s="121"/>
      <c r="CW540" s="121"/>
      <c r="CX540" s="121"/>
      <c r="CY540" s="121"/>
      <c r="CZ540" s="121"/>
      <c r="DA540" s="121"/>
      <c r="DB540" s="121"/>
      <c r="DC540" s="121"/>
      <c r="DD540" s="121"/>
      <c r="DE540" s="121"/>
      <c r="DF540" s="121"/>
      <c r="DG540" s="121"/>
      <c r="DH540" s="121"/>
      <c r="DI540" s="121"/>
      <c r="DJ540" s="121"/>
      <c r="DK540" s="121"/>
      <c r="DL540" s="121"/>
      <c r="DM540" s="121"/>
      <c r="DN540" s="121"/>
      <c r="DO540" s="121"/>
    </row>
    <row r="541" spans="1:119" s="94" customFormat="1" ht="34.5" customHeight="1" thickTop="1">
      <c r="A541" s="415"/>
      <c r="B541" s="416"/>
      <c r="C541" s="417"/>
      <c r="D541" s="417"/>
      <c r="E541" s="371"/>
      <c r="F541" s="371"/>
      <c r="G541" s="371"/>
      <c r="H541" s="371"/>
      <c r="I541" s="371"/>
      <c r="J541" s="371"/>
      <c r="K541" s="119"/>
      <c r="L541" s="119"/>
      <c r="M541" s="106"/>
      <c r="N541" s="9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  <c r="BC541" s="121"/>
      <c r="BD541" s="121"/>
      <c r="BE541" s="121"/>
      <c r="BF541" s="121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21"/>
      <c r="BS541" s="121"/>
      <c r="BT541" s="121"/>
      <c r="BU541" s="121"/>
      <c r="BV541" s="121"/>
      <c r="BW541" s="121"/>
      <c r="BX541" s="121"/>
      <c r="BY541" s="121"/>
      <c r="BZ541" s="121"/>
      <c r="CA541" s="121"/>
      <c r="CB541" s="121"/>
      <c r="CC541" s="121"/>
      <c r="CD541" s="121"/>
      <c r="CE541" s="121"/>
      <c r="CF541" s="121"/>
      <c r="CG541" s="121"/>
      <c r="CH541" s="121"/>
      <c r="CI541" s="121"/>
      <c r="CJ541" s="121"/>
      <c r="CK541" s="121"/>
      <c r="CL541" s="121"/>
      <c r="CM541" s="121"/>
      <c r="CN541" s="121"/>
      <c r="CO541" s="121"/>
      <c r="CP541" s="121"/>
      <c r="CQ541" s="121"/>
      <c r="CR541" s="121"/>
      <c r="CS541" s="121"/>
      <c r="CT541" s="121"/>
      <c r="CU541" s="121"/>
      <c r="CV541" s="121"/>
      <c r="CW541" s="121"/>
      <c r="CX541" s="121"/>
      <c r="CY541" s="121"/>
      <c r="CZ541" s="121"/>
      <c r="DA541" s="121"/>
      <c r="DB541" s="121"/>
      <c r="DC541" s="121"/>
      <c r="DD541" s="121"/>
      <c r="DE541" s="121"/>
      <c r="DF541" s="121"/>
      <c r="DG541" s="121"/>
      <c r="DH541" s="121"/>
      <c r="DI541" s="121"/>
      <c r="DJ541" s="121"/>
      <c r="DK541" s="121"/>
      <c r="DL541" s="121"/>
      <c r="DM541" s="121"/>
      <c r="DN541" s="121"/>
      <c r="DO541" s="121"/>
    </row>
    <row r="542" spans="1:42" s="167" customFormat="1" ht="34.5" customHeight="1">
      <c r="A542" s="837" t="s">
        <v>33</v>
      </c>
      <c r="B542" s="838" t="s">
        <v>568</v>
      </c>
      <c r="C542" s="839" t="s">
        <v>847</v>
      </c>
      <c r="D542" s="840"/>
      <c r="E542" s="841" t="s">
        <v>879</v>
      </c>
      <c r="F542" s="842"/>
      <c r="G542" s="841" t="s">
        <v>880</v>
      </c>
      <c r="H542" s="842"/>
      <c r="I542" s="841" t="s">
        <v>881</v>
      </c>
      <c r="J542" s="842"/>
      <c r="K542" s="839" t="s">
        <v>954</v>
      </c>
      <c r="L542" s="840"/>
      <c r="M542" s="151"/>
      <c r="N542" s="151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</row>
    <row r="543" spans="1:37" s="121" customFormat="1" ht="34.5" customHeight="1">
      <c r="A543" s="418" t="s">
        <v>85</v>
      </c>
      <c r="B543" s="189" t="s">
        <v>528</v>
      </c>
      <c r="C543" s="1216">
        <f>CEILING(35*$Z$1,0.1)</f>
        <v>43.800000000000004</v>
      </c>
      <c r="D543" s="1217"/>
      <c r="E543" s="1216">
        <f>CEILING(35*$Z$1,0.1)</f>
        <v>43.800000000000004</v>
      </c>
      <c r="F543" s="1217"/>
      <c r="G543" s="1216">
        <f>CEILING(35*$Z$1,0.1)</f>
        <v>43.800000000000004</v>
      </c>
      <c r="H543" s="1217"/>
      <c r="I543" s="1216">
        <f>CEILING(35*$Z$1,0.1)</f>
        <v>43.800000000000004</v>
      </c>
      <c r="J543" s="1217"/>
      <c r="K543" s="1216">
        <f>CEILING(35*$Z$1,0.1)</f>
        <v>43.800000000000004</v>
      </c>
      <c r="L543" s="1217"/>
      <c r="M543" s="106"/>
      <c r="N543" s="9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</row>
    <row r="544" spans="1:37" s="121" customFormat="1" ht="34.5" customHeight="1">
      <c r="A544" s="115" t="s">
        <v>1193</v>
      </c>
      <c r="B544" s="190" t="s">
        <v>466</v>
      </c>
      <c r="C544" s="1200">
        <f>CEILING(44*$Z$1,0.1)</f>
        <v>55</v>
      </c>
      <c r="D544" s="1201"/>
      <c r="E544" s="1200">
        <f>CEILING(44*$Z$1,0.1)</f>
        <v>55</v>
      </c>
      <c r="F544" s="1201"/>
      <c r="G544" s="1200">
        <f>CEILING(44*$Z$1,0.1)</f>
        <v>55</v>
      </c>
      <c r="H544" s="1201"/>
      <c r="I544" s="1200">
        <f>CEILING(44*$Z$1,0.1)</f>
        <v>55</v>
      </c>
      <c r="J544" s="1201"/>
      <c r="K544" s="1200">
        <f>CEILING(44*$Z$1,0.1)</f>
        <v>55</v>
      </c>
      <c r="L544" s="1201"/>
      <c r="M544" s="127"/>
      <c r="N544" s="127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</row>
    <row r="545" spans="1:119" s="411" customFormat="1" ht="34.5" customHeight="1">
      <c r="A545" s="295" t="s">
        <v>307</v>
      </c>
      <c r="B545" s="419" t="s">
        <v>572</v>
      </c>
      <c r="C545" s="1227">
        <f>CEILING((C543*0.7),0.1)</f>
        <v>30.700000000000003</v>
      </c>
      <c r="D545" s="1228"/>
      <c r="E545" s="1227">
        <f>CEILING((E543*0.7),0.1)</f>
        <v>30.700000000000003</v>
      </c>
      <c r="F545" s="1228"/>
      <c r="G545" s="1227">
        <f>CEILING((G543*0.7),0.1)</f>
        <v>30.700000000000003</v>
      </c>
      <c r="H545" s="1228"/>
      <c r="I545" s="1227">
        <f>CEILING((I543*0.7),0.1)</f>
        <v>30.700000000000003</v>
      </c>
      <c r="J545" s="1228"/>
      <c r="K545" s="1227">
        <f>CEILING((K543*0.7),0.1)</f>
        <v>30.700000000000003</v>
      </c>
      <c r="L545" s="1228"/>
      <c r="M545" s="127"/>
      <c r="N545" s="127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  <c r="BC545" s="121"/>
      <c r="BD545" s="121"/>
      <c r="BE545" s="121"/>
      <c r="BF545" s="121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21"/>
      <c r="BS545" s="121"/>
      <c r="BT545" s="121"/>
      <c r="BU545" s="121"/>
      <c r="BV545" s="121"/>
      <c r="BW545" s="121"/>
      <c r="BX545" s="121"/>
      <c r="BY545" s="121"/>
      <c r="BZ545" s="121"/>
      <c r="CA545" s="121"/>
      <c r="CB545" s="121"/>
      <c r="CC545" s="121"/>
      <c r="CD545" s="121"/>
      <c r="CE545" s="121"/>
      <c r="CF545" s="121"/>
      <c r="CG545" s="121"/>
      <c r="CH545" s="121"/>
      <c r="CI545" s="121"/>
      <c r="CJ545" s="121"/>
      <c r="CK545" s="121"/>
      <c r="CL545" s="121"/>
      <c r="CM545" s="121"/>
      <c r="CN545" s="121"/>
      <c r="CO545" s="121"/>
      <c r="CP545" s="121"/>
      <c r="CQ545" s="121"/>
      <c r="CR545" s="121"/>
      <c r="CS545" s="121"/>
      <c r="CT545" s="121"/>
      <c r="CU545" s="121"/>
      <c r="CV545" s="121"/>
      <c r="CW545" s="121"/>
      <c r="CX545" s="121"/>
      <c r="CY545" s="121"/>
      <c r="CZ545" s="121"/>
      <c r="DA545" s="121"/>
      <c r="DB545" s="121"/>
      <c r="DC545" s="121"/>
      <c r="DD545" s="121"/>
      <c r="DE545" s="121"/>
      <c r="DF545" s="121"/>
      <c r="DG545" s="121"/>
      <c r="DH545" s="121"/>
      <c r="DI545" s="121"/>
      <c r="DJ545" s="121"/>
      <c r="DK545" s="121"/>
      <c r="DL545" s="121"/>
      <c r="DM545" s="121"/>
      <c r="DN545" s="121"/>
      <c r="DO545" s="121"/>
    </row>
    <row r="546" spans="1:37" s="121" customFormat="1" ht="34.5" customHeight="1">
      <c r="A546" s="420" t="s">
        <v>885</v>
      </c>
      <c r="B546" s="205"/>
      <c r="C546" s="861"/>
      <c r="D546" s="861"/>
      <c r="E546" s="861"/>
      <c r="F546" s="861"/>
      <c r="G546" s="861"/>
      <c r="H546" s="861"/>
      <c r="I546" s="861"/>
      <c r="J546" s="861"/>
      <c r="K546" s="861"/>
      <c r="L546" s="861"/>
      <c r="M546" s="865"/>
      <c r="N546" s="865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</row>
    <row r="547" spans="1:119" s="94" customFormat="1" ht="34.5" customHeight="1">
      <c r="A547" s="420"/>
      <c r="B547" s="205"/>
      <c r="C547" s="191"/>
      <c r="D547" s="191"/>
      <c r="E547" s="191"/>
      <c r="F547" s="191"/>
      <c r="G547" s="191"/>
      <c r="H547" s="191"/>
      <c r="I547" s="127"/>
      <c r="J547" s="127"/>
      <c r="K547" s="99"/>
      <c r="L547" s="99"/>
      <c r="M547" s="127"/>
      <c r="N547" s="127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1"/>
      <c r="BC547" s="121"/>
      <c r="BD547" s="121"/>
      <c r="BE547" s="121"/>
      <c r="BF547" s="121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21"/>
      <c r="BS547" s="121"/>
      <c r="BT547" s="121"/>
      <c r="BU547" s="121"/>
      <c r="BV547" s="121"/>
      <c r="BW547" s="121"/>
      <c r="BX547" s="121"/>
      <c r="BY547" s="121"/>
      <c r="BZ547" s="121"/>
      <c r="CA547" s="121"/>
      <c r="CB547" s="121"/>
      <c r="CC547" s="121"/>
      <c r="CD547" s="121"/>
      <c r="CE547" s="121"/>
      <c r="CF547" s="121"/>
      <c r="CG547" s="121"/>
      <c r="CH547" s="121"/>
      <c r="CI547" s="121"/>
      <c r="CJ547" s="121"/>
      <c r="CK547" s="121"/>
      <c r="CL547" s="121"/>
      <c r="CM547" s="121"/>
      <c r="CN547" s="121"/>
      <c r="CO547" s="121"/>
      <c r="CP547" s="121"/>
      <c r="CQ547" s="121"/>
      <c r="CR547" s="121"/>
      <c r="CS547" s="121"/>
      <c r="CT547" s="121"/>
      <c r="CU547" s="121"/>
      <c r="CV547" s="121"/>
      <c r="CW547" s="121"/>
      <c r="CX547" s="121"/>
      <c r="CY547" s="121"/>
      <c r="CZ547" s="121"/>
      <c r="DA547" s="121"/>
      <c r="DB547" s="121"/>
      <c r="DC547" s="121"/>
      <c r="DD547" s="121"/>
      <c r="DE547" s="121"/>
      <c r="DF547" s="121"/>
      <c r="DG547" s="121"/>
      <c r="DH547" s="121"/>
      <c r="DI547" s="121"/>
      <c r="DJ547" s="121"/>
      <c r="DK547" s="121"/>
      <c r="DL547" s="121"/>
      <c r="DM547" s="121"/>
      <c r="DN547" s="121"/>
      <c r="DO547" s="121"/>
    </row>
    <row r="548" spans="1:42" s="167" customFormat="1" ht="34.5" customHeight="1">
      <c r="A548" s="837" t="s">
        <v>33</v>
      </c>
      <c r="B548" s="838" t="s">
        <v>86</v>
      </c>
      <c r="C548" s="839" t="s">
        <v>847</v>
      </c>
      <c r="D548" s="840"/>
      <c r="E548" s="841" t="s">
        <v>879</v>
      </c>
      <c r="F548" s="842"/>
      <c r="G548" s="841" t="s">
        <v>880</v>
      </c>
      <c r="H548" s="842"/>
      <c r="I548" s="841" t="s">
        <v>881</v>
      </c>
      <c r="J548" s="842"/>
      <c r="K548" s="839" t="s">
        <v>954</v>
      </c>
      <c r="L548" s="840"/>
      <c r="M548" s="151"/>
      <c r="N548" s="151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</row>
    <row r="549" spans="1:25" s="121" customFormat="1" ht="34.5" customHeight="1">
      <c r="A549" s="418" t="s">
        <v>576</v>
      </c>
      <c r="B549" s="189" t="s">
        <v>41</v>
      </c>
      <c r="C549" s="1216">
        <f>CEILING(20*$Z$1,0.1)</f>
        <v>25</v>
      </c>
      <c r="D549" s="1217"/>
      <c r="E549" s="1216">
        <f>CEILING(20*$Z$1,0.1)</f>
        <v>25</v>
      </c>
      <c r="F549" s="1217"/>
      <c r="G549" s="1216">
        <f>CEILING(20*$Z$1,0.1)</f>
        <v>25</v>
      </c>
      <c r="H549" s="1217"/>
      <c r="I549" s="1216">
        <f>CEILING(20*$Z$1,0.1)</f>
        <v>25</v>
      </c>
      <c r="J549" s="1217"/>
      <c r="K549" s="1216">
        <f>CEILING(20*$Z$1,0.1)</f>
        <v>25</v>
      </c>
      <c r="L549" s="1217"/>
      <c r="M549" s="106"/>
      <c r="N549" s="90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</row>
    <row r="550" spans="1:25" s="121" customFormat="1" ht="34.5" customHeight="1">
      <c r="A550" s="115" t="s">
        <v>1193</v>
      </c>
      <c r="B550" s="190" t="s">
        <v>42</v>
      </c>
      <c r="C550" s="1200">
        <f>CEILING(24*$Z$1,0.1)</f>
        <v>30</v>
      </c>
      <c r="D550" s="1201"/>
      <c r="E550" s="1200">
        <f>CEILING(24*$Z$1,0.1)</f>
        <v>30</v>
      </c>
      <c r="F550" s="1201"/>
      <c r="G550" s="1200">
        <f>CEILING(24*$Z$1,0.1)</f>
        <v>30</v>
      </c>
      <c r="H550" s="1201"/>
      <c r="I550" s="1200">
        <f>CEILING(24*$Z$1,0.1)</f>
        <v>30</v>
      </c>
      <c r="J550" s="1201"/>
      <c r="K550" s="1200">
        <f>CEILING(24*$Z$1,0.1)</f>
        <v>30</v>
      </c>
      <c r="L550" s="1201"/>
      <c r="M550" s="106"/>
      <c r="N550" s="90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</row>
    <row r="551" spans="1:42" s="411" customFormat="1" ht="34.5" customHeight="1">
      <c r="A551" s="295" t="s">
        <v>307</v>
      </c>
      <c r="B551" s="419" t="s">
        <v>572</v>
      </c>
      <c r="C551" s="1227">
        <f>CEILING((C549*0.7),0.1)</f>
        <v>17.5</v>
      </c>
      <c r="D551" s="1228"/>
      <c r="E551" s="1227">
        <f>CEILING((E549*0.7),0.1)</f>
        <v>17.5</v>
      </c>
      <c r="F551" s="1228"/>
      <c r="G551" s="1227">
        <f>CEILING((G549*0.7),0.1)</f>
        <v>17.5</v>
      </c>
      <c r="H551" s="1228"/>
      <c r="I551" s="1227">
        <f>CEILING((I549*0.7),0.1)</f>
        <v>17.5</v>
      </c>
      <c r="J551" s="1228"/>
      <c r="K551" s="1227">
        <f>CEILING((K549*0.7),0.1)</f>
        <v>17.5</v>
      </c>
      <c r="L551" s="1228"/>
      <c r="M551" s="106"/>
      <c r="N551" s="90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</row>
    <row r="552" spans="1:12" s="100" customFormat="1" ht="34.5" customHeight="1">
      <c r="A552" s="869" t="s">
        <v>1247</v>
      </c>
      <c r="B552" s="864"/>
      <c r="C552" s="864"/>
      <c r="D552" s="864"/>
      <c r="E552" s="864"/>
      <c r="F552" s="864"/>
      <c r="G552" s="864"/>
      <c r="H552" s="864"/>
      <c r="I552" s="864"/>
      <c r="J552" s="864"/>
      <c r="K552" s="135"/>
      <c r="L552" s="135"/>
    </row>
    <row r="553" spans="1:25" s="121" customFormat="1" ht="34.5" customHeight="1">
      <c r="A553" s="328"/>
      <c r="B553" s="328"/>
      <c r="C553" s="328"/>
      <c r="D553" s="328"/>
      <c r="E553" s="328"/>
      <c r="F553" s="328"/>
      <c r="G553" s="328"/>
      <c r="H553" s="328"/>
      <c r="I553" s="328"/>
      <c r="J553" s="328"/>
      <c r="K553" s="99"/>
      <c r="L553" s="99"/>
      <c r="M553" s="421"/>
      <c r="N553" s="42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</row>
    <row r="554" spans="1:42" s="167" customFormat="1" ht="34.5" customHeight="1">
      <c r="A554" s="837" t="s">
        <v>33</v>
      </c>
      <c r="B554" s="838" t="s">
        <v>568</v>
      </c>
      <c r="C554" s="839" t="s">
        <v>847</v>
      </c>
      <c r="D554" s="840"/>
      <c r="E554" s="841" t="s">
        <v>879</v>
      </c>
      <c r="F554" s="842"/>
      <c r="G554" s="841" t="s">
        <v>880</v>
      </c>
      <c r="H554" s="842"/>
      <c r="I554" s="841" t="s">
        <v>881</v>
      </c>
      <c r="J554" s="842"/>
      <c r="K554" s="839" t="s">
        <v>954</v>
      </c>
      <c r="L554" s="840"/>
      <c r="M554" s="151"/>
      <c r="N554" s="151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</row>
    <row r="555" spans="1:25" s="121" customFormat="1" ht="34.5" customHeight="1">
      <c r="A555" s="296" t="s">
        <v>81</v>
      </c>
      <c r="B555" s="213" t="s">
        <v>41</v>
      </c>
      <c r="C555" s="1216">
        <f>CEILING(35*$Z$1,0.1)</f>
        <v>43.800000000000004</v>
      </c>
      <c r="D555" s="1217"/>
      <c r="E555" s="1216">
        <f>CEILING(35*$Z$1,0.1)</f>
        <v>43.800000000000004</v>
      </c>
      <c r="F555" s="1217"/>
      <c r="G555" s="1216">
        <f>CEILING(35*$Z$1,0.1)</f>
        <v>43.800000000000004</v>
      </c>
      <c r="H555" s="1217"/>
      <c r="I555" s="1216">
        <f>CEILING(35*$Z$1,0.1)</f>
        <v>43.800000000000004</v>
      </c>
      <c r="J555" s="1217"/>
      <c r="K555" s="1216">
        <f>CEILING(35*$Z$1,0.1)</f>
        <v>43.800000000000004</v>
      </c>
      <c r="L555" s="1217"/>
      <c r="M555" s="421"/>
      <c r="N555" s="42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</row>
    <row r="556" spans="1:25" s="121" customFormat="1" ht="34.5" customHeight="1">
      <c r="A556" s="244" t="s">
        <v>76</v>
      </c>
      <c r="B556" s="192" t="s">
        <v>42</v>
      </c>
      <c r="C556" s="1200">
        <f>CEILING(44*$Z$1,0.1)</f>
        <v>55</v>
      </c>
      <c r="D556" s="1201"/>
      <c r="E556" s="1200">
        <f>CEILING(44*$Z$1,0.1)</f>
        <v>55</v>
      </c>
      <c r="F556" s="1201"/>
      <c r="G556" s="1200">
        <f>CEILING(44*$Z$1,0.1)</f>
        <v>55</v>
      </c>
      <c r="H556" s="1201"/>
      <c r="I556" s="1200">
        <f>CEILING(44*$Z$1,0.1)</f>
        <v>55</v>
      </c>
      <c r="J556" s="1201"/>
      <c r="K556" s="1200">
        <f>CEILING(44*$Z$1,0.1)</f>
        <v>55</v>
      </c>
      <c r="L556" s="1201"/>
      <c r="M556" s="421"/>
      <c r="N556" s="42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</row>
    <row r="557" spans="1:25" s="121" customFormat="1" ht="34.5" customHeight="1">
      <c r="A557" s="244"/>
      <c r="B557" s="192" t="s">
        <v>37</v>
      </c>
      <c r="C557" s="1200">
        <f>CEILING((C555*0.85),0.1)</f>
        <v>37.300000000000004</v>
      </c>
      <c r="D557" s="1201"/>
      <c r="E557" s="1200">
        <f>CEILING((E555*0.85),0.1)</f>
        <v>37.300000000000004</v>
      </c>
      <c r="F557" s="1201"/>
      <c r="G557" s="1200">
        <f>CEILING((G555*0.85),0.1)</f>
        <v>37.300000000000004</v>
      </c>
      <c r="H557" s="1201"/>
      <c r="I557" s="1200">
        <f>CEILING((I555*0.85),0.1)</f>
        <v>37.300000000000004</v>
      </c>
      <c r="J557" s="1201"/>
      <c r="K557" s="1200">
        <f>CEILING((K555*0.85),0.1)</f>
        <v>37.300000000000004</v>
      </c>
      <c r="L557" s="1201"/>
      <c r="M557" s="421"/>
      <c r="N557" s="42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</row>
    <row r="558" spans="1:25" s="121" customFormat="1" ht="34.5" customHeight="1">
      <c r="A558" s="115" t="s">
        <v>1193</v>
      </c>
      <c r="B558" s="279" t="s">
        <v>572</v>
      </c>
      <c r="C558" s="1200">
        <f>CEILING((C555*0.7),0.1)</f>
        <v>30.700000000000003</v>
      </c>
      <c r="D558" s="1201"/>
      <c r="E558" s="1200">
        <f>CEILING((E555*0.7),0.1)</f>
        <v>30.700000000000003</v>
      </c>
      <c r="F558" s="1201"/>
      <c r="G558" s="1200">
        <f>CEILING((G555*0.7),0.1)</f>
        <v>30.700000000000003</v>
      </c>
      <c r="H558" s="1201"/>
      <c r="I558" s="1200">
        <f>CEILING((I555*0.7),0.1)</f>
        <v>30.700000000000003</v>
      </c>
      <c r="J558" s="1201"/>
      <c r="K558" s="1200">
        <f>CEILING((K555*0.7),0.1)</f>
        <v>30.700000000000003</v>
      </c>
      <c r="L558" s="1201"/>
      <c r="M558" s="111"/>
      <c r="N558" s="11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</row>
    <row r="559" spans="1:25" s="121" customFormat="1" ht="34.5" customHeight="1">
      <c r="A559" s="244"/>
      <c r="B559" s="190" t="s">
        <v>152</v>
      </c>
      <c r="C559" s="1200">
        <f>CEILING(39*$Z$1,0.1)</f>
        <v>48.800000000000004</v>
      </c>
      <c r="D559" s="1201"/>
      <c r="E559" s="1200">
        <f>CEILING(39*$Z$1,0.1)</f>
        <v>48.800000000000004</v>
      </c>
      <c r="F559" s="1201"/>
      <c r="G559" s="1200">
        <f>CEILING(39*$Z$1,0.1)</f>
        <v>48.800000000000004</v>
      </c>
      <c r="H559" s="1201"/>
      <c r="I559" s="1200">
        <f>CEILING(39*$Z$1,0.1)</f>
        <v>48.800000000000004</v>
      </c>
      <c r="J559" s="1201"/>
      <c r="K559" s="1200">
        <f>CEILING(39*$Z$1,0.1)</f>
        <v>48.800000000000004</v>
      </c>
      <c r="L559" s="1201"/>
      <c r="M559" s="111"/>
      <c r="N559" s="11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</row>
    <row r="560" spans="1:45" s="411" customFormat="1" ht="34.5" customHeight="1">
      <c r="A560" s="295" t="s">
        <v>306</v>
      </c>
      <c r="B560" s="419" t="s">
        <v>153</v>
      </c>
      <c r="C560" s="1227">
        <f>CEILING(48*$Z$1,0.1)</f>
        <v>60</v>
      </c>
      <c r="D560" s="1228"/>
      <c r="E560" s="1227">
        <f>CEILING(48*$Z$1,0.1)</f>
        <v>60</v>
      </c>
      <c r="F560" s="1228"/>
      <c r="G560" s="1227">
        <f>CEILING(48*$Z$1,0.1)</f>
        <v>60</v>
      </c>
      <c r="H560" s="1228"/>
      <c r="I560" s="1227">
        <f>CEILING(48*$Z$1,0.1)</f>
        <v>60</v>
      </c>
      <c r="J560" s="1228"/>
      <c r="K560" s="1227">
        <f>CEILING(48*$Z$1,0.1)</f>
        <v>60</v>
      </c>
      <c r="L560" s="1228"/>
      <c r="M560" s="127"/>
      <c r="N560" s="127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</row>
    <row r="561" spans="1:12" s="100" customFormat="1" ht="34.5" customHeight="1">
      <c r="A561" s="391" t="s">
        <v>1247</v>
      </c>
      <c r="B561" s="142"/>
      <c r="C561" s="142"/>
      <c r="D561" s="142"/>
      <c r="E561" s="142"/>
      <c r="F561" s="142"/>
      <c r="G561" s="142"/>
      <c r="H561" s="142"/>
      <c r="I561" s="142"/>
      <c r="J561" s="142"/>
      <c r="K561" s="135"/>
      <c r="L561" s="135"/>
    </row>
    <row r="562" spans="1:49" s="121" customFormat="1" ht="34.5" customHeight="1">
      <c r="A562" s="424"/>
      <c r="B562" s="106"/>
      <c r="C562" s="127"/>
      <c r="D562" s="127"/>
      <c r="E562" s="127"/>
      <c r="F562" s="127"/>
      <c r="G562" s="127"/>
      <c r="H562" s="127"/>
      <c r="I562" s="127"/>
      <c r="J562" s="127"/>
      <c r="K562" s="423"/>
      <c r="L562" s="423"/>
      <c r="M562" s="106"/>
      <c r="N562" s="9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</row>
    <row r="563" spans="1:42" s="167" customFormat="1" ht="34.5" customHeight="1">
      <c r="A563" s="837" t="s">
        <v>33</v>
      </c>
      <c r="B563" s="838" t="s">
        <v>568</v>
      </c>
      <c r="C563" s="839" t="s">
        <v>847</v>
      </c>
      <c r="D563" s="840"/>
      <c r="E563" s="841" t="s">
        <v>879</v>
      </c>
      <c r="F563" s="842"/>
      <c r="G563" s="841" t="s">
        <v>880</v>
      </c>
      <c r="H563" s="842"/>
      <c r="I563" s="841" t="s">
        <v>881</v>
      </c>
      <c r="J563" s="842"/>
      <c r="K563" s="839" t="s">
        <v>954</v>
      </c>
      <c r="L563" s="840"/>
      <c r="M563" s="151"/>
      <c r="N563" s="151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</row>
    <row r="564" spans="1:49" s="121" customFormat="1" ht="34.5" customHeight="1">
      <c r="A564" s="384" t="s">
        <v>82</v>
      </c>
      <c r="B564" s="190" t="s">
        <v>41</v>
      </c>
      <c r="C564" s="1216">
        <f>CEILING(32*$Z$1,0.1)</f>
        <v>40</v>
      </c>
      <c r="D564" s="1217"/>
      <c r="E564" s="1216">
        <f>CEILING(32*$Z$1,0.1)</f>
        <v>40</v>
      </c>
      <c r="F564" s="1217"/>
      <c r="G564" s="1216">
        <f>CEILING(32*$Z$1,0.1)</f>
        <v>40</v>
      </c>
      <c r="H564" s="1217"/>
      <c r="I564" s="1216">
        <f>CEILING(32*$Z$1,0.1)</f>
        <v>40</v>
      </c>
      <c r="J564" s="1217"/>
      <c r="K564" s="1216">
        <f>CEILING(32*$Z$1,0.1)</f>
        <v>40</v>
      </c>
      <c r="L564" s="1217"/>
      <c r="M564" s="106"/>
      <c r="N564" s="9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</row>
    <row r="565" spans="1:49" s="121" customFormat="1" ht="34.5" customHeight="1">
      <c r="A565" s="244" t="s">
        <v>80</v>
      </c>
      <c r="B565" s="190" t="s">
        <v>42</v>
      </c>
      <c r="C565" s="1200">
        <f>CEILING(41*$Z$1,0.1)</f>
        <v>51.300000000000004</v>
      </c>
      <c r="D565" s="1201"/>
      <c r="E565" s="1200">
        <f>CEILING(41*$Z$1,0.1)</f>
        <v>51.300000000000004</v>
      </c>
      <c r="F565" s="1201"/>
      <c r="G565" s="1200">
        <f>CEILING(41*$Z$1,0.1)</f>
        <v>51.300000000000004</v>
      </c>
      <c r="H565" s="1201"/>
      <c r="I565" s="1200">
        <f>CEILING(41*$Z$1,0.1)</f>
        <v>51.300000000000004</v>
      </c>
      <c r="J565" s="1201"/>
      <c r="K565" s="1200">
        <f>CEILING(41*$Z$1,0.1)</f>
        <v>51.300000000000004</v>
      </c>
      <c r="L565" s="1201"/>
      <c r="M565" s="106"/>
      <c r="N565" s="9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</row>
    <row r="566" spans="1:49" s="121" customFormat="1" ht="34.5" customHeight="1">
      <c r="A566" s="244"/>
      <c r="B566" s="190" t="s">
        <v>710</v>
      </c>
      <c r="C566" s="1225">
        <v>0</v>
      </c>
      <c r="D566" s="1226"/>
      <c r="E566" s="1225">
        <v>0</v>
      </c>
      <c r="F566" s="1226"/>
      <c r="G566" s="1225">
        <v>0</v>
      </c>
      <c r="H566" s="1226"/>
      <c r="I566" s="1225">
        <v>0</v>
      </c>
      <c r="J566" s="1226"/>
      <c r="K566" s="1225">
        <v>0</v>
      </c>
      <c r="L566" s="1226"/>
      <c r="M566" s="106"/>
      <c r="N566" s="9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</row>
    <row r="567" spans="1:49" s="121" customFormat="1" ht="34.5" customHeight="1">
      <c r="A567" s="115"/>
      <c r="B567" s="279" t="s">
        <v>572</v>
      </c>
      <c r="C567" s="1200">
        <f>CEILING((C564*0.7),0.1)</f>
        <v>28</v>
      </c>
      <c r="D567" s="1201"/>
      <c r="E567" s="1200">
        <f>CEILING((E564*0.7),0.1)</f>
        <v>28</v>
      </c>
      <c r="F567" s="1201"/>
      <c r="G567" s="1200">
        <f>CEILING((G564*0.7),0.1)</f>
        <v>28</v>
      </c>
      <c r="H567" s="1201"/>
      <c r="I567" s="1200">
        <f>CEILING((I564*0.7),0.1)</f>
        <v>28</v>
      </c>
      <c r="J567" s="1201"/>
      <c r="K567" s="1200">
        <f>CEILING((K564*0.7),0.1)</f>
        <v>28</v>
      </c>
      <c r="L567" s="1201"/>
      <c r="M567" s="106"/>
      <c r="N567" s="9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</row>
    <row r="568" spans="1:49" s="121" customFormat="1" ht="34.5" customHeight="1">
      <c r="A568" s="115" t="s">
        <v>1193</v>
      </c>
      <c r="B568" s="190" t="s">
        <v>83</v>
      </c>
      <c r="C568" s="1200">
        <f>CEILING(64*$Z$1,0.1)</f>
        <v>80</v>
      </c>
      <c r="D568" s="1201"/>
      <c r="E568" s="1200">
        <f>CEILING(64*$Z$1,0.1)</f>
        <v>80</v>
      </c>
      <c r="F568" s="1201"/>
      <c r="G568" s="1200">
        <f>CEILING(64*$Z$1,0.1)</f>
        <v>80</v>
      </c>
      <c r="H568" s="1201"/>
      <c r="I568" s="1200">
        <f>CEILING(64*$Z$1,0.1)</f>
        <v>80</v>
      </c>
      <c r="J568" s="1201"/>
      <c r="K568" s="1200">
        <f>CEILING(64*$Z$1,0.1)</f>
        <v>80</v>
      </c>
      <c r="L568" s="1201"/>
      <c r="M568" s="106"/>
      <c r="N568" s="9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</row>
    <row r="569" spans="1:49" s="411" customFormat="1" ht="34.5" customHeight="1">
      <c r="A569" s="295" t="s">
        <v>305</v>
      </c>
      <c r="B569" s="237" t="s">
        <v>84</v>
      </c>
      <c r="C569" s="1227">
        <f>CEILING(104*$Z$1,0.1)</f>
        <v>130</v>
      </c>
      <c r="D569" s="1228"/>
      <c r="E569" s="1227">
        <f>CEILING(104*$Z$1,0.1)</f>
        <v>130</v>
      </c>
      <c r="F569" s="1228"/>
      <c r="G569" s="1227">
        <f>CEILING(104*$Z$1,0.1)</f>
        <v>130</v>
      </c>
      <c r="H569" s="1228"/>
      <c r="I569" s="1227">
        <f>CEILING(104*$Z$1,0.1)</f>
        <v>130</v>
      </c>
      <c r="J569" s="1228"/>
      <c r="K569" s="1227">
        <f>CEILING(104*$Z$1,0.1)</f>
        <v>130</v>
      </c>
      <c r="L569" s="1228"/>
      <c r="M569" s="106"/>
      <c r="N569" s="9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</row>
    <row r="570" spans="1:25" s="121" customFormat="1" ht="34.5" customHeight="1">
      <c r="A570" s="869" t="s">
        <v>577</v>
      </c>
      <c r="B570" s="869"/>
      <c r="C570" s="869"/>
      <c r="D570" s="869"/>
      <c r="E570" s="869"/>
      <c r="F570" s="869"/>
      <c r="G570" s="869"/>
      <c r="H570" s="869"/>
      <c r="I570" s="869"/>
      <c r="J570" s="869"/>
      <c r="K570" s="148"/>
      <c r="L570" s="148"/>
      <c r="M570" s="106"/>
      <c r="N570" s="106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</row>
    <row r="571" spans="1:25" s="121" customFormat="1" ht="34.5" customHeight="1">
      <c r="A571" s="328"/>
      <c r="B571" s="339"/>
      <c r="C571" s="339"/>
      <c r="D571" s="339"/>
      <c r="E571" s="339"/>
      <c r="F571" s="339"/>
      <c r="G571" s="339"/>
      <c r="H571" s="339"/>
      <c r="I571" s="339"/>
      <c r="J571" s="339"/>
      <c r="K571" s="148"/>
      <c r="L571" s="148"/>
      <c r="M571" s="106"/>
      <c r="N571" s="106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</row>
    <row r="572" spans="1:49" s="15" customFormat="1" ht="34.5" customHeight="1">
      <c r="A572" s="1385" t="s">
        <v>785</v>
      </c>
      <c r="B572" s="1385"/>
      <c r="C572" s="1385"/>
      <c r="D572" s="1385"/>
      <c r="E572" s="1385"/>
      <c r="F572" s="1385"/>
      <c r="G572" s="1385"/>
      <c r="H572" s="1385"/>
      <c r="I572" s="1385"/>
      <c r="J572" s="1385"/>
      <c r="K572" s="33"/>
      <c r="L572" s="13"/>
      <c r="M572" s="7"/>
      <c r="N572" s="35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</row>
    <row r="573" spans="1:25" s="94" customFormat="1" ht="34.5" customHeight="1" thickBot="1">
      <c r="A573" s="1342"/>
      <c r="B573" s="1342"/>
      <c r="C573" s="1343"/>
      <c r="D573" s="1343"/>
      <c r="E573" s="1343"/>
      <c r="F573" s="1343"/>
      <c r="G573" s="1343"/>
      <c r="H573" s="1343"/>
      <c r="I573" s="802"/>
      <c r="J573" s="803"/>
      <c r="K573" s="91"/>
      <c r="L573" s="91"/>
      <c r="M573" s="97"/>
      <c r="N573" s="98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</row>
    <row r="574" spans="1:42" s="167" customFormat="1" ht="34.5" customHeight="1" thickTop="1">
      <c r="A574" s="837" t="s">
        <v>33</v>
      </c>
      <c r="B574" s="838" t="s">
        <v>800</v>
      </c>
      <c r="C574" s="839" t="s">
        <v>847</v>
      </c>
      <c r="D574" s="840"/>
      <c r="E574" s="841" t="s">
        <v>870</v>
      </c>
      <c r="F574" s="842"/>
      <c r="G574" s="841" t="s">
        <v>850</v>
      </c>
      <c r="H574" s="842"/>
      <c r="I574" s="841" t="s">
        <v>851</v>
      </c>
      <c r="J574" s="842"/>
      <c r="K574" s="841" t="s">
        <v>852</v>
      </c>
      <c r="L574" s="842"/>
      <c r="M574" s="151"/>
      <c r="N574" s="151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</row>
    <row r="575" spans="1:25" s="94" customFormat="1" ht="34.5" customHeight="1">
      <c r="A575" s="659" t="s">
        <v>88</v>
      </c>
      <c r="B575" s="238" t="s">
        <v>41</v>
      </c>
      <c r="C575" s="1090">
        <f>CEILING(99*$Z$1,0.1)</f>
        <v>123.80000000000001</v>
      </c>
      <c r="D575" s="1091"/>
      <c r="E575" s="1090">
        <f>CEILING(144*$Z$1,0.1)</f>
        <v>180</v>
      </c>
      <c r="F575" s="1091"/>
      <c r="G575" s="1090">
        <f>CEILING(135*$Z$1,0.1)</f>
        <v>168.8</v>
      </c>
      <c r="H575" s="1122"/>
      <c r="I575" s="1184">
        <f>CEILING(135*$Z$1,0.1)</f>
        <v>168.8</v>
      </c>
      <c r="J575" s="1185"/>
      <c r="K575" s="1184">
        <f>CEILING(121.5*$Z$1,0.1)</f>
        <v>151.9</v>
      </c>
      <c r="L575" s="1185"/>
      <c r="M575" s="97"/>
      <c r="N575" s="98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</row>
    <row r="576" spans="1:25" s="94" customFormat="1" ht="34.5" customHeight="1">
      <c r="A576" s="266" t="s">
        <v>35</v>
      </c>
      <c r="B576" s="190" t="s">
        <v>42</v>
      </c>
      <c r="C576" s="1092">
        <f>CEILING((C575+49.5*$Z$1),0.1)</f>
        <v>185.70000000000002</v>
      </c>
      <c r="D576" s="1093"/>
      <c r="E576" s="1092">
        <f>CEILING((E575+72*$Z$1),0.1)</f>
        <v>270</v>
      </c>
      <c r="F576" s="1093"/>
      <c r="G576" s="1092">
        <f>CEILING((G575+67.5*$Z$1),0.1)</f>
        <v>253.20000000000002</v>
      </c>
      <c r="H576" s="1123"/>
      <c r="I576" s="1186">
        <f>CEILING((I575+67.5*$Z$1),0.1)</f>
        <v>253.20000000000002</v>
      </c>
      <c r="J576" s="1187"/>
      <c r="K576" s="1186">
        <f>CEILING((K575+60.7*$Z$1),0.1)</f>
        <v>227.8</v>
      </c>
      <c r="L576" s="1187"/>
      <c r="M576" s="97"/>
      <c r="N576" s="98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</row>
    <row r="577" spans="1:25" s="94" customFormat="1" ht="34.5" customHeight="1">
      <c r="A577" s="804"/>
      <c r="B577" s="298" t="s">
        <v>413</v>
      </c>
      <c r="C577" s="1092">
        <f>CEILING(106.2*$Z$1,0.1)</f>
        <v>132.8</v>
      </c>
      <c r="D577" s="1093"/>
      <c r="E577" s="1092">
        <f>CEILING(154*$Z$1,0.1)</f>
        <v>192.5</v>
      </c>
      <c r="F577" s="1093"/>
      <c r="G577" s="1092">
        <f>CEILING(145*$Z$1,0.1)</f>
        <v>181.3</v>
      </c>
      <c r="H577" s="1123"/>
      <c r="I577" s="1186">
        <f>CEILING(145*$Z$1,0.1)</f>
        <v>181.3</v>
      </c>
      <c r="J577" s="1187"/>
      <c r="K577" s="1186">
        <f>CEILING(126*$Z$1,0.1)</f>
        <v>157.5</v>
      </c>
      <c r="L577" s="1187"/>
      <c r="M577" s="97"/>
      <c r="N577" s="98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</row>
    <row r="578" spans="1:25" s="94" customFormat="1" ht="34.5" customHeight="1">
      <c r="A578" s="273"/>
      <c r="B578" s="190" t="s">
        <v>414</v>
      </c>
      <c r="C578" s="1092">
        <f>CEILING((C577+53.1*$Z$1),0.1)</f>
        <v>199.20000000000002</v>
      </c>
      <c r="D578" s="1093"/>
      <c r="E578" s="1092">
        <f>CEILING((E577+77.2*$Z$1),0.1)</f>
        <v>289</v>
      </c>
      <c r="F578" s="1093"/>
      <c r="G578" s="1092">
        <f>CEILING((G577+72.5*$Z$1),0.1)</f>
        <v>272</v>
      </c>
      <c r="H578" s="1123"/>
      <c r="I578" s="1186">
        <f>CEILING((I577+72.5*$Z$1),0.1)</f>
        <v>272</v>
      </c>
      <c r="J578" s="1187"/>
      <c r="K578" s="1186">
        <f>CEILING((K577+63*$Z$1),0.1)</f>
        <v>236.3</v>
      </c>
      <c r="L578" s="1187"/>
      <c r="M578" s="97"/>
      <c r="N578" s="98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</row>
    <row r="579" spans="1:25" s="94" customFormat="1" ht="34.5" customHeight="1">
      <c r="A579" s="798"/>
      <c r="B579" s="279" t="s">
        <v>34</v>
      </c>
      <c r="C579" s="1092">
        <f>CEILING(109*$Z$1,0.1)</f>
        <v>136.3</v>
      </c>
      <c r="D579" s="1093"/>
      <c r="E579" s="1092">
        <f>CEILING(158.4*$Z$1,0.1)</f>
        <v>198</v>
      </c>
      <c r="F579" s="1093"/>
      <c r="G579" s="1092">
        <f>CEILING(149*$Z$1,0.1)</f>
        <v>186.3</v>
      </c>
      <c r="H579" s="1123"/>
      <c r="I579" s="1186">
        <f>CEILING(149*$Z$1,0.1)</f>
        <v>186.3</v>
      </c>
      <c r="J579" s="1187"/>
      <c r="K579" s="1186">
        <f>CEILING(134.1*$Z$1,0.1)</f>
        <v>167.70000000000002</v>
      </c>
      <c r="L579" s="1187"/>
      <c r="M579" s="97"/>
      <c r="N579" s="98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</row>
    <row r="580" spans="1:53" s="94" customFormat="1" ht="34.5" customHeight="1" thickBot="1">
      <c r="A580" s="400" t="s">
        <v>304</v>
      </c>
      <c r="B580" s="496" t="s">
        <v>36</v>
      </c>
      <c r="C580" s="1094">
        <f>CEILING((C579+54.4*$Z$1),0.1)</f>
        <v>204.3</v>
      </c>
      <c r="D580" s="1095"/>
      <c r="E580" s="1094">
        <f>CEILING((E579+79.2*$Z$1),0.1)</f>
        <v>297</v>
      </c>
      <c r="F580" s="1095"/>
      <c r="G580" s="1094">
        <f>CEILING((G579+74.5*$Z$1),0.1)</f>
        <v>279.5</v>
      </c>
      <c r="H580" s="1124"/>
      <c r="I580" s="1188">
        <f>CEILING((I579+74.5*$Z$1),0.1)</f>
        <v>279.5</v>
      </c>
      <c r="J580" s="1189"/>
      <c r="K580" s="1188">
        <f>CEILING((K579+67*$Z$1),0.1)</f>
        <v>251.5</v>
      </c>
      <c r="L580" s="1189"/>
      <c r="M580" s="97"/>
      <c r="N580" s="98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</row>
    <row r="581" spans="1:14" s="898" customFormat="1" ht="34.5" customHeight="1" thickTop="1">
      <c r="A581" s="650" t="s">
        <v>752</v>
      </c>
      <c r="B581" s="153"/>
      <c r="C581" s="1166"/>
      <c r="D581" s="1167"/>
      <c r="E581" s="1166"/>
      <c r="F581" s="1167"/>
      <c r="G581" s="1058"/>
      <c r="H581" s="893"/>
      <c r="I581" s="817"/>
      <c r="J581" s="893"/>
      <c r="K581" s="894"/>
      <c r="L581" s="895"/>
      <c r="M581" s="896"/>
      <c r="N581" s="897"/>
    </row>
    <row r="582" spans="1:13" ht="30.75" customHeight="1">
      <c r="A582" s="892" t="s">
        <v>886</v>
      </c>
      <c r="B582" s="870"/>
      <c r="C582" s="870"/>
      <c r="D582" s="870"/>
      <c r="E582" s="870"/>
      <c r="F582" s="870"/>
      <c r="G582" s="870"/>
      <c r="H582" s="870"/>
      <c r="I582" s="870"/>
      <c r="J582" s="870"/>
      <c r="K582" s="871"/>
      <c r="L582" s="871"/>
      <c r="M582" s="872"/>
    </row>
    <row r="583" spans="1:13" ht="30.75" customHeight="1">
      <c r="A583" s="892"/>
      <c r="B583" s="870"/>
      <c r="C583" s="870"/>
      <c r="D583" s="870"/>
      <c r="E583" s="870"/>
      <c r="F583" s="870"/>
      <c r="G583" s="870"/>
      <c r="H583" s="870"/>
      <c r="I583" s="870"/>
      <c r="J583" s="870"/>
      <c r="K583" s="871"/>
      <c r="L583" s="871"/>
      <c r="M583" s="872"/>
    </row>
    <row r="584" spans="1:42" s="167" customFormat="1" ht="34.5" customHeight="1">
      <c r="A584" s="837" t="s">
        <v>33</v>
      </c>
      <c r="B584" s="838" t="s">
        <v>86</v>
      </c>
      <c r="C584" s="839" t="s">
        <v>847</v>
      </c>
      <c r="D584" s="840"/>
      <c r="E584" s="841" t="s">
        <v>870</v>
      </c>
      <c r="F584" s="842"/>
      <c r="G584" s="841" t="s">
        <v>850</v>
      </c>
      <c r="H584" s="842"/>
      <c r="I584" s="841" t="s">
        <v>851</v>
      </c>
      <c r="J584" s="842"/>
      <c r="K584" s="841" t="s">
        <v>852</v>
      </c>
      <c r="L584" s="842"/>
      <c r="M584" s="151"/>
      <c r="N584" s="151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</row>
    <row r="585" spans="1:41" s="94" customFormat="1" ht="34.5" customHeight="1">
      <c r="A585" s="348" t="s">
        <v>1260</v>
      </c>
      <c r="B585" s="349" t="s">
        <v>555</v>
      </c>
      <c r="C585" s="1194"/>
      <c r="D585" s="1195"/>
      <c r="E585" s="1194">
        <f>CEILING(170*$Z$1,0.1)</f>
        <v>212.5</v>
      </c>
      <c r="F585" s="1195"/>
      <c r="G585" s="1216">
        <f>CEILING(65*$Z$1,0.1)</f>
        <v>81.30000000000001</v>
      </c>
      <c r="H585" s="1217"/>
      <c r="I585" s="1216">
        <f>CEILING(65*$Z$1,0.1)</f>
        <v>81.30000000000001</v>
      </c>
      <c r="J585" s="1217"/>
      <c r="K585" s="1216">
        <f>CEILING(65*$Z$1,0.1)</f>
        <v>81.30000000000001</v>
      </c>
      <c r="L585" s="1217"/>
      <c r="M585" s="1270"/>
      <c r="N585" s="1270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</row>
    <row r="586" spans="1:41" s="94" customFormat="1" ht="34.5" customHeight="1">
      <c r="A586" s="1174" t="s">
        <v>1261</v>
      </c>
      <c r="B586" s="899" t="s">
        <v>556</v>
      </c>
      <c r="C586" s="1202"/>
      <c r="D586" s="1203"/>
      <c r="E586" s="1202">
        <f>CEILING((E585+50*$Z$1),0.1)</f>
        <v>275</v>
      </c>
      <c r="F586" s="1203"/>
      <c r="G586" s="1227">
        <f>CEILING((G585+30*$Z$1),0.1)</f>
        <v>118.80000000000001</v>
      </c>
      <c r="H586" s="1228"/>
      <c r="I586" s="1227">
        <f>CEILING((I585+30*$Z$1),0.1)</f>
        <v>118.80000000000001</v>
      </c>
      <c r="J586" s="1228"/>
      <c r="K586" s="1227">
        <f>CEILING((K585+30*$Z$1),0.1)</f>
        <v>118.80000000000001</v>
      </c>
      <c r="L586" s="1228"/>
      <c r="M586" s="882"/>
      <c r="N586" s="882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</row>
    <row r="587" spans="1:13" ht="30.75" customHeight="1">
      <c r="A587" s="892" t="s">
        <v>887</v>
      </c>
      <c r="B587" s="870"/>
      <c r="C587" s="870"/>
      <c r="D587" s="870"/>
      <c r="E587" s="870"/>
      <c r="F587" s="870"/>
      <c r="G587" s="870"/>
      <c r="H587" s="870"/>
      <c r="I587" s="870"/>
      <c r="J587" s="870"/>
      <c r="K587" s="871"/>
      <c r="L587" s="871"/>
      <c r="M587" s="872"/>
    </row>
    <row r="588" spans="1:25" s="94" customFormat="1" ht="34.5" customHeight="1">
      <c r="A588" s="387"/>
      <c r="B588" s="205"/>
      <c r="C588" s="799"/>
      <c r="D588" s="800"/>
      <c r="E588" s="799"/>
      <c r="F588" s="800"/>
      <c r="G588" s="799"/>
      <c r="H588" s="800"/>
      <c r="I588" s="799"/>
      <c r="J588" s="800"/>
      <c r="K588" s="99"/>
      <c r="L588" s="91"/>
      <c r="M588" s="97"/>
      <c r="N588" s="98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</row>
    <row r="589" spans="1:42" s="167" customFormat="1" ht="34.5" customHeight="1">
      <c r="A589" s="837" t="s">
        <v>33</v>
      </c>
      <c r="B589" s="838" t="s">
        <v>888</v>
      </c>
      <c r="C589" s="839" t="s">
        <v>847</v>
      </c>
      <c r="D589" s="840"/>
      <c r="E589" s="841" t="s">
        <v>870</v>
      </c>
      <c r="F589" s="842"/>
      <c r="G589" s="841" t="s">
        <v>850</v>
      </c>
      <c r="H589" s="842"/>
      <c r="I589" s="841" t="s">
        <v>851</v>
      </c>
      <c r="J589" s="842"/>
      <c r="K589" s="841" t="s">
        <v>852</v>
      </c>
      <c r="L589" s="842"/>
      <c r="M589" s="151"/>
      <c r="N589" s="151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</row>
    <row r="590" spans="1:25" s="94" customFormat="1" ht="34.5" customHeight="1">
      <c r="A590" s="296" t="s">
        <v>408</v>
      </c>
      <c r="B590" s="298" t="s">
        <v>410</v>
      </c>
      <c r="C590" s="1194">
        <f>CEILING(65*$Z$1,0.1)</f>
        <v>81.30000000000001</v>
      </c>
      <c r="D590" s="1195"/>
      <c r="E590" s="1194">
        <f>CEILING(90*$Z$1,0.1)</f>
        <v>112.5</v>
      </c>
      <c r="F590" s="1195"/>
      <c r="G590" s="1194">
        <f>CEILING(70*$Z$1,0.1)</f>
        <v>87.5</v>
      </c>
      <c r="H590" s="1195"/>
      <c r="I590" s="1194">
        <f>CEILING(70*$Z$1,0.1)</f>
        <v>87.5</v>
      </c>
      <c r="J590" s="1195"/>
      <c r="K590" s="1194">
        <f>CEILING(63*$Z$1,0.1)</f>
        <v>78.80000000000001</v>
      </c>
      <c r="L590" s="1195"/>
      <c r="M590" s="97"/>
      <c r="N590" s="98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</row>
    <row r="591" spans="1:25" s="94" customFormat="1" ht="34.5" customHeight="1">
      <c r="A591" s="630"/>
      <c r="B591" s="190" t="s">
        <v>411</v>
      </c>
      <c r="C591" s="1192">
        <f>CEILING((C590+25*$Z$1),0.1)</f>
        <v>112.60000000000001</v>
      </c>
      <c r="D591" s="1193"/>
      <c r="E591" s="1192">
        <f>CEILING((E590+25*$Z$1),0.1)</f>
        <v>143.8</v>
      </c>
      <c r="F591" s="1193"/>
      <c r="G591" s="1192">
        <f>CEILING((G590+25*$Z$1),0.1)</f>
        <v>118.80000000000001</v>
      </c>
      <c r="H591" s="1193"/>
      <c r="I591" s="1192">
        <f>CEILING((I590+25*$Z$1),0.1)</f>
        <v>118.80000000000001</v>
      </c>
      <c r="J591" s="1193"/>
      <c r="K591" s="1192">
        <f>CEILING((K590+25*$Z$1),0.1)</f>
        <v>110.10000000000001</v>
      </c>
      <c r="L591" s="1193"/>
      <c r="M591" s="112"/>
      <c r="N591" s="11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</row>
    <row r="592" spans="1:25" s="94" customFormat="1" ht="34.5" customHeight="1">
      <c r="A592" s="214" t="s">
        <v>49</v>
      </c>
      <c r="B592" s="270" t="s">
        <v>37</v>
      </c>
      <c r="C592" s="1192">
        <f>CEILING((C590*0.85),0.1)</f>
        <v>69.2</v>
      </c>
      <c r="D592" s="1193"/>
      <c r="E592" s="1192">
        <f>CEILING((E590*0.85),0.1)</f>
        <v>95.7</v>
      </c>
      <c r="F592" s="1193"/>
      <c r="G592" s="1192">
        <f>CEILING((G590*0.85),0.1)</f>
        <v>74.4</v>
      </c>
      <c r="H592" s="1193"/>
      <c r="I592" s="1192">
        <f>CEILING((I590*0.85),0.1)</f>
        <v>74.4</v>
      </c>
      <c r="J592" s="1193"/>
      <c r="K592" s="1192">
        <f>CEILING((K590*0.85),0.1)</f>
        <v>67</v>
      </c>
      <c r="L592" s="1193"/>
      <c r="M592" s="97"/>
      <c r="N592" s="98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</row>
    <row r="593" spans="1:25" s="94" customFormat="1" ht="34.5" customHeight="1">
      <c r="A593" s="373"/>
      <c r="B593" s="298" t="s">
        <v>534</v>
      </c>
      <c r="C593" s="1192">
        <f>CEILING((C590*0.5),0.1)</f>
        <v>40.7</v>
      </c>
      <c r="D593" s="1193"/>
      <c r="E593" s="1192">
        <f>CEILING((E590*0.5),0.1)</f>
        <v>56.300000000000004</v>
      </c>
      <c r="F593" s="1193"/>
      <c r="G593" s="1192">
        <f>CEILING((G590*0.5),0.1)</f>
        <v>43.800000000000004</v>
      </c>
      <c r="H593" s="1193"/>
      <c r="I593" s="1192">
        <f>CEILING((I590*0.5),0.1)</f>
        <v>43.800000000000004</v>
      </c>
      <c r="J593" s="1193"/>
      <c r="K593" s="1192">
        <f>CEILING((K590*0),0.1)</f>
        <v>0</v>
      </c>
      <c r="L593" s="1193"/>
      <c r="M593" s="97"/>
      <c r="N593" s="98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</row>
    <row r="594" spans="1:25" s="94" customFormat="1" ht="34.5" customHeight="1">
      <c r="A594" s="804"/>
      <c r="B594" s="190" t="s">
        <v>59</v>
      </c>
      <c r="C594" s="1192">
        <f>CEILING(85*$Z$1,0.1)</f>
        <v>106.30000000000001</v>
      </c>
      <c r="D594" s="1193"/>
      <c r="E594" s="1192">
        <f>CEILING(110*$Z$1,0.1)</f>
        <v>137.5</v>
      </c>
      <c r="F594" s="1193"/>
      <c r="G594" s="1192">
        <f>CEILING(90*$Z$1,0.1)</f>
        <v>112.5</v>
      </c>
      <c r="H594" s="1193"/>
      <c r="I594" s="1192">
        <f>CEILING(90*$Z$1,0.1)</f>
        <v>112.5</v>
      </c>
      <c r="J594" s="1193"/>
      <c r="K594" s="1192">
        <f>CEILING(83*$Z$1,0.1)</f>
        <v>103.80000000000001</v>
      </c>
      <c r="L594" s="1193"/>
      <c r="M594" s="97"/>
      <c r="N594" s="98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</row>
    <row r="595" spans="1:25" s="94" customFormat="1" ht="34.5" customHeight="1" thickBot="1">
      <c r="A595" s="610" t="s">
        <v>409</v>
      </c>
      <c r="B595" s="246" t="s">
        <v>60</v>
      </c>
      <c r="C595" s="1202">
        <f>CEILING((C594+40*$Z$1),0.1)</f>
        <v>156.3</v>
      </c>
      <c r="D595" s="1203"/>
      <c r="E595" s="1202">
        <f>CEILING((E594+40*$Z$1),0.1)</f>
        <v>187.5</v>
      </c>
      <c r="F595" s="1203"/>
      <c r="G595" s="1202">
        <f>CEILING((G594+40*$Z$1),0.1)</f>
        <v>162.5</v>
      </c>
      <c r="H595" s="1203"/>
      <c r="I595" s="1202">
        <f>CEILING((I594+40*$Z$1),0.1)</f>
        <v>162.5</v>
      </c>
      <c r="J595" s="1203"/>
      <c r="K595" s="1202">
        <f>CEILING((K594+40*$Z$1),0.1)</f>
        <v>153.8</v>
      </c>
      <c r="L595" s="1203"/>
      <c r="M595" s="97"/>
      <c r="N595" s="98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</row>
    <row r="596" spans="1:25" s="94" customFormat="1" ht="34.5" customHeight="1" thickTop="1">
      <c r="A596" s="339" t="s">
        <v>569</v>
      </c>
      <c r="B596" s="106"/>
      <c r="C596" s="799"/>
      <c r="D596" s="799"/>
      <c r="E596" s="799"/>
      <c r="F596" s="799"/>
      <c r="G596" s="799"/>
      <c r="H596" s="799"/>
      <c r="I596" s="799"/>
      <c r="J596" s="799"/>
      <c r="K596" s="119"/>
      <c r="L596" s="119"/>
      <c r="M596" s="97"/>
      <c r="N596" s="98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</row>
    <row r="597" spans="1:61" s="94" customFormat="1" ht="34.5" customHeight="1" thickBot="1">
      <c r="A597" s="678"/>
      <c r="B597" s="378"/>
      <c r="C597" s="378"/>
      <c r="D597" s="378"/>
      <c r="E597" s="378"/>
      <c r="F597" s="378"/>
      <c r="G597" s="805"/>
      <c r="H597" s="805"/>
      <c r="I597" s="805"/>
      <c r="J597" s="805"/>
      <c r="K597" s="91"/>
      <c r="L597" s="91"/>
      <c r="M597" s="97"/>
      <c r="N597" s="90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  <c r="BC597" s="121"/>
      <c r="BD597" s="121"/>
      <c r="BE597" s="121"/>
      <c r="BF597" s="121"/>
      <c r="BG597" s="121"/>
      <c r="BH597" s="121"/>
      <c r="BI597" s="121"/>
    </row>
    <row r="598" spans="1:42" s="167" customFormat="1" ht="34.5" customHeight="1" thickTop="1">
      <c r="A598" s="837" t="s">
        <v>33</v>
      </c>
      <c r="B598" s="838" t="s">
        <v>568</v>
      </c>
      <c r="C598" s="839" t="s">
        <v>847</v>
      </c>
      <c r="D598" s="840"/>
      <c r="E598" s="841" t="s">
        <v>870</v>
      </c>
      <c r="F598" s="842"/>
      <c r="G598" s="841" t="s">
        <v>1206</v>
      </c>
      <c r="H598" s="842"/>
      <c r="I598" s="1332"/>
      <c r="J598" s="1224"/>
      <c r="K598" s="1224"/>
      <c r="L598" s="1224"/>
      <c r="M598" s="151"/>
      <c r="N598" s="151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</row>
    <row r="599" spans="1:63" s="121" customFormat="1" ht="34.5" customHeight="1">
      <c r="A599" s="732" t="s">
        <v>1203</v>
      </c>
      <c r="B599" s="298" t="s">
        <v>528</v>
      </c>
      <c r="C599" s="1194">
        <f>CEILING(37*$Z$1,0.1)</f>
        <v>46.300000000000004</v>
      </c>
      <c r="D599" s="1195"/>
      <c r="E599" s="1194">
        <f>CEILING(47*$Z$1,0.1)</f>
        <v>58.800000000000004</v>
      </c>
      <c r="F599" s="1195"/>
      <c r="G599" s="1194">
        <f>CEILING(40*$Z$1,0.1)</f>
        <v>50</v>
      </c>
      <c r="H599" s="1195"/>
      <c r="I599" s="1192"/>
      <c r="J599" s="1220"/>
      <c r="K599" s="1220"/>
      <c r="L599" s="1220"/>
      <c r="M599" s="90"/>
      <c r="N599" s="9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</row>
    <row r="600" spans="1:63" s="121" customFormat="1" ht="34.5" customHeight="1">
      <c r="A600" s="1126" t="s">
        <v>76</v>
      </c>
      <c r="B600" s="190" t="s">
        <v>466</v>
      </c>
      <c r="C600" s="1192">
        <f>CEILING(52*$Z$1,0.1)</f>
        <v>65</v>
      </c>
      <c r="D600" s="1193"/>
      <c r="E600" s="1192">
        <f>CEILING(62*$Z$1,0.1)</f>
        <v>77.5</v>
      </c>
      <c r="F600" s="1193"/>
      <c r="G600" s="1192">
        <f>CEILING(55*$Z$1,0.1)</f>
        <v>68.8</v>
      </c>
      <c r="H600" s="1193"/>
      <c r="I600" s="1192"/>
      <c r="J600" s="1220"/>
      <c r="K600" s="1220"/>
      <c r="L600" s="1220"/>
      <c r="M600" s="90"/>
      <c r="N600" s="9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</row>
    <row r="601" spans="1:63" s="121" customFormat="1" ht="34.5" customHeight="1">
      <c r="A601" s="214"/>
      <c r="B601" s="192" t="s">
        <v>61</v>
      </c>
      <c r="C601" s="1192">
        <v>23.12</v>
      </c>
      <c r="D601" s="1193"/>
      <c r="E601" s="1381">
        <v>29</v>
      </c>
      <c r="F601" s="1382"/>
      <c r="G601" s="1381">
        <v>25</v>
      </c>
      <c r="H601" s="1382"/>
      <c r="I601" s="1306"/>
      <c r="J601" s="1270"/>
      <c r="K601" s="1270"/>
      <c r="L601" s="1270"/>
      <c r="M601" s="90"/>
      <c r="N601" s="9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</row>
    <row r="602" spans="1:63" s="121" customFormat="1" ht="34.5" customHeight="1">
      <c r="A602" s="214"/>
      <c r="B602" s="298" t="s">
        <v>1205</v>
      </c>
      <c r="C602" s="1194">
        <f>CEILING(52*$Z$1,0.1)</f>
        <v>65</v>
      </c>
      <c r="D602" s="1195"/>
      <c r="E602" s="1194">
        <f>CEILING(62*$Z$1,0.1)</f>
        <v>77.5</v>
      </c>
      <c r="F602" s="1195"/>
      <c r="G602" s="1194">
        <f>CEILING(40*$Z$1,0.1)</f>
        <v>50</v>
      </c>
      <c r="H602" s="1195"/>
      <c r="I602" s="1192"/>
      <c r="J602" s="1220"/>
      <c r="K602" s="1220"/>
      <c r="L602" s="1220"/>
      <c r="M602" s="90"/>
      <c r="N602" s="9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</row>
    <row r="603" spans="1:63" s="411" customFormat="1" ht="34.5" customHeight="1">
      <c r="A603" s="625" t="s">
        <v>1204</v>
      </c>
      <c r="B603" s="281" t="s">
        <v>144</v>
      </c>
      <c r="C603" s="1202">
        <f>CEILING(72*$Z$1,0.1)</f>
        <v>90</v>
      </c>
      <c r="D603" s="1203"/>
      <c r="E603" s="1202">
        <f>CEILING(82*$Z$1,0.1)</f>
        <v>102.5</v>
      </c>
      <c r="F603" s="1203"/>
      <c r="G603" s="1202">
        <f>CEILING(55*$Z$1,0.1)</f>
        <v>68.8</v>
      </c>
      <c r="H603" s="1203"/>
      <c r="I603" s="1192"/>
      <c r="J603" s="1220"/>
      <c r="K603" s="1220"/>
      <c r="L603" s="1220"/>
      <c r="M603" s="90"/>
      <c r="N603" s="9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532"/>
      <c r="BK603" s="532"/>
    </row>
    <row r="604" spans="1:25" s="121" customFormat="1" ht="34.5" customHeight="1">
      <c r="A604" s="1125" t="s">
        <v>1207</v>
      </c>
      <c r="B604" s="1125"/>
      <c r="C604" s="1125"/>
      <c r="D604" s="1125"/>
      <c r="E604" s="1125"/>
      <c r="F604" s="1125"/>
      <c r="G604" s="1125"/>
      <c r="H604" s="1125"/>
      <c r="I604" s="1125"/>
      <c r="J604" s="1125"/>
      <c r="K604" s="148"/>
      <c r="L604" s="148"/>
      <c r="M604" s="106"/>
      <c r="N604" s="106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</row>
    <row r="605" spans="1:25" s="94" customFormat="1" ht="34.5" customHeight="1" thickBot="1">
      <c r="A605" s="807"/>
      <c r="B605" s="807"/>
      <c r="C605" s="807"/>
      <c r="D605" s="807"/>
      <c r="E605" s="807"/>
      <c r="F605" s="807"/>
      <c r="G605" s="670"/>
      <c r="H605" s="670"/>
      <c r="I605" s="670"/>
      <c r="J605" s="670"/>
      <c r="K605" s="91"/>
      <c r="L605" s="91"/>
      <c r="M605" s="97"/>
      <c r="N605" s="98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</row>
    <row r="606" spans="1:42" s="167" customFormat="1" ht="34.5" customHeight="1" thickTop="1">
      <c r="A606" s="837" t="s">
        <v>33</v>
      </c>
      <c r="B606" s="838" t="s">
        <v>86</v>
      </c>
      <c r="C606" s="839" t="s">
        <v>847</v>
      </c>
      <c r="D606" s="840"/>
      <c r="E606" s="841" t="s">
        <v>877</v>
      </c>
      <c r="F606" s="842"/>
      <c r="G606" s="841" t="s">
        <v>878</v>
      </c>
      <c r="H606" s="842"/>
      <c r="I606" s="1224"/>
      <c r="J606" s="1281"/>
      <c r="K606" s="1224"/>
      <c r="L606" s="1224"/>
      <c r="M606" s="151"/>
      <c r="N606" s="151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</row>
    <row r="607" spans="1:25" s="94" customFormat="1" ht="34.5" customHeight="1">
      <c r="A607" s="296" t="s">
        <v>583</v>
      </c>
      <c r="B607" s="298" t="s">
        <v>41</v>
      </c>
      <c r="C607" s="1194">
        <f>CEILING(50*$Z$1,0.1)</f>
        <v>62.5</v>
      </c>
      <c r="D607" s="1195"/>
      <c r="E607" s="1194">
        <f>CEILING(55*$Z$1,0.1)</f>
        <v>68.8</v>
      </c>
      <c r="F607" s="1195"/>
      <c r="G607" s="1194">
        <f>CEILING(50*$Z$1,0.1)</f>
        <v>62.5</v>
      </c>
      <c r="H607" s="1195"/>
      <c r="I607" s="1220"/>
      <c r="J607" s="1220"/>
      <c r="K607" s="1220"/>
      <c r="L607" s="1220"/>
      <c r="M607" s="90"/>
      <c r="N607" s="98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</row>
    <row r="608" spans="1:25" s="94" customFormat="1" ht="34.5" customHeight="1">
      <c r="A608" s="115" t="s">
        <v>499</v>
      </c>
      <c r="B608" s="190" t="s">
        <v>42</v>
      </c>
      <c r="C608" s="1192">
        <f>CEILING(63*$Z$1,0.1)</f>
        <v>78.80000000000001</v>
      </c>
      <c r="D608" s="1193"/>
      <c r="E608" s="1192">
        <f>CEILING(69*$Z$1,0.1)</f>
        <v>86.30000000000001</v>
      </c>
      <c r="F608" s="1193"/>
      <c r="G608" s="1192">
        <f>CEILING(63*$Z$1,0.1)</f>
        <v>78.80000000000001</v>
      </c>
      <c r="H608" s="1193"/>
      <c r="I608" s="1220"/>
      <c r="J608" s="1220"/>
      <c r="K608" s="1220"/>
      <c r="L608" s="1220"/>
      <c r="M608" s="90"/>
      <c r="N608" s="98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</row>
    <row r="609" spans="1:25" s="94" customFormat="1" ht="34.5" customHeight="1">
      <c r="A609" s="214" t="s">
        <v>49</v>
      </c>
      <c r="B609" s="190" t="s">
        <v>71</v>
      </c>
      <c r="C609" s="1192">
        <v>0</v>
      </c>
      <c r="D609" s="1193"/>
      <c r="E609" s="1192">
        <v>0</v>
      </c>
      <c r="F609" s="1193"/>
      <c r="G609" s="1192">
        <v>0</v>
      </c>
      <c r="H609" s="1193"/>
      <c r="I609" s="1270"/>
      <c r="J609" s="1270"/>
      <c r="K609" s="1220"/>
      <c r="L609" s="1220"/>
      <c r="M609" s="90"/>
      <c r="N609" s="98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</row>
    <row r="610" spans="1:25" s="94" customFormat="1" ht="34.5" customHeight="1" thickBot="1">
      <c r="A610" s="610" t="s">
        <v>498</v>
      </c>
      <c r="B610" s="281" t="s">
        <v>582</v>
      </c>
      <c r="C610" s="1202">
        <f>CEILING((C607*0.5),0.1)</f>
        <v>31.3</v>
      </c>
      <c r="D610" s="1203"/>
      <c r="E610" s="1202">
        <f>CEILING((E607*0.5),0.1)</f>
        <v>34.4</v>
      </c>
      <c r="F610" s="1203"/>
      <c r="G610" s="1202">
        <f>CEILING((G607*0.5),0.1)</f>
        <v>31.3</v>
      </c>
      <c r="H610" s="1203"/>
      <c r="I610" s="1220"/>
      <c r="J610" s="1220"/>
      <c r="K610" s="1220"/>
      <c r="L610" s="1220"/>
      <c r="M610" s="90"/>
      <c r="N610" s="98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</row>
    <row r="611" spans="1:63" s="94" customFormat="1" ht="34.5" customHeight="1" thickTop="1">
      <c r="A611" s="808" t="s">
        <v>889</v>
      </c>
      <c r="B611" s="106"/>
      <c r="C611" s="800"/>
      <c r="D611" s="800"/>
      <c r="E611" s="800"/>
      <c r="F611" s="800"/>
      <c r="G611" s="800"/>
      <c r="H611" s="800"/>
      <c r="I611" s="800"/>
      <c r="J611" s="800"/>
      <c r="K611" s="120"/>
      <c r="L611" s="120"/>
      <c r="M611" s="97"/>
      <c r="N611" s="9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</row>
    <row r="612" spans="1:25" s="94" customFormat="1" ht="34.5" customHeight="1" thickBot="1">
      <c r="A612" s="483"/>
      <c r="B612" s="381"/>
      <c r="C612" s="809"/>
      <c r="D612" s="809"/>
      <c r="E612" s="809"/>
      <c r="F612" s="809"/>
      <c r="G612" s="810"/>
      <c r="H612" s="810"/>
      <c r="I612" s="459"/>
      <c r="J612" s="459"/>
      <c r="K612" s="99"/>
      <c r="L612" s="91"/>
      <c r="M612" s="90"/>
      <c r="N612" s="98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</row>
    <row r="613" spans="1:42" s="167" customFormat="1" ht="34.5" customHeight="1" thickTop="1">
      <c r="A613" s="837" t="s">
        <v>33</v>
      </c>
      <c r="B613" s="838" t="s">
        <v>87</v>
      </c>
      <c r="C613" s="839" t="s">
        <v>847</v>
      </c>
      <c r="D613" s="840"/>
      <c r="E613" s="841" t="s">
        <v>877</v>
      </c>
      <c r="F613" s="842"/>
      <c r="G613" s="841" t="s">
        <v>878</v>
      </c>
      <c r="H613" s="842"/>
      <c r="I613" s="1224"/>
      <c r="J613" s="1281"/>
      <c r="K613" s="1224"/>
      <c r="L613" s="1224"/>
      <c r="M613" s="151"/>
      <c r="N613" s="151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</row>
    <row r="614" spans="1:63" s="94" customFormat="1" ht="34.5" customHeight="1">
      <c r="A614" s="732" t="s">
        <v>243</v>
      </c>
      <c r="B614" s="298" t="s">
        <v>260</v>
      </c>
      <c r="C614" s="1194">
        <f>CEILING(38*$Z$1,0.1)</f>
        <v>47.5</v>
      </c>
      <c r="D614" s="1195"/>
      <c r="E614" s="1194">
        <f>CEILING(43*$Z$1,0.1)</f>
        <v>53.800000000000004</v>
      </c>
      <c r="F614" s="1195"/>
      <c r="G614" s="1194">
        <f>CEILING(38*$Z$1,0.1)</f>
        <v>47.5</v>
      </c>
      <c r="H614" s="1195"/>
      <c r="I614" s="1220"/>
      <c r="J614" s="1220"/>
      <c r="K614" s="1220"/>
      <c r="L614" s="1220"/>
      <c r="M614" s="90"/>
      <c r="N614" s="9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</row>
    <row r="615" spans="1:63" s="94" customFormat="1" ht="34.5" customHeight="1">
      <c r="A615" s="806"/>
      <c r="B615" s="190" t="s">
        <v>261</v>
      </c>
      <c r="C615" s="1192">
        <f>CEILING(48*$Z$1,0.1)</f>
        <v>60</v>
      </c>
      <c r="D615" s="1193"/>
      <c r="E615" s="1192">
        <f>CEILING(54*$Z$1,0.1)</f>
        <v>67.5</v>
      </c>
      <c r="F615" s="1193"/>
      <c r="G615" s="1192">
        <f>CEILING(48*$Z$1,0.1)</f>
        <v>60</v>
      </c>
      <c r="H615" s="1193"/>
      <c r="I615" s="1220"/>
      <c r="J615" s="1220"/>
      <c r="K615" s="1220"/>
      <c r="L615" s="1220"/>
      <c r="M615" s="90"/>
      <c r="N615" s="9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</row>
    <row r="616" spans="1:63" s="94" customFormat="1" ht="34.5" customHeight="1">
      <c r="A616" s="214" t="s">
        <v>76</v>
      </c>
      <c r="B616" s="270" t="s">
        <v>37</v>
      </c>
      <c r="C616" s="1192">
        <f>CEILING(30*$Z$1,0.1)</f>
        <v>37.5</v>
      </c>
      <c r="D616" s="1193"/>
      <c r="E616" s="1192">
        <f>CEILING(34*$Z$1,0.1)</f>
        <v>42.5</v>
      </c>
      <c r="F616" s="1193"/>
      <c r="G616" s="1192">
        <f>CEILING(30*$Z$1,0.1)</f>
        <v>37.5</v>
      </c>
      <c r="H616" s="1193"/>
      <c r="I616" s="1220"/>
      <c r="J616" s="1220"/>
      <c r="K616" s="1220"/>
      <c r="L616" s="1220"/>
      <c r="M616" s="90"/>
      <c r="N616" s="9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</row>
    <row r="617" spans="1:63" s="94" customFormat="1" ht="34.5" customHeight="1">
      <c r="A617" s="214"/>
      <c r="B617" s="192" t="s">
        <v>71</v>
      </c>
      <c r="C617" s="1306">
        <v>0</v>
      </c>
      <c r="D617" s="1307"/>
      <c r="E617" s="1306">
        <v>0</v>
      </c>
      <c r="F617" s="1307"/>
      <c r="G617" s="1306">
        <v>0</v>
      </c>
      <c r="H617" s="1307"/>
      <c r="I617" s="1270"/>
      <c r="J617" s="1270"/>
      <c r="K617" s="1270"/>
      <c r="L617" s="1270"/>
      <c r="M617" s="90"/>
      <c r="N617" s="9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</row>
    <row r="618" spans="1:63" s="94" customFormat="1" ht="34.5" customHeight="1">
      <c r="A618" s="214"/>
      <c r="B618" s="281" t="s">
        <v>582</v>
      </c>
      <c r="C618" s="1202">
        <f>CEILING((C614*0.5),0.1)</f>
        <v>23.8</v>
      </c>
      <c r="D618" s="1203"/>
      <c r="E618" s="1202">
        <f>CEILING((E614*0.5),0.1)</f>
        <v>26.900000000000002</v>
      </c>
      <c r="F618" s="1203"/>
      <c r="G618" s="1202">
        <f>CEILING((G614*0.5),0.1)</f>
        <v>23.8</v>
      </c>
      <c r="H618" s="1203"/>
      <c r="I618" s="1220"/>
      <c r="J618" s="1220"/>
      <c r="K618" s="1220"/>
      <c r="L618" s="1220"/>
      <c r="M618" s="90"/>
      <c r="N618" s="9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</row>
    <row r="619" spans="1:63" s="94" customFormat="1" ht="34.5" customHeight="1">
      <c r="A619" s="214"/>
      <c r="B619" s="298" t="s">
        <v>34</v>
      </c>
      <c r="C619" s="1194">
        <f>CEILING(53*$Z$1,0.1)</f>
        <v>66.3</v>
      </c>
      <c r="D619" s="1195"/>
      <c r="E619" s="1194">
        <f>CEILING(58*$Z$1,0.1)</f>
        <v>72.5</v>
      </c>
      <c r="F619" s="1195"/>
      <c r="G619" s="1194">
        <f>CEILING(53*$Z$1,0.1)</f>
        <v>66.3</v>
      </c>
      <c r="H619" s="1195"/>
      <c r="I619" s="1220"/>
      <c r="J619" s="1220"/>
      <c r="K619" s="1220"/>
      <c r="L619" s="1220"/>
      <c r="M619" s="90"/>
      <c r="N619" s="9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</row>
    <row r="620" spans="1:63" s="94" customFormat="1" ht="34.5" customHeight="1">
      <c r="A620" s="214"/>
      <c r="B620" s="190" t="s">
        <v>36</v>
      </c>
      <c r="C620" s="1192">
        <f>CEILING(63*$Z$1,0.1)</f>
        <v>78.80000000000001</v>
      </c>
      <c r="D620" s="1193"/>
      <c r="E620" s="1192">
        <f>CEILING(69*$Z$1,0.1)</f>
        <v>86.30000000000001</v>
      </c>
      <c r="F620" s="1193"/>
      <c r="G620" s="1192">
        <f>CEILING(63*$Z$1,0.1)</f>
        <v>78.80000000000001</v>
      </c>
      <c r="H620" s="1193"/>
      <c r="I620" s="1220"/>
      <c r="J620" s="1220"/>
      <c r="K620" s="1220"/>
      <c r="L620" s="1220"/>
      <c r="M620" s="90"/>
      <c r="N620" s="9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</row>
    <row r="621" spans="1:63" s="94" customFormat="1" ht="34.5" customHeight="1">
      <c r="A621" s="214"/>
      <c r="B621" s="270" t="s">
        <v>37</v>
      </c>
      <c r="C621" s="1192">
        <f>CEILING(45*$Z$1,0.1)</f>
        <v>56.300000000000004</v>
      </c>
      <c r="D621" s="1193"/>
      <c r="E621" s="1192">
        <f>CEILING(49*$Z$1,0.1)</f>
        <v>61.300000000000004</v>
      </c>
      <c r="F621" s="1193"/>
      <c r="G621" s="1192">
        <f>CEILING(45*$Z$1,0.1)</f>
        <v>56.300000000000004</v>
      </c>
      <c r="H621" s="1193"/>
      <c r="I621" s="1220"/>
      <c r="J621" s="1220"/>
      <c r="K621" s="1220"/>
      <c r="L621" s="1220"/>
      <c r="M621" s="90"/>
      <c r="N621" s="9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</row>
    <row r="622" spans="1:63" s="94" customFormat="1" ht="34.5" customHeight="1">
      <c r="A622" s="214"/>
      <c r="B622" s="192" t="s">
        <v>71</v>
      </c>
      <c r="C622" s="1306">
        <v>0</v>
      </c>
      <c r="D622" s="1307"/>
      <c r="E622" s="1306">
        <v>0</v>
      </c>
      <c r="F622" s="1307"/>
      <c r="G622" s="1306">
        <v>0</v>
      </c>
      <c r="H622" s="1307"/>
      <c r="I622" s="1270"/>
      <c r="J622" s="1270"/>
      <c r="K622" s="1270"/>
      <c r="L622" s="1270"/>
      <c r="M622" s="90"/>
      <c r="N622" s="9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</row>
    <row r="623" spans="1:63" s="94" customFormat="1" ht="34.5" customHeight="1" thickBot="1">
      <c r="A623" s="610" t="s">
        <v>287</v>
      </c>
      <c r="B623" s="193" t="s">
        <v>582</v>
      </c>
      <c r="C623" s="1218">
        <f>CEILING((C619*0.5),0.1)</f>
        <v>33.2</v>
      </c>
      <c r="D623" s="1219"/>
      <c r="E623" s="1218">
        <f>CEILING((E619*0.5),0.1)</f>
        <v>36.300000000000004</v>
      </c>
      <c r="F623" s="1219"/>
      <c r="G623" s="1218">
        <f>CEILING((G619*0.5),0.1)</f>
        <v>33.2</v>
      </c>
      <c r="H623" s="1219"/>
      <c r="I623" s="1220"/>
      <c r="J623" s="1220"/>
      <c r="K623" s="1220"/>
      <c r="L623" s="1220"/>
      <c r="M623" s="90"/>
      <c r="N623" s="9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  <c r="BH623" s="100"/>
      <c r="BI623" s="100"/>
      <c r="BJ623" s="100"/>
      <c r="BK623" s="100"/>
    </row>
    <row r="624" spans="1:63" s="94" customFormat="1" ht="34.5" customHeight="1" thickBot="1" thickTop="1">
      <c r="A624" s="685"/>
      <c r="B624" s="369"/>
      <c r="C624" s="800"/>
      <c r="D624" s="800"/>
      <c r="E624" s="800"/>
      <c r="F624" s="800"/>
      <c r="G624" s="800"/>
      <c r="H624" s="800"/>
      <c r="I624" s="800"/>
      <c r="J624" s="800"/>
      <c r="K624" s="120"/>
      <c r="L624" s="120"/>
      <c r="M624" s="97"/>
      <c r="N624" s="9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  <c r="BH624" s="100"/>
      <c r="BI624" s="100"/>
      <c r="BJ624" s="100"/>
      <c r="BK624" s="100"/>
    </row>
    <row r="625" spans="1:42" s="167" customFormat="1" ht="34.5" customHeight="1" thickTop="1">
      <c r="A625" s="837" t="s">
        <v>33</v>
      </c>
      <c r="B625" s="838" t="s">
        <v>87</v>
      </c>
      <c r="C625" s="839" t="s">
        <v>847</v>
      </c>
      <c r="D625" s="840"/>
      <c r="E625" s="841" t="s">
        <v>877</v>
      </c>
      <c r="F625" s="842"/>
      <c r="G625" s="841" t="s">
        <v>878</v>
      </c>
      <c r="H625" s="842"/>
      <c r="I625" s="1224"/>
      <c r="J625" s="1281"/>
      <c r="K625" s="1224"/>
      <c r="L625" s="1224"/>
      <c r="M625" s="151"/>
      <c r="N625" s="151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</row>
    <row r="626" spans="1:63" s="94" customFormat="1" ht="34.5" customHeight="1">
      <c r="A626" s="732" t="s">
        <v>578</v>
      </c>
      <c r="B626" s="298" t="s">
        <v>79</v>
      </c>
      <c r="C626" s="1194">
        <f>CEILING(29*$Z$1,0.1)</f>
        <v>36.300000000000004</v>
      </c>
      <c r="D626" s="1195"/>
      <c r="E626" s="1194">
        <f>CEILING(33*$Z$1,0.1)</f>
        <v>41.300000000000004</v>
      </c>
      <c r="F626" s="1195"/>
      <c r="G626" s="1194">
        <f>CEILING(29*$Z$1,0.1)</f>
        <v>36.300000000000004</v>
      </c>
      <c r="H626" s="1195"/>
      <c r="I626" s="1220"/>
      <c r="J626" s="1220"/>
      <c r="K626" s="1220"/>
      <c r="L626" s="1220"/>
      <c r="M626" s="90"/>
      <c r="N626" s="9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  <c r="AZ626" s="100"/>
      <c r="BA626" s="100"/>
      <c r="BB626" s="100"/>
      <c r="BC626" s="100"/>
      <c r="BD626" s="100"/>
      <c r="BE626" s="100"/>
      <c r="BF626" s="100"/>
      <c r="BG626" s="100"/>
      <c r="BH626" s="100"/>
      <c r="BI626" s="100"/>
      <c r="BJ626" s="100"/>
      <c r="BK626" s="100"/>
    </row>
    <row r="627" spans="1:63" s="94" customFormat="1" ht="34.5" customHeight="1">
      <c r="A627" s="806"/>
      <c r="B627" s="190" t="s">
        <v>8</v>
      </c>
      <c r="C627" s="1192">
        <f>CEILING(36*$Z$1,0.1)</f>
        <v>45</v>
      </c>
      <c r="D627" s="1193"/>
      <c r="E627" s="1192">
        <f>CEILING(42*$Z$1,0.1)</f>
        <v>52.5</v>
      </c>
      <c r="F627" s="1193"/>
      <c r="G627" s="1192">
        <f>CEILING(36*$Z$1,0.1)</f>
        <v>45</v>
      </c>
      <c r="H627" s="1193"/>
      <c r="I627" s="1220"/>
      <c r="J627" s="1220"/>
      <c r="K627" s="1220"/>
      <c r="L627" s="1220"/>
      <c r="M627" s="90"/>
      <c r="N627" s="9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  <c r="AZ627" s="100"/>
      <c r="BA627" s="100"/>
      <c r="BB627" s="100"/>
      <c r="BC627" s="100"/>
      <c r="BD627" s="100"/>
      <c r="BE627" s="100"/>
      <c r="BF627" s="100"/>
      <c r="BG627" s="100"/>
      <c r="BH627" s="100"/>
      <c r="BI627" s="100"/>
      <c r="BJ627" s="100"/>
      <c r="BK627" s="100"/>
    </row>
    <row r="628" spans="1:63" s="94" customFormat="1" ht="34.5" customHeight="1">
      <c r="A628" s="214"/>
      <c r="B628" s="192" t="s">
        <v>71</v>
      </c>
      <c r="C628" s="1306">
        <v>0</v>
      </c>
      <c r="D628" s="1307"/>
      <c r="E628" s="1306">
        <v>0</v>
      </c>
      <c r="F628" s="1307"/>
      <c r="G628" s="1306">
        <v>0</v>
      </c>
      <c r="H628" s="1307"/>
      <c r="I628" s="1270"/>
      <c r="J628" s="1270"/>
      <c r="K628" s="1270"/>
      <c r="L628" s="1270"/>
      <c r="M628" s="90"/>
      <c r="N628" s="9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  <c r="AZ628" s="100"/>
      <c r="BA628" s="100"/>
      <c r="BB628" s="100"/>
      <c r="BC628" s="100"/>
      <c r="BD628" s="100"/>
      <c r="BE628" s="100"/>
      <c r="BF628" s="100"/>
      <c r="BG628" s="100"/>
      <c r="BH628" s="100"/>
      <c r="BI628" s="100"/>
      <c r="BJ628" s="100"/>
      <c r="BK628" s="100"/>
    </row>
    <row r="629" spans="1:63" s="94" customFormat="1" ht="34.5" customHeight="1">
      <c r="A629" s="625" t="s">
        <v>498</v>
      </c>
      <c r="B629" s="281" t="s">
        <v>72</v>
      </c>
      <c r="C629" s="1202">
        <f>CEILING((C626*0.5),0.1)</f>
        <v>18.2</v>
      </c>
      <c r="D629" s="1203"/>
      <c r="E629" s="1202">
        <f>CEILING((E626*0.5),0.1)</f>
        <v>20.700000000000003</v>
      </c>
      <c r="F629" s="1203"/>
      <c r="G629" s="1202">
        <f>CEILING((G626*0.5),0.1)</f>
        <v>18.2</v>
      </c>
      <c r="H629" s="1203"/>
      <c r="I629" s="1220"/>
      <c r="J629" s="1220"/>
      <c r="K629" s="1220"/>
      <c r="L629" s="1220"/>
      <c r="M629" s="90"/>
      <c r="N629" s="9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  <c r="AZ629" s="100"/>
      <c r="BA629" s="100"/>
      <c r="BB629" s="100"/>
      <c r="BC629" s="100"/>
      <c r="BD629" s="100"/>
      <c r="BE629" s="100"/>
      <c r="BF629" s="100"/>
      <c r="BG629" s="100"/>
      <c r="BH629" s="100"/>
      <c r="BI629" s="100"/>
      <c r="BJ629" s="100"/>
      <c r="BK629" s="100"/>
    </row>
    <row r="630" spans="1:63" s="94" customFormat="1" ht="34.5" customHeight="1" thickBot="1">
      <c r="A630" s="685"/>
      <c r="B630" s="369"/>
      <c r="C630" s="801"/>
      <c r="D630" s="801"/>
      <c r="E630" s="801"/>
      <c r="F630" s="800"/>
      <c r="G630" s="800"/>
      <c r="H630" s="800"/>
      <c r="I630" s="800"/>
      <c r="J630" s="800"/>
      <c r="K630" s="120"/>
      <c r="L630" s="120"/>
      <c r="M630" s="97"/>
      <c r="N630" s="9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  <c r="AZ630" s="100"/>
      <c r="BA630" s="100"/>
      <c r="BB630" s="100"/>
      <c r="BC630" s="100"/>
      <c r="BD630" s="100"/>
      <c r="BE630" s="100"/>
      <c r="BF630" s="100"/>
      <c r="BG630" s="100"/>
      <c r="BH630" s="100"/>
      <c r="BI630" s="100"/>
      <c r="BJ630" s="100"/>
      <c r="BK630" s="100"/>
    </row>
    <row r="631" spans="1:42" s="167" customFormat="1" ht="34.5" customHeight="1" thickTop="1">
      <c r="A631" s="837" t="s">
        <v>33</v>
      </c>
      <c r="B631" s="838" t="s">
        <v>87</v>
      </c>
      <c r="C631" s="839" t="s">
        <v>847</v>
      </c>
      <c r="D631" s="840"/>
      <c r="E631" s="841" t="s">
        <v>877</v>
      </c>
      <c r="F631" s="842"/>
      <c r="G631" s="841" t="s">
        <v>878</v>
      </c>
      <c r="H631" s="842"/>
      <c r="I631" s="1224"/>
      <c r="J631" s="1281"/>
      <c r="K631" s="1224"/>
      <c r="L631" s="1224"/>
      <c r="M631" s="151"/>
      <c r="N631" s="151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</row>
    <row r="632" spans="1:63" s="121" customFormat="1" ht="34.5" customHeight="1">
      <c r="A632" s="732" t="s">
        <v>579</v>
      </c>
      <c r="B632" s="298" t="s">
        <v>260</v>
      </c>
      <c r="C632" s="1194">
        <f>CEILING(31*$Z$1,0.1)</f>
        <v>38.800000000000004</v>
      </c>
      <c r="D632" s="1195"/>
      <c r="E632" s="1194">
        <f>CEILING(34*$Z$1,0.1)</f>
        <v>42.5</v>
      </c>
      <c r="F632" s="1195"/>
      <c r="G632" s="1194">
        <f>CEILING(31*$Z$1,0.1)</f>
        <v>38.800000000000004</v>
      </c>
      <c r="H632" s="1195"/>
      <c r="I632" s="1220"/>
      <c r="J632" s="1220"/>
      <c r="K632" s="1220"/>
      <c r="L632" s="1220"/>
      <c r="M632" s="90"/>
      <c r="N632" s="9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  <c r="AZ632" s="100"/>
      <c r="BA632" s="100"/>
      <c r="BB632" s="100"/>
      <c r="BC632" s="100"/>
      <c r="BD632" s="100"/>
      <c r="BE632" s="100"/>
      <c r="BF632" s="100"/>
      <c r="BG632" s="100"/>
      <c r="BH632" s="100"/>
      <c r="BI632" s="100"/>
      <c r="BJ632" s="100"/>
      <c r="BK632" s="100"/>
    </row>
    <row r="633" spans="1:63" s="121" customFormat="1" ht="34.5" customHeight="1">
      <c r="A633" s="806"/>
      <c r="B633" s="190" t="s">
        <v>261</v>
      </c>
      <c r="C633" s="1192">
        <f>CEILING(40*$Z$1,0.1)</f>
        <v>50</v>
      </c>
      <c r="D633" s="1193"/>
      <c r="E633" s="1192">
        <f>CEILING(44*$Z$1,0.1)</f>
        <v>55</v>
      </c>
      <c r="F633" s="1193"/>
      <c r="G633" s="1192">
        <f>CEILING(40*$Z$1,0.1)</f>
        <v>50</v>
      </c>
      <c r="H633" s="1193"/>
      <c r="I633" s="1220"/>
      <c r="J633" s="1220"/>
      <c r="K633" s="1220"/>
      <c r="L633" s="1220"/>
      <c r="M633" s="90"/>
      <c r="N633" s="9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  <c r="BH633" s="100"/>
      <c r="BI633" s="100"/>
      <c r="BJ633" s="100"/>
      <c r="BK633" s="100"/>
    </row>
    <row r="634" spans="1:63" s="121" customFormat="1" ht="34.5" customHeight="1">
      <c r="A634" s="214"/>
      <c r="B634" s="192" t="s">
        <v>71</v>
      </c>
      <c r="C634" s="1306">
        <v>0</v>
      </c>
      <c r="D634" s="1307"/>
      <c r="E634" s="1306">
        <v>0</v>
      </c>
      <c r="F634" s="1307"/>
      <c r="G634" s="1306">
        <v>0</v>
      </c>
      <c r="H634" s="1307"/>
      <c r="I634" s="1270"/>
      <c r="J634" s="1270"/>
      <c r="K634" s="1270"/>
      <c r="L634" s="1270"/>
      <c r="M634" s="90"/>
      <c r="N634" s="9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  <c r="AZ634" s="100"/>
      <c r="BA634" s="100"/>
      <c r="BB634" s="100"/>
      <c r="BC634" s="100"/>
      <c r="BD634" s="100"/>
      <c r="BE634" s="100"/>
      <c r="BF634" s="100"/>
      <c r="BG634" s="100"/>
      <c r="BH634" s="100"/>
      <c r="BI634" s="100"/>
      <c r="BJ634" s="100"/>
      <c r="BK634" s="100"/>
    </row>
    <row r="635" spans="1:63" s="121" customFormat="1" ht="34.5" customHeight="1">
      <c r="A635" s="214"/>
      <c r="B635" s="281" t="s">
        <v>582</v>
      </c>
      <c r="C635" s="1202">
        <f>CEILING((C632*0.5),0.1)</f>
        <v>19.400000000000002</v>
      </c>
      <c r="D635" s="1203"/>
      <c r="E635" s="1202">
        <f>CEILING((E632*0.5),0.1)</f>
        <v>21.3</v>
      </c>
      <c r="F635" s="1203"/>
      <c r="G635" s="1202">
        <f>CEILING((G632*0.5),0.1)</f>
        <v>19.400000000000002</v>
      </c>
      <c r="H635" s="1203"/>
      <c r="I635" s="1220"/>
      <c r="J635" s="1220"/>
      <c r="K635" s="1220"/>
      <c r="L635" s="1220"/>
      <c r="M635" s="90"/>
      <c r="N635" s="9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  <c r="BH635" s="100"/>
      <c r="BI635" s="100"/>
      <c r="BJ635" s="100"/>
      <c r="BK635" s="100"/>
    </row>
    <row r="636" spans="1:63" s="121" customFormat="1" ht="34.5" customHeight="1">
      <c r="A636" s="214"/>
      <c r="B636" s="298" t="s">
        <v>580</v>
      </c>
      <c r="C636" s="1194">
        <f>CEILING(36*$Z$1,0.1)</f>
        <v>45</v>
      </c>
      <c r="D636" s="1195"/>
      <c r="E636" s="1194">
        <f>CEILING(39*$Z$1,0.1)</f>
        <v>48.800000000000004</v>
      </c>
      <c r="F636" s="1195"/>
      <c r="G636" s="1194">
        <f>CEILING(36*$Z$1,0.1)</f>
        <v>45</v>
      </c>
      <c r="H636" s="1195"/>
      <c r="I636" s="1220"/>
      <c r="J636" s="1220"/>
      <c r="K636" s="1220"/>
      <c r="L636" s="1220"/>
      <c r="M636" s="90"/>
      <c r="N636" s="9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  <c r="AZ636" s="100"/>
      <c r="BA636" s="100"/>
      <c r="BB636" s="100"/>
      <c r="BC636" s="100"/>
      <c r="BD636" s="100"/>
      <c r="BE636" s="100"/>
      <c r="BF636" s="100"/>
      <c r="BG636" s="100"/>
      <c r="BH636" s="100"/>
      <c r="BI636" s="100"/>
      <c r="BJ636" s="100"/>
      <c r="BK636" s="100"/>
    </row>
    <row r="637" spans="1:63" s="411" customFormat="1" ht="34.5" customHeight="1">
      <c r="A637" s="625" t="s">
        <v>498</v>
      </c>
      <c r="B637" s="281" t="s">
        <v>581</v>
      </c>
      <c r="C637" s="1202">
        <f>CEILING(45*$Z$1,0.1)</f>
        <v>56.300000000000004</v>
      </c>
      <c r="D637" s="1203"/>
      <c r="E637" s="1202">
        <f>CEILING(44*$Z$1,0.1)</f>
        <v>55</v>
      </c>
      <c r="F637" s="1203"/>
      <c r="G637" s="1202">
        <f>CEILING(45*$Z$1,0.1)</f>
        <v>56.300000000000004</v>
      </c>
      <c r="H637" s="1203"/>
      <c r="I637" s="1220"/>
      <c r="J637" s="1220"/>
      <c r="K637" s="1220"/>
      <c r="L637" s="1220"/>
      <c r="M637" s="90"/>
      <c r="N637" s="9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  <c r="AZ637" s="100"/>
      <c r="BA637" s="100"/>
      <c r="BB637" s="100"/>
      <c r="BC637" s="100"/>
      <c r="BD637" s="100"/>
      <c r="BE637" s="100"/>
      <c r="BF637" s="100"/>
      <c r="BG637" s="100"/>
      <c r="BH637" s="100"/>
      <c r="BI637" s="100"/>
      <c r="BJ637" s="100"/>
      <c r="BK637" s="100"/>
    </row>
    <row r="638" spans="1:63" s="94" customFormat="1" ht="34.5" customHeight="1">
      <c r="A638" s="811"/>
      <c r="B638" s="106"/>
      <c r="C638" s="800"/>
      <c r="D638" s="800"/>
      <c r="E638" s="800"/>
      <c r="F638" s="800"/>
      <c r="G638" s="800"/>
      <c r="H638" s="800"/>
      <c r="I638" s="800"/>
      <c r="J638" s="800"/>
      <c r="K638" s="120"/>
      <c r="L638" s="120"/>
      <c r="M638" s="97"/>
      <c r="N638" s="9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/>
      <c r="BE638" s="100"/>
      <c r="BF638" s="100"/>
      <c r="BG638" s="100"/>
      <c r="BH638" s="100"/>
      <c r="BI638" s="100"/>
      <c r="BJ638" s="100"/>
      <c r="BK638" s="100"/>
    </row>
    <row r="639" spans="1:25" s="94" customFormat="1" ht="34.5" customHeight="1">
      <c r="A639" s="1317" t="s">
        <v>1263</v>
      </c>
      <c r="B639" s="1317"/>
      <c r="C639" s="1317"/>
      <c r="D639" s="1317"/>
      <c r="E639" s="1317"/>
      <c r="F639" s="1317"/>
      <c r="G639" s="1318"/>
      <c r="H639" s="1318"/>
      <c r="I639" s="90"/>
      <c r="J639" s="90"/>
      <c r="K639" s="91"/>
      <c r="L639" s="91"/>
      <c r="M639" s="92"/>
      <c r="N639" s="93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</row>
    <row r="640" spans="1:25" s="94" customFormat="1" ht="34.5" customHeight="1">
      <c r="A640" s="1317" t="s">
        <v>1264</v>
      </c>
      <c r="B640" s="1317"/>
      <c r="C640" s="1317"/>
      <c r="D640" s="1317"/>
      <c r="E640" s="1317"/>
      <c r="F640" s="1317"/>
      <c r="G640" s="1318"/>
      <c r="H640" s="1318"/>
      <c r="I640" s="90"/>
      <c r="J640" s="90"/>
      <c r="K640" s="91"/>
      <c r="L640" s="91"/>
      <c r="M640" s="93"/>
      <c r="N640" s="93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</row>
    <row r="641" spans="1:25" s="94" customFormat="1" ht="34.5" customHeight="1">
      <c r="A641" s="1317" t="s">
        <v>1265</v>
      </c>
      <c r="B641" s="1318"/>
      <c r="C641" s="1318"/>
      <c r="D641" s="1318"/>
      <c r="E641" s="1318"/>
      <c r="F641" s="1318"/>
      <c r="G641" s="1318"/>
      <c r="H641" s="1318"/>
      <c r="I641" s="90"/>
      <c r="J641" s="90"/>
      <c r="K641" s="95"/>
      <c r="L641" s="95"/>
      <c r="M641" s="93"/>
      <c r="N641" s="93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</row>
    <row r="642" spans="1:25" s="94" customFormat="1" ht="34.5" customHeight="1">
      <c r="A642" s="1317" t="s">
        <v>1266</v>
      </c>
      <c r="B642" s="1317"/>
      <c r="C642" s="1317"/>
      <c r="D642" s="1317"/>
      <c r="E642" s="1317"/>
      <c r="F642" s="1317"/>
      <c r="G642" s="1318"/>
      <c r="H642" s="1318"/>
      <c r="I642" s="90"/>
      <c r="J642" s="90"/>
      <c r="K642" s="95"/>
      <c r="L642" s="95"/>
      <c r="M642" s="96"/>
      <c r="N642" s="96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</row>
    <row r="643" spans="1:25" s="94" customFormat="1" ht="34.5" customHeight="1">
      <c r="A643" s="1317" t="s">
        <v>1267</v>
      </c>
      <c r="B643" s="1317"/>
      <c r="C643" s="1317"/>
      <c r="D643" s="1317"/>
      <c r="E643" s="1317"/>
      <c r="F643" s="1317"/>
      <c r="G643" s="1318"/>
      <c r="H643" s="1318"/>
      <c r="I643" s="90"/>
      <c r="J643" s="90"/>
      <c r="K643" s="95"/>
      <c r="L643" s="95"/>
      <c r="M643" s="96"/>
      <c r="N643" s="96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</row>
    <row r="644" spans="1:25" s="15" customFormat="1" ht="34.5" customHeight="1">
      <c r="A644" s="55"/>
      <c r="B644" s="55"/>
      <c r="C644" s="55"/>
      <c r="D644" s="55"/>
      <c r="E644" s="55"/>
      <c r="F644" s="55"/>
      <c r="G644" s="56"/>
      <c r="H644" s="56"/>
      <c r="I644" s="35"/>
      <c r="J644" s="35"/>
      <c r="K644" s="43"/>
      <c r="L644" s="43"/>
      <c r="M644" s="57"/>
      <c r="N644" s="57"/>
      <c r="O644" s="14"/>
      <c r="P644" s="54"/>
      <c r="Q644" s="54"/>
      <c r="R644" s="14"/>
      <c r="S644" s="14"/>
      <c r="T644" s="14"/>
      <c r="U644" s="14"/>
      <c r="V644" s="14"/>
      <c r="W644" s="14"/>
      <c r="X644" s="14"/>
      <c r="Y644" s="14"/>
    </row>
    <row r="645" spans="1:25" s="15" customFormat="1" ht="34.5" customHeight="1">
      <c r="A645" s="1385" t="s">
        <v>786</v>
      </c>
      <c r="B645" s="1385"/>
      <c r="C645" s="1385"/>
      <c r="D645" s="1385"/>
      <c r="E645" s="1385"/>
      <c r="F645" s="1385"/>
      <c r="G645" s="1385"/>
      <c r="H645" s="1385"/>
      <c r="I645" s="53"/>
      <c r="J645" s="53"/>
      <c r="K645" s="43"/>
      <c r="L645" s="43"/>
      <c r="M645" s="34"/>
      <c r="N645" s="34"/>
      <c r="O645" s="14"/>
      <c r="P645" s="34"/>
      <c r="Q645" s="34"/>
      <c r="R645" s="14"/>
      <c r="S645" s="14"/>
      <c r="T645" s="14"/>
      <c r="U645" s="14"/>
      <c r="V645" s="14"/>
      <c r="W645" s="14"/>
      <c r="X645" s="14"/>
      <c r="Y645" s="14"/>
    </row>
    <row r="646" spans="1:25" s="94" customFormat="1" ht="34.5" customHeight="1" thickBot="1">
      <c r="A646" s="789"/>
      <c r="B646" s="789"/>
      <c r="C646" s="790"/>
      <c r="D646" s="790"/>
      <c r="E646" s="790"/>
      <c r="F646" s="790"/>
      <c r="G646" s="790"/>
      <c r="H646" s="790"/>
      <c r="I646" s="459"/>
      <c r="J646" s="459"/>
      <c r="K646" s="95"/>
      <c r="L646" s="95"/>
      <c r="M646" s="775"/>
      <c r="N646" s="775"/>
      <c r="O646" s="92"/>
      <c r="P646" s="775"/>
      <c r="Q646" s="775"/>
      <c r="R646" s="92"/>
      <c r="S646" s="92"/>
      <c r="T646" s="92"/>
      <c r="U646" s="92"/>
      <c r="V646" s="92"/>
      <c r="W646" s="92"/>
      <c r="X646" s="92"/>
      <c r="Y646" s="92"/>
    </row>
    <row r="647" spans="1:42" s="167" customFormat="1" ht="34.5" customHeight="1" thickTop="1">
      <c r="A647" s="826" t="s">
        <v>33</v>
      </c>
      <c r="B647" s="827" t="s">
        <v>86</v>
      </c>
      <c r="C647" s="828" t="s">
        <v>847</v>
      </c>
      <c r="D647" s="829"/>
      <c r="E647" s="830" t="s">
        <v>848</v>
      </c>
      <c r="F647" s="831"/>
      <c r="G647" s="830" t="s">
        <v>849</v>
      </c>
      <c r="H647" s="831"/>
      <c r="I647" s="830" t="s">
        <v>850</v>
      </c>
      <c r="J647" s="831"/>
      <c r="K647" s="830" t="s">
        <v>851</v>
      </c>
      <c r="L647" s="831"/>
      <c r="M647" s="830" t="s">
        <v>852</v>
      </c>
      <c r="N647" s="831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</row>
    <row r="648" spans="1:25" s="94" customFormat="1" ht="34.5" customHeight="1">
      <c r="A648" s="242" t="s">
        <v>357</v>
      </c>
      <c r="B648" s="189" t="s">
        <v>214</v>
      </c>
      <c r="C648" s="880">
        <f>CEILING(55*$Z$1,0.1)</f>
        <v>68.8</v>
      </c>
      <c r="D648" s="881"/>
      <c r="E648" s="880">
        <f>CEILING(75*$Z$1,0.1)</f>
        <v>93.80000000000001</v>
      </c>
      <c r="F648" s="881"/>
      <c r="G648" s="880">
        <f>CEILING(75*$Z$1,0.1)</f>
        <v>93.80000000000001</v>
      </c>
      <c r="H648" s="881"/>
      <c r="I648" s="880">
        <f>CEILING(75*$Z$1,0.1)</f>
        <v>93.80000000000001</v>
      </c>
      <c r="J648" s="881"/>
      <c r="K648" s="880">
        <f>CEILING(75*$Z$1,0.1)</f>
        <v>93.80000000000001</v>
      </c>
      <c r="L648" s="881"/>
      <c r="M648" s="880">
        <f>CEILING(55*$Z$1,0.1)</f>
        <v>68.8</v>
      </c>
      <c r="N648" s="881"/>
      <c r="O648" s="92"/>
      <c r="P648" s="775"/>
      <c r="Q648" s="775"/>
      <c r="R648" s="92"/>
      <c r="S648" s="92"/>
      <c r="T648" s="92"/>
      <c r="U648" s="92"/>
      <c r="V648" s="92"/>
      <c r="W648" s="92"/>
      <c r="X648" s="92"/>
      <c r="Y648" s="92"/>
    </row>
    <row r="649" spans="1:25" s="94" customFormat="1" ht="34.5" customHeight="1">
      <c r="A649" s="266" t="s">
        <v>49</v>
      </c>
      <c r="B649" s="190" t="s">
        <v>215</v>
      </c>
      <c r="C649" s="876">
        <f>CEILING((C648+22*$Z$1),0.1)</f>
        <v>96.30000000000001</v>
      </c>
      <c r="D649" s="877"/>
      <c r="E649" s="876">
        <f>CEILING((E648+45*$Z$1),0.1)</f>
        <v>150.1</v>
      </c>
      <c r="F649" s="877"/>
      <c r="G649" s="876">
        <f>CEILING((G648+45*$Z$1),0.1)</f>
        <v>150.1</v>
      </c>
      <c r="H649" s="877"/>
      <c r="I649" s="876">
        <f>CEILING((I648+45*$Z$1),0.1)</f>
        <v>150.1</v>
      </c>
      <c r="J649" s="877"/>
      <c r="K649" s="876">
        <f>CEILING((K648+45*$Z$1),0.1)</f>
        <v>150.1</v>
      </c>
      <c r="L649" s="877"/>
      <c r="M649" s="876">
        <f>CEILING((M648+22*$Z$1),0.1)</f>
        <v>96.30000000000001</v>
      </c>
      <c r="N649" s="877"/>
      <c r="O649" s="92"/>
      <c r="P649" s="775"/>
      <c r="Q649" s="775"/>
      <c r="R649" s="92"/>
      <c r="S649" s="92"/>
      <c r="T649" s="92"/>
      <c r="U649" s="92"/>
      <c r="V649" s="92"/>
      <c r="W649" s="92"/>
      <c r="X649" s="92"/>
      <c r="Y649" s="92"/>
    </row>
    <row r="650" spans="1:25" s="94" customFormat="1" ht="34.5" customHeight="1" thickBot="1">
      <c r="A650" s="246" t="s">
        <v>890</v>
      </c>
      <c r="B650" s="246" t="s">
        <v>358</v>
      </c>
      <c r="C650" s="878">
        <f>CEILING(65*$Z$1,0.1)</f>
        <v>81.30000000000001</v>
      </c>
      <c r="D650" s="879"/>
      <c r="E650" s="878">
        <f>CEILING(85*$Z$1,0.1)</f>
        <v>106.30000000000001</v>
      </c>
      <c r="F650" s="879"/>
      <c r="G650" s="878">
        <f>CEILING(85*$Z$1,0.1)</f>
        <v>106.30000000000001</v>
      </c>
      <c r="H650" s="879"/>
      <c r="I650" s="878">
        <f>CEILING(85*$Z$1,0.1)</f>
        <v>106.30000000000001</v>
      </c>
      <c r="J650" s="879"/>
      <c r="K650" s="878">
        <f>CEILING(85*$Z$1,0.1)</f>
        <v>106.30000000000001</v>
      </c>
      <c r="L650" s="879"/>
      <c r="M650" s="878">
        <f>CEILING(65*$Z$1,0.1)</f>
        <v>81.30000000000001</v>
      </c>
      <c r="N650" s="879"/>
      <c r="O650" s="92"/>
      <c r="P650" s="775"/>
      <c r="Q650" s="775"/>
      <c r="R650" s="92"/>
      <c r="S650" s="92"/>
      <c r="T650" s="92"/>
      <c r="U650" s="92"/>
      <c r="V650" s="92"/>
      <c r="W650" s="92"/>
      <c r="X650" s="92"/>
      <c r="Y650" s="92"/>
    </row>
    <row r="651" spans="1:25" s="133" customFormat="1" ht="34.5" customHeight="1" thickTop="1">
      <c r="A651" s="476" t="s">
        <v>359</v>
      </c>
      <c r="B651" s="106"/>
      <c r="C651" s="791"/>
      <c r="D651" s="773"/>
      <c r="E651" s="791"/>
      <c r="F651" s="773"/>
      <c r="G651" s="791"/>
      <c r="H651" s="773"/>
      <c r="I651" s="791"/>
      <c r="J651" s="773"/>
      <c r="K651" s="791"/>
      <c r="L651" s="773"/>
      <c r="M651" s="775"/>
      <c r="N651" s="775"/>
      <c r="O651" s="129"/>
      <c r="P651" s="775"/>
      <c r="Q651" s="775"/>
      <c r="R651" s="129"/>
      <c r="S651" s="129"/>
      <c r="T651" s="129"/>
      <c r="U651" s="129"/>
      <c r="V651" s="129"/>
      <c r="W651" s="129"/>
      <c r="X651" s="129"/>
      <c r="Y651" s="129"/>
    </row>
    <row r="652" spans="1:25" s="571" customFormat="1" ht="34.5" customHeight="1">
      <c r="A652" s="339" t="s">
        <v>892</v>
      </c>
      <c r="B652" s="387"/>
      <c r="C652" s="107"/>
      <c r="D652" s="107"/>
      <c r="E652" s="107"/>
      <c r="F652" s="107"/>
      <c r="G652" s="107"/>
      <c r="H652" s="107"/>
      <c r="I652" s="107"/>
      <c r="J652" s="107"/>
      <c r="K652" s="792"/>
      <c r="L652" s="792"/>
      <c r="M652" s="793"/>
      <c r="N652" s="794"/>
      <c r="O652" s="795"/>
      <c r="P652" s="796"/>
      <c r="Q652" s="796"/>
      <c r="R652" s="795"/>
      <c r="S652" s="795"/>
      <c r="T652" s="795"/>
      <c r="U652" s="795"/>
      <c r="V652" s="795"/>
      <c r="W652" s="795"/>
      <c r="X652" s="795"/>
      <c r="Y652" s="795"/>
    </row>
    <row r="653" spans="1:25" s="94" customFormat="1" ht="34.5" customHeight="1" thickBot="1">
      <c r="A653" s="1343"/>
      <c r="B653" s="1343"/>
      <c r="C653" s="1343"/>
      <c r="D653" s="1343"/>
      <c r="E653" s="1343"/>
      <c r="F653" s="1343"/>
      <c r="G653" s="1343"/>
      <c r="H653" s="1343"/>
      <c r="I653" s="459"/>
      <c r="J653" s="459"/>
      <c r="K653" s="489"/>
      <c r="L653" s="489"/>
      <c r="M653" s="775"/>
      <c r="N653" s="775"/>
      <c r="O653" s="92"/>
      <c r="P653" s="775"/>
      <c r="Q653" s="775"/>
      <c r="R653" s="92"/>
      <c r="S653" s="92"/>
      <c r="T653" s="92"/>
      <c r="U653" s="92"/>
      <c r="V653" s="92"/>
      <c r="W653" s="92"/>
      <c r="X653" s="92"/>
      <c r="Y653" s="92"/>
    </row>
    <row r="654" spans="1:42" s="167" customFormat="1" ht="34.5" customHeight="1" thickTop="1">
      <c r="A654" s="826" t="s">
        <v>33</v>
      </c>
      <c r="B654" s="827" t="s">
        <v>86</v>
      </c>
      <c r="C654" s="828" t="s">
        <v>847</v>
      </c>
      <c r="D654" s="829"/>
      <c r="E654" s="830" t="s">
        <v>848</v>
      </c>
      <c r="F654" s="831"/>
      <c r="G654" s="830" t="s">
        <v>849</v>
      </c>
      <c r="H654" s="831"/>
      <c r="I654" s="830" t="s">
        <v>850</v>
      </c>
      <c r="J654" s="831"/>
      <c r="K654" s="830" t="s">
        <v>851</v>
      </c>
      <c r="L654" s="831"/>
      <c r="M654" s="830" t="s">
        <v>852</v>
      </c>
      <c r="N654" s="831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</row>
    <row r="655" spans="1:25" s="94" customFormat="1" ht="34.5" customHeight="1">
      <c r="A655" s="296" t="s">
        <v>473</v>
      </c>
      <c r="B655" s="189" t="s">
        <v>41</v>
      </c>
      <c r="C655" s="774"/>
      <c r="D655" s="779"/>
      <c r="E655" s="774"/>
      <c r="F655" s="779"/>
      <c r="G655" s="880"/>
      <c r="H655" s="881"/>
      <c r="I655" s="880"/>
      <c r="J655" s="881"/>
      <c r="K655" s="880"/>
      <c r="L655" s="881"/>
      <c r="M655" s="880"/>
      <c r="N655" s="881"/>
      <c r="O655" s="92"/>
      <c r="P655" s="1319"/>
      <c r="Q655" s="1319"/>
      <c r="R655" s="92"/>
      <c r="S655" s="92"/>
      <c r="T655" s="92"/>
      <c r="U655" s="92"/>
      <c r="V655" s="92"/>
      <c r="W655" s="92"/>
      <c r="X655" s="92"/>
      <c r="Y655" s="92"/>
    </row>
    <row r="656" spans="1:25" s="94" customFormat="1" ht="34.5" customHeight="1">
      <c r="A656" s="266" t="s">
        <v>49</v>
      </c>
      <c r="B656" s="190" t="s">
        <v>42</v>
      </c>
      <c r="C656" s="776"/>
      <c r="D656" s="773"/>
      <c r="E656" s="776"/>
      <c r="F656" s="773"/>
      <c r="G656" s="876"/>
      <c r="H656" s="877"/>
      <c r="I656" s="876"/>
      <c r="J656" s="877"/>
      <c r="K656" s="876"/>
      <c r="L656" s="877"/>
      <c r="M656" s="876"/>
      <c r="N656" s="877"/>
      <c r="O656" s="92"/>
      <c r="P656" s="1270"/>
      <c r="Q656" s="1270"/>
      <c r="R656" s="92"/>
      <c r="S656" s="92"/>
      <c r="T656" s="92"/>
      <c r="U656" s="92"/>
      <c r="V656" s="92"/>
      <c r="W656" s="92"/>
      <c r="X656" s="92"/>
      <c r="Y656" s="92"/>
    </row>
    <row r="657" spans="1:25" s="94" customFormat="1" ht="34.5" customHeight="1">
      <c r="A657" s="797"/>
      <c r="B657" s="190" t="s">
        <v>534</v>
      </c>
      <c r="C657" s="776"/>
      <c r="D657" s="773"/>
      <c r="E657" s="776"/>
      <c r="F657" s="773"/>
      <c r="G657" s="876"/>
      <c r="H657" s="877"/>
      <c r="I657" s="876"/>
      <c r="J657" s="877"/>
      <c r="K657" s="876"/>
      <c r="L657" s="877"/>
      <c r="M657" s="876"/>
      <c r="N657" s="877"/>
      <c r="O657" s="92"/>
      <c r="P657" s="775"/>
      <c r="Q657" s="775"/>
      <c r="R657" s="92"/>
      <c r="S657" s="92"/>
      <c r="T657" s="92"/>
      <c r="U657" s="92"/>
      <c r="V657" s="92"/>
      <c r="W657" s="92"/>
      <c r="X657" s="92"/>
      <c r="Y657" s="92"/>
    </row>
    <row r="658" spans="1:25" s="94" customFormat="1" ht="34.5" customHeight="1">
      <c r="A658" s="797" t="s">
        <v>1248</v>
      </c>
      <c r="B658" s="190" t="s">
        <v>352</v>
      </c>
      <c r="C658" s="776"/>
      <c r="D658" s="773"/>
      <c r="E658" s="776"/>
      <c r="F658" s="773"/>
      <c r="G658" s="876"/>
      <c r="H658" s="877"/>
      <c r="I658" s="876"/>
      <c r="J658" s="877"/>
      <c r="K658" s="876"/>
      <c r="L658" s="877"/>
      <c r="M658" s="876"/>
      <c r="N658" s="877"/>
      <c r="O658" s="92"/>
      <c r="P658" s="775"/>
      <c r="Q658" s="775"/>
      <c r="R658" s="92"/>
      <c r="S658" s="92"/>
      <c r="T658" s="92"/>
      <c r="U658" s="92"/>
      <c r="V658" s="92"/>
      <c r="W658" s="92"/>
      <c r="X658" s="92"/>
      <c r="Y658" s="92"/>
    </row>
    <row r="659" spans="1:25" s="94" customFormat="1" ht="34.5" customHeight="1">
      <c r="A659" s="797"/>
      <c r="B659" s="190" t="s">
        <v>353</v>
      </c>
      <c r="C659" s="776"/>
      <c r="D659" s="773"/>
      <c r="E659" s="776"/>
      <c r="F659" s="773"/>
      <c r="G659" s="876"/>
      <c r="H659" s="877"/>
      <c r="I659" s="876"/>
      <c r="J659" s="877"/>
      <c r="K659" s="876"/>
      <c r="L659" s="877"/>
      <c r="M659" s="876"/>
      <c r="N659" s="877"/>
      <c r="O659" s="92"/>
      <c r="P659" s="775"/>
      <c r="Q659" s="775"/>
      <c r="R659" s="92"/>
      <c r="S659" s="92"/>
      <c r="T659" s="92"/>
      <c r="U659" s="92"/>
      <c r="V659" s="92"/>
      <c r="W659" s="92"/>
      <c r="X659" s="92"/>
      <c r="Y659" s="92"/>
    </row>
    <row r="660" spans="1:25" s="94" customFormat="1" ht="34.5" customHeight="1">
      <c r="A660" s="797"/>
      <c r="B660" s="190" t="s">
        <v>354</v>
      </c>
      <c r="C660" s="776"/>
      <c r="D660" s="773"/>
      <c r="E660" s="776"/>
      <c r="F660" s="773"/>
      <c r="G660" s="876"/>
      <c r="H660" s="877"/>
      <c r="I660" s="876"/>
      <c r="J660" s="877"/>
      <c r="K660" s="876"/>
      <c r="L660" s="877"/>
      <c r="M660" s="876"/>
      <c r="N660" s="877"/>
      <c r="O660" s="92"/>
      <c r="P660" s="775"/>
      <c r="Q660" s="775"/>
      <c r="R660" s="92"/>
      <c r="S660" s="92"/>
      <c r="T660" s="92"/>
      <c r="U660" s="92"/>
      <c r="V660" s="92"/>
      <c r="W660" s="92"/>
      <c r="X660" s="92"/>
      <c r="Y660" s="92"/>
    </row>
    <row r="661" spans="1:25" s="94" customFormat="1" ht="34.5" customHeight="1" thickBot="1">
      <c r="A661" s="246" t="s">
        <v>891</v>
      </c>
      <c r="B661" s="246" t="s">
        <v>355</v>
      </c>
      <c r="C661" s="777"/>
      <c r="D661" s="780"/>
      <c r="E661" s="777"/>
      <c r="F661" s="780"/>
      <c r="G661" s="883"/>
      <c r="H661" s="884"/>
      <c r="I661" s="883"/>
      <c r="J661" s="884"/>
      <c r="K661" s="883"/>
      <c r="L661" s="884"/>
      <c r="M661" s="883"/>
      <c r="N661" s="884"/>
      <c r="O661" s="92"/>
      <c r="P661" s="1270"/>
      <c r="Q661" s="1270"/>
      <c r="R661" s="92"/>
      <c r="S661" s="92"/>
      <c r="T661" s="92"/>
      <c r="U661" s="92"/>
      <c r="V661" s="92"/>
      <c r="W661" s="92"/>
      <c r="X661" s="92"/>
      <c r="Y661" s="92"/>
    </row>
    <row r="662" spans="1:25" s="571" customFormat="1" ht="34.5" customHeight="1" thickTop="1">
      <c r="A662" s="339" t="s">
        <v>356</v>
      </c>
      <c r="B662" s="724"/>
      <c r="C662" s="796"/>
      <c r="D662" s="796"/>
      <c r="E662" s="796"/>
      <c r="F662" s="796"/>
      <c r="G662" s="796"/>
      <c r="H662" s="796"/>
      <c r="I662" s="796"/>
      <c r="J662" s="796"/>
      <c r="K662" s="792"/>
      <c r="L662" s="792"/>
      <c r="M662" s="901"/>
      <c r="N662" s="902"/>
      <c r="O662" s="795"/>
      <c r="P662" s="796"/>
      <c r="Q662" s="796"/>
      <c r="R662" s="795"/>
      <c r="S662" s="795"/>
      <c r="T662" s="795"/>
      <c r="U662" s="795"/>
      <c r="V662" s="795"/>
      <c r="W662" s="795"/>
      <c r="X662" s="795"/>
      <c r="Y662" s="795"/>
    </row>
    <row r="663" spans="1:25" s="94" customFormat="1" ht="34.5" customHeight="1" thickBot="1">
      <c r="A663" s="1386"/>
      <c r="B663" s="1386"/>
      <c r="C663" s="1386"/>
      <c r="D663" s="1386"/>
      <c r="E663" s="1386"/>
      <c r="F663" s="1386"/>
      <c r="G663" s="1386"/>
      <c r="H663" s="1386"/>
      <c r="I663" s="1387"/>
      <c r="J663" s="1387"/>
      <c r="K663" s="489"/>
      <c r="L663" s="489"/>
      <c r="M663" s="97"/>
      <c r="N663" s="98"/>
      <c r="O663" s="92"/>
      <c r="P663" s="101"/>
      <c r="Q663" s="101"/>
      <c r="R663" s="92"/>
      <c r="S663" s="92"/>
      <c r="T663" s="92"/>
      <c r="U663" s="92"/>
      <c r="V663" s="92"/>
      <c r="W663" s="92"/>
      <c r="X663" s="92"/>
      <c r="Y663" s="92"/>
    </row>
    <row r="664" spans="1:42" s="167" customFormat="1" ht="34.5" customHeight="1" thickTop="1">
      <c r="A664" s="826" t="s">
        <v>33</v>
      </c>
      <c r="B664" s="827" t="s">
        <v>86</v>
      </c>
      <c r="C664" s="828" t="s">
        <v>847</v>
      </c>
      <c r="D664" s="829"/>
      <c r="E664" s="830" t="s">
        <v>848</v>
      </c>
      <c r="F664" s="831"/>
      <c r="G664" s="830" t="s">
        <v>849</v>
      </c>
      <c r="H664" s="831"/>
      <c r="I664" s="830" t="s">
        <v>850</v>
      </c>
      <c r="J664" s="831"/>
      <c r="K664" s="830" t="s">
        <v>851</v>
      </c>
      <c r="L664" s="831"/>
      <c r="M664" s="830" t="s">
        <v>852</v>
      </c>
      <c r="N664" s="831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</row>
    <row r="665" spans="1:25" s="94" customFormat="1" ht="34.5" customHeight="1">
      <c r="A665" s="242" t="s">
        <v>474</v>
      </c>
      <c r="B665" s="189" t="s">
        <v>214</v>
      </c>
      <c r="C665" s="880">
        <f>CEILING(55*$Z$1,0.1)</f>
        <v>68.8</v>
      </c>
      <c r="D665" s="881"/>
      <c r="E665" s="880">
        <f>CEILING(75*$Z$1,0.1)</f>
        <v>93.80000000000001</v>
      </c>
      <c r="F665" s="881"/>
      <c r="G665" s="880">
        <f>CEILING(75*$Z$1,0.1)</f>
        <v>93.80000000000001</v>
      </c>
      <c r="H665" s="881"/>
      <c r="I665" s="880">
        <f>CEILING(75*$Z$1,0.1)</f>
        <v>93.80000000000001</v>
      </c>
      <c r="J665" s="881"/>
      <c r="K665" s="880">
        <f>CEILING(75*$Z$1,0.1)</f>
        <v>93.80000000000001</v>
      </c>
      <c r="L665" s="881"/>
      <c r="M665" s="880">
        <f>CEILING(55*$Z$1,0.1)</f>
        <v>68.8</v>
      </c>
      <c r="N665" s="881"/>
      <c r="O665" s="781"/>
      <c r="P665" s="92"/>
      <c r="Q665" s="92"/>
      <c r="R665" s="92"/>
      <c r="S665" s="92"/>
      <c r="T665" s="92"/>
      <c r="U665" s="92"/>
      <c r="V665" s="92"/>
      <c r="W665" s="92"/>
      <c r="X665" s="92"/>
      <c r="Y665" s="92"/>
    </row>
    <row r="666" spans="1:17" s="94" customFormat="1" ht="34.5" customHeight="1">
      <c r="A666" s="266" t="s">
        <v>49</v>
      </c>
      <c r="B666" s="190" t="s">
        <v>215</v>
      </c>
      <c r="C666" s="876">
        <f>CEILING((C665+22*$Z$1),0.1)</f>
        <v>96.30000000000001</v>
      </c>
      <c r="D666" s="877"/>
      <c r="E666" s="876">
        <f>CEILING((E665+45*$Z$1),0.1)</f>
        <v>150.1</v>
      </c>
      <c r="F666" s="877"/>
      <c r="G666" s="876">
        <f>CEILING((G665+45*$Z$1),0.1)</f>
        <v>150.1</v>
      </c>
      <c r="H666" s="877"/>
      <c r="I666" s="876">
        <f>CEILING((I665+45*$Z$1),0.1)</f>
        <v>150.1</v>
      </c>
      <c r="J666" s="877"/>
      <c r="K666" s="876">
        <f>CEILING((K665+45*$Z$1),0.1)</f>
        <v>150.1</v>
      </c>
      <c r="L666" s="877"/>
      <c r="M666" s="876">
        <f>CEILING((M665+22*$Z$1),0.1)</f>
        <v>96.30000000000001</v>
      </c>
      <c r="N666" s="877"/>
      <c r="O666" s="408"/>
      <c r="P666" s="92"/>
      <c r="Q666" s="92"/>
    </row>
    <row r="667" spans="1:17" s="94" customFormat="1" ht="34.5" customHeight="1">
      <c r="A667" s="798"/>
      <c r="B667" s="190" t="s">
        <v>37</v>
      </c>
      <c r="C667" s="876">
        <f>CEILING((C665*0.85),0.1)</f>
        <v>58.5</v>
      </c>
      <c r="D667" s="877"/>
      <c r="E667" s="876">
        <f>CEILING((E665*0.85),0.1)</f>
        <v>79.80000000000001</v>
      </c>
      <c r="F667" s="877"/>
      <c r="G667" s="876">
        <f>CEILING((G665*0.85),0.1)</f>
        <v>79.80000000000001</v>
      </c>
      <c r="H667" s="877"/>
      <c r="I667" s="876">
        <f>CEILING((I665*0.85),0.1)</f>
        <v>79.80000000000001</v>
      </c>
      <c r="J667" s="877"/>
      <c r="K667" s="876">
        <f>CEILING((K665*0.85),0.1)</f>
        <v>79.80000000000001</v>
      </c>
      <c r="L667" s="877"/>
      <c r="M667" s="876">
        <f>CEILING((M665*0.85),0.1)</f>
        <v>58.5</v>
      </c>
      <c r="N667" s="877"/>
      <c r="O667" s="408"/>
      <c r="P667" s="92"/>
      <c r="Q667" s="92"/>
    </row>
    <row r="668" spans="1:17" s="94" customFormat="1" ht="34.5" customHeight="1">
      <c r="A668" s="797"/>
      <c r="B668" s="190" t="s">
        <v>534</v>
      </c>
      <c r="C668" s="876">
        <f>CEILING((C665*0.5),0.1)</f>
        <v>34.4</v>
      </c>
      <c r="D668" s="877"/>
      <c r="E668" s="876">
        <f>CEILING((E665*0.5),0.1)</f>
        <v>46.900000000000006</v>
      </c>
      <c r="F668" s="877"/>
      <c r="G668" s="876">
        <f>CEILING((G665*0.5),0.1)</f>
        <v>46.900000000000006</v>
      </c>
      <c r="H668" s="877"/>
      <c r="I668" s="876">
        <f>CEILING((I665*0.5),0.1)</f>
        <v>46.900000000000006</v>
      </c>
      <c r="J668" s="877"/>
      <c r="K668" s="876">
        <f>CEILING((K665*0.5),0.1)</f>
        <v>46.900000000000006</v>
      </c>
      <c r="L668" s="877"/>
      <c r="M668" s="876">
        <f>CEILING((M665*0.5),0.1)</f>
        <v>34.4</v>
      </c>
      <c r="N668" s="877"/>
      <c r="O668" s="408"/>
      <c r="P668" s="92"/>
      <c r="Q668" s="92"/>
    </row>
    <row r="669" spans="1:17" s="94" customFormat="1" ht="34.5" customHeight="1" thickBot="1">
      <c r="A669" s="252" t="s">
        <v>826</v>
      </c>
      <c r="B669" s="246" t="s">
        <v>34</v>
      </c>
      <c r="C669" s="878">
        <f>CEILING(70*$Z$1,0.1)</f>
        <v>87.5</v>
      </c>
      <c r="D669" s="879"/>
      <c r="E669" s="878">
        <f>CEILING(90*$Z$1,0.1)</f>
        <v>112.5</v>
      </c>
      <c r="F669" s="879"/>
      <c r="G669" s="878">
        <f>CEILING(90*$Z$1,0.1)</f>
        <v>112.5</v>
      </c>
      <c r="H669" s="879"/>
      <c r="I669" s="878">
        <f>CEILING(90*$Z$1,0.1)</f>
        <v>112.5</v>
      </c>
      <c r="J669" s="879"/>
      <c r="K669" s="878">
        <f>CEILING(90*$Z$1,0.1)</f>
        <v>112.5</v>
      </c>
      <c r="L669" s="879"/>
      <c r="M669" s="878">
        <f>CEILING(70*$Z$1,0.1)</f>
        <v>87.5</v>
      </c>
      <c r="N669" s="879"/>
      <c r="O669" s="408"/>
      <c r="P669" s="92"/>
      <c r="Q669" s="92"/>
    </row>
    <row r="670" spans="1:25" s="571" customFormat="1" ht="34.5" customHeight="1" thickTop="1">
      <c r="A670" s="339" t="s">
        <v>584</v>
      </c>
      <c r="B670" s="387"/>
      <c r="C670" s="107"/>
      <c r="D670" s="107"/>
      <c r="E670" s="107"/>
      <c r="F670" s="107"/>
      <c r="G670" s="107"/>
      <c r="H670" s="107"/>
      <c r="I670" s="107"/>
      <c r="J670" s="107"/>
      <c r="K670" s="792"/>
      <c r="L670" s="792"/>
      <c r="M670" s="793"/>
      <c r="N670" s="794"/>
      <c r="O670" s="795"/>
      <c r="P670" s="796"/>
      <c r="Q670" s="796"/>
      <c r="R670" s="795"/>
      <c r="S670" s="795"/>
      <c r="T670" s="795"/>
      <c r="U670" s="795"/>
      <c r="V670" s="795"/>
      <c r="W670" s="795"/>
      <c r="X670" s="795"/>
      <c r="Y670" s="795"/>
    </row>
    <row r="671" spans="1:17" s="94" customFormat="1" ht="34.5" customHeight="1" thickBot="1">
      <c r="A671" s="1383"/>
      <c r="B671" s="1383"/>
      <c r="C671" s="1383"/>
      <c r="D671" s="1383"/>
      <c r="E671" s="1383"/>
      <c r="F671" s="1383"/>
      <c r="G671" s="1383"/>
      <c r="H671" s="1383"/>
      <c r="I671" s="775"/>
      <c r="J671" s="775"/>
      <c r="K671" s="91"/>
      <c r="L671" s="91"/>
      <c r="M671" s="101"/>
      <c r="N671" s="408"/>
      <c r="O671" s="408"/>
      <c r="P671" s="92"/>
      <c r="Q671" s="92"/>
    </row>
    <row r="672" spans="1:42" s="167" customFormat="1" ht="34.5" customHeight="1" thickTop="1">
      <c r="A672" s="837" t="s">
        <v>33</v>
      </c>
      <c r="B672" s="838" t="s">
        <v>568</v>
      </c>
      <c r="C672" s="839" t="s">
        <v>847</v>
      </c>
      <c r="D672" s="840"/>
      <c r="E672" s="841" t="s">
        <v>870</v>
      </c>
      <c r="F672" s="842"/>
      <c r="G672" s="841" t="s">
        <v>850</v>
      </c>
      <c r="H672" s="842"/>
      <c r="I672" s="841" t="s">
        <v>851</v>
      </c>
      <c r="J672" s="842"/>
      <c r="K672" s="841" t="s">
        <v>852</v>
      </c>
      <c r="L672" s="842"/>
      <c r="M672" s="151"/>
      <c r="N672" s="151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</row>
    <row r="673" spans="1:25" s="94" customFormat="1" ht="34.5" customHeight="1">
      <c r="A673" s="296" t="s">
        <v>90</v>
      </c>
      <c r="B673" s="298" t="s">
        <v>41</v>
      </c>
      <c r="C673" s="1110">
        <f>CEILING(24*$Z$1,0.1)</f>
        <v>30</v>
      </c>
      <c r="D673" s="1111"/>
      <c r="E673" s="1110">
        <f>CEILING(30*$Z$1,0.1)</f>
        <v>37.5</v>
      </c>
      <c r="F673" s="1111"/>
      <c r="G673" s="1110">
        <f>CEILING(32*$Z$1,0.1)</f>
        <v>40</v>
      </c>
      <c r="H673" s="1111"/>
      <c r="I673" s="1177">
        <f>CEILING(32*$Z$1,0.1)</f>
        <v>40</v>
      </c>
      <c r="J673" s="1178"/>
      <c r="K673" s="1110">
        <f>CEILING(25*$Z$1,0.1)</f>
        <v>31.3</v>
      </c>
      <c r="L673" s="1111"/>
      <c r="M673" s="97"/>
      <c r="N673" s="98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</row>
    <row r="674" spans="1:25" s="94" customFormat="1" ht="34.5" customHeight="1">
      <c r="A674" s="124" t="s">
        <v>1299</v>
      </c>
      <c r="B674" s="190" t="s">
        <v>42</v>
      </c>
      <c r="C674" s="1108">
        <f>CEILING((C673+9*$Z$1),0.1)</f>
        <v>41.300000000000004</v>
      </c>
      <c r="D674" s="1109"/>
      <c r="E674" s="1108">
        <f>CEILING((E673+11*$Z$1),0.1)</f>
        <v>51.300000000000004</v>
      </c>
      <c r="F674" s="1109"/>
      <c r="G674" s="1108">
        <f>CEILING((G673+11*$Z$1),0.1)</f>
        <v>53.800000000000004</v>
      </c>
      <c r="H674" s="1109"/>
      <c r="I674" s="1175">
        <f>CEILING((I673+11*$Z$1),0.1)</f>
        <v>53.800000000000004</v>
      </c>
      <c r="J674" s="1176"/>
      <c r="K674" s="1108">
        <f>CEILING((K673+8*$Z$1),0.1)</f>
        <v>41.300000000000004</v>
      </c>
      <c r="L674" s="1109"/>
      <c r="M674" s="97"/>
      <c r="N674" s="98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</row>
    <row r="675" spans="1:25" s="94" customFormat="1" ht="34.5" customHeight="1">
      <c r="A675" s="214" t="s">
        <v>76</v>
      </c>
      <c r="B675" s="270" t="s">
        <v>37</v>
      </c>
      <c r="C675" s="1108">
        <f>CEILING((C673*0.85),0.1)</f>
        <v>25.5</v>
      </c>
      <c r="D675" s="1109"/>
      <c r="E675" s="1108">
        <f>CEILING((E673*0.85),0.1)</f>
        <v>31.900000000000002</v>
      </c>
      <c r="F675" s="1109"/>
      <c r="G675" s="1108">
        <f>CEILING((G673*0.85),0.1)</f>
        <v>34</v>
      </c>
      <c r="H675" s="1109"/>
      <c r="I675" s="1175">
        <f>CEILING((I673*0.85),0.1)</f>
        <v>34</v>
      </c>
      <c r="J675" s="1176"/>
      <c r="K675" s="1108">
        <f>CEILING((K673*0.85),0.1)</f>
        <v>26.700000000000003</v>
      </c>
      <c r="L675" s="1109"/>
      <c r="M675" s="111"/>
      <c r="N675" s="111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</row>
    <row r="676" spans="1:25" s="94" customFormat="1" ht="34.5" customHeight="1" thickBot="1">
      <c r="A676" s="429" t="s">
        <v>837</v>
      </c>
      <c r="B676" s="193" t="s">
        <v>61</v>
      </c>
      <c r="C676" s="1106">
        <f>CEILING((C673*0),0.1)</f>
        <v>0</v>
      </c>
      <c r="D676" s="1107"/>
      <c r="E676" s="1106">
        <f>CEILING((E673*0),0.1)</f>
        <v>0</v>
      </c>
      <c r="F676" s="1107"/>
      <c r="G676" s="1106">
        <f>CEILING((G673*0),0.1)</f>
        <v>0</v>
      </c>
      <c r="H676" s="1107"/>
      <c r="I676" s="1179">
        <f>CEILING((I673*0),0.1)</f>
        <v>0</v>
      </c>
      <c r="J676" s="1180"/>
      <c r="K676" s="1106">
        <f>CEILING((K673*0),0.1)</f>
        <v>0</v>
      </c>
      <c r="L676" s="1107"/>
      <c r="M676" s="106"/>
      <c r="N676" s="106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</row>
    <row r="677" spans="1:37" s="94" customFormat="1" ht="34.5" customHeight="1" thickTop="1">
      <c r="A677" s="234"/>
      <c r="B677" s="778"/>
      <c r="C677" s="778"/>
      <c r="D677" s="778"/>
      <c r="E677" s="778"/>
      <c r="F677" s="778"/>
      <c r="G677" s="778"/>
      <c r="H677" s="778"/>
      <c r="I677" s="782"/>
      <c r="J677" s="782"/>
      <c r="K677" s="95"/>
      <c r="L677" s="95"/>
      <c r="M677" s="775"/>
      <c r="N677" s="775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</row>
    <row r="678" spans="1:42" s="167" customFormat="1" ht="34.5" customHeight="1">
      <c r="A678" s="837" t="s">
        <v>33</v>
      </c>
      <c r="B678" s="838" t="s">
        <v>86</v>
      </c>
      <c r="C678" s="839" t="s">
        <v>847</v>
      </c>
      <c r="D678" s="840"/>
      <c r="E678" s="841" t="s">
        <v>870</v>
      </c>
      <c r="F678" s="842"/>
      <c r="G678" s="841" t="s">
        <v>850</v>
      </c>
      <c r="H678" s="842"/>
      <c r="I678" s="841" t="s">
        <v>851</v>
      </c>
      <c r="J678" s="842"/>
      <c r="K678" s="841" t="s">
        <v>852</v>
      </c>
      <c r="L678" s="842"/>
      <c r="M678" s="151"/>
      <c r="N678" s="151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</row>
    <row r="679" spans="1:25" s="121" customFormat="1" ht="34.5" customHeight="1">
      <c r="A679" s="296" t="s">
        <v>91</v>
      </c>
      <c r="B679" s="298" t="s">
        <v>41</v>
      </c>
      <c r="C679" s="1110">
        <f>CEILING(30*$Z$1,0.1)</f>
        <v>37.5</v>
      </c>
      <c r="D679" s="1111"/>
      <c r="E679" s="1110">
        <f>CEILING(30*$Z$1,0.1)</f>
        <v>37.5</v>
      </c>
      <c r="F679" s="1111"/>
      <c r="G679" s="1110">
        <f>CEILING(25*$Z$1,0.1)</f>
        <v>31.3</v>
      </c>
      <c r="H679" s="1111"/>
      <c r="I679" s="1177">
        <f>CEILING(25*$Z$1,0.1)</f>
        <v>31.3</v>
      </c>
      <c r="J679" s="1178"/>
      <c r="K679" s="1110">
        <f>CEILING(19*$Z$1,0.1)</f>
        <v>23.8</v>
      </c>
      <c r="L679" s="1111"/>
      <c r="M679" s="100"/>
      <c r="N679" s="101"/>
      <c r="O679" s="101"/>
      <c r="P679" s="101"/>
      <c r="Q679" s="1308"/>
      <c r="R679" s="1308"/>
      <c r="S679" s="1308"/>
      <c r="T679" s="1308"/>
      <c r="U679" s="101"/>
      <c r="V679" s="101"/>
      <c r="W679" s="101"/>
      <c r="X679" s="101"/>
      <c r="Y679" s="101"/>
    </row>
    <row r="680" spans="1:25" s="121" customFormat="1" ht="34.5" customHeight="1">
      <c r="A680" s="1012" t="s">
        <v>76</v>
      </c>
      <c r="B680" s="190" t="s">
        <v>42</v>
      </c>
      <c r="C680" s="1108">
        <f>CEILING((C679+11*$Z$1),0.1)</f>
        <v>51.300000000000004</v>
      </c>
      <c r="D680" s="1109"/>
      <c r="E680" s="1108">
        <f>CEILING((E679+11*$Z$1),0.1)</f>
        <v>51.300000000000004</v>
      </c>
      <c r="F680" s="1109"/>
      <c r="G680" s="1108">
        <f>CEILING((G679+10*$Z$1),0.1)</f>
        <v>43.800000000000004</v>
      </c>
      <c r="H680" s="1109"/>
      <c r="I680" s="1175">
        <f>CEILING((I679+10*$Z$1),0.1)</f>
        <v>43.800000000000004</v>
      </c>
      <c r="J680" s="1176"/>
      <c r="K680" s="1108">
        <f>CEILING((K679+8*$Z$1),0.1)</f>
        <v>33.800000000000004</v>
      </c>
      <c r="L680" s="1109"/>
      <c r="M680" s="100"/>
      <c r="N680" s="101"/>
      <c r="O680" s="101"/>
      <c r="P680" s="101"/>
      <c r="Q680" s="1270"/>
      <c r="R680" s="1270"/>
      <c r="S680" s="1270"/>
      <c r="T680" s="1270"/>
      <c r="U680" s="101"/>
      <c r="V680" s="101"/>
      <c r="W680" s="101"/>
      <c r="X680" s="101"/>
      <c r="Y680" s="101"/>
    </row>
    <row r="681" spans="1:42" s="411" customFormat="1" ht="34.5" customHeight="1" thickBot="1">
      <c r="A681" s="429" t="s">
        <v>837</v>
      </c>
      <c r="B681" s="299" t="s">
        <v>37</v>
      </c>
      <c r="C681" s="1112">
        <f>CEILING((C679*0.85),0.1)</f>
        <v>31.900000000000002</v>
      </c>
      <c r="D681" s="1113"/>
      <c r="E681" s="1112">
        <f>CEILING((E679*0.85),0.1)</f>
        <v>31.900000000000002</v>
      </c>
      <c r="F681" s="1113"/>
      <c r="G681" s="1112">
        <f>CEILING((G679*0.85),0.1)</f>
        <v>26.700000000000003</v>
      </c>
      <c r="H681" s="1113"/>
      <c r="I681" s="1181">
        <f>CEILING((I679*0.85),0.1)</f>
        <v>26.700000000000003</v>
      </c>
      <c r="J681" s="1182"/>
      <c r="K681" s="1112">
        <f>CEILING((K679*0.85),0.1)</f>
        <v>20.3</v>
      </c>
      <c r="L681" s="1113"/>
      <c r="M681" s="100"/>
      <c r="N681" s="101"/>
      <c r="O681" s="101"/>
      <c r="P681" s="101"/>
      <c r="Q681" s="1270"/>
      <c r="R681" s="1270"/>
      <c r="S681" s="1270"/>
      <c r="T681" s="1270"/>
      <c r="U681" s="101"/>
      <c r="V681" s="101"/>
      <c r="W681" s="101"/>
      <c r="X681" s="101"/>
      <c r="Y681" s="10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</row>
    <row r="682" spans="1:47" s="166" customFormat="1" ht="29.25" customHeight="1" thickTop="1">
      <c r="A682" s="966"/>
      <c r="B682" s="969"/>
      <c r="C682" s="966"/>
      <c r="D682" s="966"/>
      <c r="E682" s="966"/>
      <c r="F682" s="966"/>
      <c r="G682" s="966"/>
      <c r="H682" s="966"/>
      <c r="I682" s="960"/>
      <c r="J682" s="960"/>
      <c r="K682" s="952"/>
      <c r="L682" s="952"/>
      <c r="M682" s="317"/>
      <c r="N682" s="317"/>
      <c r="O682" s="951"/>
      <c r="P682" s="951"/>
      <c r="Q682" s="951"/>
      <c r="R682" s="951"/>
      <c r="S682" s="951"/>
      <c r="T682" s="100"/>
      <c r="U682" s="100"/>
      <c r="V682" s="136"/>
      <c r="W682" s="136"/>
      <c r="X682" s="136"/>
      <c r="Y682" s="136"/>
      <c r="Z682" s="136"/>
      <c r="AA682" s="951"/>
      <c r="AB682" s="951"/>
      <c r="AC682" s="951"/>
      <c r="AD682" s="951"/>
      <c r="AE682" s="951"/>
      <c r="AF682" s="951"/>
      <c r="AG682" s="951"/>
      <c r="AH682" s="951"/>
      <c r="AI682" s="951"/>
      <c r="AJ682" s="951"/>
      <c r="AK682" s="951"/>
      <c r="AL682" s="951"/>
      <c r="AM682" s="951"/>
      <c r="AN682" s="951"/>
      <c r="AO682" s="951"/>
      <c r="AP682" s="951"/>
      <c r="AQ682" s="951"/>
      <c r="AR682" s="951"/>
      <c r="AS682" s="951"/>
      <c r="AT682" s="951"/>
      <c r="AU682" s="951"/>
    </row>
    <row r="683" spans="1:25" s="94" customFormat="1" ht="34.5" customHeight="1">
      <c r="A683" s="1317" t="s">
        <v>1268</v>
      </c>
      <c r="B683" s="1317"/>
      <c r="C683" s="1317"/>
      <c r="D683" s="1317"/>
      <c r="E683" s="1317"/>
      <c r="F683" s="1317"/>
      <c r="G683" s="1317"/>
      <c r="H683" s="1317"/>
      <c r="I683" s="1010"/>
      <c r="J683" s="93"/>
      <c r="K683" s="99"/>
      <c r="L683" s="99"/>
      <c r="M683" s="100"/>
      <c r="N683" s="101"/>
      <c r="O683" s="92"/>
      <c r="P683" s="92"/>
      <c r="Q683" s="1270"/>
      <c r="R683" s="1270"/>
      <c r="S683" s="1270"/>
      <c r="T683" s="1270"/>
      <c r="U683" s="92"/>
      <c r="V683" s="92"/>
      <c r="W683" s="92"/>
      <c r="X683" s="92"/>
      <c r="Y683" s="92"/>
    </row>
    <row r="684" spans="1:25" s="94" customFormat="1" ht="34.5" customHeight="1">
      <c r="A684" s="1317" t="s">
        <v>1269</v>
      </c>
      <c r="B684" s="1317"/>
      <c r="C684" s="1317"/>
      <c r="D684" s="1317"/>
      <c r="E684" s="1317"/>
      <c r="F684" s="1317"/>
      <c r="G684" s="1317"/>
      <c r="H684" s="1317"/>
      <c r="I684" s="1010"/>
      <c r="J684" s="93"/>
      <c r="K684" s="91"/>
      <c r="L684" s="99"/>
      <c r="M684" s="100"/>
      <c r="N684" s="101"/>
      <c r="O684" s="92"/>
      <c r="P684" s="92"/>
      <c r="Q684" s="1270"/>
      <c r="R684" s="1270"/>
      <c r="S684" s="1270"/>
      <c r="T684" s="1270"/>
      <c r="U684" s="92"/>
      <c r="V684" s="92"/>
      <c r="W684" s="92"/>
      <c r="X684" s="92"/>
      <c r="Y684" s="92"/>
    </row>
    <row r="685" spans="1:25" s="94" customFormat="1" ht="34.5" customHeight="1">
      <c r="A685" s="1317" t="s">
        <v>1270</v>
      </c>
      <c r="B685" s="1317"/>
      <c r="C685" s="1317"/>
      <c r="D685" s="1317"/>
      <c r="E685" s="1317"/>
      <c r="F685" s="1317"/>
      <c r="G685" s="1317"/>
      <c r="H685" s="1317"/>
      <c r="I685" s="1242"/>
      <c r="J685" s="93"/>
      <c r="K685" s="91"/>
      <c r="L685" s="99"/>
      <c r="M685" s="100"/>
      <c r="N685" s="101"/>
      <c r="O685" s="92"/>
      <c r="P685" s="92"/>
      <c r="Q685" s="1270"/>
      <c r="R685" s="1270"/>
      <c r="S685" s="1270"/>
      <c r="T685" s="1270"/>
      <c r="U685" s="92"/>
      <c r="V685" s="92"/>
      <c r="W685" s="92"/>
      <c r="X685" s="92"/>
      <c r="Y685" s="92"/>
    </row>
    <row r="686" spans="1:25" s="15" customFormat="1" ht="34.5" customHeight="1">
      <c r="A686" s="1384"/>
      <c r="B686" s="1384"/>
      <c r="C686" s="1384"/>
      <c r="D686" s="1384"/>
      <c r="E686" s="1384"/>
      <c r="F686" s="1384"/>
      <c r="G686" s="1384"/>
      <c r="H686" s="1384"/>
      <c r="I686" s="1011"/>
      <c r="J686" s="34"/>
      <c r="K686" s="33"/>
      <c r="L686" s="33"/>
      <c r="M686" s="30"/>
      <c r="N686" s="36"/>
      <c r="O686" s="14"/>
      <c r="P686" s="14"/>
      <c r="Q686" s="1310"/>
      <c r="R686" s="1310"/>
      <c r="S686" s="1310"/>
      <c r="T686" s="1310"/>
      <c r="U686" s="14"/>
      <c r="V686" s="14"/>
      <c r="W686" s="14"/>
      <c r="X686" s="14"/>
      <c r="Y686" s="14"/>
    </row>
    <row r="687" spans="1:25" s="15" customFormat="1" ht="34.5" customHeight="1">
      <c r="A687" s="51"/>
      <c r="B687" s="53"/>
      <c r="C687" s="53"/>
      <c r="D687" s="53"/>
      <c r="E687" s="53"/>
      <c r="F687" s="53"/>
      <c r="G687" s="53"/>
      <c r="H687" s="53"/>
      <c r="I687" s="53"/>
      <c r="J687" s="53"/>
      <c r="K687" s="33"/>
      <c r="L687" s="33"/>
      <c r="M687" s="30"/>
      <c r="N687" s="36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s="15" customFormat="1" ht="34.5" customHeight="1">
      <c r="A688" s="1326" t="s">
        <v>92</v>
      </c>
      <c r="B688" s="1326"/>
      <c r="C688" s="1326"/>
      <c r="D688" s="1326"/>
      <c r="E688" s="1326"/>
      <c r="F688" s="1326"/>
      <c r="G688" s="1326"/>
      <c r="H688" s="1326"/>
      <c r="I688" s="1326"/>
      <c r="J688" s="1326"/>
      <c r="K688" s="1326"/>
      <c r="L688" s="1326"/>
      <c r="M688" s="1326"/>
      <c r="N688" s="1326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s="15" customFormat="1" ht="34.5" customHeight="1">
      <c r="A689" s="1265" t="s">
        <v>787</v>
      </c>
      <c r="B689" s="1265"/>
      <c r="C689" s="1265"/>
      <c r="D689" s="1265"/>
      <c r="E689" s="1265"/>
      <c r="F689" s="1265"/>
      <c r="G689" s="1265"/>
      <c r="H689" s="1265"/>
      <c r="I689" s="33"/>
      <c r="J689" s="33"/>
      <c r="K689" s="33"/>
      <c r="L689" s="33"/>
      <c r="M689" s="1309"/>
      <c r="N689" s="1309"/>
      <c r="O689" s="14"/>
      <c r="P689" s="1309"/>
      <c r="Q689" s="1309"/>
      <c r="R689" s="1309"/>
      <c r="S689" s="1309"/>
      <c r="T689" s="14"/>
      <c r="U689" s="14"/>
      <c r="V689" s="14"/>
      <c r="W689" s="14"/>
      <c r="X689" s="14"/>
      <c r="Y689" s="14"/>
    </row>
    <row r="690" spans="1:25" s="15" customFormat="1" ht="34.5" customHeight="1" thickBot="1">
      <c r="A690" s="59"/>
      <c r="B690" s="59"/>
      <c r="C690" s="59"/>
      <c r="D690" s="59"/>
      <c r="E690" s="59"/>
      <c r="F690" s="59"/>
      <c r="G690" s="59"/>
      <c r="H690" s="59"/>
      <c r="I690" s="33"/>
      <c r="J690" s="33"/>
      <c r="K690" s="47"/>
      <c r="L690" s="47"/>
      <c r="M690" s="1309"/>
      <c r="N690" s="1309"/>
      <c r="O690" s="14"/>
      <c r="P690" s="1310"/>
      <c r="Q690" s="1310"/>
      <c r="R690" s="1310"/>
      <c r="S690" s="1310"/>
      <c r="T690" s="14"/>
      <c r="U690" s="14"/>
      <c r="V690" s="14"/>
      <c r="W690" s="14"/>
      <c r="X690" s="14"/>
      <c r="Y690" s="14"/>
    </row>
    <row r="691" spans="1:42" s="167" customFormat="1" ht="34.5" customHeight="1" thickTop="1">
      <c r="A691" s="837" t="s">
        <v>33</v>
      </c>
      <c r="B691" s="838" t="s">
        <v>568</v>
      </c>
      <c r="C691" s="1304" t="s">
        <v>1229</v>
      </c>
      <c r="D691" s="1305"/>
      <c r="E691" s="1304" t="s">
        <v>1230</v>
      </c>
      <c r="F691" s="1305"/>
      <c r="G691" s="1304" t="s">
        <v>954</v>
      </c>
      <c r="H691" s="1305"/>
      <c r="I691" s="841"/>
      <c r="J691" s="842"/>
      <c r="K691" s="841"/>
      <c r="L691" s="842"/>
      <c r="M691" s="151"/>
      <c r="N691" s="151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</row>
    <row r="692" spans="1:19" s="136" customFormat="1" ht="34.5" customHeight="1">
      <c r="A692" s="426" t="s">
        <v>1000</v>
      </c>
      <c r="B692" s="289" t="s">
        <v>41</v>
      </c>
      <c r="C692" s="1194">
        <f>CEILING(68*$Z$1,0.1)</f>
        <v>85</v>
      </c>
      <c r="D692" s="1195"/>
      <c r="E692" s="1194">
        <f>CEILING(64*$Z$1,0.1)</f>
        <v>80</v>
      </c>
      <c r="F692" s="1195"/>
      <c r="G692" s="1194">
        <f>CEILING(58*$Z$1,0.1)</f>
        <v>72.5</v>
      </c>
      <c r="H692" s="1195"/>
      <c r="I692" s="992"/>
      <c r="J692" s="993"/>
      <c r="K692" s="992"/>
      <c r="L692" s="993"/>
      <c r="M692" s="1220"/>
      <c r="N692" s="1220"/>
      <c r="O692" s="100"/>
      <c r="P692" s="1270"/>
      <c r="Q692" s="1270"/>
      <c r="R692" s="1270"/>
      <c r="S692" s="1270"/>
    </row>
    <row r="693" spans="1:19" s="136" customFormat="1" ht="34.5" customHeight="1">
      <c r="A693" s="562" t="s">
        <v>1001</v>
      </c>
      <c r="B693" s="238" t="s">
        <v>42</v>
      </c>
      <c r="C693" s="1192">
        <f>CEILING((C692+25*$Z$1),0.1)</f>
        <v>116.30000000000001</v>
      </c>
      <c r="D693" s="1193"/>
      <c r="E693" s="1192">
        <f>CEILING((E692+25*$Z$1),0.1)</f>
        <v>111.30000000000001</v>
      </c>
      <c r="F693" s="1193"/>
      <c r="G693" s="1192">
        <f>CEILING((G692+25*$Z$1),0.1)</f>
        <v>103.80000000000001</v>
      </c>
      <c r="H693" s="1193"/>
      <c r="I693" s="988"/>
      <c r="J693" s="989"/>
      <c r="K693" s="988"/>
      <c r="L693" s="989"/>
      <c r="M693" s="1220"/>
      <c r="N693" s="1220"/>
      <c r="O693" s="100"/>
      <c r="P693" s="1270"/>
      <c r="Q693" s="1270"/>
      <c r="R693" s="1270"/>
      <c r="S693" s="1270"/>
    </row>
    <row r="694" spans="1:19" s="136" customFormat="1" ht="34.5" customHeight="1">
      <c r="A694" s="244" t="s">
        <v>49</v>
      </c>
      <c r="B694" s="238" t="s">
        <v>37</v>
      </c>
      <c r="C694" s="1192">
        <f>CEILING((C692*0.85),0.1)</f>
        <v>72.3</v>
      </c>
      <c r="D694" s="1193"/>
      <c r="E694" s="1192">
        <f>CEILING((E692*0.85),0.1)</f>
        <v>68</v>
      </c>
      <c r="F694" s="1193"/>
      <c r="G694" s="1192">
        <f>CEILING((G692*0.85),0.1)</f>
        <v>61.7</v>
      </c>
      <c r="H694" s="1193"/>
      <c r="I694" s="988"/>
      <c r="J694" s="989"/>
      <c r="K694" s="988"/>
      <c r="L694" s="989"/>
      <c r="M694" s="1220"/>
      <c r="N694" s="1220"/>
      <c r="O694" s="100"/>
      <c r="P694" s="1270"/>
      <c r="Q694" s="1270"/>
      <c r="R694" s="1270"/>
      <c r="S694" s="1270"/>
    </row>
    <row r="695" spans="1:19" s="136" customFormat="1" ht="34.5" customHeight="1">
      <c r="A695" s="102"/>
      <c r="B695" s="238" t="s">
        <v>1228</v>
      </c>
      <c r="C695" s="1192">
        <f>CEILING((C692*0.5),0.1)</f>
        <v>42.5</v>
      </c>
      <c r="D695" s="1193"/>
      <c r="E695" s="1192">
        <f>CEILING((E692*0.5),0.1)</f>
        <v>40</v>
      </c>
      <c r="F695" s="1193"/>
      <c r="G695" s="1192">
        <f>CEILING((G692*0.5),0.1)</f>
        <v>36.300000000000004</v>
      </c>
      <c r="H695" s="1193"/>
      <c r="I695" s="988"/>
      <c r="J695" s="989"/>
      <c r="K695" s="988"/>
      <c r="L695" s="989"/>
      <c r="M695" s="1220"/>
      <c r="N695" s="1220"/>
      <c r="O695" s="100"/>
      <c r="P695" s="1270"/>
      <c r="Q695" s="1270"/>
      <c r="R695" s="1270"/>
      <c r="S695" s="1270"/>
    </row>
    <row r="696" spans="1:19" s="136" customFormat="1" ht="34.5" customHeight="1">
      <c r="A696" s="244"/>
      <c r="B696" s="536" t="s">
        <v>51</v>
      </c>
      <c r="C696" s="1192">
        <f>CEILING(78*$Z$1,0.1)</f>
        <v>97.5</v>
      </c>
      <c r="D696" s="1193"/>
      <c r="E696" s="1192">
        <f>CEILING(74*$Z$1,0.1)</f>
        <v>92.5</v>
      </c>
      <c r="F696" s="1193"/>
      <c r="G696" s="1192">
        <f>CEILING(68*$Z$1,0.1)</f>
        <v>85</v>
      </c>
      <c r="H696" s="1193"/>
      <c r="I696" s="988"/>
      <c r="J696" s="989"/>
      <c r="K696" s="988"/>
      <c r="L696" s="989"/>
      <c r="M696" s="1220"/>
      <c r="N696" s="1220"/>
      <c r="P696" s="1270"/>
      <c r="Q696" s="1270"/>
      <c r="R696" s="1270"/>
      <c r="S696" s="1270"/>
    </row>
    <row r="697" spans="1:19" s="136" customFormat="1" ht="34.5" customHeight="1">
      <c r="A697" s="244"/>
      <c r="B697" s="536" t="s">
        <v>44</v>
      </c>
      <c r="C697" s="1192">
        <f>CEILING((C696+35*$Z$1),0.1)</f>
        <v>141.3</v>
      </c>
      <c r="D697" s="1193"/>
      <c r="E697" s="1192">
        <f>CEILING((E696+35*$Z$1),0.1)</f>
        <v>136.3</v>
      </c>
      <c r="F697" s="1193"/>
      <c r="G697" s="1192">
        <f>CEILING((G696+35*$Z$1),0.1)</f>
        <v>128.8</v>
      </c>
      <c r="H697" s="1193"/>
      <c r="I697" s="988"/>
      <c r="J697" s="989"/>
      <c r="K697" s="988"/>
      <c r="L697" s="989"/>
      <c r="M697" s="1220"/>
      <c r="N697" s="1220"/>
      <c r="P697" s="1270"/>
      <c r="Q697" s="1270"/>
      <c r="R697" s="1270"/>
      <c r="S697" s="1270"/>
    </row>
    <row r="698" spans="1:19" s="136" customFormat="1" ht="34.5" customHeight="1" thickBot="1">
      <c r="A698" s="429" t="s">
        <v>1002</v>
      </c>
      <c r="B698" s="246" t="s">
        <v>59</v>
      </c>
      <c r="C698" s="1248">
        <f>CEILING(88*$Z$1,0.1)</f>
        <v>110</v>
      </c>
      <c r="D698" s="1249"/>
      <c r="E698" s="1248">
        <f>CEILING(84*$Z$1,0.1)</f>
        <v>105</v>
      </c>
      <c r="F698" s="1249"/>
      <c r="G698" s="1248">
        <f>CEILING(78*$Z$1,0.1)</f>
        <v>97.5</v>
      </c>
      <c r="H698" s="1249"/>
      <c r="I698" s="990"/>
      <c r="J698" s="991"/>
      <c r="K698" s="990"/>
      <c r="L698" s="991"/>
      <c r="M698" s="1220"/>
      <c r="N698" s="1220"/>
      <c r="P698" s="1270"/>
      <c r="Q698" s="1270"/>
      <c r="R698" s="1270"/>
      <c r="S698" s="1270"/>
    </row>
    <row r="699" spans="1:25" s="911" customFormat="1" ht="34.5" customHeight="1" thickTop="1">
      <c r="A699" s="339" t="s">
        <v>901</v>
      </c>
      <c r="B699" s="1147"/>
      <c r="C699" s="163"/>
      <c r="D699" s="163"/>
      <c r="E699" s="163"/>
      <c r="F699" s="163"/>
      <c r="G699" s="163"/>
      <c r="H699" s="163"/>
      <c r="I699" s="130"/>
      <c r="J699" s="130"/>
      <c r="K699" s="99"/>
      <c r="L699" s="99"/>
      <c r="M699" s="106"/>
      <c r="N699" s="106"/>
      <c r="O699" s="687"/>
      <c r="P699" s="687"/>
      <c r="Q699" s="687"/>
      <c r="R699" s="687"/>
      <c r="S699" s="687"/>
      <c r="T699" s="687"/>
      <c r="U699" s="687"/>
      <c r="V699" s="687"/>
      <c r="W699" s="687"/>
      <c r="X699" s="687"/>
      <c r="Y699" s="687"/>
    </row>
    <row r="700" spans="1:12" s="136" customFormat="1" ht="34.5" customHeight="1" thickBot="1">
      <c r="A700" s="430"/>
      <c r="B700" s="431"/>
      <c r="C700" s="431"/>
      <c r="D700" s="432"/>
      <c r="E700" s="432"/>
      <c r="F700" s="432"/>
      <c r="G700" s="432"/>
      <c r="H700" s="432"/>
      <c r="I700" s="433"/>
      <c r="J700" s="433"/>
      <c r="K700" s="434"/>
      <c r="L700" s="434"/>
    </row>
    <row r="701" spans="1:42" s="167" customFormat="1" ht="34.5" customHeight="1" thickTop="1">
      <c r="A701" s="837" t="s">
        <v>33</v>
      </c>
      <c r="B701" s="838" t="s">
        <v>568</v>
      </c>
      <c r="C701" s="1304" t="s">
        <v>1241</v>
      </c>
      <c r="D701" s="1305"/>
      <c r="E701" s="1304" t="s">
        <v>1230</v>
      </c>
      <c r="F701" s="1305"/>
      <c r="G701" s="1304" t="s">
        <v>954</v>
      </c>
      <c r="H701" s="1305"/>
      <c r="I701" s="841"/>
      <c r="J701" s="842"/>
      <c r="K701" s="841"/>
      <c r="L701" s="842"/>
      <c r="M701" s="151"/>
      <c r="N701" s="151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</row>
    <row r="702" spans="1:14" s="136" customFormat="1" ht="34.5" customHeight="1">
      <c r="A702" s="449" t="s">
        <v>998</v>
      </c>
      <c r="B702" s="1153" t="s">
        <v>1236</v>
      </c>
      <c r="C702" s="1194">
        <f>CEILING(72*$Z$1,0.1)</f>
        <v>90</v>
      </c>
      <c r="D702" s="1195"/>
      <c r="E702" s="1194">
        <f>CEILING(69*$Z$1,0.1)</f>
        <v>86.30000000000001</v>
      </c>
      <c r="F702" s="1195"/>
      <c r="G702" s="1194">
        <f>CEILING(62*$Z$1,0.1)</f>
        <v>77.5</v>
      </c>
      <c r="H702" s="1195"/>
      <c r="I702" s="1194"/>
      <c r="J702" s="1195"/>
      <c r="K702" s="1194"/>
      <c r="L702" s="1195"/>
      <c r="M702" s="97"/>
      <c r="N702" s="98"/>
    </row>
    <row r="703" spans="1:14" s="136" customFormat="1" ht="34.5" customHeight="1">
      <c r="A703" s="290" t="s">
        <v>35</v>
      </c>
      <c r="B703" s="436" t="s">
        <v>466</v>
      </c>
      <c r="C703" s="1192">
        <f>CEILING((C702+25*$Z$1),0.1)</f>
        <v>121.30000000000001</v>
      </c>
      <c r="D703" s="1193"/>
      <c r="E703" s="1192">
        <f>CEILING((E702+25*$Z$1),0.1)</f>
        <v>117.60000000000001</v>
      </c>
      <c r="F703" s="1193"/>
      <c r="G703" s="1192">
        <f>CEILING((G702+25*$Z$1),0.1)</f>
        <v>108.80000000000001</v>
      </c>
      <c r="H703" s="1193"/>
      <c r="I703" s="1192"/>
      <c r="J703" s="1193"/>
      <c r="K703" s="1192"/>
      <c r="L703" s="1193"/>
      <c r="M703" s="97"/>
      <c r="N703" s="98"/>
    </row>
    <row r="704" spans="1:14" s="136" customFormat="1" ht="34.5" customHeight="1">
      <c r="A704" s="290"/>
      <c r="B704" s="436" t="s">
        <v>174</v>
      </c>
      <c r="C704" s="1192">
        <f>CEILING((C702*0.85),0.1)</f>
        <v>76.5</v>
      </c>
      <c r="D704" s="1193"/>
      <c r="E704" s="1192">
        <f>CEILING((E702*0.85),0.1)</f>
        <v>73.4</v>
      </c>
      <c r="F704" s="1193"/>
      <c r="G704" s="1192">
        <f>CEILING((G702*0.85),0.1)</f>
        <v>65.9</v>
      </c>
      <c r="H704" s="1193"/>
      <c r="I704" s="1192"/>
      <c r="J704" s="1193"/>
      <c r="K704" s="1192"/>
      <c r="L704" s="1193"/>
      <c r="M704" s="97"/>
      <c r="N704" s="98"/>
    </row>
    <row r="705" spans="1:14" s="136" customFormat="1" ht="34.5" customHeight="1">
      <c r="A705" s="1155" t="s">
        <v>999</v>
      </c>
      <c r="B705" s="245" t="s">
        <v>61</v>
      </c>
      <c r="C705" s="1192">
        <f>CEILING((C702*0.5),0.1)</f>
        <v>45</v>
      </c>
      <c r="D705" s="1193"/>
      <c r="E705" s="1192">
        <f>CEILING((E702*0.5),0.1)</f>
        <v>43.2</v>
      </c>
      <c r="F705" s="1193"/>
      <c r="G705" s="1192">
        <f>CEILING((G702*0.5),0.1)</f>
        <v>38.800000000000004</v>
      </c>
      <c r="H705" s="1193"/>
      <c r="I705" s="1306"/>
      <c r="J705" s="1307"/>
      <c r="K705" s="1306"/>
      <c r="L705" s="1307"/>
      <c r="M705" s="97"/>
      <c r="N705" s="98"/>
    </row>
    <row r="706" spans="1:12" s="136" customFormat="1" ht="34.5" customHeight="1">
      <c r="A706" s="290"/>
      <c r="B706" s="438" t="s">
        <v>43</v>
      </c>
      <c r="C706" s="1192">
        <f>CEILING(80*$Z$1,0.1)</f>
        <v>100</v>
      </c>
      <c r="D706" s="1193"/>
      <c r="E706" s="1192">
        <f>CEILING(77*$Z$1,0.1)</f>
        <v>96.30000000000001</v>
      </c>
      <c r="F706" s="1193"/>
      <c r="G706" s="1192">
        <f>CEILING(70*$Z$1,0.1)</f>
        <v>87.5</v>
      </c>
      <c r="H706" s="1193"/>
      <c r="I706" s="1192"/>
      <c r="J706" s="1193"/>
      <c r="K706" s="1192"/>
      <c r="L706" s="1193"/>
    </row>
    <row r="707" spans="1:12" s="136" customFormat="1" ht="34.5" customHeight="1">
      <c r="A707" s="290"/>
      <c r="B707" s="438" t="s">
        <v>44</v>
      </c>
      <c r="C707" s="1192">
        <f>CEILING((C706+28*$Z$1),0.1)</f>
        <v>135</v>
      </c>
      <c r="D707" s="1193"/>
      <c r="E707" s="1192">
        <f>CEILING((E706+28*$Z$1),0.1)</f>
        <v>131.3</v>
      </c>
      <c r="F707" s="1193"/>
      <c r="G707" s="1192">
        <f>CEILING((G706+28*$Z$1),0.1)</f>
        <v>122.5</v>
      </c>
      <c r="H707" s="1193"/>
      <c r="I707" s="1192"/>
      <c r="J707" s="1193"/>
      <c r="K707" s="1192"/>
      <c r="L707" s="1193"/>
    </row>
    <row r="708" spans="1:12" s="136" customFormat="1" ht="34.5" customHeight="1">
      <c r="A708" s="912"/>
      <c r="B708" s="436" t="s">
        <v>1205</v>
      </c>
      <c r="C708" s="1192">
        <f>CEILING(77*$Z$1,0.1)</f>
        <v>96.30000000000001</v>
      </c>
      <c r="D708" s="1193"/>
      <c r="E708" s="1192">
        <f>CEILING(74*$Z$1,0.1)</f>
        <v>92.5</v>
      </c>
      <c r="F708" s="1193"/>
      <c r="G708" s="1192">
        <f>CEILING(67*$Z$1,0.1)</f>
        <v>83.80000000000001</v>
      </c>
      <c r="H708" s="1193"/>
      <c r="I708" s="1192"/>
      <c r="J708" s="1193"/>
      <c r="K708" s="1192"/>
      <c r="L708" s="1193"/>
    </row>
    <row r="709" spans="1:12" s="136" customFormat="1" ht="34.5" customHeight="1">
      <c r="A709" s="815"/>
      <c r="B709" s="436" t="s">
        <v>1237</v>
      </c>
      <c r="C709" s="1192">
        <f>CEILING((C708+25*$Z$1),0.1)</f>
        <v>127.60000000000001</v>
      </c>
      <c r="D709" s="1193"/>
      <c r="E709" s="1192">
        <f>CEILING((E708+25*$Z$1),0.1)</f>
        <v>123.80000000000001</v>
      </c>
      <c r="F709" s="1193"/>
      <c r="G709" s="1192">
        <f>CEILING((G708+25*$Z$1),0.1)</f>
        <v>115.10000000000001</v>
      </c>
      <c r="H709" s="1193"/>
      <c r="I709" s="1192"/>
      <c r="J709" s="1193"/>
      <c r="K709" s="1192"/>
      <c r="L709" s="1193"/>
    </row>
    <row r="710" spans="1:12" s="136" customFormat="1" ht="34.5" customHeight="1">
      <c r="A710" s="815"/>
      <c r="B710" s="436" t="s">
        <v>1242</v>
      </c>
      <c r="C710" s="1192">
        <f>CEILING(80*$Z$1,0.1)</f>
        <v>100</v>
      </c>
      <c r="D710" s="1193"/>
      <c r="E710" s="1192">
        <f>CEILING(77*$Z$1,0.1)</f>
        <v>96.30000000000001</v>
      </c>
      <c r="F710" s="1193"/>
      <c r="G710" s="1192">
        <f>CEILING(70*$Z$1,0.1)</f>
        <v>87.5</v>
      </c>
      <c r="H710" s="1193"/>
      <c r="I710" s="1148"/>
      <c r="J710" s="1149"/>
      <c r="K710" s="1148"/>
      <c r="L710" s="1149"/>
    </row>
    <row r="711" spans="1:12" s="136" customFormat="1" ht="34.5" customHeight="1">
      <c r="A711" s="815"/>
      <c r="B711" s="436" t="s">
        <v>1243</v>
      </c>
      <c r="C711" s="1192">
        <f>CEILING((C710+28*$Z$1),0.1)</f>
        <v>135</v>
      </c>
      <c r="D711" s="1193"/>
      <c r="E711" s="1192">
        <f>CEILING((E710+28*$Z$1),0.1)</f>
        <v>131.3</v>
      </c>
      <c r="F711" s="1193"/>
      <c r="G711" s="1192">
        <f>CEILING((G710+28*$Z$1),0.1)</f>
        <v>122.5</v>
      </c>
      <c r="H711" s="1193"/>
      <c r="I711" s="1148"/>
      <c r="J711" s="1149"/>
      <c r="K711" s="1148"/>
      <c r="L711" s="1149"/>
    </row>
    <row r="712" spans="1:12" s="136" customFormat="1" ht="34.5" customHeight="1">
      <c r="A712" s="290"/>
      <c r="B712" s="438" t="s">
        <v>46</v>
      </c>
      <c r="C712" s="1192">
        <f>CEILING(112*$Z$1,0.1)</f>
        <v>140</v>
      </c>
      <c r="D712" s="1193"/>
      <c r="E712" s="1192">
        <f>CEILING(109*$Z$1,0.1)</f>
        <v>136.3</v>
      </c>
      <c r="F712" s="1193"/>
      <c r="G712" s="1192">
        <f>CEILING(102*$Z$1,0.1)</f>
        <v>127.5</v>
      </c>
      <c r="H712" s="1193"/>
      <c r="I712" s="1192"/>
      <c r="J712" s="1193"/>
      <c r="K712" s="1192"/>
      <c r="L712" s="1193"/>
    </row>
    <row r="713" spans="1:12" s="136" customFormat="1" ht="34.5" customHeight="1" thickBot="1">
      <c r="A713" s="1156"/>
      <c r="B713" s="1154" t="s">
        <v>47</v>
      </c>
      <c r="C713" s="1218">
        <f>CEILING((C712+40*$Z$1),0.1)</f>
        <v>190</v>
      </c>
      <c r="D713" s="1219"/>
      <c r="E713" s="1218">
        <f>CEILING((E712+40*$Z$1),0.1)</f>
        <v>186.3</v>
      </c>
      <c r="F713" s="1219"/>
      <c r="G713" s="1218">
        <f>CEILING((G712+40*$Z$1),0.1)</f>
        <v>177.5</v>
      </c>
      <c r="H713" s="1219"/>
      <c r="I713" s="1218"/>
      <c r="J713" s="1219"/>
      <c r="K713" s="1240"/>
      <c r="L713" s="1219"/>
    </row>
    <row r="714" spans="1:12" s="136" customFormat="1" ht="34.5" customHeight="1" thickTop="1">
      <c r="A714" s="555" t="s">
        <v>1240</v>
      </c>
      <c r="B714" s="440" t="s">
        <v>1238</v>
      </c>
      <c r="C714" s="1192">
        <f>CEILING(84*$Z$1,0.1)</f>
        <v>105</v>
      </c>
      <c r="D714" s="1193"/>
      <c r="E714" s="1192">
        <f>CEILING(81*$Z$1,0.1)</f>
        <v>101.30000000000001</v>
      </c>
      <c r="F714" s="1193"/>
      <c r="G714" s="1192">
        <f>CEILING(77*$Z$1,0.1)</f>
        <v>96.30000000000001</v>
      </c>
      <c r="H714" s="1193"/>
      <c r="I714" s="1192"/>
      <c r="J714" s="1193"/>
      <c r="K714" s="1192"/>
      <c r="L714" s="1193"/>
    </row>
    <row r="715" spans="1:12" s="136" customFormat="1" ht="34.5" customHeight="1" thickBot="1">
      <c r="A715" s="441" t="s">
        <v>1002</v>
      </c>
      <c r="B715" s="442" t="s">
        <v>1239</v>
      </c>
      <c r="C715" s="1218">
        <f>CEILING((C714+40*$Z$1),0.1)</f>
        <v>155</v>
      </c>
      <c r="D715" s="1219"/>
      <c r="E715" s="1218">
        <f>CEILING((E714+40*$Z$1),0.1)</f>
        <v>151.3</v>
      </c>
      <c r="F715" s="1219"/>
      <c r="G715" s="1218">
        <f>CEILING((G714+40*$Z$1),0.1)</f>
        <v>146.3</v>
      </c>
      <c r="H715" s="1219"/>
      <c r="I715" s="1218"/>
      <c r="J715" s="1219"/>
      <c r="K715" s="1218"/>
      <c r="L715" s="1219"/>
    </row>
    <row r="716" spans="1:25" s="911" customFormat="1" ht="34.5" customHeight="1" thickTop="1">
      <c r="A716" s="339" t="s">
        <v>1244</v>
      </c>
      <c r="B716" s="1151"/>
      <c r="C716" s="163"/>
      <c r="D716" s="163"/>
      <c r="E716" s="163"/>
      <c r="F716" s="163"/>
      <c r="G716" s="163"/>
      <c r="H716" s="163"/>
      <c r="I716" s="130"/>
      <c r="J716" s="130"/>
      <c r="K716" s="99"/>
      <c r="L716" s="99"/>
      <c r="M716" s="106"/>
      <c r="N716" s="106"/>
      <c r="O716" s="687"/>
      <c r="P716" s="687"/>
      <c r="Q716" s="687"/>
      <c r="R716" s="687"/>
      <c r="S716" s="687"/>
      <c r="T716" s="687"/>
      <c r="U716" s="687"/>
      <c r="V716" s="687"/>
      <c r="W716" s="687"/>
      <c r="X716" s="687"/>
      <c r="Y716" s="687"/>
    </row>
    <row r="717" spans="1:12" s="136" customFormat="1" ht="34.5" customHeight="1" thickBot="1">
      <c r="A717" s="448"/>
      <c r="B717" s="106"/>
      <c r="C717" s="127"/>
      <c r="D717" s="432"/>
      <c r="E717" s="432"/>
      <c r="F717" s="432"/>
      <c r="G717" s="432"/>
      <c r="H717" s="432"/>
      <c r="I717" s="443"/>
      <c r="J717" s="443"/>
      <c r="K717" s="444"/>
      <c r="L717" s="444"/>
    </row>
    <row r="718" spans="1:42" s="167" customFormat="1" ht="34.5" customHeight="1" thickTop="1">
      <c r="A718" s="837" t="s">
        <v>33</v>
      </c>
      <c r="B718" s="838" t="s">
        <v>568</v>
      </c>
      <c r="C718" s="1304" t="s">
        <v>1229</v>
      </c>
      <c r="D718" s="1305"/>
      <c r="E718" s="1304" t="s">
        <v>1230</v>
      </c>
      <c r="F718" s="1305"/>
      <c r="G718" s="1304" t="s">
        <v>954</v>
      </c>
      <c r="H718" s="1305"/>
      <c r="I718" s="841"/>
      <c r="J718" s="842"/>
      <c r="K718" s="841"/>
      <c r="L718" s="842"/>
      <c r="M718" s="151"/>
      <c r="N718" s="151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</row>
    <row r="719" spans="1:13" s="136" customFormat="1" ht="34.5" customHeight="1">
      <c r="A719" s="449" t="s">
        <v>1003</v>
      </c>
      <c r="B719" s="289" t="s">
        <v>41</v>
      </c>
      <c r="C719" s="1194">
        <f>CEILING(62*$Z$1,0.1)</f>
        <v>77.5</v>
      </c>
      <c r="D719" s="1195"/>
      <c r="E719" s="1194">
        <f>CEILING(58*$Z$1,0.1)</f>
        <v>72.5</v>
      </c>
      <c r="F719" s="1195"/>
      <c r="G719" s="1194">
        <f>CEILING(52*$Z$1,0.1)</f>
        <v>65</v>
      </c>
      <c r="H719" s="1195"/>
      <c r="I719" s="1194"/>
      <c r="J719" s="1195"/>
      <c r="K719" s="1194"/>
      <c r="L719" s="1195"/>
      <c r="M719" s="100"/>
    </row>
    <row r="720" spans="1:13" s="136" customFormat="1" ht="34.5" customHeight="1">
      <c r="A720" s="290" t="s">
        <v>49</v>
      </c>
      <c r="B720" s="238" t="s">
        <v>42</v>
      </c>
      <c r="C720" s="1192">
        <f>CEILING((C719+25*$Z$1),0.1)</f>
        <v>108.80000000000001</v>
      </c>
      <c r="D720" s="1193"/>
      <c r="E720" s="1192">
        <f>CEILING((E719+25*$Z$1),0.1)</f>
        <v>103.80000000000001</v>
      </c>
      <c r="F720" s="1193"/>
      <c r="G720" s="1192">
        <f>CEILING((G719+25*$Z$1),0.1)</f>
        <v>96.30000000000001</v>
      </c>
      <c r="H720" s="1193"/>
      <c r="I720" s="1192"/>
      <c r="J720" s="1193"/>
      <c r="K720" s="1192"/>
      <c r="L720" s="1193"/>
      <c r="M720" s="100"/>
    </row>
    <row r="721" spans="1:13" s="136" customFormat="1" ht="34.5" customHeight="1">
      <c r="A721" s="290"/>
      <c r="B721" s="238" t="s">
        <v>37</v>
      </c>
      <c r="C721" s="1192">
        <f>CEILING((C719*0.85),0.1)</f>
        <v>65.9</v>
      </c>
      <c r="D721" s="1193"/>
      <c r="E721" s="1192">
        <f>CEILING((E719*0.85),0.1)</f>
        <v>61.7</v>
      </c>
      <c r="F721" s="1193"/>
      <c r="G721" s="1192">
        <f>CEILING((G719*0.85),0.1)</f>
        <v>55.300000000000004</v>
      </c>
      <c r="H721" s="1193"/>
      <c r="I721" s="1192"/>
      <c r="J721" s="1193"/>
      <c r="K721" s="1192"/>
      <c r="L721" s="1193"/>
      <c r="M721" s="100"/>
    </row>
    <row r="722" spans="1:13" s="136" customFormat="1" ht="34.5" customHeight="1">
      <c r="A722" s="102"/>
      <c r="B722" s="238" t="s">
        <v>61</v>
      </c>
      <c r="C722" s="1192">
        <f>CEILING((C719*0.5),0.1)</f>
        <v>38.800000000000004</v>
      </c>
      <c r="D722" s="1193"/>
      <c r="E722" s="1192">
        <f>CEILING((E719*0.5),0.1)</f>
        <v>36.300000000000004</v>
      </c>
      <c r="F722" s="1193"/>
      <c r="G722" s="1192">
        <f>CEILING((G719*0.5),0.1)</f>
        <v>32.5</v>
      </c>
      <c r="H722" s="1193"/>
      <c r="I722" s="1262"/>
      <c r="J722" s="1263"/>
      <c r="K722" s="1262"/>
      <c r="L722" s="1263"/>
      <c r="M722" s="100"/>
    </row>
    <row r="723" spans="1:13" s="136" customFormat="1" ht="34.5" customHeight="1">
      <c r="A723" s="439"/>
      <c r="B723" s="536" t="s">
        <v>43</v>
      </c>
      <c r="C723" s="1192">
        <f>CEILING(69*$Z$1,0.1)</f>
        <v>86.30000000000001</v>
      </c>
      <c r="D723" s="1193"/>
      <c r="E723" s="1192">
        <f>CEILING(65*$Z$1,0.1)</f>
        <v>81.30000000000001</v>
      </c>
      <c r="F723" s="1193"/>
      <c r="G723" s="1192">
        <f>CEILING(59*$Z$1,0.1)</f>
        <v>73.8</v>
      </c>
      <c r="H723" s="1193"/>
      <c r="I723" s="1192"/>
      <c r="J723" s="1193"/>
      <c r="K723" s="1192"/>
      <c r="L723" s="1193"/>
      <c r="M723" s="100"/>
    </row>
    <row r="724" spans="1:13" s="136" customFormat="1" ht="34.5" customHeight="1">
      <c r="A724" s="290"/>
      <c r="B724" s="536" t="s">
        <v>44</v>
      </c>
      <c r="C724" s="1192">
        <f>CEILING((C723+25*$Z$1),0.1)</f>
        <v>117.60000000000001</v>
      </c>
      <c r="D724" s="1193"/>
      <c r="E724" s="1192">
        <f>CEILING((E723+25*$Z$1),0.1)</f>
        <v>112.60000000000001</v>
      </c>
      <c r="F724" s="1193"/>
      <c r="G724" s="1192">
        <f>CEILING((G723+25*$Z$1),0.1)</f>
        <v>105.10000000000001</v>
      </c>
      <c r="H724" s="1193"/>
      <c r="I724" s="1192"/>
      <c r="J724" s="1193"/>
      <c r="K724" s="1192"/>
      <c r="L724" s="1193"/>
      <c r="M724" s="100"/>
    </row>
    <row r="725" spans="1:13" s="136" customFormat="1" ht="34.5" customHeight="1">
      <c r="A725" s="290"/>
      <c r="B725" s="238" t="s">
        <v>34</v>
      </c>
      <c r="C725" s="1192">
        <f>CEILING(77*$Z$1,0.1)</f>
        <v>96.30000000000001</v>
      </c>
      <c r="D725" s="1193"/>
      <c r="E725" s="1192">
        <f>CEILING(73*$Z$1,0.1)</f>
        <v>91.30000000000001</v>
      </c>
      <c r="F725" s="1193"/>
      <c r="G725" s="1192">
        <f>CEILING(67*$Z$1,0.1)</f>
        <v>83.80000000000001</v>
      </c>
      <c r="H725" s="1193"/>
      <c r="I725" s="1192"/>
      <c r="J725" s="1193"/>
      <c r="K725" s="1192"/>
      <c r="L725" s="1193"/>
      <c r="M725" s="100"/>
    </row>
    <row r="726" spans="1:13" s="136" customFormat="1" ht="34.5" customHeight="1">
      <c r="A726" s="450" t="s">
        <v>1002</v>
      </c>
      <c r="B726" s="451" t="s">
        <v>36</v>
      </c>
      <c r="C726" s="1202">
        <f>CEILING((C725+30*$Z$1),0.1)</f>
        <v>133.8</v>
      </c>
      <c r="D726" s="1203"/>
      <c r="E726" s="1202">
        <f>CEILING((E725+30*$Z$1),0.1)</f>
        <v>128.8</v>
      </c>
      <c r="F726" s="1203"/>
      <c r="G726" s="1202">
        <f>CEILING((G725+30*$Z$1),0.1)</f>
        <v>121.30000000000001</v>
      </c>
      <c r="H726" s="1203"/>
      <c r="I726" s="1202"/>
      <c r="J726" s="1203"/>
      <c r="K726" s="1202"/>
      <c r="L726" s="1203"/>
      <c r="M726" s="100"/>
    </row>
    <row r="727" spans="1:25" s="911" customFormat="1" ht="34.5" customHeight="1">
      <c r="A727" s="339" t="s">
        <v>901</v>
      </c>
      <c r="B727" s="1151"/>
      <c r="C727" s="163"/>
      <c r="D727" s="163"/>
      <c r="E727" s="163"/>
      <c r="F727" s="163"/>
      <c r="G727" s="163"/>
      <c r="H727" s="163"/>
      <c r="I727" s="130"/>
      <c r="J727" s="130"/>
      <c r="K727" s="99"/>
      <c r="L727" s="99"/>
      <c r="M727" s="106"/>
      <c r="N727" s="106"/>
      <c r="O727" s="687"/>
      <c r="P727" s="687"/>
      <c r="Q727" s="687"/>
      <c r="R727" s="687"/>
      <c r="S727" s="687"/>
      <c r="T727" s="687"/>
      <c r="U727" s="687"/>
      <c r="V727" s="687"/>
      <c r="W727" s="687"/>
      <c r="X727" s="687"/>
      <c r="Y727" s="687"/>
    </row>
    <row r="728" spans="1:12" s="136" customFormat="1" ht="34.5" customHeight="1" thickBot="1">
      <c r="A728" s="448"/>
      <c r="B728" s="106"/>
      <c r="C728" s="1048"/>
      <c r="D728" s="1049"/>
      <c r="E728" s="1049"/>
      <c r="F728" s="1049"/>
      <c r="G728" s="1049"/>
      <c r="H728" s="1049"/>
      <c r="I728" s="443"/>
      <c r="J728" s="443"/>
      <c r="K728" s="444"/>
      <c r="L728" s="444"/>
    </row>
    <row r="729" spans="1:42" s="167" customFormat="1" ht="34.5" customHeight="1" thickTop="1">
      <c r="A729" s="837" t="s">
        <v>33</v>
      </c>
      <c r="B729" s="838" t="s">
        <v>568</v>
      </c>
      <c r="C729" s="1304" t="s">
        <v>1229</v>
      </c>
      <c r="D729" s="1305"/>
      <c r="E729" s="1304" t="s">
        <v>1230</v>
      </c>
      <c r="F729" s="1305"/>
      <c r="G729" s="1304" t="s">
        <v>954</v>
      </c>
      <c r="H729" s="1305"/>
      <c r="I729" s="841"/>
      <c r="J729" s="842"/>
      <c r="K729" s="841"/>
      <c r="L729" s="842"/>
      <c r="M729" s="151"/>
      <c r="N729" s="151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</row>
    <row r="730" spans="1:12" s="100" customFormat="1" ht="34.5" customHeight="1">
      <c r="A730" s="449" t="s">
        <v>1231</v>
      </c>
      <c r="B730" s="243" t="s">
        <v>580</v>
      </c>
      <c r="C730" s="1194">
        <f>CEILING(52*$Z$1,0.1)</f>
        <v>65</v>
      </c>
      <c r="D730" s="1195"/>
      <c r="E730" s="1194">
        <f>CEILING(55*$Z$1,0.1)</f>
        <v>68.8</v>
      </c>
      <c r="F730" s="1195"/>
      <c r="G730" s="1194">
        <f>CEILING(50*$Z$1,0.1)</f>
        <v>62.5</v>
      </c>
      <c r="H730" s="1195"/>
      <c r="I730" s="1194"/>
      <c r="J730" s="1195"/>
      <c r="K730" s="1194"/>
      <c r="L730" s="1195"/>
    </row>
    <row r="731" spans="1:12" s="100" customFormat="1" ht="34.5" customHeight="1">
      <c r="A731" s="1152" t="s">
        <v>1232</v>
      </c>
      <c r="B731" s="396" t="s">
        <v>581</v>
      </c>
      <c r="C731" s="1202">
        <f>CEILING((C730+25*$Z$1),0.1)</f>
        <v>96.30000000000001</v>
      </c>
      <c r="D731" s="1203"/>
      <c r="E731" s="1202">
        <f>CEILING((E730+25*$Z$1),0.1)</f>
        <v>100.10000000000001</v>
      </c>
      <c r="F731" s="1203"/>
      <c r="G731" s="1202">
        <f>CEILING((G730+25*$Z$1),0.1)</f>
        <v>93.80000000000001</v>
      </c>
      <c r="H731" s="1203"/>
      <c r="I731" s="1202"/>
      <c r="J731" s="1203"/>
      <c r="K731" s="1202"/>
      <c r="L731" s="1203"/>
    </row>
    <row r="732" spans="1:25" s="911" customFormat="1" ht="34.5" customHeight="1">
      <c r="A732" s="339" t="s">
        <v>1233</v>
      </c>
      <c r="B732" s="1151"/>
      <c r="C732" s="163"/>
      <c r="D732" s="163"/>
      <c r="E732" s="163"/>
      <c r="F732" s="163"/>
      <c r="G732" s="163"/>
      <c r="H732" s="163"/>
      <c r="I732" s="130"/>
      <c r="J732" s="130"/>
      <c r="K732" s="99"/>
      <c r="L732" s="99"/>
      <c r="M732" s="106"/>
      <c r="N732" s="106"/>
      <c r="O732" s="687"/>
      <c r="P732" s="687"/>
      <c r="Q732" s="687"/>
      <c r="R732" s="687"/>
      <c r="S732" s="687"/>
      <c r="T732" s="687"/>
      <c r="U732" s="687"/>
      <c r="V732" s="687"/>
      <c r="W732" s="687"/>
      <c r="X732" s="687"/>
      <c r="Y732" s="687"/>
    </row>
    <row r="733" spans="1:25" s="911" customFormat="1" ht="34.5" customHeight="1" thickBot="1">
      <c r="A733" s="339"/>
      <c r="B733" s="1151"/>
      <c r="C733" s="163"/>
      <c r="D733" s="163"/>
      <c r="E733" s="163"/>
      <c r="F733" s="163"/>
      <c r="G733" s="163"/>
      <c r="H733" s="163"/>
      <c r="I733" s="130"/>
      <c r="J733" s="130"/>
      <c r="K733" s="99"/>
      <c r="L733" s="99"/>
      <c r="M733" s="106"/>
      <c r="N733" s="106"/>
      <c r="O733" s="687"/>
      <c r="P733" s="687"/>
      <c r="Q733" s="687"/>
      <c r="R733" s="687"/>
      <c r="S733" s="687"/>
      <c r="T733" s="687"/>
      <c r="U733" s="687"/>
      <c r="V733" s="687"/>
      <c r="W733" s="687"/>
      <c r="X733" s="687"/>
      <c r="Y733" s="687"/>
    </row>
    <row r="734" spans="1:25" s="911" customFormat="1" ht="34.5" customHeight="1" thickTop="1">
      <c r="A734" s="837" t="s">
        <v>33</v>
      </c>
      <c r="B734" s="838" t="s">
        <v>568</v>
      </c>
      <c r="C734" s="1304" t="s">
        <v>1229</v>
      </c>
      <c r="D734" s="1305"/>
      <c r="E734" s="1304" t="s">
        <v>1230</v>
      </c>
      <c r="F734" s="1305"/>
      <c r="G734" s="1304" t="s">
        <v>954</v>
      </c>
      <c r="H734" s="1305"/>
      <c r="I734" s="130"/>
      <c r="J734" s="130"/>
      <c r="K734" s="99"/>
      <c r="L734" s="99"/>
      <c r="M734" s="106"/>
      <c r="N734" s="106"/>
      <c r="O734" s="687"/>
      <c r="P734" s="687"/>
      <c r="Q734" s="687"/>
      <c r="R734" s="687"/>
      <c r="S734" s="687"/>
      <c r="T734" s="687"/>
      <c r="U734" s="687"/>
      <c r="V734" s="687"/>
      <c r="W734" s="687"/>
      <c r="X734" s="687"/>
      <c r="Y734" s="687"/>
    </row>
    <row r="735" spans="1:25" s="911" customFormat="1" ht="34.5" customHeight="1">
      <c r="A735" s="435" t="s">
        <v>1234</v>
      </c>
      <c r="B735" s="437" t="s">
        <v>585</v>
      </c>
      <c r="C735" s="1194">
        <f>CEILING(55*$Z$1,0.1)</f>
        <v>68.8</v>
      </c>
      <c r="D735" s="1195"/>
      <c r="E735" s="1194">
        <f>CEILING(52*$Z$1,0.1)</f>
        <v>65</v>
      </c>
      <c r="F735" s="1195"/>
      <c r="G735" s="1194">
        <f>CEILING(45*$Z$1,0.1)</f>
        <v>56.300000000000004</v>
      </c>
      <c r="H735" s="1195"/>
      <c r="I735" s="130"/>
      <c r="J735" s="130"/>
      <c r="K735" s="99"/>
      <c r="L735" s="99"/>
      <c r="M735" s="106"/>
      <c r="N735" s="106"/>
      <c r="O735" s="687"/>
      <c r="P735" s="687"/>
      <c r="Q735" s="687"/>
      <c r="R735" s="687"/>
      <c r="S735" s="687"/>
      <c r="T735" s="687"/>
      <c r="U735" s="687"/>
      <c r="V735" s="687"/>
      <c r="W735" s="687"/>
      <c r="X735" s="687"/>
      <c r="Y735" s="687"/>
    </row>
    <row r="736" spans="1:25" s="911" customFormat="1" ht="34.5" customHeight="1">
      <c r="A736" s="290"/>
      <c r="B736" s="437" t="s">
        <v>581</v>
      </c>
      <c r="C736" s="1192">
        <f>CEILING((C735+25*$Z$1),0.1)</f>
        <v>100.10000000000001</v>
      </c>
      <c r="D736" s="1193"/>
      <c r="E736" s="1192">
        <f>CEILING((E735+25*$Z$1),0.1)</f>
        <v>96.30000000000001</v>
      </c>
      <c r="F736" s="1193"/>
      <c r="G736" s="1192">
        <f>CEILING((G735+25*$Z$1),0.1)</f>
        <v>87.60000000000001</v>
      </c>
      <c r="H736" s="1193"/>
      <c r="I736" s="130"/>
      <c r="J736" s="130"/>
      <c r="K736" s="99"/>
      <c r="L736" s="99"/>
      <c r="M736" s="106"/>
      <c r="N736" s="106"/>
      <c r="O736" s="687"/>
      <c r="P736" s="687"/>
      <c r="Q736" s="687"/>
      <c r="R736" s="687"/>
      <c r="S736" s="687"/>
      <c r="T736" s="687"/>
      <c r="U736" s="687"/>
      <c r="V736" s="687"/>
      <c r="W736" s="687"/>
      <c r="X736" s="687"/>
      <c r="Y736" s="687"/>
    </row>
    <row r="737" spans="1:25" s="911" customFormat="1" ht="34.5" customHeight="1" thickBot="1">
      <c r="A737" s="446" t="s">
        <v>1002</v>
      </c>
      <c r="B737" s="246" t="s">
        <v>61</v>
      </c>
      <c r="C737" s="1218">
        <v>34.5</v>
      </c>
      <c r="D737" s="1219"/>
      <c r="E737" s="1218">
        <v>32.5</v>
      </c>
      <c r="F737" s="1219"/>
      <c r="G737" s="1218">
        <v>28.2</v>
      </c>
      <c r="H737" s="1219"/>
      <c r="I737" s="130"/>
      <c r="J737" s="130"/>
      <c r="K737" s="99"/>
      <c r="L737" s="99"/>
      <c r="M737" s="106"/>
      <c r="N737" s="106"/>
      <c r="O737" s="687"/>
      <c r="P737" s="687"/>
      <c r="Q737" s="687"/>
      <c r="R737" s="687"/>
      <c r="S737" s="687"/>
      <c r="T737" s="687"/>
      <c r="U737" s="687"/>
      <c r="V737" s="687"/>
      <c r="W737" s="687"/>
      <c r="X737" s="687"/>
      <c r="Y737" s="687"/>
    </row>
    <row r="738" spans="1:25" s="911" customFormat="1" ht="34.5" customHeight="1" thickTop="1">
      <c r="A738" s="339" t="s">
        <v>1235</v>
      </c>
      <c r="B738" s="1151"/>
      <c r="C738" s="163"/>
      <c r="D738" s="163"/>
      <c r="E738" s="163"/>
      <c r="F738" s="163"/>
      <c r="G738" s="163"/>
      <c r="H738" s="163"/>
      <c r="I738" s="130"/>
      <c r="J738" s="130"/>
      <c r="K738" s="99"/>
      <c r="L738" s="99"/>
      <c r="M738" s="106"/>
      <c r="N738" s="106"/>
      <c r="O738" s="687"/>
      <c r="P738" s="687"/>
      <c r="Q738" s="687"/>
      <c r="R738" s="687"/>
      <c r="S738" s="687"/>
      <c r="T738" s="687"/>
      <c r="U738" s="687"/>
      <c r="V738" s="687"/>
      <c r="W738" s="687"/>
      <c r="X738" s="687"/>
      <c r="Y738" s="687"/>
    </row>
    <row r="739" spans="1:25" s="911" customFormat="1" ht="34.5" customHeight="1">
      <c r="A739" s="1190" t="s">
        <v>1246</v>
      </c>
      <c r="B739" s="1191"/>
      <c r="C739" s="402"/>
      <c r="D739" s="402"/>
      <c r="E739" s="402"/>
      <c r="F739" s="402"/>
      <c r="G739" s="402"/>
      <c r="H739" s="402"/>
      <c r="I739" s="1164"/>
      <c r="J739" s="130"/>
      <c r="K739" s="99"/>
      <c r="L739" s="99"/>
      <c r="M739" s="106"/>
      <c r="N739" s="106"/>
      <c r="O739" s="687"/>
      <c r="P739" s="687"/>
      <c r="Q739" s="687"/>
      <c r="R739" s="687"/>
      <c r="S739" s="687"/>
      <c r="T739" s="687"/>
      <c r="U739" s="687"/>
      <c r="V739" s="687"/>
      <c r="W739" s="687"/>
      <c r="X739" s="687"/>
      <c r="Y739" s="687"/>
    </row>
    <row r="740" spans="1:25" s="94" customFormat="1" ht="34.5" customHeight="1">
      <c r="A740" s="1316" t="s">
        <v>1313</v>
      </c>
      <c r="B740" s="1317"/>
      <c r="C740" s="1317"/>
      <c r="D740" s="1317"/>
      <c r="E740" s="1317"/>
      <c r="F740" s="1317"/>
      <c r="G740" s="1317"/>
      <c r="H740" s="1317"/>
      <c r="I740" s="1010"/>
      <c r="J740" s="1150"/>
      <c r="K740" s="99"/>
      <c r="L740" s="99"/>
      <c r="M740" s="100"/>
      <c r="N740" s="101"/>
      <c r="O740" s="92"/>
      <c r="P740" s="92"/>
      <c r="Q740" s="1270"/>
      <c r="R740" s="1270"/>
      <c r="S740" s="1270"/>
      <c r="T740" s="1270"/>
      <c r="U740" s="92"/>
      <c r="V740" s="92"/>
      <c r="W740" s="92"/>
      <c r="X740" s="92"/>
      <c r="Y740" s="92"/>
    </row>
    <row r="741" spans="1:46" s="1005" customFormat="1" ht="18" customHeight="1">
      <c r="A741" s="1161" t="s">
        <v>1245</v>
      </c>
      <c r="B741" s="1161"/>
      <c r="C741" s="1161"/>
      <c r="D741" s="1161"/>
      <c r="E741" s="1161"/>
      <c r="F741" s="1161"/>
      <c r="G741" s="1161"/>
      <c r="H741" s="1161"/>
      <c r="I741" s="1007"/>
      <c r="J741" s="98"/>
      <c r="K741" s="91"/>
      <c r="L741" s="91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  <c r="AL741" s="136"/>
      <c r="AM741" s="136"/>
      <c r="AN741" s="136"/>
      <c r="AO741" s="136"/>
      <c r="AP741" s="136"/>
      <c r="AQ741" s="136"/>
      <c r="AR741" s="136"/>
      <c r="AS741" s="136"/>
      <c r="AT741" s="136"/>
    </row>
    <row r="742" spans="1:46" s="1005" customFormat="1" ht="18" customHeight="1">
      <c r="A742" s="1161"/>
      <c r="B742" s="1161"/>
      <c r="C742" s="1161"/>
      <c r="D742" s="1161"/>
      <c r="E742" s="1161"/>
      <c r="F742" s="1161"/>
      <c r="G742" s="1161"/>
      <c r="H742" s="1161"/>
      <c r="I742" s="1007"/>
      <c r="J742" s="98"/>
      <c r="K742" s="91"/>
      <c r="L742" s="91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  <c r="AL742" s="136"/>
      <c r="AM742" s="136"/>
      <c r="AN742" s="136"/>
      <c r="AO742" s="136"/>
      <c r="AP742" s="136"/>
      <c r="AQ742" s="136"/>
      <c r="AR742" s="136"/>
      <c r="AS742" s="136"/>
      <c r="AT742" s="136"/>
    </row>
    <row r="743" spans="1:46" s="1005" customFormat="1" ht="18" customHeight="1">
      <c r="A743" s="1161"/>
      <c r="B743" s="1161"/>
      <c r="C743" s="1161"/>
      <c r="D743" s="1161"/>
      <c r="E743" s="1161"/>
      <c r="F743" s="1161"/>
      <c r="G743" s="1161"/>
      <c r="H743" s="1161"/>
      <c r="I743" s="1007"/>
      <c r="J743" s="98"/>
      <c r="K743" s="91"/>
      <c r="L743" s="91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  <c r="AS743" s="136"/>
      <c r="AT743" s="136"/>
    </row>
    <row r="744" spans="1:46" s="1005" customFormat="1" ht="18" customHeight="1">
      <c r="A744" s="1161"/>
      <c r="B744" s="1161"/>
      <c r="C744" s="1161"/>
      <c r="D744" s="1161"/>
      <c r="E744" s="1161"/>
      <c r="F744" s="1161"/>
      <c r="G744" s="1161"/>
      <c r="H744" s="1161"/>
      <c r="I744" s="1007"/>
      <c r="J744" s="98"/>
      <c r="K744" s="91"/>
      <c r="L744" s="91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  <c r="AL744" s="136"/>
      <c r="AM744" s="136"/>
      <c r="AN744" s="136"/>
      <c r="AO744" s="136"/>
      <c r="AP744" s="136"/>
      <c r="AQ744" s="136"/>
      <c r="AR744" s="136"/>
      <c r="AS744" s="136"/>
      <c r="AT744" s="136"/>
    </row>
    <row r="745" spans="1:46" s="1005" customFormat="1" ht="18" customHeight="1">
      <c r="A745" s="1161"/>
      <c r="B745" s="1161"/>
      <c r="C745" s="1161"/>
      <c r="D745" s="1161"/>
      <c r="E745" s="1161"/>
      <c r="F745" s="1161"/>
      <c r="G745" s="1161"/>
      <c r="H745" s="1161"/>
      <c r="I745" s="1007"/>
      <c r="J745" s="98"/>
      <c r="K745" s="91"/>
      <c r="L745" s="91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  <c r="AL745" s="136"/>
      <c r="AM745" s="136"/>
      <c r="AN745" s="136"/>
      <c r="AO745" s="136"/>
      <c r="AP745" s="136"/>
      <c r="AQ745" s="136"/>
      <c r="AR745" s="136"/>
      <c r="AS745" s="136"/>
      <c r="AT745" s="136"/>
    </row>
    <row r="746" spans="1:46" s="1005" customFormat="1" ht="18" customHeight="1">
      <c r="A746" s="1161"/>
      <c r="B746" s="1161"/>
      <c r="C746" s="1161"/>
      <c r="D746" s="1161"/>
      <c r="E746" s="1161"/>
      <c r="F746" s="1161"/>
      <c r="G746" s="1161"/>
      <c r="H746" s="1161"/>
      <c r="I746" s="1007"/>
      <c r="J746" s="98"/>
      <c r="K746" s="91"/>
      <c r="L746" s="91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  <c r="AL746" s="136"/>
      <c r="AM746" s="136"/>
      <c r="AN746" s="136"/>
      <c r="AO746" s="136"/>
      <c r="AP746" s="136"/>
      <c r="AQ746" s="136"/>
      <c r="AR746" s="136"/>
      <c r="AS746" s="136"/>
      <c r="AT746" s="136"/>
    </row>
    <row r="747" spans="1:46" s="1005" customFormat="1" ht="18" customHeight="1">
      <c r="A747" s="1161"/>
      <c r="B747" s="1161"/>
      <c r="C747" s="1161"/>
      <c r="D747" s="1161"/>
      <c r="E747" s="1161"/>
      <c r="F747" s="1161"/>
      <c r="G747" s="1161"/>
      <c r="H747" s="1161"/>
      <c r="I747" s="1007"/>
      <c r="J747" s="98"/>
      <c r="K747" s="91"/>
      <c r="L747" s="91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  <c r="AL747" s="136"/>
      <c r="AM747" s="136"/>
      <c r="AN747" s="136"/>
      <c r="AO747" s="136"/>
      <c r="AP747" s="136"/>
      <c r="AQ747" s="136"/>
      <c r="AR747" s="136"/>
      <c r="AS747" s="136"/>
      <c r="AT747" s="136"/>
    </row>
    <row r="748" spans="1:46" s="1005" customFormat="1" ht="18" customHeight="1">
      <c r="A748" s="1161"/>
      <c r="B748" s="1161"/>
      <c r="C748" s="1161"/>
      <c r="D748" s="1161"/>
      <c r="E748" s="1161"/>
      <c r="F748" s="1161"/>
      <c r="G748" s="1161"/>
      <c r="H748" s="1161"/>
      <c r="I748" s="1007"/>
      <c r="J748" s="98"/>
      <c r="K748" s="91"/>
      <c r="L748" s="91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  <c r="AL748" s="136"/>
      <c r="AM748" s="136"/>
      <c r="AN748" s="136"/>
      <c r="AO748" s="136"/>
      <c r="AP748" s="136"/>
      <c r="AQ748" s="136"/>
      <c r="AR748" s="136"/>
      <c r="AS748" s="136"/>
      <c r="AT748" s="136"/>
    </row>
    <row r="749" spans="1:46" s="1005" customFormat="1" ht="18" customHeight="1">
      <c r="A749" s="1161"/>
      <c r="B749" s="1161"/>
      <c r="C749" s="1161"/>
      <c r="D749" s="1161"/>
      <c r="E749" s="1161"/>
      <c r="F749" s="1161"/>
      <c r="G749" s="1161"/>
      <c r="H749" s="1161"/>
      <c r="I749" s="1007"/>
      <c r="J749" s="98"/>
      <c r="K749" s="91"/>
      <c r="L749" s="91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  <c r="AS749" s="136"/>
      <c r="AT749" s="136"/>
    </row>
    <row r="750" spans="1:46" s="1005" customFormat="1" ht="18" customHeight="1">
      <c r="A750" s="1161"/>
      <c r="B750" s="1161"/>
      <c r="C750" s="1161"/>
      <c r="D750" s="1161"/>
      <c r="E750" s="1161"/>
      <c r="F750" s="1161"/>
      <c r="G750" s="1161"/>
      <c r="H750" s="1161"/>
      <c r="I750" s="1007"/>
      <c r="J750" s="98"/>
      <c r="K750" s="91"/>
      <c r="L750" s="91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  <c r="AS750" s="136"/>
      <c r="AT750" s="136"/>
    </row>
    <row r="751" spans="1:12" s="1160" customFormat="1" ht="27.75" customHeight="1">
      <c r="A751" s="1157"/>
      <c r="B751" s="1157"/>
      <c r="C751" s="1157"/>
      <c r="D751" s="1157"/>
      <c r="E751" s="1157"/>
      <c r="F751" s="1157"/>
      <c r="G751" s="1157"/>
      <c r="H751" s="1157"/>
      <c r="I751" s="1158"/>
      <c r="J751" s="1158"/>
      <c r="K751" s="1159"/>
      <c r="L751" s="1159"/>
    </row>
    <row r="752" spans="1:12" s="1160" customFormat="1" ht="18" customHeight="1">
      <c r="A752" s="1157"/>
      <c r="B752" s="1157"/>
      <c r="C752" s="1157"/>
      <c r="D752" s="1157"/>
      <c r="E752" s="1157"/>
      <c r="F752" s="1157"/>
      <c r="G752" s="1157"/>
      <c r="H752" s="1157"/>
      <c r="I752" s="1158"/>
      <c r="J752" s="1158"/>
      <c r="K752" s="1159"/>
      <c r="L752" s="1159"/>
    </row>
    <row r="753" spans="1:25" s="15" customFormat="1" ht="34.5" customHeight="1">
      <c r="A753" s="1326" t="s">
        <v>788</v>
      </c>
      <c r="B753" s="1326"/>
      <c r="C753" s="1326"/>
      <c r="D753" s="1326"/>
      <c r="E753" s="1326"/>
      <c r="F753" s="1326"/>
      <c r="G753" s="1326"/>
      <c r="H753" s="1326"/>
      <c r="I753" s="1326"/>
      <c r="J753" s="1326"/>
      <c r="K753" s="33"/>
      <c r="L753" s="60"/>
      <c r="M753" s="7"/>
      <c r="N753" s="7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s="15" customFormat="1" ht="34.5" customHeight="1" thickBot="1">
      <c r="A754" s="61"/>
      <c r="B754" s="61"/>
      <c r="C754" s="61"/>
      <c r="D754" s="61"/>
      <c r="E754" s="61"/>
      <c r="F754" s="61"/>
      <c r="G754" s="61"/>
      <c r="H754" s="61"/>
      <c r="I754" s="4"/>
      <c r="J754" s="4"/>
      <c r="K754" s="33"/>
      <c r="L754" s="60"/>
      <c r="M754" s="7"/>
      <c r="N754" s="7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42" s="167" customFormat="1" ht="34.5" customHeight="1" thickTop="1">
      <c r="A755" s="837" t="s">
        <v>33</v>
      </c>
      <c r="B755" s="838" t="s">
        <v>568</v>
      </c>
      <c r="C755" s="839" t="s">
        <v>847</v>
      </c>
      <c r="D755" s="840"/>
      <c r="E755" s="841" t="s">
        <v>870</v>
      </c>
      <c r="F755" s="842"/>
      <c r="G755" s="841" t="s">
        <v>850</v>
      </c>
      <c r="H755" s="842"/>
      <c r="I755" s="841" t="s">
        <v>851</v>
      </c>
      <c r="J755" s="842"/>
      <c r="K755" s="841" t="s">
        <v>852</v>
      </c>
      <c r="L755" s="842"/>
      <c r="M755" s="151"/>
      <c r="N755" s="151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</row>
    <row r="756" spans="1:47" s="121" customFormat="1" ht="34.5" customHeight="1">
      <c r="A756" s="454" t="s">
        <v>93</v>
      </c>
      <c r="B756" s="243" t="s">
        <v>894</v>
      </c>
      <c r="C756" s="1216">
        <f>CEILING(55.2*$Z$1,0.1)</f>
        <v>69</v>
      </c>
      <c r="D756" s="1217"/>
      <c r="E756" s="1216">
        <f>CEILING(81.25*$Z$1,0.1)</f>
        <v>101.60000000000001</v>
      </c>
      <c r="F756" s="1217"/>
      <c r="G756" s="1216">
        <f>CEILING(68.2*$Z$1,0.1)</f>
        <v>85.30000000000001</v>
      </c>
      <c r="H756" s="1217"/>
      <c r="I756" s="1216">
        <f>CEILING(69*$Z$1,0.1)</f>
        <v>86.30000000000001</v>
      </c>
      <c r="J756" s="1217"/>
      <c r="K756" s="1216">
        <f>CEILING(51*$Z$1,0.1)</f>
        <v>63.800000000000004</v>
      </c>
      <c r="L756" s="1217"/>
      <c r="M756" s="90"/>
      <c r="N756" s="9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100"/>
    </row>
    <row r="757" spans="1:47" s="121" customFormat="1" ht="34.5" customHeight="1">
      <c r="A757" s="455" t="s">
        <v>35</v>
      </c>
      <c r="B757" s="245" t="s">
        <v>895</v>
      </c>
      <c r="C757" s="1200">
        <f>CEILING((C756+22.1*$Z$1),0.1)</f>
        <v>96.7</v>
      </c>
      <c r="D757" s="1201"/>
      <c r="E757" s="1200">
        <f>CEILING((E756+32.5*$Z$1),0.1)</f>
        <v>142.3</v>
      </c>
      <c r="F757" s="1201"/>
      <c r="G757" s="1200">
        <f>CEILING((G756+27.3*$Z$1),0.1)</f>
        <v>119.5</v>
      </c>
      <c r="H757" s="1201"/>
      <c r="I757" s="1200">
        <f>CEILING((I756+28*$Z$1),0.1)</f>
        <v>121.30000000000001</v>
      </c>
      <c r="J757" s="1201"/>
      <c r="K757" s="1200">
        <f>CEILING((K756+20.4*$Z$1),0.1)</f>
        <v>89.30000000000001</v>
      </c>
      <c r="L757" s="1201"/>
      <c r="M757" s="90"/>
      <c r="N757" s="9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/>
    </row>
    <row r="758" spans="1:47" s="121" customFormat="1" ht="34.5" customHeight="1">
      <c r="A758" s="455"/>
      <c r="B758" s="245" t="s">
        <v>37</v>
      </c>
      <c r="C758" s="1200">
        <f>CEILING((C756*0.75),0.1)</f>
        <v>51.800000000000004</v>
      </c>
      <c r="D758" s="1201"/>
      <c r="E758" s="1200">
        <f>CEILING((E756*0.75),0.1)</f>
        <v>76.2</v>
      </c>
      <c r="F758" s="1201"/>
      <c r="G758" s="1200">
        <f>CEILING((G756*0.75),0.1)</f>
        <v>64</v>
      </c>
      <c r="H758" s="1201"/>
      <c r="I758" s="1200">
        <f>CEILING((I756*0.75),0.1)</f>
        <v>64.8</v>
      </c>
      <c r="J758" s="1201"/>
      <c r="K758" s="1200">
        <f>CEILING((K756*0.75),0.1)</f>
        <v>47.900000000000006</v>
      </c>
      <c r="L758" s="1201"/>
      <c r="M758" s="456"/>
      <c r="N758" s="9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100"/>
    </row>
    <row r="759" spans="1:47" s="121" customFormat="1" ht="34.5" customHeight="1">
      <c r="A759" s="114"/>
      <c r="B759" s="396" t="s">
        <v>586</v>
      </c>
      <c r="C759" s="1227">
        <v>0</v>
      </c>
      <c r="D759" s="1228"/>
      <c r="E759" s="1227">
        <v>50.8</v>
      </c>
      <c r="F759" s="1228"/>
      <c r="G759" s="1227">
        <v>42.6</v>
      </c>
      <c r="H759" s="1228"/>
      <c r="I759" s="1227">
        <v>46.9</v>
      </c>
      <c r="J759" s="1228"/>
      <c r="K759" s="1227">
        <v>0</v>
      </c>
      <c r="L759" s="1228"/>
      <c r="M759" s="106"/>
      <c r="N759" s="106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/>
    </row>
    <row r="760" spans="1:47" s="121" customFormat="1" ht="34.5" customHeight="1">
      <c r="A760" s="457"/>
      <c r="B760" s="245" t="s">
        <v>94</v>
      </c>
      <c r="C760" s="1216">
        <f>CEILING(57.2*$Z$1,0.1)</f>
        <v>71.5</v>
      </c>
      <c r="D760" s="1217"/>
      <c r="E760" s="1216">
        <f>CEILING(84*$Z$1,0.1)</f>
        <v>105</v>
      </c>
      <c r="F760" s="1217"/>
      <c r="G760" s="1216">
        <f>CEILING(70.2*$Z$1,0.1)</f>
        <v>87.80000000000001</v>
      </c>
      <c r="H760" s="1217"/>
      <c r="I760" s="1216">
        <f>CEILING(71*$Z$1,0.1)</f>
        <v>88.80000000000001</v>
      </c>
      <c r="J760" s="1217"/>
      <c r="K760" s="1216">
        <f>CEILING(53*$Z$1,0.1)</f>
        <v>66.3</v>
      </c>
      <c r="L760" s="1217"/>
      <c r="M760" s="106"/>
      <c r="N760" s="9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100"/>
    </row>
    <row r="761" spans="1:47" s="121" customFormat="1" ht="34.5" customHeight="1">
      <c r="A761" s="804"/>
      <c r="B761" s="245" t="s">
        <v>95</v>
      </c>
      <c r="C761" s="1200">
        <f>CEILING((C760+23*$Z$1),0.1)</f>
        <v>100.30000000000001</v>
      </c>
      <c r="D761" s="1201"/>
      <c r="E761" s="1200">
        <f>CEILING((E760+33.54*$Z$1),0.1)</f>
        <v>147</v>
      </c>
      <c r="F761" s="1201"/>
      <c r="G761" s="1200">
        <f>CEILING((G760+28*$Z$1),0.1)</f>
        <v>122.80000000000001</v>
      </c>
      <c r="H761" s="1201"/>
      <c r="I761" s="1200">
        <f>CEILING((I760+28.4*$Z$1),0.1)</f>
        <v>124.30000000000001</v>
      </c>
      <c r="J761" s="1201"/>
      <c r="K761" s="1200">
        <f>CEILING((K760+21.2*$Z$1),0.1)</f>
        <v>92.80000000000001</v>
      </c>
      <c r="L761" s="1201"/>
      <c r="M761" s="106"/>
      <c r="N761" s="9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</row>
    <row r="762" spans="1:47" s="121" customFormat="1" ht="34.5" customHeight="1">
      <c r="A762" s="114"/>
      <c r="B762" s="396" t="s">
        <v>37</v>
      </c>
      <c r="C762" s="1227">
        <f>CEILING((C760*0.75),0.1)</f>
        <v>53.7</v>
      </c>
      <c r="D762" s="1228"/>
      <c r="E762" s="1227">
        <f>CEILING((E760*0.75),0.1)</f>
        <v>78.80000000000001</v>
      </c>
      <c r="F762" s="1228"/>
      <c r="G762" s="1227">
        <f>CEILING((G760*0.75),0.1)</f>
        <v>65.9</v>
      </c>
      <c r="H762" s="1228"/>
      <c r="I762" s="1227">
        <f>CEILING((I760*0.75),0.1)</f>
        <v>66.60000000000001</v>
      </c>
      <c r="J762" s="1228"/>
      <c r="K762" s="1227">
        <f>CEILING((K760*0.75),0.1)</f>
        <v>49.800000000000004</v>
      </c>
      <c r="L762" s="1228"/>
      <c r="M762" s="106"/>
      <c r="N762" s="9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/>
    </row>
    <row r="763" spans="1:47" s="121" customFormat="1" ht="34.5" customHeight="1">
      <c r="A763" s="1120" t="s">
        <v>1198</v>
      </c>
      <c r="B763" s="245" t="s">
        <v>333</v>
      </c>
      <c r="C763" s="1216">
        <f>CEILING(61.1*$Z$1,0.1)</f>
        <v>76.4</v>
      </c>
      <c r="D763" s="1217"/>
      <c r="E763" s="1216">
        <f>CEILING(90*$Z$1,0.1)</f>
        <v>112.5</v>
      </c>
      <c r="F763" s="1217"/>
      <c r="G763" s="1216">
        <f>CEILING(75.4*$Z$1,0.1)</f>
        <v>94.30000000000001</v>
      </c>
      <c r="H763" s="1217"/>
      <c r="I763" s="1216">
        <f>CEILING(76.2*$Z$1,0.1)</f>
        <v>95.30000000000001</v>
      </c>
      <c r="J763" s="1217"/>
      <c r="K763" s="1216">
        <f>CEILING(56.4*$Z$1,0.1)</f>
        <v>70.5</v>
      </c>
      <c r="L763" s="1217"/>
      <c r="M763" s="106"/>
      <c r="N763" s="9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/>
    </row>
    <row r="764" spans="1:47" s="121" customFormat="1" ht="34.5" customHeight="1">
      <c r="A764" s="1121" t="s">
        <v>1309</v>
      </c>
      <c r="B764" s="245" t="s">
        <v>334</v>
      </c>
      <c r="C764" s="1200">
        <f>CEILING((C763+24.4*$Z$1),0.1)</f>
        <v>106.9</v>
      </c>
      <c r="D764" s="1201"/>
      <c r="E764" s="1200">
        <f>CEILING((E763+36*$Z$1),0.1)</f>
        <v>157.5</v>
      </c>
      <c r="F764" s="1201"/>
      <c r="G764" s="1200">
        <f>CEILING((G763+30*$Z$1),0.1)</f>
        <v>131.8</v>
      </c>
      <c r="H764" s="1201"/>
      <c r="I764" s="1200">
        <f>CEILING((I763+30.5*$Z$1),0.1)</f>
        <v>133.5</v>
      </c>
      <c r="J764" s="1201"/>
      <c r="K764" s="1200">
        <f>CEILING((K763+23*$Z$1),0.1)</f>
        <v>99.30000000000001</v>
      </c>
      <c r="L764" s="1201"/>
      <c r="M764" s="106"/>
      <c r="N764" s="9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100"/>
    </row>
    <row r="765" spans="1:47" s="121" customFormat="1" ht="34.5" customHeight="1">
      <c r="A765" s="457"/>
      <c r="B765" s="396" t="s">
        <v>37</v>
      </c>
      <c r="C765" s="1227">
        <f>CEILING((C763*0.75),0.1)</f>
        <v>57.300000000000004</v>
      </c>
      <c r="D765" s="1228"/>
      <c r="E765" s="1227">
        <f>CEILING((E763*0.75),0.1)</f>
        <v>84.4</v>
      </c>
      <c r="F765" s="1228"/>
      <c r="G765" s="1227">
        <f>CEILING((G763*0.75),0.1)</f>
        <v>70.8</v>
      </c>
      <c r="H765" s="1228"/>
      <c r="I765" s="1227">
        <f>CEILING((I763*0.75),0.1)</f>
        <v>71.5</v>
      </c>
      <c r="J765" s="1228"/>
      <c r="K765" s="1227">
        <f>CEILING((K763*0.75),0.1)</f>
        <v>52.900000000000006</v>
      </c>
      <c r="L765" s="1228"/>
      <c r="M765" s="106"/>
      <c r="N765" s="9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/>
    </row>
    <row r="766" spans="1:47" s="121" customFormat="1" ht="34.5" customHeight="1">
      <c r="A766" s="457"/>
      <c r="B766" s="245" t="s">
        <v>896</v>
      </c>
      <c r="C766" s="1216">
        <f>CEILING(80*$Z$1,0.1)</f>
        <v>100</v>
      </c>
      <c r="D766" s="1217"/>
      <c r="E766" s="1216">
        <f>CEILING(115*$Z$1,0.1)</f>
        <v>143.8</v>
      </c>
      <c r="F766" s="1217"/>
      <c r="G766" s="1216">
        <f>CEILING(135*$Z$1,0.1)</f>
        <v>168.8</v>
      </c>
      <c r="H766" s="1217"/>
      <c r="I766" s="1216">
        <f>CEILING(98*$Z$1,0.1)</f>
        <v>122.5</v>
      </c>
      <c r="J766" s="1217"/>
      <c r="K766" s="1216">
        <f>CEILING(74*$Z$1,0.1)</f>
        <v>92.5</v>
      </c>
      <c r="L766" s="1217"/>
      <c r="M766" s="106"/>
      <c r="N766" s="9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/>
    </row>
    <row r="767" spans="1:47" s="121" customFormat="1" ht="34.5" customHeight="1">
      <c r="A767" s="457"/>
      <c r="B767" s="245" t="s">
        <v>397</v>
      </c>
      <c r="C767" s="1227">
        <f>CEILING((C766*0.5),0.1)</f>
        <v>50</v>
      </c>
      <c r="D767" s="1228"/>
      <c r="E767" s="1227">
        <f>CEILING((E766*0.5),0.1)</f>
        <v>71.9</v>
      </c>
      <c r="F767" s="1228"/>
      <c r="G767" s="1227">
        <f>CEILING((G766*0.5),0.1)</f>
        <v>84.4</v>
      </c>
      <c r="H767" s="1228"/>
      <c r="I767" s="1227">
        <f>CEILING((I766*0.5),0.1)</f>
        <v>61.300000000000004</v>
      </c>
      <c r="J767" s="1228"/>
      <c r="K767" s="1227">
        <f>CEILING((K766*0.5),0.1)</f>
        <v>46.300000000000004</v>
      </c>
      <c r="L767" s="1228"/>
      <c r="M767" s="106"/>
      <c r="N767" s="9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100"/>
    </row>
    <row r="768" spans="1:47" s="121" customFormat="1" ht="34.5" customHeight="1">
      <c r="A768" s="457"/>
      <c r="B768" s="243" t="s">
        <v>476</v>
      </c>
      <c r="C768" s="1216">
        <f>CEILING(88*$Z$1,0.1)</f>
        <v>110</v>
      </c>
      <c r="D768" s="1217"/>
      <c r="E768" s="1194">
        <f>CEILING(155*$Z$1,0.1)</f>
        <v>193.8</v>
      </c>
      <c r="F768" s="1195"/>
      <c r="G768" s="1194">
        <f>CEILING(130*$Z$1,0.1)</f>
        <v>162.5</v>
      </c>
      <c r="H768" s="1195"/>
      <c r="I768" s="1194">
        <f>CEILING(140*$Z$1,0.1)</f>
        <v>175</v>
      </c>
      <c r="J768" s="1195"/>
      <c r="K768" s="1194">
        <f>CEILING(110*$Z$1,0.1)</f>
        <v>137.5</v>
      </c>
      <c r="L768" s="1195"/>
      <c r="M768" s="106"/>
      <c r="N768" s="9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100"/>
    </row>
    <row r="769" spans="1:47" s="121" customFormat="1" ht="34.5" customHeight="1">
      <c r="A769" s="457"/>
      <c r="B769" s="245" t="s">
        <v>477</v>
      </c>
      <c r="C769" s="1200">
        <f>CEILING((C768+44*$Z$1),0.1)</f>
        <v>165</v>
      </c>
      <c r="D769" s="1201"/>
      <c r="E769" s="1192">
        <f>CEILING((E768+77.5*$Z$1),0.1)</f>
        <v>290.7</v>
      </c>
      <c r="F769" s="1193"/>
      <c r="G769" s="1192">
        <f>CEILING((G768+65*$Z$1),0.1)</f>
        <v>243.8</v>
      </c>
      <c r="H769" s="1193"/>
      <c r="I769" s="1192">
        <f>CEILING((I768+70*$Z$1),0.1)</f>
        <v>262.5</v>
      </c>
      <c r="J769" s="1193"/>
      <c r="K769" s="1192">
        <f>CEILING((K768+55*$Z$1),0.1)</f>
        <v>206.3</v>
      </c>
      <c r="L769" s="1193"/>
      <c r="M769" s="106"/>
      <c r="N769" s="9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/>
    </row>
    <row r="770" spans="1:47" s="121" customFormat="1" ht="34.5" customHeight="1">
      <c r="A770" s="457"/>
      <c r="B770" s="396" t="s">
        <v>37</v>
      </c>
      <c r="C770" s="1227">
        <f>CEILING((C768*0.75),0.1)</f>
        <v>82.5</v>
      </c>
      <c r="D770" s="1228"/>
      <c r="E770" s="1202">
        <f>CEILING((E768*0.75),0.1)</f>
        <v>145.4</v>
      </c>
      <c r="F770" s="1203"/>
      <c r="G770" s="1202">
        <f>CEILING((G768*0.75),0.1)</f>
        <v>121.9</v>
      </c>
      <c r="H770" s="1203"/>
      <c r="I770" s="1202">
        <f>CEILING((I768*0.75),0.1)</f>
        <v>131.3</v>
      </c>
      <c r="J770" s="1203"/>
      <c r="K770" s="1202">
        <f>CEILING((K768*0.75),0.1)</f>
        <v>103.2</v>
      </c>
      <c r="L770" s="1203"/>
      <c r="M770" s="106"/>
      <c r="N770" s="9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</row>
    <row r="771" spans="1:47" s="121" customFormat="1" ht="34.5" customHeight="1">
      <c r="A771" s="457"/>
      <c r="B771" s="238" t="s">
        <v>899</v>
      </c>
      <c r="C771" s="1216">
        <f>CEILING(126*$Z$1,0.1)</f>
        <v>157.5</v>
      </c>
      <c r="D771" s="1217"/>
      <c r="E771" s="1194">
        <f>CEILING(217*$Z$1,0.1)</f>
        <v>271.3</v>
      </c>
      <c r="F771" s="1195"/>
      <c r="G771" s="1194">
        <f>CEILING(183*$Z$1,0.1)</f>
        <v>228.8</v>
      </c>
      <c r="H771" s="1195"/>
      <c r="I771" s="1194">
        <f>CEILING(197*$Z$1,0.1)</f>
        <v>246.3</v>
      </c>
      <c r="J771" s="1195"/>
      <c r="K771" s="1194">
        <f>CEILING(157*$Z$1,0.1)</f>
        <v>196.3</v>
      </c>
      <c r="L771" s="1195"/>
      <c r="M771" s="106"/>
      <c r="N771" s="9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100"/>
    </row>
    <row r="772" spans="1:47" s="121" customFormat="1" ht="34.5" customHeight="1">
      <c r="A772" s="457"/>
      <c r="B772" s="238" t="s">
        <v>421</v>
      </c>
      <c r="C772" s="1200">
        <f>CEILING((C771*0.5),0.1)</f>
        <v>78.80000000000001</v>
      </c>
      <c r="D772" s="1201"/>
      <c r="E772" s="1192">
        <f>CEILING((E771*0.5),0.1)</f>
        <v>135.70000000000002</v>
      </c>
      <c r="F772" s="1193"/>
      <c r="G772" s="1192">
        <f>CEILING((G771*0.5),0.1)</f>
        <v>114.4</v>
      </c>
      <c r="H772" s="1193"/>
      <c r="I772" s="1192">
        <f>CEILING((I771*0.5),0.1)</f>
        <v>123.2</v>
      </c>
      <c r="J772" s="1193"/>
      <c r="K772" s="1192">
        <f>CEILING((K771*0.5),0.1)</f>
        <v>98.2</v>
      </c>
      <c r="L772" s="1193"/>
      <c r="M772" s="106"/>
      <c r="N772" s="9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/>
    </row>
    <row r="773" spans="1:47" s="411" customFormat="1" ht="34.5" customHeight="1">
      <c r="A773" s="458" t="s">
        <v>299</v>
      </c>
      <c r="B773" s="451" t="s">
        <v>422</v>
      </c>
      <c r="C773" s="1227">
        <f>CEILING((C771*0.5),0.1)</f>
        <v>78.80000000000001</v>
      </c>
      <c r="D773" s="1228"/>
      <c r="E773" s="1202">
        <f>CEILING((E771*0.5),0.1)</f>
        <v>135.70000000000002</v>
      </c>
      <c r="F773" s="1203"/>
      <c r="G773" s="1202">
        <f>CEILING((G771*0.5),0.1)</f>
        <v>114.4</v>
      </c>
      <c r="H773" s="1203"/>
      <c r="I773" s="1202">
        <f>CEILING((I771*0.5),0.1)</f>
        <v>123.2</v>
      </c>
      <c r="J773" s="1203"/>
      <c r="K773" s="1202">
        <f>CEILING((K771*0.5),0.1)</f>
        <v>98.2</v>
      </c>
      <c r="L773" s="1203"/>
      <c r="M773" s="106"/>
      <c r="N773" s="9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/>
    </row>
    <row r="774" spans="1:25" s="133" customFormat="1" ht="34.5" customHeight="1">
      <c r="A774" s="339" t="s">
        <v>415</v>
      </c>
      <c r="B774" s="1056"/>
      <c r="C774" s="1056"/>
      <c r="D774" s="1056"/>
      <c r="E774" s="1056"/>
      <c r="F774" s="1056"/>
      <c r="G774" s="1056"/>
      <c r="H774" s="1056"/>
      <c r="I774" s="1056"/>
      <c r="J774" s="1056"/>
      <c r="K774" s="135"/>
      <c r="L774" s="135"/>
      <c r="M774" s="687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</row>
    <row r="775" spans="1:25" s="121" customFormat="1" ht="34.5" customHeight="1">
      <c r="A775" s="1056" t="s">
        <v>897</v>
      </c>
      <c r="B775" s="459"/>
      <c r="C775" s="459"/>
      <c r="D775" s="459"/>
      <c r="E775" s="459"/>
      <c r="F775" s="459"/>
      <c r="G775" s="459"/>
      <c r="H775" s="459"/>
      <c r="I775" s="459"/>
      <c r="J775" s="459"/>
      <c r="K775" s="891"/>
      <c r="L775" s="105"/>
      <c r="M775" s="106"/>
      <c r="N775" s="90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</row>
    <row r="776" spans="1:25" s="94" customFormat="1" ht="34.5" customHeight="1">
      <c r="A776" s="1327" t="s">
        <v>898</v>
      </c>
      <c r="B776" s="1327"/>
      <c r="C776" s="1327"/>
      <c r="D776" s="1327"/>
      <c r="E776" s="1327"/>
      <c r="F776" s="1327"/>
      <c r="G776" s="1327"/>
      <c r="H776" s="1327"/>
      <c r="I776" s="1379"/>
      <c r="J776" s="1379"/>
      <c r="K776" s="1380"/>
      <c r="L776" s="1380"/>
      <c r="M776" s="97"/>
      <c r="N776" s="98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</row>
    <row r="777" spans="1:25" s="94" customFormat="1" ht="34.5" customHeight="1">
      <c r="A777" s="1243" t="s">
        <v>504</v>
      </c>
      <c r="B777" s="1243"/>
      <c r="C777" s="1243"/>
      <c r="D777" s="1243"/>
      <c r="E777" s="1243"/>
      <c r="F777" s="1243"/>
      <c r="G777" s="1243"/>
      <c r="H777" s="1243"/>
      <c r="I777" s="1243"/>
      <c r="J777" s="1243"/>
      <c r="K777" s="1243"/>
      <c r="L777" s="1059"/>
      <c r="M777" s="97"/>
      <c r="N777" s="98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</row>
    <row r="778" spans="1:13" s="930" customFormat="1" ht="31.5" customHeight="1">
      <c r="A778" s="908"/>
      <c r="B778" s="908"/>
      <c r="C778" s="908"/>
      <c r="D778" s="908"/>
      <c r="E778" s="908"/>
      <c r="F778" s="908"/>
      <c r="G778" s="908"/>
      <c r="H778" s="908"/>
      <c r="I778" s="908"/>
      <c r="J778" s="908"/>
      <c r="K778" s="928"/>
      <c r="L778" s="928"/>
      <c r="M778" s="929"/>
    </row>
    <row r="779" spans="1:25" s="94" customFormat="1" ht="34.5" customHeight="1">
      <c r="A779" s="1241" t="s">
        <v>802</v>
      </c>
      <c r="B779" s="1241"/>
      <c r="C779" s="1241"/>
      <c r="D779" s="1241"/>
      <c r="E779" s="1241"/>
      <c r="F779" s="1241"/>
      <c r="G779" s="1241"/>
      <c r="H779" s="1241"/>
      <c r="I779" s="1007"/>
      <c r="J779" s="1007"/>
      <c r="K779" s="1008"/>
      <c r="L779" s="1008"/>
      <c r="M779" s="97"/>
      <c r="N779" s="98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</row>
    <row r="780" spans="1:25" s="94" customFormat="1" ht="34.5" customHeight="1">
      <c r="A780" s="1241" t="s">
        <v>801</v>
      </c>
      <c r="B780" s="1241"/>
      <c r="C780" s="1241"/>
      <c r="D780" s="1241"/>
      <c r="E780" s="1241"/>
      <c r="F780" s="1241"/>
      <c r="G780" s="1241"/>
      <c r="H780" s="1241"/>
      <c r="I780" s="1007"/>
      <c r="J780" s="1007"/>
      <c r="K780" s="1008"/>
      <c r="L780" s="1008"/>
      <c r="M780" s="97"/>
      <c r="N780" s="98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</row>
    <row r="781" spans="1:25" s="94" customFormat="1" ht="34.5" customHeight="1">
      <c r="A781" s="1241" t="s">
        <v>1271</v>
      </c>
      <c r="B781" s="1241"/>
      <c r="C781" s="1241"/>
      <c r="D781" s="1241"/>
      <c r="E781" s="1241"/>
      <c r="F781" s="1241"/>
      <c r="G781" s="1241"/>
      <c r="H781" s="1241"/>
      <c r="I781" s="1242"/>
      <c r="J781" s="1007"/>
      <c r="K781" s="1008"/>
      <c r="L781" s="1008"/>
      <c r="M781" s="97"/>
      <c r="N781" s="98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</row>
    <row r="782" spans="1:25" s="94" customFormat="1" ht="36" customHeight="1">
      <c r="A782" s="1241" t="s">
        <v>1272</v>
      </c>
      <c r="B782" s="1241"/>
      <c r="C782" s="1241"/>
      <c r="D782" s="1241"/>
      <c r="E782" s="1241"/>
      <c r="F782" s="1241"/>
      <c r="G782" s="1241"/>
      <c r="H782" s="1241"/>
      <c r="I782" s="1009"/>
      <c r="J782" s="1009"/>
      <c r="K782" s="1008"/>
      <c r="L782" s="1008"/>
      <c r="M782" s="97"/>
      <c r="N782" s="98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</row>
    <row r="783" spans="1:25" s="94" customFormat="1" ht="34.5" customHeight="1">
      <c r="A783" s="460"/>
      <c r="B783" s="460"/>
      <c r="C783" s="460"/>
      <c r="D783" s="460"/>
      <c r="E783" s="460"/>
      <c r="F783" s="460"/>
      <c r="G783" s="460"/>
      <c r="H783" s="460"/>
      <c r="I783" s="460"/>
      <c r="J783" s="460"/>
      <c r="K783" s="91"/>
      <c r="L783" s="91"/>
      <c r="M783" s="97"/>
      <c r="N783" s="98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</row>
    <row r="784" spans="1:25" s="94" customFormat="1" ht="34.5" customHeight="1" thickBot="1">
      <c r="A784" s="1264" t="s">
        <v>824</v>
      </c>
      <c r="B784" s="1264"/>
      <c r="C784" s="1264"/>
      <c r="D784" s="1264"/>
      <c r="E784" s="1264"/>
      <c r="F784" s="1264"/>
      <c r="G784" s="1264"/>
      <c r="H784" s="1264"/>
      <c r="I784" s="1264"/>
      <c r="J784" s="1264"/>
      <c r="K784" s="91"/>
      <c r="L784" s="91"/>
      <c r="M784" s="97"/>
      <c r="N784" s="98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</row>
    <row r="785" spans="1:42" s="167" customFormat="1" ht="34.5" customHeight="1" thickTop="1">
      <c r="A785" s="826" t="s">
        <v>33</v>
      </c>
      <c r="B785" s="827" t="s">
        <v>568</v>
      </c>
      <c r="C785" s="828" t="s">
        <v>847</v>
      </c>
      <c r="D785" s="829"/>
      <c r="E785" s="830" t="s">
        <v>848</v>
      </c>
      <c r="F785" s="831"/>
      <c r="G785" s="830" t="s">
        <v>849</v>
      </c>
      <c r="H785" s="831"/>
      <c r="I785" s="830" t="s">
        <v>850</v>
      </c>
      <c r="J785" s="831"/>
      <c r="K785" s="830" t="s">
        <v>851</v>
      </c>
      <c r="L785" s="831"/>
      <c r="M785" s="830" t="s">
        <v>852</v>
      </c>
      <c r="N785" s="831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</row>
    <row r="786" spans="1:14" s="136" customFormat="1" ht="34.5" customHeight="1">
      <c r="A786" s="461" t="s">
        <v>448</v>
      </c>
      <c r="B786" s="462" t="s">
        <v>450</v>
      </c>
      <c r="C786" s="1194">
        <f>CEILING(90*$Z$1,0.1)</f>
        <v>112.5</v>
      </c>
      <c r="D786" s="1195"/>
      <c r="E786" s="1194">
        <f>CEILING(120*$Z$1,0.1)</f>
        <v>150</v>
      </c>
      <c r="F786" s="1195"/>
      <c r="G786" s="1194">
        <f>CEILING(125*$Z$1,0.1)</f>
        <v>156.3</v>
      </c>
      <c r="H786" s="1195"/>
      <c r="I786" s="1194">
        <f>CEILING(105*$Z$1,0.1)</f>
        <v>131.3</v>
      </c>
      <c r="J786" s="1195"/>
      <c r="K786" s="1194">
        <f>CEILING(105*$Z$1,0.1)</f>
        <v>131.3</v>
      </c>
      <c r="L786" s="1195"/>
      <c r="M786" s="1194">
        <f>CEILING(85*$Z$1,0.1)</f>
        <v>106.30000000000001</v>
      </c>
      <c r="N786" s="1195"/>
    </row>
    <row r="787" spans="1:14" s="136" customFormat="1" ht="34.5" customHeight="1">
      <c r="A787" s="463" t="s">
        <v>35</v>
      </c>
      <c r="B787" s="464" t="s">
        <v>451</v>
      </c>
      <c r="C787" s="1192">
        <f>CEILING((C786+0*$Z$1),0.1)</f>
        <v>112.5</v>
      </c>
      <c r="D787" s="1193"/>
      <c r="E787" s="1192">
        <f>CEILING((E786+63*$Z$1),0.1)</f>
        <v>228.8</v>
      </c>
      <c r="F787" s="1193"/>
      <c r="G787" s="1192">
        <f>CEILING((G786+63*$Z$1),0.1)</f>
        <v>235.10000000000002</v>
      </c>
      <c r="H787" s="1193"/>
      <c r="I787" s="1192">
        <f>CEILING((I786+63*$Z$1),0.1)</f>
        <v>210.10000000000002</v>
      </c>
      <c r="J787" s="1193"/>
      <c r="K787" s="1192">
        <f>CEILING((K786+63*$Z$1),0.1)</f>
        <v>210.10000000000002</v>
      </c>
      <c r="L787" s="1193"/>
      <c r="M787" s="1192">
        <f>CEILING((M786+M8807*$Z$1),0.1)</f>
        <v>106.30000000000001</v>
      </c>
      <c r="N787" s="1193"/>
    </row>
    <row r="788" spans="1:14" s="136" customFormat="1" ht="34.5" customHeight="1">
      <c r="A788" s="465"/>
      <c r="B788" s="466" t="s">
        <v>37</v>
      </c>
      <c r="C788" s="1192">
        <f>CEILING((C786*0.85),0.1)</f>
        <v>95.7</v>
      </c>
      <c r="D788" s="1193"/>
      <c r="E788" s="1192">
        <f>CEILING((E786*0.85),0.1)</f>
        <v>127.5</v>
      </c>
      <c r="F788" s="1193"/>
      <c r="G788" s="1192">
        <f>CEILING((G786*0.85),0.1)</f>
        <v>132.9</v>
      </c>
      <c r="H788" s="1193"/>
      <c r="I788" s="1192">
        <f>CEILING((I786*0.85),0.1)</f>
        <v>111.7</v>
      </c>
      <c r="J788" s="1193"/>
      <c r="K788" s="1192">
        <f>CEILING((K786*0.85),0.1)</f>
        <v>111.7</v>
      </c>
      <c r="L788" s="1193"/>
      <c r="M788" s="1192">
        <f>CEILING((M786*0.85),0.1)</f>
        <v>90.4</v>
      </c>
      <c r="N788" s="1193"/>
    </row>
    <row r="789" spans="1:14" s="136" customFormat="1" ht="34.5" customHeight="1">
      <c r="A789" s="467"/>
      <c r="B789" s="238" t="s">
        <v>595</v>
      </c>
      <c r="C789" s="1192">
        <f>CEILING((C786*0.5),0.1)</f>
        <v>56.300000000000004</v>
      </c>
      <c r="D789" s="1193"/>
      <c r="E789" s="1192">
        <f>CEILING((E786*0.5),0.1)</f>
        <v>75</v>
      </c>
      <c r="F789" s="1193"/>
      <c r="G789" s="1192">
        <f>CEILING((G786*0.5),0.1)</f>
        <v>78.2</v>
      </c>
      <c r="H789" s="1193"/>
      <c r="I789" s="1192">
        <f>CEILING((I786*0.5),0.1)</f>
        <v>65.7</v>
      </c>
      <c r="J789" s="1193"/>
      <c r="K789" s="1192">
        <f>CEILING((K786*0.5),0.1)</f>
        <v>65.7</v>
      </c>
      <c r="L789" s="1193"/>
      <c r="M789" s="1192">
        <f>CEILING((M786*0.5),0.1)</f>
        <v>53.2</v>
      </c>
      <c r="N789" s="1193"/>
    </row>
    <row r="790" spans="1:14" s="136" customFormat="1" ht="34.5" customHeight="1">
      <c r="A790" s="465"/>
      <c r="B790" s="179" t="s">
        <v>452</v>
      </c>
      <c r="C790" s="1192">
        <f>CEILING(110*$Z$1,0.1)</f>
        <v>137.5</v>
      </c>
      <c r="D790" s="1193"/>
      <c r="E790" s="1192">
        <f>CEILING(140*$Z$1,0.1)</f>
        <v>175</v>
      </c>
      <c r="F790" s="1193"/>
      <c r="G790" s="1192">
        <f>CEILING(145*$Z$1,0.1)</f>
        <v>181.3</v>
      </c>
      <c r="H790" s="1193"/>
      <c r="I790" s="1192">
        <f>CEILING(125*$Z$1,0.1)</f>
        <v>156.3</v>
      </c>
      <c r="J790" s="1193"/>
      <c r="K790" s="1192">
        <f>CEILING(125*$Z$1,0.1)</f>
        <v>156.3</v>
      </c>
      <c r="L790" s="1193"/>
      <c r="M790" s="1192">
        <f>CEILING(105*$Z$1,0.1)</f>
        <v>131.3</v>
      </c>
      <c r="N790" s="1193"/>
    </row>
    <row r="791" spans="1:14" s="136" customFormat="1" ht="34.5" customHeight="1">
      <c r="A791" s="465"/>
      <c r="B791" s="181" t="s">
        <v>453</v>
      </c>
      <c r="C791" s="1202">
        <f>CEILING((C790+D8877*$Z$1),0.1)</f>
        <v>137.5</v>
      </c>
      <c r="D791" s="1203"/>
      <c r="E791" s="1202">
        <f>CEILING((E790+63*$Z$1),0.1)</f>
        <v>253.8</v>
      </c>
      <c r="F791" s="1203"/>
      <c r="G791" s="1202">
        <f>CEILING((G790+63*$Z$1),0.1)</f>
        <v>260.1</v>
      </c>
      <c r="H791" s="1203"/>
      <c r="I791" s="1202">
        <f>CEILING((I790+63*$Z$1),0.1)</f>
        <v>235.10000000000002</v>
      </c>
      <c r="J791" s="1203"/>
      <c r="K791" s="1202">
        <f>CEILING((K790+63*$Z$1),0.1)</f>
        <v>235.10000000000002</v>
      </c>
      <c r="L791" s="1203"/>
      <c r="M791" s="1202">
        <f>CEILING((M790+0*$Z$1),0.1)</f>
        <v>131.3</v>
      </c>
      <c r="N791" s="1203"/>
    </row>
    <row r="792" spans="1:14" s="136" customFormat="1" ht="34.5" customHeight="1">
      <c r="A792" s="480"/>
      <c r="B792" s="468" t="s">
        <v>456</v>
      </c>
      <c r="C792" s="1194">
        <f>CEILING(120*$Z$1,0.1)</f>
        <v>150</v>
      </c>
      <c r="D792" s="1195"/>
      <c r="E792" s="1194">
        <f>CEILING(150*$Z$1,0.1)</f>
        <v>187.5</v>
      </c>
      <c r="F792" s="1195"/>
      <c r="G792" s="1194">
        <f>CEILING(155*$Z$1,0.1)</f>
        <v>193.8</v>
      </c>
      <c r="H792" s="1195"/>
      <c r="I792" s="1194">
        <f>CEILING(135*$Z$1,0.1)</f>
        <v>168.8</v>
      </c>
      <c r="J792" s="1195"/>
      <c r="K792" s="1194">
        <f>CEILING(135*$Z$1,0.1)</f>
        <v>168.8</v>
      </c>
      <c r="L792" s="1195"/>
      <c r="M792" s="1194">
        <f>CEILING(115*$Z$1,0.1)</f>
        <v>143.8</v>
      </c>
      <c r="N792" s="1195"/>
    </row>
    <row r="793" spans="1:14" s="136" customFormat="1" ht="34.5" customHeight="1">
      <c r="A793" s="465"/>
      <c r="B793" s="899" t="s">
        <v>454</v>
      </c>
      <c r="C793" s="1192">
        <f>CEILING((C792+D8867*$Z$1),0.1)</f>
        <v>150</v>
      </c>
      <c r="D793" s="1193"/>
      <c r="E793" s="1192">
        <f>CEILING((E792+68*$Z$1),0.1)</f>
        <v>272.5</v>
      </c>
      <c r="F793" s="1193"/>
      <c r="G793" s="1192">
        <f>CEILING((G792+68*$Z$1),0.1)</f>
        <v>278.8</v>
      </c>
      <c r="H793" s="1193"/>
      <c r="I793" s="1192">
        <f>CEILING((I792+68*$Z$1),0.1)</f>
        <v>253.8</v>
      </c>
      <c r="J793" s="1193"/>
      <c r="K793" s="1192">
        <f>CEILING((K792+68*$Z$1),0.1)</f>
        <v>253.8</v>
      </c>
      <c r="L793" s="1193"/>
      <c r="M793" s="1192">
        <f>CEILING((M792+0*$Z$1),0.1)</f>
        <v>143.8</v>
      </c>
      <c r="N793" s="1193"/>
    </row>
    <row r="794" spans="1:14" s="136" customFormat="1" ht="34.5" customHeight="1">
      <c r="A794" s="465"/>
      <c r="B794" s="171" t="s">
        <v>455</v>
      </c>
      <c r="C794" s="1194">
        <f>CEILING(130*$Z$1,0.1)</f>
        <v>162.5</v>
      </c>
      <c r="D794" s="1195"/>
      <c r="E794" s="1194">
        <f>CEILING(160*$Z$1,0.1)</f>
        <v>200</v>
      </c>
      <c r="F794" s="1195"/>
      <c r="G794" s="1194">
        <f>CEILING(165*$Z$1,0.1)</f>
        <v>206.3</v>
      </c>
      <c r="H794" s="1195"/>
      <c r="I794" s="1194">
        <f>CEILING(145*$Z$1,0.1)</f>
        <v>181.3</v>
      </c>
      <c r="J794" s="1195"/>
      <c r="K794" s="1194">
        <f>CEILING(145*$Z$1,0.1)</f>
        <v>181.3</v>
      </c>
      <c r="L794" s="1195"/>
      <c r="M794" s="1194">
        <f>CEILING(125*$Z$1,0.1)</f>
        <v>156.3</v>
      </c>
      <c r="N794" s="1195"/>
    </row>
    <row r="795" spans="1:14" s="136" customFormat="1" ht="34.5" customHeight="1" thickBot="1">
      <c r="A795" s="469" t="s">
        <v>449</v>
      </c>
      <c r="B795" s="184" t="s">
        <v>457</v>
      </c>
      <c r="C795" s="1218">
        <f>CEILING((C794+0*$Z$1),0.1)</f>
        <v>162.5</v>
      </c>
      <c r="D795" s="1219"/>
      <c r="E795" s="1218">
        <f>CEILING((E794+87*$Z$1),0.1)</f>
        <v>308.8</v>
      </c>
      <c r="F795" s="1219"/>
      <c r="G795" s="1218">
        <f>CEILING((G794+87*$Z$1),0.1)</f>
        <v>315.1</v>
      </c>
      <c r="H795" s="1219"/>
      <c r="I795" s="1218">
        <f>CEILING((I794+87*$Z$1),0.1)</f>
        <v>290.1</v>
      </c>
      <c r="J795" s="1219"/>
      <c r="K795" s="1218">
        <f>CEILING((K794+87*$Z$1),0.1)</f>
        <v>290.1</v>
      </c>
      <c r="L795" s="1219"/>
      <c r="M795" s="1218">
        <f>CEILING((M794+0*$Z$1),0.1)</f>
        <v>156.3</v>
      </c>
      <c r="N795" s="1219"/>
    </row>
    <row r="796" spans="1:25" s="911" customFormat="1" ht="34.5" customHeight="1" thickTop="1">
      <c r="A796" s="339" t="s">
        <v>753</v>
      </c>
      <c r="B796" s="1056"/>
      <c r="C796" s="1056"/>
      <c r="D796" s="1056"/>
      <c r="E796" s="1056"/>
      <c r="F796" s="1056"/>
      <c r="G796" s="1056"/>
      <c r="H796" s="1056"/>
      <c r="I796" s="1064"/>
      <c r="J796" s="1064"/>
      <c r="K796" s="99"/>
      <c r="L796" s="1055"/>
      <c r="M796" s="106"/>
      <c r="N796" s="90"/>
      <c r="O796" s="687"/>
      <c r="P796" s="687"/>
      <c r="Q796" s="687"/>
      <c r="R796" s="687"/>
      <c r="S796" s="687"/>
      <c r="T796" s="687"/>
      <c r="U796" s="687"/>
      <c r="V796" s="687"/>
      <c r="W796" s="687"/>
      <c r="X796" s="687"/>
      <c r="Y796" s="687"/>
    </row>
    <row r="797" spans="1:25" s="911" customFormat="1" ht="34.5" customHeight="1">
      <c r="A797" s="832" t="s">
        <v>1292</v>
      </c>
      <c r="B797" s="832"/>
      <c r="C797" s="1169"/>
      <c r="D797" s="1169"/>
      <c r="E797" s="1169"/>
      <c r="F797" s="1169"/>
      <c r="G797" s="1169"/>
      <c r="H797" s="1169"/>
      <c r="I797" s="1064"/>
      <c r="J797" s="1064"/>
      <c r="K797" s="99"/>
      <c r="L797" s="1168"/>
      <c r="M797" s="106"/>
      <c r="N797" s="90"/>
      <c r="O797" s="687"/>
      <c r="P797" s="687"/>
      <c r="Q797" s="687"/>
      <c r="R797" s="687"/>
      <c r="S797" s="687"/>
      <c r="T797" s="687"/>
      <c r="U797" s="687"/>
      <c r="V797" s="687"/>
      <c r="W797" s="687"/>
      <c r="X797" s="687"/>
      <c r="Y797" s="687"/>
    </row>
    <row r="798" spans="1:25" s="313" customFormat="1" ht="34.5" customHeight="1" thickBot="1">
      <c r="A798" s="141"/>
      <c r="B798" s="142"/>
      <c r="C798" s="142"/>
      <c r="D798" s="142"/>
      <c r="E798" s="142"/>
      <c r="F798" s="142"/>
      <c r="G798" s="142"/>
      <c r="H798" s="142"/>
      <c r="I798" s="470"/>
      <c r="J798" s="470"/>
      <c r="K798" s="158"/>
      <c r="L798" s="471"/>
      <c r="M798" s="472"/>
      <c r="N798" s="473"/>
      <c r="O798" s="330"/>
      <c r="P798" s="330"/>
      <c r="Q798" s="330"/>
      <c r="R798" s="330"/>
      <c r="S798" s="330"/>
      <c r="T798" s="330"/>
      <c r="U798" s="330"/>
      <c r="V798" s="330"/>
      <c r="W798" s="330"/>
      <c r="X798" s="330"/>
      <c r="Y798" s="330"/>
    </row>
    <row r="799" spans="1:42" s="167" customFormat="1" ht="34.5" customHeight="1" thickTop="1">
      <c r="A799" s="826" t="s">
        <v>33</v>
      </c>
      <c r="B799" s="827" t="s">
        <v>568</v>
      </c>
      <c r="C799" s="828" t="s">
        <v>847</v>
      </c>
      <c r="D799" s="829"/>
      <c r="E799" s="830" t="s">
        <v>848</v>
      </c>
      <c r="F799" s="831"/>
      <c r="G799" s="830" t="s">
        <v>849</v>
      </c>
      <c r="H799" s="831"/>
      <c r="I799" s="830" t="s">
        <v>850</v>
      </c>
      <c r="J799" s="831"/>
      <c r="K799" s="830" t="s">
        <v>851</v>
      </c>
      <c r="L799" s="831"/>
      <c r="M799" s="830" t="s">
        <v>852</v>
      </c>
      <c r="N799" s="831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</row>
    <row r="800" spans="1:25" s="94" customFormat="1" ht="34.5" customHeight="1">
      <c r="A800" s="249" t="s">
        <v>374</v>
      </c>
      <c r="B800" s="189" t="s">
        <v>345</v>
      </c>
      <c r="C800" s="1194">
        <f>CEILING(95*$Z$1,0.1)</f>
        <v>118.80000000000001</v>
      </c>
      <c r="D800" s="1195"/>
      <c r="E800" s="1194">
        <f>CEILING(140*$Z$1,0.1)</f>
        <v>175</v>
      </c>
      <c r="F800" s="1195"/>
      <c r="G800" s="1194">
        <f>CEILING(150*$Z$1,0.1)</f>
        <v>187.5</v>
      </c>
      <c r="H800" s="1195"/>
      <c r="I800" s="1194">
        <f>CEILING(140*$Z$1,0.1)</f>
        <v>175</v>
      </c>
      <c r="J800" s="1195"/>
      <c r="K800" s="1194">
        <f>CEILING(140*$Z$1,0.1)</f>
        <v>175</v>
      </c>
      <c r="L800" s="1195"/>
      <c r="M800" s="1194">
        <f>CEILING(95*$Z$1,0.1)</f>
        <v>118.80000000000001</v>
      </c>
      <c r="N800" s="1195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</row>
    <row r="801" spans="1:25" s="94" customFormat="1" ht="34.5" customHeight="1">
      <c r="A801" s="244" t="s">
        <v>35</v>
      </c>
      <c r="B801" s="190" t="s">
        <v>419</v>
      </c>
      <c r="C801" s="1192">
        <f>CEILING((C800+38*$Z$1),0.1)</f>
        <v>166.3</v>
      </c>
      <c r="D801" s="1193"/>
      <c r="E801" s="1192">
        <f>CEILING((E800+84*$Z$1),0.1)</f>
        <v>280</v>
      </c>
      <c r="F801" s="1193"/>
      <c r="G801" s="1192">
        <f>CEILING((G800+84*$Z$1),0.1)</f>
        <v>292.5</v>
      </c>
      <c r="H801" s="1193"/>
      <c r="I801" s="1192">
        <f>CEILING((I800+84*$Z$1),0.1)</f>
        <v>280</v>
      </c>
      <c r="J801" s="1193"/>
      <c r="K801" s="1192">
        <f>CEILING((K800+84*$Z$1),0.1)</f>
        <v>280</v>
      </c>
      <c r="L801" s="1193"/>
      <c r="M801" s="1192">
        <f>CEILING((M800+38*$Z$1),0.1)</f>
        <v>166.3</v>
      </c>
      <c r="N801" s="1193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</row>
    <row r="802" spans="1:25" s="94" customFormat="1" ht="34.5" customHeight="1">
      <c r="A802" s="115"/>
      <c r="B802" s="190" t="s">
        <v>346</v>
      </c>
      <c r="C802" s="1192">
        <f>CEILING(115*$Z$1,0.1)</f>
        <v>143.8</v>
      </c>
      <c r="D802" s="1193"/>
      <c r="E802" s="1192">
        <f>CEILING(160*$Z$1,0.1)</f>
        <v>200</v>
      </c>
      <c r="F802" s="1193"/>
      <c r="G802" s="1192">
        <f>CEILING(170*$Z$1,0.1)</f>
        <v>212.5</v>
      </c>
      <c r="H802" s="1193"/>
      <c r="I802" s="1192">
        <f>CEILING(160*$Z$1,0.1)</f>
        <v>200</v>
      </c>
      <c r="J802" s="1193"/>
      <c r="K802" s="1192">
        <f>CEILING(160*$Z$1,0.1)</f>
        <v>200</v>
      </c>
      <c r="L802" s="1193"/>
      <c r="M802" s="1192">
        <f>CEILING(115*$Z$1,0.1)</f>
        <v>143.8</v>
      </c>
      <c r="N802" s="1193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</row>
    <row r="803" spans="1:25" s="94" customFormat="1" ht="34.5" customHeight="1">
      <c r="A803" s="190"/>
      <c r="B803" s="190" t="s">
        <v>420</v>
      </c>
      <c r="C803" s="1192">
        <f>CEILING((C802+38*$Z$1),0.1)</f>
        <v>191.3</v>
      </c>
      <c r="D803" s="1193"/>
      <c r="E803" s="1192">
        <f>CEILING((E802+84*$Z$1),0.1)</f>
        <v>305</v>
      </c>
      <c r="F803" s="1193"/>
      <c r="G803" s="1192">
        <f>CEILING((G802+84*$Z$1),0.1)</f>
        <v>317.5</v>
      </c>
      <c r="H803" s="1193"/>
      <c r="I803" s="1192">
        <f>CEILING((I802+84*$Z$1),0.1)</f>
        <v>305</v>
      </c>
      <c r="J803" s="1193"/>
      <c r="K803" s="1192">
        <f>CEILING((K802+84*$Z$1),0.1)</f>
        <v>305</v>
      </c>
      <c r="L803" s="1193"/>
      <c r="M803" s="1192">
        <f>CEILING((M802+38*$Z$1),0.1)</f>
        <v>191.3</v>
      </c>
      <c r="N803" s="1193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</row>
    <row r="804" spans="1:46" s="136" customFormat="1" ht="34.5" customHeight="1">
      <c r="A804" s="480"/>
      <c r="B804" s="238" t="s">
        <v>347</v>
      </c>
      <c r="C804" s="1192">
        <f>CEILING(125*$Z$1,0.1)</f>
        <v>156.3</v>
      </c>
      <c r="D804" s="1193"/>
      <c r="E804" s="1192">
        <f>CEILING(170*$Z$1,0.1)</f>
        <v>212.5</v>
      </c>
      <c r="F804" s="1193"/>
      <c r="G804" s="1192">
        <f>CEILING(180*$Z$1,0.1)</f>
        <v>225</v>
      </c>
      <c r="H804" s="1193"/>
      <c r="I804" s="1192">
        <f>CEILING(170*$Z$1,0.1)</f>
        <v>212.5</v>
      </c>
      <c r="J804" s="1193"/>
      <c r="K804" s="1192">
        <f>CEILING(170*$Z$1,0.1)</f>
        <v>212.5</v>
      </c>
      <c r="L804" s="1193"/>
      <c r="M804" s="1192">
        <f>CEILING(125*$Z$1,0.1)</f>
        <v>156.3</v>
      </c>
      <c r="N804" s="1193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</row>
    <row r="805" spans="1:46" s="94" customFormat="1" ht="34.5" customHeight="1">
      <c r="A805" s="190"/>
      <c r="B805" s="190" t="s">
        <v>253</v>
      </c>
      <c r="C805" s="1192">
        <f>CEILING(145*$Z$1,0.1)</f>
        <v>181.3</v>
      </c>
      <c r="D805" s="1193"/>
      <c r="E805" s="1192">
        <f>CEILING(190*$Z$1,0.1)</f>
        <v>237.5</v>
      </c>
      <c r="F805" s="1193"/>
      <c r="G805" s="1192">
        <f>CEILING(200*$Z$1,0.1)</f>
        <v>250</v>
      </c>
      <c r="H805" s="1193"/>
      <c r="I805" s="1192">
        <f>CEILING(190*$Z$1,0.1)</f>
        <v>237.5</v>
      </c>
      <c r="J805" s="1193"/>
      <c r="K805" s="1192">
        <f>CEILING(190*$Z$1,0.1)</f>
        <v>237.5</v>
      </c>
      <c r="L805" s="1193"/>
      <c r="M805" s="1192">
        <f>CEILING(145*$Z$1,0.1)</f>
        <v>181.3</v>
      </c>
      <c r="N805" s="1193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</row>
    <row r="806" spans="1:46" s="94" customFormat="1" ht="34.5" customHeight="1">
      <c r="A806" s="474" t="s">
        <v>449</v>
      </c>
      <c r="B806" s="190" t="s">
        <v>254</v>
      </c>
      <c r="C806" s="1192">
        <f>CEILING(155*$Z$1,0.1)</f>
        <v>193.8</v>
      </c>
      <c r="D806" s="1193"/>
      <c r="E806" s="1192">
        <f>CEILING(200*$Z$1,0.1)</f>
        <v>250</v>
      </c>
      <c r="F806" s="1193"/>
      <c r="G806" s="1192">
        <f>CEILING(210*$Z$1,0.1)</f>
        <v>262.5</v>
      </c>
      <c r="H806" s="1193"/>
      <c r="I806" s="1202">
        <f>CEILING(200*$Z$1,0.1)</f>
        <v>250</v>
      </c>
      <c r="J806" s="1203"/>
      <c r="K806" s="1202">
        <f>CEILING(200*$Z$1,0.1)</f>
        <v>250</v>
      </c>
      <c r="L806" s="1203"/>
      <c r="M806" s="1202">
        <f>CEILING(155*$Z$1,0.1)</f>
        <v>193.8</v>
      </c>
      <c r="N806" s="1203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</row>
    <row r="807" spans="1:46" s="910" customFormat="1" ht="34.5" customHeight="1">
      <c r="A807" s="1369" t="s">
        <v>96</v>
      </c>
      <c r="B807" s="1369"/>
      <c r="C807" s="1369"/>
      <c r="D807" s="1369"/>
      <c r="E807" s="1369"/>
      <c r="F807" s="1369"/>
      <c r="G807" s="1369"/>
      <c r="H807" s="1369"/>
      <c r="I807" s="909"/>
      <c r="J807" s="909"/>
      <c r="K807" s="105"/>
      <c r="L807" s="105"/>
      <c r="M807" s="105"/>
      <c r="N807" s="120"/>
      <c r="O807" s="403"/>
      <c r="P807" s="403"/>
      <c r="Q807" s="403"/>
      <c r="R807" s="403"/>
      <c r="S807" s="403"/>
      <c r="T807" s="403"/>
      <c r="U807" s="403"/>
      <c r="V807" s="403"/>
      <c r="W807" s="403"/>
      <c r="X807" s="403"/>
      <c r="Y807" s="403"/>
      <c r="Z807" s="403"/>
      <c r="AA807" s="403"/>
      <c r="AB807" s="403"/>
      <c r="AC807" s="403"/>
      <c r="AD807" s="403"/>
      <c r="AE807" s="403"/>
      <c r="AF807" s="403"/>
      <c r="AG807" s="403"/>
      <c r="AH807" s="403"/>
      <c r="AI807" s="403"/>
      <c r="AJ807" s="403"/>
      <c r="AK807" s="403"/>
      <c r="AL807" s="403"/>
      <c r="AM807" s="403"/>
      <c r="AN807" s="403"/>
      <c r="AO807" s="403"/>
      <c r="AP807" s="403"/>
      <c r="AQ807" s="403"/>
      <c r="AR807" s="403"/>
      <c r="AS807" s="403"/>
      <c r="AT807" s="403"/>
    </row>
    <row r="808" spans="1:14" s="403" customFormat="1" ht="34.5" customHeight="1">
      <c r="A808" s="909" t="s">
        <v>900</v>
      </c>
      <c r="B808" s="909"/>
      <c r="C808" s="909"/>
      <c r="D808" s="909"/>
      <c r="E808" s="909"/>
      <c r="F808" s="909"/>
      <c r="G808" s="909"/>
      <c r="H808" s="909"/>
      <c r="I808" s="909"/>
      <c r="J808" s="909"/>
      <c r="K808" s="105"/>
      <c r="L808" s="105"/>
      <c r="M808" s="105"/>
      <c r="N808" s="120"/>
    </row>
    <row r="809" spans="1:46" s="888" customFormat="1" ht="34.5" customHeight="1" thickBot="1">
      <c r="A809" s="1370"/>
      <c r="B809" s="1370"/>
      <c r="C809" s="1370"/>
      <c r="D809" s="1370"/>
      <c r="E809" s="1370"/>
      <c r="F809" s="1370"/>
      <c r="G809" s="1370"/>
      <c r="H809" s="1370"/>
      <c r="I809" s="475"/>
      <c r="J809" s="475"/>
      <c r="K809" s="476"/>
      <c r="L809" s="477"/>
      <c r="M809" s="476"/>
      <c r="N809" s="478"/>
      <c r="O809" s="479"/>
      <c r="P809" s="479"/>
      <c r="Q809" s="479"/>
      <c r="R809" s="479"/>
      <c r="S809" s="479"/>
      <c r="T809" s="479"/>
      <c r="U809" s="479"/>
      <c r="V809" s="479"/>
      <c r="W809" s="479"/>
      <c r="X809" s="479"/>
      <c r="Y809" s="479"/>
      <c r="Z809" s="287"/>
      <c r="AA809" s="287"/>
      <c r="AB809" s="287"/>
      <c r="AC809" s="287"/>
      <c r="AD809" s="287"/>
      <c r="AE809" s="287"/>
      <c r="AF809" s="287"/>
      <c r="AG809" s="287"/>
      <c r="AH809" s="287"/>
      <c r="AI809" s="287"/>
      <c r="AJ809" s="287"/>
      <c r="AK809" s="287"/>
      <c r="AL809" s="287"/>
      <c r="AM809" s="287"/>
      <c r="AN809" s="287"/>
      <c r="AO809" s="287"/>
      <c r="AP809" s="287"/>
      <c r="AQ809" s="287"/>
      <c r="AR809" s="287"/>
      <c r="AS809" s="287"/>
      <c r="AT809" s="287"/>
    </row>
    <row r="810" spans="1:42" s="167" customFormat="1" ht="34.5" customHeight="1" thickTop="1">
      <c r="A810" s="826" t="s">
        <v>33</v>
      </c>
      <c r="B810" s="827" t="s">
        <v>568</v>
      </c>
      <c r="C810" s="828" t="s">
        <v>847</v>
      </c>
      <c r="D810" s="829"/>
      <c r="E810" s="830" t="s">
        <v>848</v>
      </c>
      <c r="F810" s="831"/>
      <c r="G810" s="830" t="s">
        <v>849</v>
      </c>
      <c r="H810" s="831"/>
      <c r="I810" s="830" t="s">
        <v>850</v>
      </c>
      <c r="J810" s="831"/>
      <c r="K810" s="830" t="s">
        <v>851</v>
      </c>
      <c r="L810" s="831"/>
      <c r="M810" s="830" t="s">
        <v>852</v>
      </c>
      <c r="N810" s="831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</row>
    <row r="811" spans="1:14" s="100" customFormat="1" ht="34.5" customHeight="1">
      <c r="A811" s="426" t="s">
        <v>373</v>
      </c>
      <c r="B811" s="243" t="s">
        <v>214</v>
      </c>
      <c r="C811" s="1194">
        <f>CEILING(55*$Z$1,0.1)</f>
        <v>68.8</v>
      </c>
      <c r="D811" s="1195"/>
      <c r="E811" s="1194">
        <f>CEILING(80*$Z$1,0.1)</f>
        <v>100</v>
      </c>
      <c r="F811" s="1195"/>
      <c r="G811" s="1194">
        <f>CEILING(85*$Z$1,0.1)</f>
        <v>106.30000000000001</v>
      </c>
      <c r="H811" s="1195"/>
      <c r="I811" s="1194">
        <f>CEILING(75*$Z$1,0.1)</f>
        <v>93.80000000000001</v>
      </c>
      <c r="J811" s="1195"/>
      <c r="K811" s="1194">
        <f>CEILING(75*$Z$1,0.1)</f>
        <v>93.80000000000001</v>
      </c>
      <c r="L811" s="1195"/>
      <c r="M811" s="1194">
        <f>CEILING(55*$Z$1,0.1)</f>
        <v>68.8</v>
      </c>
      <c r="N811" s="1195"/>
    </row>
    <row r="812" spans="1:14" s="100" customFormat="1" ht="34.5" customHeight="1">
      <c r="A812" s="244" t="s">
        <v>35</v>
      </c>
      <c r="B812" s="245" t="s">
        <v>215</v>
      </c>
      <c r="C812" s="1192">
        <f>CEILING((C811+22*$Z$1),0.1)</f>
        <v>96.30000000000001</v>
      </c>
      <c r="D812" s="1193"/>
      <c r="E812" s="1192">
        <f>CEILING((E811+45*$Z$1),0.1)</f>
        <v>156.3</v>
      </c>
      <c r="F812" s="1193"/>
      <c r="G812" s="1192">
        <f>CEILING((G811+45*$Z$1),0.1)</f>
        <v>162.60000000000002</v>
      </c>
      <c r="H812" s="1193"/>
      <c r="I812" s="1192">
        <f>CEILING((I811+45*$Z$1),0.1)</f>
        <v>150.1</v>
      </c>
      <c r="J812" s="1193"/>
      <c r="K812" s="1192">
        <f>CEILING((K811+45*$Z$1),0.1)</f>
        <v>150.1</v>
      </c>
      <c r="L812" s="1193"/>
      <c r="M812" s="1192">
        <f>CEILING((M811+22*$Z$1),0.1)</f>
        <v>96.30000000000001</v>
      </c>
      <c r="N812" s="1193"/>
    </row>
    <row r="813" spans="1:14" s="100" customFormat="1" ht="34.5" customHeight="1">
      <c r="A813" s="103"/>
      <c r="B813" s="245" t="s">
        <v>37</v>
      </c>
      <c r="C813" s="1192">
        <f>CEILING((C811*0.85),0.1)</f>
        <v>58.5</v>
      </c>
      <c r="D813" s="1193"/>
      <c r="E813" s="1192">
        <f>CEILING((E811*0.85),0.1)</f>
        <v>85</v>
      </c>
      <c r="F813" s="1193"/>
      <c r="G813" s="1192">
        <f>CEILING((G811*0.85),0.1)</f>
        <v>90.4</v>
      </c>
      <c r="H813" s="1193"/>
      <c r="I813" s="1192">
        <f>CEILING((I811*0.85),0.1)</f>
        <v>79.80000000000001</v>
      </c>
      <c r="J813" s="1193"/>
      <c r="K813" s="1192">
        <f>CEILING((K811*0.85),0.1)</f>
        <v>79.80000000000001</v>
      </c>
      <c r="L813" s="1193"/>
      <c r="M813" s="1192">
        <f>CEILING((M811*0.85),0.1)</f>
        <v>58.5</v>
      </c>
      <c r="N813" s="1193"/>
    </row>
    <row r="814" spans="1:14" s="100" customFormat="1" ht="34.5" customHeight="1">
      <c r="A814" s="480"/>
      <c r="B814" s="245" t="s">
        <v>673</v>
      </c>
      <c r="C814" s="1192">
        <f>CEILING((C811*0.5),0.1)</f>
        <v>34.4</v>
      </c>
      <c r="D814" s="1193"/>
      <c r="E814" s="1192">
        <f>CEILING((E811*0.5),0.1)</f>
        <v>50</v>
      </c>
      <c r="F814" s="1193"/>
      <c r="G814" s="1192">
        <f>CEILING((G811*0.5),0.1)</f>
        <v>53.2</v>
      </c>
      <c r="H814" s="1193"/>
      <c r="I814" s="1192">
        <f>CEILING((I811*0.5),0.1)</f>
        <v>46.900000000000006</v>
      </c>
      <c r="J814" s="1193"/>
      <c r="K814" s="1192">
        <f>CEILING((K811*0.5),0.1)</f>
        <v>46.900000000000006</v>
      </c>
      <c r="L814" s="1193"/>
      <c r="M814" s="1192">
        <f>CEILING((M811*0.5),0.1)</f>
        <v>34.4</v>
      </c>
      <c r="N814" s="1193"/>
    </row>
    <row r="815" spans="1:14" s="100" customFormat="1" ht="34.5" customHeight="1" thickBot="1">
      <c r="A815" s="469" t="s">
        <v>449</v>
      </c>
      <c r="B815" s="447" t="s">
        <v>218</v>
      </c>
      <c r="C815" s="1218">
        <f>CEILING(80*$Z$1,0.1)</f>
        <v>100</v>
      </c>
      <c r="D815" s="1219"/>
      <c r="E815" s="1218">
        <f>CEILING(105*$Z$1,0.1)</f>
        <v>131.3</v>
      </c>
      <c r="F815" s="1219"/>
      <c r="G815" s="1218">
        <f>CEILING(110*$Z$1,0.1)</f>
        <v>137.5</v>
      </c>
      <c r="H815" s="1219"/>
      <c r="I815" s="1218">
        <f>CEILING(100*$Z$1,0.1)</f>
        <v>125</v>
      </c>
      <c r="J815" s="1219"/>
      <c r="K815" s="1218">
        <f>CEILING(100*$Z$1,0.1)</f>
        <v>125</v>
      </c>
      <c r="L815" s="1219"/>
      <c r="M815" s="1218">
        <f>CEILING(80*$Z$1,0.1)</f>
        <v>100</v>
      </c>
      <c r="N815" s="1219"/>
    </row>
    <row r="816" spans="1:25" s="911" customFormat="1" ht="34.5" customHeight="1" thickTop="1">
      <c r="A816" s="339" t="s">
        <v>901</v>
      </c>
      <c r="B816" s="904"/>
      <c r="C816" s="163"/>
      <c r="D816" s="163"/>
      <c r="E816" s="163"/>
      <c r="F816" s="163"/>
      <c r="G816" s="163"/>
      <c r="H816" s="163"/>
      <c r="I816" s="130"/>
      <c r="J816" s="130"/>
      <c r="K816" s="99"/>
      <c r="L816" s="99"/>
      <c r="M816" s="106"/>
      <c r="N816" s="106"/>
      <c r="O816" s="687"/>
      <c r="P816" s="687"/>
      <c r="Q816" s="687"/>
      <c r="R816" s="687"/>
      <c r="S816" s="687"/>
      <c r="T816" s="687"/>
      <c r="U816" s="687"/>
      <c r="V816" s="687"/>
      <c r="W816" s="687"/>
      <c r="X816" s="687"/>
      <c r="Y816" s="687"/>
    </row>
    <row r="817" spans="1:25" s="911" customFormat="1" ht="34.5" customHeight="1">
      <c r="A817" s="832" t="s">
        <v>1289</v>
      </c>
      <c r="B817" s="832"/>
      <c r="C817" s="163"/>
      <c r="D817" s="163"/>
      <c r="E817" s="163"/>
      <c r="F817" s="163"/>
      <c r="G817" s="163"/>
      <c r="H817" s="163"/>
      <c r="I817" s="130"/>
      <c r="J817" s="130"/>
      <c r="K817" s="99"/>
      <c r="L817" s="99"/>
      <c r="M817" s="106"/>
      <c r="N817" s="106"/>
      <c r="O817" s="687"/>
      <c r="P817" s="687"/>
      <c r="Q817" s="687"/>
      <c r="R817" s="687"/>
      <c r="S817" s="687"/>
      <c r="T817" s="687"/>
      <c r="U817" s="687"/>
      <c r="V817" s="687"/>
      <c r="W817" s="687"/>
      <c r="X817" s="687"/>
      <c r="Y817" s="687"/>
    </row>
    <row r="818" spans="1:25" s="94" customFormat="1" ht="34.5" customHeight="1" thickBot="1">
      <c r="A818" s="481"/>
      <c r="B818" s="481"/>
      <c r="C818" s="481"/>
      <c r="D818" s="481"/>
      <c r="E818" s="481"/>
      <c r="F818" s="481"/>
      <c r="G818" s="481"/>
      <c r="H818" s="481"/>
      <c r="I818" s="248"/>
      <c r="J818" s="248"/>
      <c r="K818" s="99"/>
      <c r="L818" s="91"/>
      <c r="M818" s="97"/>
      <c r="N818" s="98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</row>
    <row r="819" spans="1:42" s="167" customFormat="1" ht="34.5" customHeight="1" thickTop="1">
      <c r="A819" s="826" t="s">
        <v>33</v>
      </c>
      <c r="B819" s="827" t="s">
        <v>568</v>
      </c>
      <c r="C819" s="828" t="s">
        <v>847</v>
      </c>
      <c r="D819" s="829"/>
      <c r="E819" s="830" t="s">
        <v>848</v>
      </c>
      <c r="F819" s="831"/>
      <c r="G819" s="830" t="s">
        <v>849</v>
      </c>
      <c r="H819" s="831"/>
      <c r="I819" s="830" t="s">
        <v>850</v>
      </c>
      <c r="J819" s="831"/>
      <c r="K819" s="830" t="s">
        <v>851</v>
      </c>
      <c r="L819" s="831"/>
      <c r="M819" s="830" t="s">
        <v>852</v>
      </c>
      <c r="N819" s="831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</row>
    <row r="820" spans="1:25" s="94" customFormat="1" ht="34.5" customHeight="1">
      <c r="A820" s="482" t="s">
        <v>372</v>
      </c>
      <c r="B820" s="213" t="s">
        <v>214</v>
      </c>
      <c r="C820" s="1194">
        <f>CEILING(50*$Z$1,0.1)</f>
        <v>62.5</v>
      </c>
      <c r="D820" s="1195"/>
      <c r="E820" s="1194">
        <f>CEILING(75*$Z$1,0.1)</f>
        <v>93.80000000000001</v>
      </c>
      <c r="F820" s="1195"/>
      <c r="G820" s="1194">
        <f>CEILING(80*$Z$1,0.1)</f>
        <v>100</v>
      </c>
      <c r="H820" s="1195"/>
      <c r="I820" s="1194">
        <f>CEILING(70*$Z$1,0.1)</f>
        <v>87.5</v>
      </c>
      <c r="J820" s="1195"/>
      <c r="K820" s="1194">
        <f>CEILING(70*$Z$1,0.1)</f>
        <v>87.5</v>
      </c>
      <c r="L820" s="1195"/>
      <c r="M820" s="1194">
        <f>CEILING(50*$Z$1,0.1)</f>
        <v>62.5</v>
      </c>
      <c r="N820" s="1195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</row>
    <row r="821" spans="1:25" s="94" customFormat="1" ht="34.5" customHeight="1">
      <c r="A821" s="297" t="s">
        <v>35</v>
      </c>
      <c r="B821" s="192" t="s">
        <v>215</v>
      </c>
      <c r="C821" s="1192">
        <f>CEILING((C820+0*$Z$1),0.1)</f>
        <v>62.5</v>
      </c>
      <c r="D821" s="1193"/>
      <c r="E821" s="1192">
        <f>CEILING((E820+42*$Z$1),0.1)</f>
        <v>146.3</v>
      </c>
      <c r="F821" s="1193"/>
      <c r="G821" s="1192">
        <f>CEILING((G820+42*$Z$1),0.1)</f>
        <v>152.5</v>
      </c>
      <c r="H821" s="1193"/>
      <c r="I821" s="1192">
        <f>CEILING((I820+42*$Z$1),0.1)</f>
        <v>140</v>
      </c>
      <c r="J821" s="1193"/>
      <c r="K821" s="1192">
        <f>CEILING((K820+42*$Z$1),0.1)</f>
        <v>140</v>
      </c>
      <c r="L821" s="1193"/>
      <c r="M821" s="1192">
        <f>CEILING((M820+0*$Z$1),0.1)</f>
        <v>62.5</v>
      </c>
      <c r="N821" s="1193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</row>
    <row r="822" spans="1:25" s="94" customFormat="1" ht="34.5" customHeight="1">
      <c r="A822" s="297"/>
      <c r="B822" s="192" t="s">
        <v>67</v>
      </c>
      <c r="C822" s="1192">
        <f>CEILING((C820*0.85),0.1)</f>
        <v>53.2</v>
      </c>
      <c r="D822" s="1193"/>
      <c r="E822" s="1192">
        <f>CEILING((E820*0.85),0.1)</f>
        <v>79.80000000000001</v>
      </c>
      <c r="F822" s="1193"/>
      <c r="G822" s="1192">
        <f>CEILING((G820*0.85),0.1)</f>
        <v>85</v>
      </c>
      <c r="H822" s="1193"/>
      <c r="I822" s="1192">
        <f>CEILING((I820*0.85),0.1)</f>
        <v>74.4</v>
      </c>
      <c r="J822" s="1193"/>
      <c r="K822" s="1192">
        <f>CEILING((K820*0.85),0.1)</f>
        <v>74.4</v>
      </c>
      <c r="L822" s="1193"/>
      <c r="M822" s="1192">
        <f>CEILING((M820*0.85),0.1)</f>
        <v>53.2</v>
      </c>
      <c r="N822" s="1193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</row>
    <row r="823" spans="1:25" s="94" customFormat="1" ht="34.5" customHeight="1">
      <c r="A823" s="480"/>
      <c r="B823" s="172" t="s">
        <v>673</v>
      </c>
      <c r="C823" s="1192">
        <f>CEILING((C820*0.5),0.1)</f>
        <v>31.3</v>
      </c>
      <c r="D823" s="1193"/>
      <c r="E823" s="1192">
        <f>CEILING((E820*0.5),0.1)</f>
        <v>46.900000000000006</v>
      </c>
      <c r="F823" s="1193"/>
      <c r="G823" s="1192">
        <f>CEILING((G820*0.5),0.1)</f>
        <v>50</v>
      </c>
      <c r="H823" s="1193"/>
      <c r="I823" s="1192">
        <f>CEILING((I820*0.5),0.1)</f>
        <v>43.800000000000004</v>
      </c>
      <c r="J823" s="1193"/>
      <c r="K823" s="1192">
        <f>CEILING((K820*0.5),0.1)</f>
        <v>43.800000000000004</v>
      </c>
      <c r="L823" s="1193"/>
      <c r="M823" s="1192">
        <f>CEILING((M820*0.5),0.1)</f>
        <v>31.3</v>
      </c>
      <c r="N823" s="1193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</row>
    <row r="824" spans="1:25" s="94" customFormat="1" ht="34.5" customHeight="1">
      <c r="A824" s="297"/>
      <c r="B824" s="192" t="s">
        <v>218</v>
      </c>
      <c r="C824" s="1192">
        <f>CEILING(75*$Z$1,0.1)</f>
        <v>93.80000000000001</v>
      </c>
      <c r="D824" s="1193"/>
      <c r="E824" s="1192">
        <f>CEILING(100*$Z$1,0.1)</f>
        <v>125</v>
      </c>
      <c r="F824" s="1193"/>
      <c r="G824" s="1192">
        <f>CEILING(105*$Z$1,0.1)</f>
        <v>131.3</v>
      </c>
      <c r="H824" s="1193"/>
      <c r="I824" s="1192">
        <f>CEILING(95*$Z$1,0.1)</f>
        <v>118.80000000000001</v>
      </c>
      <c r="J824" s="1193"/>
      <c r="K824" s="1192">
        <f>CEILING(95*$Z$1,0.1)</f>
        <v>118.80000000000001</v>
      </c>
      <c r="L824" s="1193"/>
      <c r="M824" s="1192">
        <f>CEILING(75*$Z$1,0.1)</f>
        <v>93.80000000000001</v>
      </c>
      <c r="N824" s="1193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</row>
    <row r="825" spans="1:25" s="94" customFormat="1" ht="34.5" customHeight="1" thickBot="1">
      <c r="A825" s="469" t="s">
        <v>449</v>
      </c>
      <c r="B825" s="193" t="s">
        <v>219</v>
      </c>
      <c r="C825" s="1218">
        <f>CEILING((C824+D9212*$Z$1),0.1)</f>
        <v>93.80000000000001</v>
      </c>
      <c r="D825" s="1219"/>
      <c r="E825" s="1218">
        <f>CEILING((E824+42*$Z$1),0.1)</f>
        <v>177.5</v>
      </c>
      <c r="F825" s="1219"/>
      <c r="G825" s="1218">
        <f>CEILING((G824+42*$Z$1),0.1)</f>
        <v>183.8</v>
      </c>
      <c r="H825" s="1219"/>
      <c r="I825" s="1218">
        <f>CEILING((I824+42*$Z$1),0.1)</f>
        <v>171.3</v>
      </c>
      <c r="J825" s="1219"/>
      <c r="K825" s="1218">
        <f>CEILING((K824+42*$Z$1),0.1)</f>
        <v>171.3</v>
      </c>
      <c r="L825" s="1219"/>
      <c r="M825" s="1218">
        <f>CEILING((M824+N9212*$Z$1),0.1)</f>
        <v>93.80000000000001</v>
      </c>
      <c r="N825" s="1219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</row>
    <row r="826" spans="1:25" s="911" customFormat="1" ht="34.5" customHeight="1" thickTop="1">
      <c r="A826" s="339" t="s">
        <v>901</v>
      </c>
      <c r="B826" s="904"/>
      <c r="C826" s="163"/>
      <c r="D826" s="163"/>
      <c r="E826" s="163"/>
      <c r="F826" s="163"/>
      <c r="G826" s="163"/>
      <c r="H826" s="163"/>
      <c r="I826" s="130"/>
      <c r="J826" s="130"/>
      <c r="K826" s="99"/>
      <c r="L826" s="99"/>
      <c r="M826" s="106"/>
      <c r="N826" s="106"/>
      <c r="O826" s="687"/>
      <c r="P826" s="687"/>
      <c r="Q826" s="687"/>
      <c r="R826" s="687"/>
      <c r="S826" s="687"/>
      <c r="T826" s="687"/>
      <c r="U826" s="687"/>
      <c r="V826" s="687"/>
      <c r="W826" s="687"/>
      <c r="X826" s="687"/>
      <c r="Y826" s="687"/>
    </row>
    <row r="827" spans="1:59" s="121" customFormat="1" ht="34.5" customHeight="1">
      <c r="A827" s="832" t="s">
        <v>1289</v>
      </c>
      <c r="B827" s="832"/>
      <c r="C827" s="1171"/>
      <c r="D827" s="1171"/>
      <c r="E827" s="1171"/>
      <c r="F827" s="1171"/>
      <c r="G827" s="1171"/>
      <c r="H827" s="1143"/>
      <c r="I827" s="187"/>
      <c r="J827" s="187"/>
      <c r="K827" s="99"/>
      <c r="L827" s="99"/>
      <c r="M827" s="106"/>
      <c r="N827" s="106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100"/>
      <c r="AV827" s="100"/>
      <c r="AW827" s="100"/>
      <c r="AX827" s="100"/>
      <c r="AY827" s="100"/>
      <c r="AZ827" s="100"/>
      <c r="BA827" s="100"/>
      <c r="BB827" s="100"/>
      <c r="BC827" s="100"/>
      <c r="BD827" s="100"/>
      <c r="BE827" s="100"/>
      <c r="BF827" s="100"/>
      <c r="BG827" s="100"/>
    </row>
    <row r="828" spans="1:25" s="94" customFormat="1" ht="34.5" customHeight="1" thickBot="1">
      <c r="A828" s="483"/>
      <c r="B828" s="369"/>
      <c r="C828" s="347"/>
      <c r="D828" s="347"/>
      <c r="E828" s="347"/>
      <c r="F828" s="347"/>
      <c r="G828" s="347"/>
      <c r="H828" s="347"/>
      <c r="I828" s="127"/>
      <c r="J828" s="127"/>
      <c r="K828" s="99"/>
      <c r="L828" s="91"/>
      <c r="M828" s="108"/>
      <c r="N828" s="108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</row>
    <row r="829" spans="1:42" s="167" customFormat="1" ht="34.5" customHeight="1" thickTop="1">
      <c r="A829" s="826" t="s">
        <v>33</v>
      </c>
      <c r="B829" s="827" t="s">
        <v>568</v>
      </c>
      <c r="C829" s="828" t="s">
        <v>847</v>
      </c>
      <c r="D829" s="829"/>
      <c r="E829" s="830" t="s">
        <v>848</v>
      </c>
      <c r="F829" s="831"/>
      <c r="G829" s="830" t="s">
        <v>849</v>
      </c>
      <c r="H829" s="831"/>
      <c r="I829" s="830" t="s">
        <v>850</v>
      </c>
      <c r="J829" s="831"/>
      <c r="K829" s="830" t="s">
        <v>851</v>
      </c>
      <c r="L829" s="831"/>
      <c r="M829" s="830" t="s">
        <v>852</v>
      </c>
      <c r="N829" s="831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</row>
    <row r="830" spans="1:14" s="136" customFormat="1" ht="34.5" customHeight="1">
      <c r="A830" s="484" t="s">
        <v>371</v>
      </c>
      <c r="B830" s="289" t="s">
        <v>41</v>
      </c>
      <c r="C830" s="1194">
        <f>CEILING(45*$Z$1,0.1)</f>
        <v>56.300000000000004</v>
      </c>
      <c r="D830" s="1195"/>
      <c r="E830" s="1194">
        <f>CEILING(70*$Z$1,0.1)</f>
        <v>87.5</v>
      </c>
      <c r="F830" s="1195"/>
      <c r="G830" s="1194">
        <f>CEILING(75*$Z$1,0.1)</f>
        <v>93.80000000000001</v>
      </c>
      <c r="H830" s="1195"/>
      <c r="I830" s="1194">
        <f>CEILING(65*$Z$1,0.1)</f>
        <v>81.30000000000001</v>
      </c>
      <c r="J830" s="1195"/>
      <c r="K830" s="1194">
        <f>CEILING(65*$Z$1,0.1)</f>
        <v>81.30000000000001</v>
      </c>
      <c r="L830" s="1195"/>
      <c r="M830" s="1194">
        <f>CEILING(45*$Z$1,0.1)</f>
        <v>56.300000000000004</v>
      </c>
      <c r="N830" s="1195"/>
    </row>
    <row r="831" spans="1:14" s="136" customFormat="1" ht="34.5" customHeight="1">
      <c r="A831" s="485" t="s">
        <v>49</v>
      </c>
      <c r="B831" s="238" t="s">
        <v>42</v>
      </c>
      <c r="C831" s="1192">
        <f>CEILING((C830+18*$Z$1),0.1)</f>
        <v>78.80000000000001</v>
      </c>
      <c r="D831" s="1193"/>
      <c r="E831" s="1192">
        <f>CEILING((E830+39*$Z$1),0.1)</f>
        <v>136.3</v>
      </c>
      <c r="F831" s="1193"/>
      <c r="G831" s="1192">
        <f>CEILING((G830+39*$Z$1),0.1)</f>
        <v>142.6</v>
      </c>
      <c r="H831" s="1193"/>
      <c r="I831" s="1192">
        <f>CEILING((I830+39*$Z$1),0.1)</f>
        <v>130.1</v>
      </c>
      <c r="J831" s="1193"/>
      <c r="K831" s="1192">
        <f>CEILING((K830+39*$Z$1),0.1)</f>
        <v>130.1</v>
      </c>
      <c r="L831" s="1193"/>
      <c r="M831" s="1192">
        <f>CEILING((M830+18*$Z$1),0.1)</f>
        <v>78.80000000000001</v>
      </c>
      <c r="N831" s="1193"/>
    </row>
    <row r="832" spans="1:14" s="136" customFormat="1" ht="34.5" customHeight="1">
      <c r="A832" s="912" t="s">
        <v>742</v>
      </c>
      <c r="B832" s="245" t="s">
        <v>67</v>
      </c>
      <c r="C832" s="1192">
        <f>CEILING((C830*0.85),0.1)</f>
        <v>47.900000000000006</v>
      </c>
      <c r="D832" s="1193"/>
      <c r="E832" s="1192">
        <f>CEILING((E830*0.85),0.1)</f>
        <v>74.4</v>
      </c>
      <c r="F832" s="1193"/>
      <c r="G832" s="1192">
        <f>CEILING((G830*0.85),0.1)</f>
        <v>79.80000000000001</v>
      </c>
      <c r="H832" s="1193"/>
      <c r="I832" s="1192">
        <f>CEILING((I830*0.85),0.1)</f>
        <v>69.2</v>
      </c>
      <c r="J832" s="1193"/>
      <c r="K832" s="1192">
        <f>CEILING((K830*0.85),0.1)</f>
        <v>69.2</v>
      </c>
      <c r="L832" s="1193"/>
      <c r="M832" s="1192">
        <f>CEILING((M830*0.85),0.1)</f>
        <v>47.900000000000006</v>
      </c>
      <c r="N832" s="1193"/>
    </row>
    <row r="833" spans="1:14" s="136" customFormat="1" ht="34.5" customHeight="1">
      <c r="A833" s="485"/>
      <c r="B833" s="428" t="s">
        <v>43</v>
      </c>
      <c r="C833" s="1192">
        <f>CEILING(60*$Z$1,0.1)</f>
        <v>75</v>
      </c>
      <c r="D833" s="1193"/>
      <c r="E833" s="1192">
        <f>CEILING(85*$Z$1,0.1)</f>
        <v>106.30000000000001</v>
      </c>
      <c r="F833" s="1193"/>
      <c r="G833" s="1192">
        <f>CEILING(90*$Z$1,0.1)</f>
        <v>112.5</v>
      </c>
      <c r="H833" s="1193"/>
      <c r="I833" s="1192">
        <f>CEILING(80*$Z$1,0.1)</f>
        <v>100</v>
      </c>
      <c r="J833" s="1193"/>
      <c r="K833" s="1192">
        <f>CEILING(80*$Z$1,0.1)</f>
        <v>100</v>
      </c>
      <c r="L833" s="1193"/>
      <c r="M833" s="1192">
        <f>CEILING(60*$Z$1,0.1)</f>
        <v>75</v>
      </c>
      <c r="N833" s="1193"/>
    </row>
    <row r="834" spans="1:14" s="136" customFormat="1" ht="34.5" customHeight="1" thickBot="1">
      <c r="A834" s="469" t="s">
        <v>449</v>
      </c>
      <c r="B834" s="453" t="s">
        <v>902</v>
      </c>
      <c r="C834" s="1218">
        <f>CEILING((C833+18*$Z$1),0.1)</f>
        <v>97.5</v>
      </c>
      <c r="D834" s="1219"/>
      <c r="E834" s="1218">
        <f>CEILING((E833+39*$Z$1),0.1)</f>
        <v>155.10000000000002</v>
      </c>
      <c r="F834" s="1219"/>
      <c r="G834" s="1218">
        <f>CEILING((G833+39*$Z$1),0.1)</f>
        <v>161.3</v>
      </c>
      <c r="H834" s="1219"/>
      <c r="I834" s="1218">
        <f>CEILING((I833+39*$Z$1),0.1)</f>
        <v>148.8</v>
      </c>
      <c r="J834" s="1219"/>
      <c r="K834" s="1218">
        <f>CEILING((K833+39*$Z$1),0.1)</f>
        <v>148.8</v>
      </c>
      <c r="L834" s="1219"/>
      <c r="M834" s="1218">
        <f>CEILING((M833+18*$Z$1),0.1)</f>
        <v>97.5</v>
      </c>
      <c r="N834" s="1219"/>
    </row>
    <row r="835" spans="1:25" s="911" customFormat="1" ht="34.5" customHeight="1" thickTop="1">
      <c r="A835" s="339" t="s">
        <v>903</v>
      </c>
      <c r="B835" s="904"/>
      <c r="C835" s="163"/>
      <c r="D835" s="163"/>
      <c r="E835" s="163"/>
      <c r="F835" s="163"/>
      <c r="G835" s="163"/>
      <c r="H835" s="163"/>
      <c r="I835" s="130"/>
      <c r="J835" s="130"/>
      <c r="K835" s="99"/>
      <c r="L835" s="99"/>
      <c r="M835" s="106"/>
      <c r="N835" s="106"/>
      <c r="O835" s="687"/>
      <c r="P835" s="687"/>
      <c r="Q835" s="687"/>
      <c r="R835" s="687"/>
      <c r="S835" s="687"/>
      <c r="T835" s="687"/>
      <c r="U835" s="687"/>
      <c r="V835" s="687"/>
      <c r="W835" s="687"/>
      <c r="X835" s="687"/>
      <c r="Y835" s="687"/>
    </row>
    <row r="836" spans="1:59" s="121" customFormat="1" ht="34.5" customHeight="1">
      <c r="A836" s="832" t="s">
        <v>1288</v>
      </c>
      <c r="B836" s="832"/>
      <c r="C836" s="889"/>
      <c r="D836" s="889"/>
      <c r="E836" s="889"/>
      <c r="F836" s="889"/>
      <c r="G836" s="889"/>
      <c r="H836" s="889"/>
      <c r="I836" s="187"/>
      <c r="J836" s="187"/>
      <c r="K836" s="99"/>
      <c r="L836" s="99"/>
      <c r="M836" s="106"/>
      <c r="N836" s="106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  <c r="AZ836" s="100"/>
      <c r="BA836" s="100"/>
      <c r="BB836" s="100"/>
      <c r="BC836" s="100"/>
      <c r="BD836" s="100"/>
      <c r="BE836" s="100"/>
      <c r="BF836" s="100"/>
      <c r="BG836" s="100"/>
    </row>
    <row r="837" spans="1:25" s="94" customFormat="1" ht="34.5" customHeight="1" thickBot="1">
      <c r="A837" s="483"/>
      <c r="B837" s="486"/>
      <c r="C837" s="347"/>
      <c r="D837" s="347"/>
      <c r="E837" s="347"/>
      <c r="F837" s="347"/>
      <c r="G837" s="347"/>
      <c r="H837" s="347"/>
      <c r="I837" s="127"/>
      <c r="J837" s="127"/>
      <c r="K837" s="99"/>
      <c r="L837" s="91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</row>
    <row r="838" spans="1:42" s="167" customFormat="1" ht="34.5" customHeight="1" thickTop="1">
      <c r="A838" s="837" t="s">
        <v>33</v>
      </c>
      <c r="B838" s="838" t="s">
        <v>568</v>
      </c>
      <c r="C838" s="839" t="s">
        <v>847</v>
      </c>
      <c r="D838" s="840"/>
      <c r="E838" s="841" t="s">
        <v>870</v>
      </c>
      <c r="F838" s="842"/>
      <c r="G838" s="841" t="s">
        <v>850</v>
      </c>
      <c r="H838" s="842"/>
      <c r="I838" s="841" t="s">
        <v>851</v>
      </c>
      <c r="J838" s="842"/>
      <c r="K838" s="841" t="s">
        <v>852</v>
      </c>
      <c r="L838" s="842"/>
      <c r="M838" s="151"/>
      <c r="N838" s="151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6"/>
      <c r="AK838" s="166"/>
      <c r="AL838" s="166"/>
      <c r="AM838" s="166"/>
      <c r="AN838" s="166"/>
      <c r="AO838" s="166"/>
      <c r="AP838" s="166"/>
    </row>
    <row r="839" spans="1:25" s="94" customFormat="1" ht="34.5" customHeight="1">
      <c r="A839" s="487" t="s">
        <v>370</v>
      </c>
      <c r="B839" s="189" t="s">
        <v>41</v>
      </c>
      <c r="C839" s="1194">
        <f>CEILING(70*$Z$1,0.1)</f>
        <v>87.5</v>
      </c>
      <c r="D839" s="1195"/>
      <c r="E839" s="1194">
        <f>CEILING(94*$Z$1,0.1)</f>
        <v>117.5</v>
      </c>
      <c r="F839" s="1195"/>
      <c r="G839" s="1194">
        <f>CEILING(80*$Z$1,0.1)</f>
        <v>100</v>
      </c>
      <c r="H839" s="1195"/>
      <c r="I839" s="1194">
        <f>CEILING(85*$Z$1,0.1)</f>
        <v>106.30000000000001</v>
      </c>
      <c r="J839" s="1195"/>
      <c r="K839" s="1194">
        <f>CEILING(70*$Z$1,0.1)</f>
        <v>87.5</v>
      </c>
      <c r="L839" s="1195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</row>
    <row r="840" spans="1:23" s="94" customFormat="1" ht="34.5" customHeight="1">
      <c r="A840" s="297" t="s">
        <v>35</v>
      </c>
      <c r="B840" s="190" t="s">
        <v>42</v>
      </c>
      <c r="C840" s="1192">
        <f>CEILING((C839+30*$Z$1),0.1)</f>
        <v>125</v>
      </c>
      <c r="D840" s="1193"/>
      <c r="E840" s="1192">
        <f>CEILING((E839+25*$Z$1),0.1)</f>
        <v>148.8</v>
      </c>
      <c r="F840" s="1193"/>
      <c r="G840" s="1192">
        <f>CEILING((G839+25*$Z$1),0.1)</f>
        <v>131.3</v>
      </c>
      <c r="H840" s="1193"/>
      <c r="I840" s="1192">
        <f>CEILING((I839+25*$Z$1),0.1)</f>
        <v>137.6</v>
      </c>
      <c r="J840" s="1193"/>
      <c r="K840" s="1192">
        <f>CEILING((K839+30*$Z$1),0.1)</f>
        <v>125</v>
      </c>
      <c r="L840" s="1193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</row>
    <row r="841" spans="1:21" s="94" customFormat="1" ht="34.5" customHeight="1">
      <c r="A841" s="297"/>
      <c r="B841" s="192" t="s">
        <v>67</v>
      </c>
      <c r="C841" s="1192">
        <f>CEILING(60*$Z$1,0.1)</f>
        <v>75</v>
      </c>
      <c r="D841" s="1193"/>
      <c r="E841" s="1192">
        <f>CEILING(80*$Z$1,0.1)</f>
        <v>100</v>
      </c>
      <c r="F841" s="1193"/>
      <c r="G841" s="1192">
        <f>CEILING(68*$Z$1,0.1)</f>
        <v>85</v>
      </c>
      <c r="H841" s="1193"/>
      <c r="I841" s="1192">
        <f>CEILING(72*$Z$1,0.1)</f>
        <v>90</v>
      </c>
      <c r="J841" s="1193"/>
      <c r="K841" s="1192">
        <f>CEILING(60*$Z$1,0.1)</f>
        <v>75</v>
      </c>
      <c r="L841" s="1193"/>
      <c r="M841" s="92"/>
      <c r="N841" s="92"/>
      <c r="O841" s="92"/>
      <c r="P841" s="92"/>
      <c r="Q841" s="92"/>
      <c r="R841" s="92"/>
      <c r="S841" s="92"/>
      <c r="T841" s="92"/>
      <c r="U841" s="92"/>
    </row>
    <row r="842" spans="1:21" s="94" customFormat="1" ht="34.5" customHeight="1">
      <c r="A842" s="488"/>
      <c r="B842" s="172" t="s">
        <v>66</v>
      </c>
      <c r="C842" s="1192">
        <f>CEILING(35*$Z$1,0.1)</f>
        <v>43.800000000000004</v>
      </c>
      <c r="D842" s="1193"/>
      <c r="E842" s="1192">
        <f>CEILING(47*$Z$1,0.1)</f>
        <v>58.800000000000004</v>
      </c>
      <c r="F842" s="1193"/>
      <c r="G842" s="1192">
        <f>CEILING(40*$Z$1,0.1)</f>
        <v>50</v>
      </c>
      <c r="H842" s="1193"/>
      <c r="I842" s="1192">
        <f>CEILING(43*$Z$1,0.1)</f>
        <v>53.800000000000004</v>
      </c>
      <c r="J842" s="1193"/>
      <c r="K842" s="1192">
        <f>CEILING(35*$Z$1,0.1)</f>
        <v>43.800000000000004</v>
      </c>
      <c r="L842" s="1193"/>
      <c r="M842" s="92"/>
      <c r="N842" s="92"/>
      <c r="O842" s="92"/>
      <c r="P842" s="92"/>
      <c r="Q842" s="92"/>
      <c r="R842" s="92"/>
      <c r="S842" s="92"/>
      <c r="T842" s="92"/>
      <c r="U842" s="92"/>
    </row>
    <row r="843" spans="1:23" s="94" customFormat="1" ht="34.5" customHeight="1" thickBot="1">
      <c r="A843" s="399" t="s">
        <v>825</v>
      </c>
      <c r="B843" s="246" t="s">
        <v>97</v>
      </c>
      <c r="C843" s="1218">
        <f>CEILING(90*$Z$1,0.1)</f>
        <v>112.5</v>
      </c>
      <c r="D843" s="1219"/>
      <c r="E843" s="1218">
        <f>CEILING(114*$Z$1,0.1)</f>
        <v>142.5</v>
      </c>
      <c r="F843" s="1219"/>
      <c r="G843" s="1218">
        <f>CEILING(100*$Z$1,0.1)</f>
        <v>125</v>
      </c>
      <c r="H843" s="1219"/>
      <c r="I843" s="1218">
        <f>CEILING(105*$Z$1,0.1)</f>
        <v>131.3</v>
      </c>
      <c r="J843" s="1219"/>
      <c r="K843" s="1218">
        <f>CEILING(90*$Z$1,0.1)</f>
        <v>112.5</v>
      </c>
      <c r="L843" s="1219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</row>
    <row r="844" spans="1:37" s="926" customFormat="1" ht="34.5" customHeight="1" thickTop="1">
      <c r="A844" s="1033" t="s">
        <v>803</v>
      </c>
      <c r="B844" s="963"/>
      <c r="C844" s="1034"/>
      <c r="D844" s="1034"/>
      <c r="E844" s="1034"/>
      <c r="F844" s="1035"/>
      <c r="G844" s="1035"/>
      <c r="H844" s="1035"/>
      <c r="I844" s="1035"/>
      <c r="J844" s="1035"/>
      <c r="K844" s="962"/>
      <c r="L844" s="962"/>
      <c r="M844" s="925"/>
      <c r="N844" s="925"/>
      <c r="O844" s="925"/>
      <c r="P844" s="925"/>
      <c r="Q844" s="925"/>
      <c r="R844" s="925"/>
      <c r="S844" s="925"/>
      <c r="T844" s="925"/>
      <c r="U844" s="925"/>
      <c r="V844" s="925"/>
      <c r="W844" s="925"/>
      <c r="X844" s="925"/>
      <c r="Y844" s="925"/>
      <c r="Z844" s="925"/>
      <c r="AA844" s="925"/>
      <c r="AB844" s="925"/>
      <c r="AC844" s="925"/>
      <c r="AD844" s="925"/>
      <c r="AE844" s="925"/>
      <c r="AF844" s="925"/>
      <c r="AG844" s="925"/>
      <c r="AH844" s="925"/>
      <c r="AI844" s="925"/>
      <c r="AJ844" s="925"/>
      <c r="AK844" s="925"/>
    </row>
    <row r="845" spans="1:25" s="94" customFormat="1" ht="34.5" customHeight="1">
      <c r="A845" s="387"/>
      <c r="B845" s="205"/>
      <c r="C845" s="127"/>
      <c r="D845" s="127"/>
      <c r="E845" s="127"/>
      <c r="F845" s="127"/>
      <c r="G845" s="127"/>
      <c r="H845" s="127"/>
      <c r="I845" s="127"/>
      <c r="J845" s="127"/>
      <c r="K845" s="135"/>
      <c r="L845" s="135"/>
      <c r="M845" s="108"/>
      <c r="N845" s="108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</row>
    <row r="846" spans="1:42" s="167" customFormat="1" ht="34.5" customHeight="1">
      <c r="A846" s="837" t="s">
        <v>33</v>
      </c>
      <c r="B846" s="838" t="s">
        <v>568</v>
      </c>
      <c r="C846" s="839" t="s">
        <v>847</v>
      </c>
      <c r="D846" s="840"/>
      <c r="E846" s="841" t="s">
        <v>870</v>
      </c>
      <c r="F846" s="842"/>
      <c r="G846" s="841" t="s">
        <v>850</v>
      </c>
      <c r="H846" s="842"/>
      <c r="I846" s="841" t="s">
        <v>851</v>
      </c>
      <c r="J846" s="842"/>
      <c r="K846" s="841" t="s">
        <v>852</v>
      </c>
      <c r="L846" s="842"/>
      <c r="M846" s="151"/>
      <c r="N846" s="151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</row>
    <row r="847" spans="1:25" s="94" customFormat="1" ht="34.5" customHeight="1">
      <c r="A847" s="242" t="s">
        <v>145</v>
      </c>
      <c r="B847" s="490" t="s">
        <v>34</v>
      </c>
      <c r="C847" s="1194">
        <f>CEILING(115*$Z$1,0.1)</f>
        <v>143.8</v>
      </c>
      <c r="D847" s="1195"/>
      <c r="E847" s="1194">
        <f>CEILING(160*$Z$1,0.1)</f>
        <v>200</v>
      </c>
      <c r="F847" s="1195"/>
      <c r="G847" s="1194">
        <f>CEILING(130*$Z$1,0.1)</f>
        <v>162.5</v>
      </c>
      <c r="H847" s="1195"/>
      <c r="I847" s="1194">
        <f>CEILING(135*$Z$1,0.1)</f>
        <v>168.8</v>
      </c>
      <c r="J847" s="1195"/>
      <c r="K847" s="1194">
        <f>CEILING(120*$Z$1,0.1)</f>
        <v>150</v>
      </c>
      <c r="L847" s="1195"/>
      <c r="M847" s="108"/>
      <c r="N847" s="108"/>
      <c r="O847" s="127"/>
      <c r="P847" s="491"/>
      <c r="Q847" s="92"/>
      <c r="R847" s="92"/>
      <c r="S847" s="92"/>
      <c r="T847" s="92"/>
      <c r="U847" s="92"/>
      <c r="V847" s="92"/>
      <c r="W847" s="92"/>
      <c r="X847" s="92"/>
      <c r="Y847" s="92"/>
    </row>
    <row r="848" spans="1:25" s="94" customFormat="1" ht="34.5" customHeight="1">
      <c r="A848" s="492"/>
      <c r="B848" s="270" t="s">
        <v>36</v>
      </c>
      <c r="C848" s="1192">
        <f>CEILING((C847+60*$Z$1),0.1)</f>
        <v>218.8</v>
      </c>
      <c r="D848" s="1193"/>
      <c r="E848" s="1192">
        <f>CEILING((E847+60*$Z$1),0.1)</f>
        <v>275</v>
      </c>
      <c r="F848" s="1193"/>
      <c r="G848" s="1192">
        <f>CEILING((G847+60*$Z$1),0.1)</f>
        <v>237.5</v>
      </c>
      <c r="H848" s="1193"/>
      <c r="I848" s="1192">
        <f>CEILING((I847+60*$Z$1),0.1)</f>
        <v>243.8</v>
      </c>
      <c r="J848" s="1193"/>
      <c r="K848" s="1192">
        <f>CEILING((K847+60*$Z$1),0.1)</f>
        <v>225</v>
      </c>
      <c r="L848" s="1193"/>
      <c r="M848" s="108"/>
      <c r="N848" s="108"/>
      <c r="O848" s="127"/>
      <c r="P848" s="491"/>
      <c r="Q848" s="92"/>
      <c r="R848" s="92"/>
      <c r="S848" s="92"/>
      <c r="T848" s="92"/>
      <c r="U848" s="92"/>
      <c r="V848" s="92"/>
      <c r="W848" s="92"/>
      <c r="X848" s="92"/>
      <c r="Y848" s="92"/>
    </row>
    <row r="849" spans="1:25" s="94" customFormat="1" ht="34.5" customHeight="1">
      <c r="A849" s="493" t="s">
        <v>745</v>
      </c>
      <c r="B849" s="270" t="s">
        <v>240</v>
      </c>
      <c r="C849" s="1192">
        <f>CEILING(125*$Z$1,0.1)</f>
        <v>156.3</v>
      </c>
      <c r="D849" s="1193"/>
      <c r="E849" s="1192">
        <f>CEILING(170*$Z$1,0.1)</f>
        <v>212.5</v>
      </c>
      <c r="F849" s="1193"/>
      <c r="G849" s="1192">
        <f>CEILING(140*$Z$1,0.1)</f>
        <v>175</v>
      </c>
      <c r="H849" s="1193"/>
      <c r="I849" s="1192">
        <f>CEILING(145*$Z$1,0.1)</f>
        <v>181.3</v>
      </c>
      <c r="J849" s="1193"/>
      <c r="K849" s="1192">
        <f>CEILING(130*$Z$1,0.1)</f>
        <v>162.5</v>
      </c>
      <c r="L849" s="1193"/>
      <c r="M849" s="108"/>
      <c r="N849" s="108"/>
      <c r="O849" s="127"/>
      <c r="P849" s="491"/>
      <c r="Q849" s="92"/>
      <c r="R849" s="92"/>
      <c r="S849" s="92"/>
      <c r="T849" s="92"/>
      <c r="U849" s="92"/>
      <c r="V849" s="92"/>
      <c r="W849" s="92"/>
      <c r="X849" s="92"/>
      <c r="Y849" s="92"/>
    </row>
    <row r="850" spans="1:25" s="94" customFormat="1" ht="34.5" customHeight="1">
      <c r="A850" s="492"/>
      <c r="B850" s="494" t="s">
        <v>241</v>
      </c>
      <c r="C850" s="1192">
        <f>CEILING(135*$Z$1,0.1)</f>
        <v>168.8</v>
      </c>
      <c r="D850" s="1193"/>
      <c r="E850" s="1192">
        <f>CEILING(180*$Z$1,0.1)</f>
        <v>225</v>
      </c>
      <c r="F850" s="1193"/>
      <c r="G850" s="1192">
        <f>CEILING(150*$Z$1,0.1)</f>
        <v>187.5</v>
      </c>
      <c r="H850" s="1193"/>
      <c r="I850" s="1192">
        <f>CEILING(155*$Z$1,0.1)</f>
        <v>193.8</v>
      </c>
      <c r="J850" s="1193"/>
      <c r="K850" s="1192">
        <f>CEILING(140*$Z$1,0.1)</f>
        <v>175</v>
      </c>
      <c r="L850" s="1193"/>
      <c r="M850" s="108"/>
      <c r="N850" s="108"/>
      <c r="O850" s="127"/>
      <c r="P850" s="491"/>
      <c r="Q850" s="92"/>
      <c r="R850" s="92"/>
      <c r="S850" s="92"/>
      <c r="T850" s="92"/>
      <c r="U850" s="92"/>
      <c r="V850" s="92"/>
      <c r="W850" s="92"/>
      <c r="X850" s="92"/>
      <c r="Y850" s="92"/>
    </row>
    <row r="851" spans="1:25" s="94" customFormat="1" ht="34.5" customHeight="1" thickBot="1">
      <c r="A851" s="495" t="s">
        <v>303</v>
      </c>
      <c r="B851" s="193" t="s">
        <v>146</v>
      </c>
      <c r="C851" s="1218">
        <f>CEILING(235*$Z$1,0.1)</f>
        <v>293.8</v>
      </c>
      <c r="D851" s="1219"/>
      <c r="E851" s="1218">
        <f>CEILING(280*$Z$1,0.1)</f>
        <v>350</v>
      </c>
      <c r="F851" s="1219"/>
      <c r="G851" s="1218">
        <f>CEILING(250*$Z$1,0.1)</f>
        <v>312.5</v>
      </c>
      <c r="H851" s="1219"/>
      <c r="I851" s="1218">
        <f>CEILING(255*$Z$1,0.1)</f>
        <v>318.8</v>
      </c>
      <c r="J851" s="1219"/>
      <c r="K851" s="1218">
        <f>CEILING(240*$Z$1,0.1)</f>
        <v>300</v>
      </c>
      <c r="L851" s="1219"/>
      <c r="M851" s="108"/>
      <c r="N851" s="108"/>
      <c r="O851" s="127"/>
      <c r="P851" s="491"/>
      <c r="Q851" s="92"/>
      <c r="R851" s="92"/>
      <c r="S851" s="92"/>
      <c r="T851" s="92"/>
      <c r="U851" s="92"/>
      <c r="V851" s="92"/>
      <c r="W851" s="92"/>
      <c r="X851" s="92"/>
      <c r="Y851" s="92"/>
    </row>
    <row r="852" spans="1:25" s="133" customFormat="1" ht="34.5" customHeight="1" thickTop="1">
      <c r="A852" s="1222" t="s">
        <v>904</v>
      </c>
      <c r="B852" s="1222"/>
      <c r="C852" s="1222"/>
      <c r="D852" s="1222"/>
      <c r="E852" s="1222"/>
      <c r="F852" s="1222"/>
      <c r="G852" s="1222"/>
      <c r="H852" s="1222"/>
      <c r="I852" s="1222"/>
      <c r="J852" s="1222"/>
      <c r="K852" s="913"/>
      <c r="L852" s="913"/>
      <c r="M852" s="108"/>
      <c r="N852" s="108"/>
      <c r="O852" s="887"/>
      <c r="P852" s="914"/>
      <c r="Q852" s="129"/>
      <c r="R852" s="129"/>
      <c r="S852" s="129"/>
      <c r="T852" s="129"/>
      <c r="U852" s="129"/>
      <c r="V852" s="129"/>
      <c r="W852" s="129"/>
      <c r="X852" s="129"/>
      <c r="Y852" s="129"/>
    </row>
    <row r="853" spans="1:59" s="121" customFormat="1" ht="34.5" customHeight="1">
      <c r="A853" s="832" t="s">
        <v>905</v>
      </c>
      <c r="B853" s="833"/>
      <c r="C853" s="889"/>
      <c r="D853" s="889"/>
      <c r="E853" s="889"/>
      <c r="F853" s="889"/>
      <c r="G853" s="889"/>
      <c r="H853" s="889"/>
      <c r="I853" s="187"/>
      <c r="J853" s="187"/>
      <c r="K853" s="99"/>
      <c r="L853" s="99"/>
      <c r="M853" s="106"/>
      <c r="N853" s="106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100"/>
      <c r="AV853" s="100"/>
      <c r="AW853" s="100"/>
      <c r="AX853" s="100"/>
      <c r="AY853" s="100"/>
      <c r="AZ853" s="100"/>
      <c r="BA853" s="100"/>
      <c r="BB853" s="100"/>
      <c r="BC853" s="100"/>
      <c r="BD853" s="100"/>
      <c r="BE853" s="100"/>
      <c r="BF853" s="100"/>
      <c r="BG853" s="100"/>
    </row>
    <row r="854" spans="1:25" s="94" customFormat="1" ht="34.5" customHeight="1" thickBot="1">
      <c r="A854" s="483"/>
      <c r="B854" s="278"/>
      <c r="C854" s="278"/>
      <c r="D854" s="278"/>
      <c r="E854" s="278"/>
      <c r="F854" s="278"/>
      <c r="G854" s="278"/>
      <c r="H854" s="278"/>
      <c r="I854" s="140"/>
      <c r="J854" s="140"/>
      <c r="K854" s="119"/>
      <c r="L854" s="119"/>
      <c r="M854" s="108"/>
      <c r="N854" s="108"/>
      <c r="O854" s="127"/>
      <c r="P854" s="491"/>
      <c r="Q854" s="92"/>
      <c r="R854" s="92"/>
      <c r="S854" s="92"/>
      <c r="T854" s="92"/>
      <c r="U854" s="92"/>
      <c r="V854" s="92"/>
      <c r="W854" s="92"/>
      <c r="X854" s="92"/>
      <c r="Y854" s="92"/>
    </row>
    <row r="855" spans="1:42" s="167" customFormat="1" ht="34.5" customHeight="1" thickTop="1">
      <c r="A855" s="837" t="s">
        <v>33</v>
      </c>
      <c r="B855" s="838" t="s">
        <v>568</v>
      </c>
      <c r="C855" s="839" t="s">
        <v>847</v>
      </c>
      <c r="D855" s="840"/>
      <c r="E855" s="841" t="s">
        <v>870</v>
      </c>
      <c r="F855" s="842"/>
      <c r="G855" s="841" t="s">
        <v>850</v>
      </c>
      <c r="H855" s="842"/>
      <c r="I855" s="841" t="s">
        <v>851</v>
      </c>
      <c r="J855" s="842"/>
      <c r="K855" s="841" t="s">
        <v>852</v>
      </c>
      <c r="L855" s="842"/>
      <c r="M855" s="151"/>
      <c r="N855" s="151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</row>
    <row r="856" spans="1:25" s="94" customFormat="1" ht="34.5" customHeight="1">
      <c r="A856" s="296" t="s">
        <v>376</v>
      </c>
      <c r="B856" s="490" t="s">
        <v>34</v>
      </c>
      <c r="C856" s="1194">
        <f>CEILING(47*$Z$1,0.1)</f>
        <v>58.800000000000004</v>
      </c>
      <c r="D856" s="1195"/>
      <c r="E856" s="1194">
        <f>CEILING(65*$Z$1,0.1)</f>
        <v>81.30000000000001</v>
      </c>
      <c r="F856" s="1195"/>
      <c r="G856" s="1194">
        <f>CEILING(57*$Z$1,0.1)</f>
        <v>71.3</v>
      </c>
      <c r="H856" s="1195"/>
      <c r="I856" s="1194">
        <f>CEILING(50*$Z$1,0.1)</f>
        <v>62.5</v>
      </c>
      <c r="J856" s="1195"/>
      <c r="K856" s="1194">
        <f>CEILING(47*$Z$1,0.1)</f>
        <v>58.800000000000004</v>
      </c>
      <c r="L856" s="1195"/>
      <c r="M856" s="108"/>
      <c r="N856" s="108"/>
      <c r="O856" s="127"/>
      <c r="P856" s="491"/>
      <c r="Q856" s="92"/>
      <c r="R856" s="92"/>
      <c r="S856" s="92"/>
      <c r="T856" s="92"/>
      <c r="U856" s="92"/>
      <c r="V856" s="92"/>
      <c r="W856" s="92"/>
      <c r="X856" s="92"/>
      <c r="Y856" s="92"/>
    </row>
    <row r="857" spans="1:25" s="94" customFormat="1" ht="34.5" customHeight="1">
      <c r="A857" s="244" t="s">
        <v>35</v>
      </c>
      <c r="B857" s="270" t="s">
        <v>36</v>
      </c>
      <c r="C857" s="1192">
        <f>CEILING((C856+25*$Z$1),0.1)</f>
        <v>90.10000000000001</v>
      </c>
      <c r="D857" s="1193"/>
      <c r="E857" s="1192">
        <f>CEILING((E856+25*$Z$1),0.1)</f>
        <v>112.60000000000001</v>
      </c>
      <c r="F857" s="1193"/>
      <c r="G857" s="1192">
        <f>CEILING((G856+25*$Z$1),0.1)</f>
        <v>102.60000000000001</v>
      </c>
      <c r="H857" s="1193"/>
      <c r="I857" s="1192">
        <f>CEILING((I856+25*$Z$1),0.1)</f>
        <v>93.80000000000001</v>
      </c>
      <c r="J857" s="1193"/>
      <c r="K857" s="1192">
        <f>CEILING((K856+25*$Z$1),0.1)</f>
        <v>90.10000000000001</v>
      </c>
      <c r="L857" s="1193"/>
      <c r="M857" s="108"/>
      <c r="N857" s="108"/>
      <c r="O857" s="127"/>
      <c r="P857" s="491"/>
      <c r="Q857" s="92"/>
      <c r="R857" s="92"/>
      <c r="S857" s="92"/>
      <c r="T857" s="92"/>
      <c r="U857" s="92"/>
      <c r="V857" s="92"/>
      <c r="W857" s="92"/>
      <c r="X857" s="92"/>
      <c r="Y857" s="92"/>
    </row>
    <row r="858" spans="1:25" s="94" customFormat="1" ht="34.5" customHeight="1">
      <c r="A858" s="244"/>
      <c r="B858" s="190" t="s">
        <v>67</v>
      </c>
      <c r="C858" s="1192">
        <f>CEILING((C856*0.85),0.1)</f>
        <v>50</v>
      </c>
      <c r="D858" s="1193"/>
      <c r="E858" s="1192">
        <f>CEILING((E856*0.85),0.1)</f>
        <v>69.2</v>
      </c>
      <c r="F858" s="1193"/>
      <c r="G858" s="1192">
        <f>CEILING((G856*0.85),0.1)</f>
        <v>60.7</v>
      </c>
      <c r="H858" s="1193"/>
      <c r="I858" s="1192">
        <f>CEILING((I856*0.85),0.1)</f>
        <v>53.2</v>
      </c>
      <c r="J858" s="1193"/>
      <c r="K858" s="1192">
        <f>CEILING((K856*0.85),0.1)</f>
        <v>50</v>
      </c>
      <c r="L858" s="1193"/>
      <c r="M858" s="108"/>
      <c r="N858" s="108"/>
      <c r="O858" s="127"/>
      <c r="P858" s="491"/>
      <c r="Q858" s="92"/>
      <c r="R858" s="92"/>
      <c r="S858" s="92"/>
      <c r="T858" s="92"/>
      <c r="U858" s="92"/>
      <c r="V858" s="92"/>
      <c r="W858" s="92"/>
      <c r="X858" s="92"/>
      <c r="Y858" s="92"/>
    </row>
    <row r="859" spans="1:25" s="94" customFormat="1" ht="34.5" customHeight="1">
      <c r="A859" s="115"/>
      <c r="B859" s="340" t="s">
        <v>66</v>
      </c>
      <c r="C859" s="1192">
        <f>CEILING((C856*0.5),0.1)</f>
        <v>29.400000000000002</v>
      </c>
      <c r="D859" s="1193"/>
      <c r="E859" s="1192">
        <f>CEILING((E856*0.5),0.1)</f>
        <v>40.7</v>
      </c>
      <c r="F859" s="1193"/>
      <c r="G859" s="1192">
        <f>CEILING((G856*0.5),0.1)</f>
        <v>35.7</v>
      </c>
      <c r="H859" s="1193"/>
      <c r="I859" s="1192">
        <f>CEILING((I856*0.5),0.1)</f>
        <v>31.3</v>
      </c>
      <c r="J859" s="1193"/>
      <c r="K859" s="1192">
        <f>CEILING((K856*0),0.1)</f>
        <v>0</v>
      </c>
      <c r="L859" s="1193"/>
      <c r="M859" s="108"/>
      <c r="N859" s="108"/>
      <c r="O859" s="127"/>
      <c r="P859" s="491"/>
      <c r="Q859" s="92"/>
      <c r="R859" s="92"/>
      <c r="S859" s="92"/>
      <c r="T859" s="92"/>
      <c r="U859" s="92"/>
      <c r="V859" s="92"/>
      <c r="W859" s="92"/>
      <c r="X859" s="92"/>
      <c r="Y859" s="92"/>
    </row>
    <row r="860" spans="1:25" s="94" customFormat="1" ht="34.5" customHeight="1">
      <c r="A860" s="244"/>
      <c r="B860" s="279" t="s">
        <v>377</v>
      </c>
      <c r="C860" s="1192">
        <f>CEILING(55*$Z$1,0.1)</f>
        <v>68.8</v>
      </c>
      <c r="D860" s="1193"/>
      <c r="E860" s="1192">
        <f>CEILING(73*$Z$1,0.1)</f>
        <v>91.30000000000001</v>
      </c>
      <c r="F860" s="1193"/>
      <c r="G860" s="1192">
        <f>CEILING(65*$Z$1,0.1)</f>
        <v>81.30000000000001</v>
      </c>
      <c r="H860" s="1193"/>
      <c r="I860" s="1192">
        <f>CEILING(58*$Z$1,0.1)</f>
        <v>72.5</v>
      </c>
      <c r="J860" s="1193"/>
      <c r="K860" s="1192">
        <f>CEILING(55*$Z$1,0.1)</f>
        <v>68.8</v>
      </c>
      <c r="L860" s="1193"/>
      <c r="M860" s="108"/>
      <c r="N860" s="108"/>
      <c r="O860" s="127"/>
      <c r="P860" s="491"/>
      <c r="Q860" s="92"/>
      <c r="R860" s="92"/>
      <c r="S860" s="92"/>
      <c r="T860" s="92"/>
      <c r="U860" s="92"/>
      <c r="V860" s="92"/>
      <c r="W860" s="92"/>
      <c r="X860" s="92"/>
      <c r="Y860" s="92"/>
    </row>
    <row r="861" spans="1:25" s="94" customFormat="1" ht="34.5" customHeight="1">
      <c r="A861" s="244"/>
      <c r="B861" s="279" t="s">
        <v>587</v>
      </c>
      <c r="C861" s="1192">
        <f>CEILING(72*$Z$1,0.1)</f>
        <v>90</v>
      </c>
      <c r="D861" s="1193"/>
      <c r="E861" s="1192">
        <f>CEILING(90*$Z$1,0.1)</f>
        <v>112.5</v>
      </c>
      <c r="F861" s="1193"/>
      <c r="G861" s="1192">
        <f>CEILING(82*$Z$1,0.1)</f>
        <v>102.5</v>
      </c>
      <c r="H861" s="1193"/>
      <c r="I861" s="1192">
        <f>CEILING(75*$Z$1,0.1)</f>
        <v>93.80000000000001</v>
      </c>
      <c r="J861" s="1193"/>
      <c r="K861" s="1192">
        <f>CEILING(72*$Z$1,0.1)</f>
        <v>90</v>
      </c>
      <c r="L861" s="1193"/>
      <c r="M861" s="108"/>
      <c r="N861" s="108"/>
      <c r="O861" s="127"/>
      <c r="P861" s="491"/>
      <c r="Q861" s="92"/>
      <c r="R861" s="92"/>
      <c r="S861" s="92"/>
      <c r="T861" s="92"/>
      <c r="U861" s="92"/>
      <c r="V861" s="92"/>
      <c r="W861" s="92"/>
      <c r="X861" s="92"/>
      <c r="Y861" s="92"/>
    </row>
    <row r="862" spans="1:25" s="94" customFormat="1" ht="34.5" customHeight="1" thickBot="1">
      <c r="A862" s="308" t="s">
        <v>302</v>
      </c>
      <c r="B862" s="496" t="s">
        <v>588</v>
      </c>
      <c r="C862" s="1218">
        <f>CEILING(57*$Z$1,0.1)</f>
        <v>71.3</v>
      </c>
      <c r="D862" s="1219"/>
      <c r="E862" s="1218">
        <f>CEILING(75*$Z$1,0.1)</f>
        <v>93.80000000000001</v>
      </c>
      <c r="F862" s="1219"/>
      <c r="G862" s="1218">
        <f>CEILING(67*$Z$1,0.1)</f>
        <v>83.80000000000001</v>
      </c>
      <c r="H862" s="1219"/>
      <c r="I862" s="1218">
        <f>CEILING(60*$Z$1,0.1)</f>
        <v>75</v>
      </c>
      <c r="J862" s="1219"/>
      <c r="K862" s="1218">
        <f>CEILING(57*$Z$1,0.1)</f>
        <v>71.3</v>
      </c>
      <c r="L862" s="1219"/>
      <c r="M862" s="108"/>
      <c r="N862" s="108"/>
      <c r="O862" s="127"/>
      <c r="P862" s="491"/>
      <c r="Q862" s="92"/>
      <c r="R862" s="92"/>
      <c r="S862" s="92"/>
      <c r="T862" s="92"/>
      <c r="U862" s="92"/>
      <c r="V862" s="92"/>
      <c r="W862" s="92"/>
      <c r="X862" s="92"/>
      <c r="Y862" s="92"/>
    </row>
    <row r="863" spans="1:25" s="94" customFormat="1" ht="34.5" customHeight="1" thickTop="1">
      <c r="A863" s="339" t="s">
        <v>378</v>
      </c>
      <c r="B863" s="205"/>
      <c r="C863" s="887"/>
      <c r="D863" s="887"/>
      <c r="E863" s="887"/>
      <c r="F863" s="887"/>
      <c r="G863" s="887"/>
      <c r="H863" s="887"/>
      <c r="I863" s="887"/>
      <c r="J863" s="887"/>
      <c r="K863" s="119"/>
      <c r="L863" s="119"/>
      <c r="M863" s="108"/>
      <c r="N863" s="108"/>
      <c r="O863" s="887"/>
      <c r="P863" s="491"/>
      <c r="Q863" s="92"/>
      <c r="R863" s="92"/>
      <c r="S863" s="92"/>
      <c r="T863" s="92"/>
      <c r="U863" s="92"/>
      <c r="V863" s="92"/>
      <c r="W863" s="92"/>
      <c r="X863" s="92"/>
      <c r="Y863" s="92"/>
    </row>
    <row r="864" spans="1:59" s="121" customFormat="1" ht="34.5" customHeight="1">
      <c r="A864" s="832" t="s">
        <v>906</v>
      </c>
      <c r="B864" s="833"/>
      <c r="C864" s="889"/>
      <c r="D864" s="889"/>
      <c r="E864" s="889"/>
      <c r="F864" s="889"/>
      <c r="G864" s="889"/>
      <c r="H864" s="889"/>
      <c r="I864" s="187"/>
      <c r="J864" s="187"/>
      <c r="K864" s="99"/>
      <c r="L864" s="99"/>
      <c r="M864" s="106"/>
      <c r="N864" s="106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100"/>
      <c r="AV864" s="100"/>
      <c r="AW864" s="100"/>
      <c r="AX864" s="100"/>
      <c r="AY864" s="100"/>
      <c r="AZ864" s="100"/>
      <c r="BA864" s="100"/>
      <c r="BB864" s="100"/>
      <c r="BC864" s="100"/>
      <c r="BD864" s="100"/>
      <c r="BE864" s="100"/>
      <c r="BF864" s="100"/>
      <c r="BG864" s="100"/>
    </row>
    <row r="865" spans="1:25" s="94" customFormat="1" ht="34.5" customHeight="1">
      <c r="A865" s="234"/>
      <c r="B865" s="205"/>
      <c r="C865" s="127"/>
      <c r="D865" s="127"/>
      <c r="E865" s="127"/>
      <c r="F865" s="127"/>
      <c r="G865" s="127"/>
      <c r="H865" s="127"/>
      <c r="I865" s="127"/>
      <c r="J865" s="127"/>
      <c r="K865" s="135"/>
      <c r="L865" s="135"/>
      <c r="M865" s="97"/>
      <c r="N865" s="98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</row>
    <row r="866" spans="1:42" s="167" customFormat="1" ht="34.5" customHeight="1">
      <c r="A866" s="837" t="s">
        <v>33</v>
      </c>
      <c r="B866" s="838" t="s">
        <v>568</v>
      </c>
      <c r="C866" s="839" t="s">
        <v>847</v>
      </c>
      <c r="D866" s="840"/>
      <c r="E866" s="841" t="s">
        <v>870</v>
      </c>
      <c r="F866" s="842"/>
      <c r="G866" s="841" t="s">
        <v>850</v>
      </c>
      <c r="H866" s="842"/>
      <c r="I866" s="841" t="s">
        <v>851</v>
      </c>
      <c r="J866" s="842"/>
      <c r="K866" s="841" t="s">
        <v>852</v>
      </c>
      <c r="L866" s="842"/>
      <c r="M866" s="151"/>
      <c r="N866" s="151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</row>
    <row r="867" spans="1:25" s="94" customFormat="1" ht="34.5" customHeight="1">
      <c r="A867" s="204" t="s">
        <v>314</v>
      </c>
      <c r="B867" s="497" t="s">
        <v>34</v>
      </c>
      <c r="C867" s="1194">
        <f>CEILING(43*$Z$1,0.1)</f>
        <v>53.800000000000004</v>
      </c>
      <c r="D867" s="1195"/>
      <c r="E867" s="1194">
        <f>CEILING(61*$Z$1,0.1)</f>
        <v>76.3</v>
      </c>
      <c r="F867" s="1195"/>
      <c r="G867" s="1194">
        <f>CEILING(53*$Z$1,0.1)</f>
        <v>66.3</v>
      </c>
      <c r="H867" s="1195"/>
      <c r="I867" s="1194">
        <f>CEILING(46*$Z$1,0.1)</f>
        <v>57.5</v>
      </c>
      <c r="J867" s="1195"/>
      <c r="K867" s="1194">
        <f>CEILING(43*$Z$1,0.1)</f>
        <v>53.800000000000004</v>
      </c>
      <c r="L867" s="1195"/>
      <c r="M867" s="97"/>
      <c r="N867" s="98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</row>
    <row r="868" spans="1:25" s="94" customFormat="1" ht="34.5" customHeight="1">
      <c r="A868" s="297" t="s">
        <v>35</v>
      </c>
      <c r="B868" s="476" t="s">
        <v>36</v>
      </c>
      <c r="C868" s="1192">
        <f>CEILING((C867+20*$Z$1),0.1)</f>
        <v>78.80000000000001</v>
      </c>
      <c r="D868" s="1193"/>
      <c r="E868" s="1192">
        <f>CEILING((E867+20*$Z$1),0.1)</f>
        <v>101.30000000000001</v>
      </c>
      <c r="F868" s="1193"/>
      <c r="G868" s="1192">
        <f>CEILING((G867+20*$Z$1),0.1)</f>
        <v>91.30000000000001</v>
      </c>
      <c r="H868" s="1193"/>
      <c r="I868" s="1192">
        <f>CEILING((I867+20*$Z$1),0.1)</f>
        <v>82.5</v>
      </c>
      <c r="J868" s="1193"/>
      <c r="K868" s="1192">
        <f>CEILING((K867+20*$Z$1),0.1)</f>
        <v>78.80000000000001</v>
      </c>
      <c r="L868" s="1193"/>
      <c r="M868" s="97"/>
      <c r="N868" s="98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</row>
    <row r="869" spans="1:25" s="94" customFormat="1" ht="34.5" customHeight="1">
      <c r="A869" s="300"/>
      <c r="B869" s="106" t="s">
        <v>67</v>
      </c>
      <c r="C869" s="1192">
        <f>CEILING((C867*0.85),0.1)</f>
        <v>45.800000000000004</v>
      </c>
      <c r="D869" s="1193"/>
      <c r="E869" s="1192">
        <f>CEILING((E867*0.85),0.1)</f>
        <v>64.9</v>
      </c>
      <c r="F869" s="1193"/>
      <c r="G869" s="1192">
        <f>CEILING((G867*0.85),0.1)</f>
        <v>56.400000000000006</v>
      </c>
      <c r="H869" s="1193"/>
      <c r="I869" s="1192">
        <f>CEILING((I867*0.85),0.1)</f>
        <v>48.900000000000006</v>
      </c>
      <c r="J869" s="1193"/>
      <c r="K869" s="1192">
        <f>CEILING((K867*0.85),0.1)</f>
        <v>45.800000000000004</v>
      </c>
      <c r="L869" s="1193"/>
      <c r="M869" s="97"/>
      <c r="N869" s="98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</row>
    <row r="870" spans="1:25" s="94" customFormat="1" ht="34.5" customHeight="1">
      <c r="A870" s="114"/>
      <c r="B870" s="90" t="s">
        <v>66</v>
      </c>
      <c r="C870" s="1192">
        <f>CEILING((C867*0.5),0.1)</f>
        <v>26.900000000000002</v>
      </c>
      <c r="D870" s="1193"/>
      <c r="E870" s="1192">
        <f>CEILING((E867*0.5),0.1)</f>
        <v>38.2</v>
      </c>
      <c r="F870" s="1193"/>
      <c r="G870" s="1192">
        <f>CEILING((G867*0.5),0.1)</f>
        <v>33.2</v>
      </c>
      <c r="H870" s="1193"/>
      <c r="I870" s="1192">
        <f>CEILING((I867*0.5),0.1)</f>
        <v>28.8</v>
      </c>
      <c r="J870" s="1193"/>
      <c r="K870" s="1192">
        <f>CEILING((K867*0),0.1)</f>
        <v>0</v>
      </c>
      <c r="L870" s="1193"/>
      <c r="M870" s="97"/>
      <c r="N870" s="98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</row>
    <row r="871" spans="1:25" s="94" customFormat="1" ht="34.5" customHeight="1" thickBot="1">
      <c r="A871" s="308" t="s">
        <v>302</v>
      </c>
      <c r="B871" s="346" t="s">
        <v>158</v>
      </c>
      <c r="C871" s="1218">
        <f>CEILING(53*$Z$1,0.1)</f>
        <v>66.3</v>
      </c>
      <c r="D871" s="1219"/>
      <c r="E871" s="1218">
        <f>CEILING(71*$Z$1,0.1)</f>
        <v>88.80000000000001</v>
      </c>
      <c r="F871" s="1219"/>
      <c r="G871" s="1218">
        <f>CEILING(63*$Z$1,0.1)</f>
        <v>78.80000000000001</v>
      </c>
      <c r="H871" s="1219"/>
      <c r="I871" s="1218">
        <f>CEILING(56*$Z$1,0.1)</f>
        <v>70</v>
      </c>
      <c r="J871" s="1219"/>
      <c r="K871" s="1218">
        <f>CEILING(53*$Z$1,0.1)</f>
        <v>66.3</v>
      </c>
      <c r="L871" s="1219"/>
      <c r="M871" s="97"/>
      <c r="N871" s="98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</row>
    <row r="872" spans="1:25" s="911" customFormat="1" ht="34.5" customHeight="1" thickTop="1">
      <c r="A872" s="339" t="s">
        <v>901</v>
      </c>
      <c r="B872" s="904"/>
      <c r="C872" s="163"/>
      <c r="D872" s="163"/>
      <c r="E872" s="163"/>
      <c r="F872" s="163"/>
      <c r="G872" s="163"/>
      <c r="H872" s="163"/>
      <c r="I872" s="130"/>
      <c r="J872" s="130"/>
      <c r="K872" s="99"/>
      <c r="L872" s="99"/>
      <c r="M872" s="106"/>
      <c r="N872" s="106"/>
      <c r="O872" s="687"/>
      <c r="P872" s="687"/>
      <c r="Q872" s="687"/>
      <c r="R872" s="687"/>
      <c r="S872" s="687"/>
      <c r="T872" s="687"/>
      <c r="U872" s="687"/>
      <c r="V872" s="687"/>
      <c r="W872" s="687"/>
      <c r="X872" s="687"/>
      <c r="Y872" s="687"/>
    </row>
    <row r="873" spans="1:25" s="94" customFormat="1" ht="34.5" customHeight="1" thickBot="1">
      <c r="A873" s="234"/>
      <c r="B873" s="90"/>
      <c r="C873" s="1341"/>
      <c r="D873" s="1341"/>
      <c r="E873" s="1286"/>
      <c r="F873" s="1286"/>
      <c r="G873" s="1286"/>
      <c r="H873" s="1286"/>
      <c r="I873" s="1286"/>
      <c r="J873" s="1286"/>
      <c r="K873" s="91"/>
      <c r="L873" s="91"/>
      <c r="M873" s="97"/>
      <c r="N873" s="98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</row>
    <row r="874" spans="1:42" s="167" customFormat="1" ht="34.5" customHeight="1" thickTop="1">
      <c r="A874" s="837" t="s">
        <v>33</v>
      </c>
      <c r="B874" s="838" t="s">
        <v>568</v>
      </c>
      <c r="C874" s="839" t="s">
        <v>847</v>
      </c>
      <c r="D874" s="840"/>
      <c r="E874" s="841" t="s">
        <v>870</v>
      </c>
      <c r="F874" s="842"/>
      <c r="G874" s="841" t="s">
        <v>850</v>
      </c>
      <c r="H874" s="842"/>
      <c r="I874" s="841" t="s">
        <v>851</v>
      </c>
      <c r="J874" s="842"/>
      <c r="K874" s="841" t="s">
        <v>852</v>
      </c>
      <c r="L874" s="842"/>
      <c r="M874" s="151"/>
      <c r="N874" s="151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</row>
    <row r="875" spans="1:25" s="94" customFormat="1" ht="34.5" customHeight="1">
      <c r="A875" s="499" t="s">
        <v>0</v>
      </c>
      <c r="B875" s="490" t="s">
        <v>555</v>
      </c>
      <c r="C875" s="1194">
        <f>CEILING(40*$Z$1,0.1)</f>
        <v>50</v>
      </c>
      <c r="D875" s="1195"/>
      <c r="E875" s="1194">
        <f>CEILING(58*$Z$1,0.1)</f>
        <v>72.5</v>
      </c>
      <c r="F875" s="1195"/>
      <c r="G875" s="1194">
        <f>CEILING(50*$Z$1,0.1)</f>
        <v>62.5</v>
      </c>
      <c r="H875" s="1195"/>
      <c r="I875" s="1194">
        <f>CEILING(43*$Z$1,0.1)</f>
        <v>53.800000000000004</v>
      </c>
      <c r="J875" s="1195"/>
      <c r="K875" s="1194">
        <f>CEILING(40*$Z$1,0.1)</f>
        <v>50</v>
      </c>
      <c r="L875" s="1195"/>
      <c r="M875" s="108"/>
      <c r="N875" s="108"/>
      <c r="O875" s="127"/>
      <c r="P875" s="491"/>
      <c r="Q875" s="92"/>
      <c r="R875" s="92"/>
      <c r="S875" s="92"/>
      <c r="T875" s="92"/>
      <c r="U875" s="92"/>
      <c r="V875" s="92"/>
      <c r="W875" s="92"/>
      <c r="X875" s="92"/>
      <c r="Y875" s="92"/>
    </row>
    <row r="876" spans="1:25" s="94" customFormat="1" ht="34.5" customHeight="1">
      <c r="A876" s="244" t="s">
        <v>35</v>
      </c>
      <c r="B876" s="270" t="s">
        <v>556</v>
      </c>
      <c r="C876" s="1192">
        <f>CEILING((C875+18*$Z$1),0.1)</f>
        <v>72.5</v>
      </c>
      <c r="D876" s="1193"/>
      <c r="E876" s="1192">
        <f>CEILING((E875+18*$Z$1),0.1)</f>
        <v>95</v>
      </c>
      <c r="F876" s="1193"/>
      <c r="G876" s="1192">
        <f>CEILING((G875+18*$Z$1),0.1)</f>
        <v>85</v>
      </c>
      <c r="H876" s="1193"/>
      <c r="I876" s="1192">
        <f>CEILING((I875+18*$Z$1),0.1)</f>
        <v>76.3</v>
      </c>
      <c r="J876" s="1193"/>
      <c r="K876" s="1192">
        <f>CEILING((K875+18*$Z$1),0.1)</f>
        <v>72.5</v>
      </c>
      <c r="L876" s="1193"/>
      <c r="M876" s="108"/>
      <c r="N876" s="108"/>
      <c r="O876" s="127"/>
      <c r="P876" s="491"/>
      <c r="Q876" s="92"/>
      <c r="R876" s="92"/>
      <c r="S876" s="92"/>
      <c r="T876" s="92"/>
      <c r="U876" s="92"/>
      <c r="V876" s="92"/>
      <c r="W876" s="92"/>
      <c r="X876" s="92"/>
      <c r="Y876" s="92"/>
    </row>
    <row r="877" spans="1:25" s="94" customFormat="1" ht="34.5" customHeight="1">
      <c r="A877" s="244"/>
      <c r="B877" s="190" t="s">
        <v>67</v>
      </c>
      <c r="C877" s="1192">
        <f>CEILING((C875*0.85),0.1)</f>
        <v>42.5</v>
      </c>
      <c r="D877" s="1193"/>
      <c r="E877" s="1192">
        <f>CEILING((E875*0.85),0.1)</f>
        <v>61.7</v>
      </c>
      <c r="F877" s="1193"/>
      <c r="G877" s="1192">
        <f>CEILING((G875*0.85),0.1)</f>
        <v>53.2</v>
      </c>
      <c r="H877" s="1193"/>
      <c r="I877" s="1192">
        <f>CEILING((I875*0.85),0.1)</f>
        <v>45.800000000000004</v>
      </c>
      <c r="J877" s="1193"/>
      <c r="K877" s="1192">
        <f>CEILING((K875*0.85),0.1)</f>
        <v>42.5</v>
      </c>
      <c r="L877" s="1193"/>
      <c r="M877" s="108"/>
      <c r="N877" s="108"/>
      <c r="O877" s="127"/>
      <c r="P877" s="491"/>
      <c r="Q877" s="92"/>
      <c r="R877" s="92"/>
      <c r="S877" s="92"/>
      <c r="T877" s="92"/>
      <c r="U877" s="92"/>
      <c r="V877" s="92"/>
      <c r="W877" s="92"/>
      <c r="X877" s="92"/>
      <c r="Y877" s="92"/>
    </row>
    <row r="878" spans="1:25" s="94" customFormat="1" ht="34.5" customHeight="1">
      <c r="A878" s="115"/>
      <c r="B878" s="340" t="s">
        <v>66</v>
      </c>
      <c r="C878" s="1192">
        <f>CEILING((C875*0),0.1)</f>
        <v>0</v>
      </c>
      <c r="D878" s="1193"/>
      <c r="E878" s="1192">
        <f>CEILING((E875*0.5),0.1)</f>
        <v>36.300000000000004</v>
      </c>
      <c r="F878" s="1193"/>
      <c r="G878" s="1192">
        <f>CEILING((G875*0.5),0.1)</f>
        <v>31.3</v>
      </c>
      <c r="H878" s="1193"/>
      <c r="I878" s="1192">
        <f>CEILING((I875*0.5),0.1)</f>
        <v>26.900000000000002</v>
      </c>
      <c r="J878" s="1193"/>
      <c r="K878" s="1192">
        <f>CEILING((K875*0),0.1)</f>
        <v>0</v>
      </c>
      <c r="L878" s="1193"/>
      <c r="M878" s="108"/>
      <c r="N878" s="108"/>
      <c r="O878" s="127"/>
      <c r="P878" s="491"/>
      <c r="Q878" s="92"/>
      <c r="R878" s="92"/>
      <c r="S878" s="92"/>
      <c r="T878" s="92"/>
      <c r="U878" s="92"/>
      <c r="V878" s="92"/>
      <c r="W878" s="92"/>
      <c r="X878" s="92"/>
      <c r="Y878" s="92"/>
    </row>
    <row r="879" spans="1:25" s="94" customFormat="1" ht="34.5" customHeight="1">
      <c r="A879" s="102"/>
      <c r="B879" s="279" t="s">
        <v>589</v>
      </c>
      <c r="C879" s="1192">
        <f>CEILING(48*$Z$1,0.1)</f>
        <v>60</v>
      </c>
      <c r="D879" s="1193"/>
      <c r="E879" s="1192">
        <f>CEILING(66*$Z$1,0.1)</f>
        <v>82.5</v>
      </c>
      <c r="F879" s="1193"/>
      <c r="G879" s="1192">
        <f>CEILING(58*$Z$1,0.1)</f>
        <v>72.5</v>
      </c>
      <c r="H879" s="1193"/>
      <c r="I879" s="1192">
        <f>CEILING(51*$Z$1,0.1)</f>
        <v>63.800000000000004</v>
      </c>
      <c r="J879" s="1193"/>
      <c r="K879" s="1192">
        <f>CEILING(48*$Z$1,0.1)</f>
        <v>60</v>
      </c>
      <c r="L879" s="1193"/>
      <c r="M879" s="108"/>
      <c r="N879" s="108"/>
      <c r="O879" s="127"/>
      <c r="P879" s="491"/>
      <c r="Q879" s="92"/>
      <c r="R879" s="92"/>
      <c r="S879" s="92"/>
      <c r="T879" s="92"/>
      <c r="U879" s="92"/>
      <c r="V879" s="92"/>
      <c r="W879" s="92"/>
      <c r="X879" s="92"/>
      <c r="Y879" s="92"/>
    </row>
    <row r="880" spans="1:25" s="94" customFormat="1" ht="34.5" customHeight="1">
      <c r="A880" s="244"/>
      <c r="B880" s="279" t="s">
        <v>587</v>
      </c>
      <c r="C880" s="1192">
        <f>CEILING(60*$Z$1,0.1)</f>
        <v>75</v>
      </c>
      <c r="D880" s="1193"/>
      <c r="E880" s="1192">
        <f>CEILING(78*$Z$1,0.1)</f>
        <v>97.5</v>
      </c>
      <c r="F880" s="1193"/>
      <c r="G880" s="1192">
        <f>CEILING(70*$Z$1,0.1)</f>
        <v>87.5</v>
      </c>
      <c r="H880" s="1193"/>
      <c r="I880" s="1192">
        <f>CEILING(63*$Z$1,0.1)</f>
        <v>78.80000000000001</v>
      </c>
      <c r="J880" s="1193"/>
      <c r="K880" s="1192">
        <f>CEILING(60*$Z$1,0.1)</f>
        <v>75</v>
      </c>
      <c r="L880" s="1193"/>
      <c r="M880" s="108"/>
      <c r="N880" s="108"/>
      <c r="O880" s="127"/>
      <c r="P880" s="491"/>
      <c r="Q880" s="92"/>
      <c r="R880" s="92"/>
      <c r="S880" s="92"/>
      <c r="T880" s="92"/>
      <c r="U880" s="92"/>
      <c r="V880" s="92"/>
      <c r="W880" s="92"/>
      <c r="X880" s="92"/>
      <c r="Y880" s="92"/>
    </row>
    <row r="881" spans="1:25" s="94" customFormat="1" ht="34.5" customHeight="1" thickBot="1">
      <c r="A881" s="308" t="s">
        <v>302</v>
      </c>
      <c r="B881" s="496" t="s">
        <v>590</v>
      </c>
      <c r="C881" s="1218">
        <f>CEILING(65*$Z$1,0.1)</f>
        <v>81.30000000000001</v>
      </c>
      <c r="D881" s="1219"/>
      <c r="E881" s="1218">
        <f>CEILING(83*$Z$1,0.1)</f>
        <v>103.80000000000001</v>
      </c>
      <c r="F881" s="1219"/>
      <c r="G881" s="1218">
        <f>CEILING(75*$Z$1,0.1)</f>
        <v>93.80000000000001</v>
      </c>
      <c r="H881" s="1219"/>
      <c r="I881" s="1218">
        <f>CEILING(68*$Z$1,0.1)</f>
        <v>85</v>
      </c>
      <c r="J881" s="1219"/>
      <c r="K881" s="1218">
        <f>CEILING(65*$Z$1,0.1)</f>
        <v>81.30000000000001</v>
      </c>
      <c r="L881" s="1219"/>
      <c r="M881" s="108"/>
      <c r="N881" s="108"/>
      <c r="O881" s="127"/>
      <c r="P881" s="491"/>
      <c r="Q881" s="92"/>
      <c r="R881" s="92"/>
      <c r="S881" s="92"/>
      <c r="T881" s="92"/>
      <c r="U881" s="92"/>
      <c r="V881" s="92"/>
      <c r="W881" s="92"/>
      <c r="X881" s="92"/>
      <c r="Y881" s="92"/>
    </row>
    <row r="882" spans="1:25" s="94" customFormat="1" ht="34.5" customHeight="1" thickTop="1">
      <c r="A882" s="339" t="s">
        <v>907</v>
      </c>
      <c r="B882" s="205"/>
      <c r="C882" s="887"/>
      <c r="D882" s="887"/>
      <c r="E882" s="887"/>
      <c r="F882" s="887"/>
      <c r="G882" s="887"/>
      <c r="H882" s="887"/>
      <c r="I882" s="887"/>
      <c r="J882" s="887"/>
      <c r="K882" s="119"/>
      <c r="L882" s="119"/>
      <c r="M882" s="108"/>
      <c r="N882" s="108"/>
      <c r="O882" s="887"/>
      <c r="P882" s="491"/>
      <c r="Q882" s="92"/>
      <c r="R882" s="92"/>
      <c r="S882" s="92"/>
      <c r="T882" s="92"/>
      <c r="U882" s="92"/>
      <c r="V882" s="92"/>
      <c r="W882" s="92"/>
      <c r="X882" s="92"/>
      <c r="Y882" s="92"/>
    </row>
    <row r="883" spans="1:59" s="121" customFormat="1" ht="34.5" customHeight="1">
      <c r="A883" s="186"/>
      <c r="B883" s="186"/>
      <c r="C883" s="1069"/>
      <c r="D883" s="1069"/>
      <c r="E883" s="1069"/>
      <c r="F883" s="1069"/>
      <c r="G883" s="1069"/>
      <c r="H883" s="1069"/>
      <c r="I883" s="187"/>
      <c r="J883" s="187"/>
      <c r="K883" s="99"/>
      <c r="L883" s="99"/>
      <c r="M883" s="106"/>
      <c r="N883" s="106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100"/>
      <c r="AV883" s="100"/>
      <c r="AW883" s="100"/>
      <c r="AX883" s="100"/>
      <c r="AY883" s="100"/>
      <c r="AZ883" s="100"/>
      <c r="BA883" s="100"/>
      <c r="BB883" s="100"/>
      <c r="BC883" s="100"/>
      <c r="BD883" s="100"/>
      <c r="BE883" s="100"/>
      <c r="BF883" s="100"/>
      <c r="BG883" s="100"/>
    </row>
    <row r="884" spans="1:59" s="121" customFormat="1" ht="34.5" customHeight="1">
      <c r="A884" s="837" t="s">
        <v>33</v>
      </c>
      <c r="B884" s="838" t="s">
        <v>568</v>
      </c>
      <c r="C884" s="839" t="s">
        <v>847</v>
      </c>
      <c r="D884" s="840"/>
      <c r="E884" s="841" t="s">
        <v>1115</v>
      </c>
      <c r="F884" s="842"/>
      <c r="G884" s="841" t="s">
        <v>926</v>
      </c>
      <c r="H884" s="842"/>
      <c r="I884" s="841" t="s">
        <v>851</v>
      </c>
      <c r="J884" s="842"/>
      <c r="K884" s="841" t="s">
        <v>852</v>
      </c>
      <c r="L884" s="842"/>
      <c r="M884" s="106"/>
      <c r="N884" s="106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100"/>
      <c r="AV884" s="100"/>
      <c r="AW884" s="100"/>
      <c r="AX884" s="100"/>
      <c r="AY884" s="100"/>
      <c r="AZ884" s="100"/>
      <c r="BA884" s="100"/>
      <c r="BB884" s="100"/>
      <c r="BC884" s="100"/>
      <c r="BD884" s="100"/>
      <c r="BE884" s="100"/>
      <c r="BF884" s="100"/>
      <c r="BG884" s="100"/>
    </row>
    <row r="885" spans="1:59" s="121" customFormat="1" ht="34.5" customHeight="1">
      <c r="A885" s="499" t="s">
        <v>1114</v>
      </c>
      <c r="B885" s="490" t="s">
        <v>34</v>
      </c>
      <c r="C885" s="1194">
        <f>CEILING(52*$Z$1,0.1)</f>
        <v>65</v>
      </c>
      <c r="D885" s="1195"/>
      <c r="E885" s="1194">
        <f>CEILING(85*$Z$1,0.1)</f>
        <v>106.30000000000001</v>
      </c>
      <c r="F885" s="1195"/>
      <c r="G885" s="1194">
        <f>CEILING(71*$Z$1,0.1)</f>
        <v>88.80000000000001</v>
      </c>
      <c r="H885" s="1195"/>
      <c r="I885" s="1194">
        <f>CEILING(77*$Z$1,0.1)</f>
        <v>96.30000000000001</v>
      </c>
      <c r="J885" s="1195"/>
      <c r="K885" s="1194">
        <f>CEILING(65*$Z$1,0.1)</f>
        <v>81.30000000000001</v>
      </c>
      <c r="L885" s="1195"/>
      <c r="M885" s="106"/>
      <c r="N885" s="106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100"/>
      <c r="AV885" s="100"/>
      <c r="AW885" s="100"/>
      <c r="AX885" s="100"/>
      <c r="AY885" s="100"/>
      <c r="AZ885" s="100"/>
      <c r="BA885" s="100"/>
      <c r="BB885" s="100"/>
      <c r="BC885" s="100"/>
      <c r="BD885" s="100"/>
      <c r="BE885" s="100"/>
      <c r="BF885" s="100"/>
      <c r="BG885" s="100"/>
    </row>
    <row r="886" spans="1:59" s="121" customFormat="1" ht="34.5" customHeight="1">
      <c r="A886" s="244" t="s">
        <v>35</v>
      </c>
      <c r="B886" s="270" t="s">
        <v>170</v>
      </c>
      <c r="C886" s="1192">
        <f>CEILING((C885+10*$Z$1),0.1)</f>
        <v>77.5</v>
      </c>
      <c r="D886" s="1193"/>
      <c r="E886" s="1192">
        <f>CEILING((E885+15*$Z$1),0.1)</f>
        <v>125.10000000000001</v>
      </c>
      <c r="F886" s="1193"/>
      <c r="G886" s="1192">
        <f>CEILING((G885+15*$Z$1),0.1)</f>
        <v>107.60000000000001</v>
      </c>
      <c r="H886" s="1193"/>
      <c r="I886" s="1192">
        <f>CEILING((I885+15*$Z$1),0.1)</f>
        <v>115.10000000000001</v>
      </c>
      <c r="J886" s="1193"/>
      <c r="K886" s="1192">
        <f>CEILING((K885+10*$Z$1),0.1)</f>
        <v>93.80000000000001</v>
      </c>
      <c r="L886" s="1193"/>
      <c r="M886" s="106"/>
      <c r="N886" s="106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100"/>
      <c r="AV886" s="100"/>
      <c r="AW886" s="100"/>
      <c r="AX886" s="100"/>
      <c r="AY886" s="100"/>
      <c r="AZ886" s="100"/>
      <c r="BA886" s="100"/>
      <c r="BB886" s="100"/>
      <c r="BC886" s="100"/>
      <c r="BD886" s="100"/>
      <c r="BE886" s="100"/>
      <c r="BF886" s="100"/>
      <c r="BG886" s="100"/>
    </row>
    <row r="887" spans="1:59" s="121" customFormat="1" ht="34.5" customHeight="1">
      <c r="A887" s="244"/>
      <c r="B887" s="190" t="s">
        <v>67</v>
      </c>
      <c r="C887" s="1192">
        <f>CEILING((C885*0.85),0.1)</f>
        <v>55.300000000000004</v>
      </c>
      <c r="D887" s="1193"/>
      <c r="E887" s="1192">
        <f>CEILING((E885*0.85),0.1)</f>
        <v>90.4</v>
      </c>
      <c r="F887" s="1193"/>
      <c r="G887" s="1192">
        <f>CEILING((G885*0.85),0.1)</f>
        <v>75.5</v>
      </c>
      <c r="H887" s="1193"/>
      <c r="I887" s="1192">
        <f>CEILING((I885*0.85),0.1)</f>
        <v>81.9</v>
      </c>
      <c r="J887" s="1193"/>
      <c r="K887" s="1192">
        <f>CEILING((K885*0.85),0.1)</f>
        <v>69.2</v>
      </c>
      <c r="L887" s="1193"/>
      <c r="M887" s="106"/>
      <c r="N887" s="106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100"/>
      <c r="AV887" s="100"/>
      <c r="AW887" s="100"/>
      <c r="AX887" s="100"/>
      <c r="AY887" s="100"/>
      <c r="AZ887" s="100"/>
      <c r="BA887" s="100"/>
      <c r="BB887" s="100"/>
      <c r="BC887" s="100"/>
      <c r="BD887" s="100"/>
      <c r="BE887" s="100"/>
      <c r="BF887" s="100"/>
      <c r="BG887" s="100"/>
    </row>
    <row r="888" spans="1:59" s="121" customFormat="1" ht="34.5" customHeight="1">
      <c r="A888" s="115"/>
      <c r="B888" s="340" t="s">
        <v>673</v>
      </c>
      <c r="C888" s="1192">
        <f>CEILING((C885*0),0.1)</f>
        <v>0</v>
      </c>
      <c r="D888" s="1193"/>
      <c r="E888" s="1192">
        <f>CEILING((E885*0),0.1)</f>
        <v>0</v>
      </c>
      <c r="F888" s="1193"/>
      <c r="G888" s="1192">
        <f>CEILING((G885*0),0.1)</f>
        <v>0</v>
      </c>
      <c r="H888" s="1193"/>
      <c r="I888" s="1192">
        <f>CEILING((I885*0),0.1)</f>
        <v>0</v>
      </c>
      <c r="J888" s="1193"/>
      <c r="K888" s="1192">
        <f>CEILING((K885*0),0.1)</f>
        <v>0</v>
      </c>
      <c r="L888" s="1193"/>
      <c r="M888" s="106"/>
      <c r="N888" s="106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100"/>
      <c r="AV888" s="100"/>
      <c r="AW888" s="100"/>
      <c r="AX888" s="100"/>
      <c r="AY888" s="100"/>
      <c r="AZ888" s="100"/>
      <c r="BA888" s="100"/>
      <c r="BB888" s="100"/>
      <c r="BC888" s="100"/>
      <c r="BD888" s="100"/>
      <c r="BE888" s="100"/>
      <c r="BF888" s="100"/>
      <c r="BG888" s="100"/>
    </row>
    <row r="889" spans="1:59" s="121" customFormat="1" ht="34.5" customHeight="1">
      <c r="A889" s="102"/>
      <c r="B889" s="279" t="s">
        <v>1054</v>
      </c>
      <c r="C889" s="1192">
        <f>CEILING(62*$Z$1,0.1)</f>
        <v>77.5</v>
      </c>
      <c r="D889" s="1193"/>
      <c r="E889" s="1192">
        <f>CEILING(95*$Z$1,0.1)</f>
        <v>118.80000000000001</v>
      </c>
      <c r="F889" s="1193"/>
      <c r="G889" s="1192">
        <f>CEILING(81*$Z$1,0.1)</f>
        <v>101.30000000000001</v>
      </c>
      <c r="H889" s="1193"/>
      <c r="I889" s="1192">
        <f>CEILING(87*$Z$1,0.1)</f>
        <v>108.80000000000001</v>
      </c>
      <c r="J889" s="1193"/>
      <c r="K889" s="1192">
        <f>CEILING(75*$Z$1,0.1)</f>
        <v>93.80000000000001</v>
      </c>
      <c r="L889" s="1193"/>
      <c r="M889" s="106"/>
      <c r="N889" s="106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100"/>
      <c r="AV889" s="100"/>
      <c r="AW889" s="100"/>
      <c r="AX889" s="100"/>
      <c r="AY889" s="100"/>
      <c r="AZ889" s="100"/>
      <c r="BA889" s="100"/>
      <c r="BB889" s="100"/>
      <c r="BC889" s="100"/>
      <c r="BD889" s="100"/>
      <c r="BE889" s="100"/>
      <c r="BF889" s="100"/>
      <c r="BG889" s="100"/>
    </row>
    <row r="890" spans="1:59" s="121" customFormat="1" ht="34.5" customHeight="1">
      <c r="A890" s="970"/>
      <c r="B890" s="419" t="s">
        <v>1116</v>
      </c>
      <c r="C890" s="1202">
        <f>CEILING(72*$Z$1,0.1)</f>
        <v>90</v>
      </c>
      <c r="D890" s="1203"/>
      <c r="E890" s="1202">
        <f>CEILING(110*$Z$1,0.1)</f>
        <v>137.5</v>
      </c>
      <c r="F890" s="1203"/>
      <c r="G890" s="1202">
        <f>CEILING(96*$Z$1,0.1)</f>
        <v>120</v>
      </c>
      <c r="H890" s="1203"/>
      <c r="I890" s="1202">
        <f>CEILING(102*$Z$1,0.1)</f>
        <v>127.5</v>
      </c>
      <c r="J890" s="1203"/>
      <c r="K890" s="1202">
        <f>CEILING(85*$Z$1,0.1)</f>
        <v>106.30000000000001</v>
      </c>
      <c r="L890" s="1203"/>
      <c r="M890" s="106"/>
      <c r="N890" s="106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100"/>
      <c r="AV890" s="100"/>
      <c r="AW890" s="100"/>
      <c r="AX890" s="100"/>
      <c r="AY890" s="100"/>
      <c r="AZ890" s="100"/>
      <c r="BA890" s="100"/>
      <c r="BB890" s="100"/>
      <c r="BC890" s="100"/>
      <c r="BD890" s="100"/>
      <c r="BE890" s="100"/>
      <c r="BF890" s="100"/>
      <c r="BG890" s="100"/>
    </row>
    <row r="891" spans="1:25" s="94" customFormat="1" ht="34.5" customHeight="1">
      <c r="A891" s="339" t="s">
        <v>1117</v>
      </c>
      <c r="B891" s="205"/>
      <c r="C891" s="1068"/>
      <c r="D891" s="1068"/>
      <c r="E891" s="1068"/>
      <c r="F891" s="1068"/>
      <c r="G891" s="1068"/>
      <c r="H891" s="1068"/>
      <c r="I891" s="1068"/>
      <c r="J891" s="1068"/>
      <c r="K891" s="119"/>
      <c r="L891" s="119"/>
      <c r="M891" s="108"/>
      <c r="N891" s="108"/>
      <c r="O891" s="1068"/>
      <c r="P891" s="491"/>
      <c r="Q891" s="92"/>
      <c r="R891" s="92"/>
      <c r="S891" s="92"/>
      <c r="T891" s="92"/>
      <c r="U891" s="92"/>
      <c r="V891" s="92"/>
      <c r="W891" s="92"/>
      <c r="X891" s="92"/>
      <c r="Y891" s="92"/>
    </row>
    <row r="892" spans="1:34" s="121" customFormat="1" ht="34.5" customHeight="1">
      <c r="A892" s="500"/>
      <c r="B892" s="501"/>
      <c r="C892" s="502"/>
      <c r="D892" s="502"/>
      <c r="E892" s="502"/>
      <c r="F892" s="502"/>
      <c r="G892" s="502"/>
      <c r="H892" s="502"/>
      <c r="I892" s="502"/>
      <c r="J892" s="502"/>
      <c r="K892" s="99"/>
      <c r="L892" s="99"/>
      <c r="M892" s="106"/>
      <c r="N892" s="9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</row>
    <row r="893" spans="1:42" s="167" customFormat="1" ht="34.5" customHeight="1">
      <c r="A893" s="837" t="s">
        <v>33</v>
      </c>
      <c r="B893" s="838" t="s">
        <v>568</v>
      </c>
      <c r="C893" s="839" t="s">
        <v>908</v>
      </c>
      <c r="D893" s="840"/>
      <c r="E893" s="841" t="s">
        <v>909</v>
      </c>
      <c r="F893" s="842"/>
      <c r="G893" s="841" t="s">
        <v>850</v>
      </c>
      <c r="H893" s="842"/>
      <c r="I893" s="841" t="s">
        <v>851</v>
      </c>
      <c r="J893" s="842"/>
      <c r="K893" s="841" t="s">
        <v>852</v>
      </c>
      <c r="L893" s="842"/>
      <c r="M893" s="151"/>
      <c r="N893" s="151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</row>
    <row r="894" spans="1:63" s="94" customFormat="1" ht="34.5" customHeight="1">
      <c r="A894" s="303" t="s">
        <v>479</v>
      </c>
      <c r="B894" s="349" t="s">
        <v>481</v>
      </c>
      <c r="C894" s="1216">
        <f>CEILING(60*$Z$1,0.1)</f>
        <v>75</v>
      </c>
      <c r="D894" s="1217"/>
      <c r="E894" s="1216">
        <f>CEILING(80*$Z$1,0.1)</f>
        <v>100</v>
      </c>
      <c r="F894" s="1217"/>
      <c r="G894" s="1216">
        <f>CEILING(65*$Z$1,0.1)</f>
        <v>81.30000000000001</v>
      </c>
      <c r="H894" s="1217"/>
      <c r="I894" s="1216">
        <f>CEILING(70*$Z$1,0.1)</f>
        <v>87.5</v>
      </c>
      <c r="J894" s="1217"/>
      <c r="K894" s="1216">
        <f>CEILING(65*$Z$1,0.1)</f>
        <v>81.30000000000001</v>
      </c>
      <c r="L894" s="1217"/>
      <c r="M894" s="106"/>
      <c r="N894" s="9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100"/>
      <c r="AV894" s="100"/>
      <c r="AW894" s="100"/>
      <c r="AX894" s="100"/>
      <c r="AY894" s="100"/>
      <c r="AZ894" s="100"/>
      <c r="BA894" s="100"/>
      <c r="BB894" s="100"/>
      <c r="BC894" s="100"/>
      <c r="BD894" s="100"/>
      <c r="BE894" s="100"/>
      <c r="BF894" s="100"/>
      <c r="BG894" s="100"/>
      <c r="BH894" s="100"/>
      <c r="BI894" s="100"/>
      <c r="BJ894" s="100"/>
      <c r="BK894" s="100"/>
    </row>
    <row r="895" spans="1:34" s="94" customFormat="1" ht="34.5" customHeight="1">
      <c r="A895" s="304" t="s">
        <v>621</v>
      </c>
      <c r="B895" s="172" t="s">
        <v>482</v>
      </c>
      <c r="C895" s="1200">
        <f>CEILING((C894+20*$Z$1),0.1)</f>
        <v>100</v>
      </c>
      <c r="D895" s="1201"/>
      <c r="E895" s="1200">
        <f>CEILING((E894+20*$Z$1),0.1)</f>
        <v>125</v>
      </c>
      <c r="F895" s="1201"/>
      <c r="G895" s="1200">
        <f>CEILING((G894+20*$Z$1),0.1)</f>
        <v>106.30000000000001</v>
      </c>
      <c r="H895" s="1201"/>
      <c r="I895" s="1200">
        <f>CEILING((I894+20*$Z$1),0.1)</f>
        <v>112.5</v>
      </c>
      <c r="J895" s="1201"/>
      <c r="K895" s="1200">
        <f>CEILING((K894+20*$Z$1),0.1)</f>
        <v>106.30000000000001</v>
      </c>
      <c r="L895" s="1201"/>
      <c r="M895" s="106"/>
      <c r="N895" s="98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136"/>
      <c r="AA895" s="136"/>
      <c r="AB895" s="136"/>
      <c r="AC895" s="136"/>
      <c r="AD895" s="136"/>
      <c r="AE895" s="136"/>
      <c r="AF895" s="136"/>
      <c r="AG895" s="136"/>
      <c r="AH895" s="136"/>
    </row>
    <row r="896" spans="1:34" s="94" customFormat="1" ht="34.5" customHeight="1">
      <c r="A896" s="305"/>
      <c r="B896" s="171" t="s">
        <v>483</v>
      </c>
      <c r="C896" s="1200">
        <f>CEILING(70*$Z$1,0.1)</f>
        <v>87.5</v>
      </c>
      <c r="D896" s="1201"/>
      <c r="E896" s="1200">
        <f>CEILING(90*$Z$1,0.1)</f>
        <v>112.5</v>
      </c>
      <c r="F896" s="1201"/>
      <c r="G896" s="1200">
        <f>CEILING(75*$Z$1,0.1)</f>
        <v>93.80000000000001</v>
      </c>
      <c r="H896" s="1201"/>
      <c r="I896" s="1200">
        <f>CEILING(80*$Z$1,0.1)</f>
        <v>100</v>
      </c>
      <c r="J896" s="1201"/>
      <c r="K896" s="1200">
        <f>CEILING(75*$Z$1,0.1)</f>
        <v>93.80000000000001</v>
      </c>
      <c r="L896" s="1201"/>
      <c r="M896" s="106"/>
      <c r="N896" s="98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136"/>
      <c r="AA896" s="136"/>
      <c r="AB896" s="136"/>
      <c r="AC896" s="136"/>
      <c r="AD896" s="136"/>
      <c r="AE896" s="136"/>
      <c r="AF896" s="136"/>
      <c r="AG896" s="136"/>
      <c r="AH896" s="136"/>
    </row>
    <row r="897" spans="1:34" s="94" customFormat="1" ht="34.5" customHeight="1">
      <c r="A897" s="341"/>
      <c r="B897" s="171" t="s">
        <v>285</v>
      </c>
      <c r="C897" s="1200">
        <f>CEILING((C896+25*$Z$1),0.1)</f>
        <v>118.80000000000001</v>
      </c>
      <c r="D897" s="1201"/>
      <c r="E897" s="1200">
        <f>CEILING((E896+20*$Z$1),0.1)</f>
        <v>137.5</v>
      </c>
      <c r="F897" s="1201"/>
      <c r="G897" s="1200">
        <f>CEILING((G896+25*$Z$1),0.1)</f>
        <v>125.10000000000001</v>
      </c>
      <c r="H897" s="1201"/>
      <c r="I897" s="1200">
        <f>CEILING((I896+25*$Z$1),0.1)</f>
        <v>131.3</v>
      </c>
      <c r="J897" s="1201"/>
      <c r="K897" s="1200">
        <f>CEILING((K896+25*$Z$1),0.1)</f>
        <v>125.10000000000001</v>
      </c>
      <c r="L897" s="1201"/>
      <c r="M897" s="106"/>
      <c r="N897" s="98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136"/>
      <c r="AA897" s="136"/>
      <c r="AB897" s="136"/>
      <c r="AC897" s="136"/>
      <c r="AD897" s="136"/>
      <c r="AE897" s="136"/>
      <c r="AF897" s="136"/>
      <c r="AG897" s="136"/>
      <c r="AH897" s="136"/>
    </row>
    <row r="898" spans="1:34" s="94" customFormat="1" ht="34.5" customHeight="1">
      <c r="A898" s="341"/>
      <c r="B898" s="171" t="s">
        <v>622</v>
      </c>
      <c r="C898" s="1200">
        <f>CEILING(80*$Z$1,0.1)</f>
        <v>100</v>
      </c>
      <c r="D898" s="1201"/>
      <c r="E898" s="1200">
        <f>CEILING(95*$Z$1,0.1)</f>
        <v>118.80000000000001</v>
      </c>
      <c r="F898" s="1201"/>
      <c r="G898" s="1200">
        <f>CEILING(85*$Z$1,0.1)</f>
        <v>106.30000000000001</v>
      </c>
      <c r="H898" s="1201"/>
      <c r="I898" s="1200">
        <f>CEILING(90*$Z$1,0.1)</f>
        <v>112.5</v>
      </c>
      <c r="J898" s="1201"/>
      <c r="K898" s="1200">
        <f>CEILING(85*$Z$1,0.1)</f>
        <v>106.30000000000001</v>
      </c>
      <c r="L898" s="1201"/>
      <c r="M898" s="106"/>
      <c r="N898" s="98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136"/>
      <c r="AA898" s="136"/>
      <c r="AB898" s="136"/>
      <c r="AC898" s="136"/>
      <c r="AD898" s="136"/>
      <c r="AE898" s="136"/>
      <c r="AF898" s="136"/>
      <c r="AG898" s="136"/>
      <c r="AH898" s="136"/>
    </row>
    <row r="899" spans="1:34" s="94" customFormat="1" ht="34.5" customHeight="1">
      <c r="A899" s="305" t="s">
        <v>1224</v>
      </c>
      <c r="B899" s="171" t="s">
        <v>623</v>
      </c>
      <c r="C899" s="1200">
        <f>CEILING((C898+20*$Z$1),0.1)</f>
        <v>125</v>
      </c>
      <c r="D899" s="1201"/>
      <c r="E899" s="1200">
        <f>CEILING((E898+20*$Z$1),0.1)</f>
        <v>143.8</v>
      </c>
      <c r="F899" s="1201"/>
      <c r="G899" s="1200">
        <f>CEILING((G898+20*$Z$1),0.1)</f>
        <v>131.3</v>
      </c>
      <c r="H899" s="1201"/>
      <c r="I899" s="1200">
        <f>CEILING((I898+20*$Z$1),0.1)</f>
        <v>137.5</v>
      </c>
      <c r="J899" s="1201"/>
      <c r="K899" s="1200">
        <f>CEILING((K898+20*$Z$1),0.1)</f>
        <v>131.3</v>
      </c>
      <c r="L899" s="1201"/>
      <c r="M899" s="106"/>
      <c r="N899" s="98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136"/>
      <c r="AA899" s="136"/>
      <c r="AB899" s="136"/>
      <c r="AC899" s="136"/>
      <c r="AD899" s="136"/>
      <c r="AE899" s="136"/>
      <c r="AF899" s="136"/>
      <c r="AG899" s="136"/>
      <c r="AH899" s="136"/>
    </row>
    <row r="900" spans="1:34" s="94" customFormat="1" ht="34.5" customHeight="1">
      <c r="A900" s="305"/>
      <c r="B900" s="171" t="s">
        <v>625</v>
      </c>
      <c r="C900" s="1200">
        <f>CEILING(85*$Z$1,0.1)</f>
        <v>106.30000000000001</v>
      </c>
      <c r="D900" s="1201"/>
      <c r="E900" s="1200">
        <f>CEILING(100*$Z$1,0.1)</f>
        <v>125</v>
      </c>
      <c r="F900" s="1201"/>
      <c r="G900" s="1200">
        <f>CEILING(90*$Z$1,0.1)</f>
        <v>112.5</v>
      </c>
      <c r="H900" s="1201"/>
      <c r="I900" s="1200">
        <f>CEILING(95*$Z$1,0.1)</f>
        <v>118.80000000000001</v>
      </c>
      <c r="J900" s="1201"/>
      <c r="K900" s="1200">
        <f>CEILING(90*$Z$1,0.1)</f>
        <v>112.5</v>
      </c>
      <c r="L900" s="1201"/>
      <c r="M900" s="106"/>
      <c r="N900" s="98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136"/>
      <c r="AA900" s="136"/>
      <c r="AB900" s="136"/>
      <c r="AC900" s="136"/>
      <c r="AD900" s="136"/>
      <c r="AE900" s="136"/>
      <c r="AF900" s="136"/>
      <c r="AG900" s="136"/>
      <c r="AH900" s="136"/>
    </row>
    <row r="901" spans="1:34" s="94" customFormat="1" ht="34.5" customHeight="1">
      <c r="A901" s="341"/>
      <c r="B901" s="171" t="s">
        <v>624</v>
      </c>
      <c r="C901" s="1200">
        <f>CEILING((C900+20*$Z$1),0.1)</f>
        <v>131.3</v>
      </c>
      <c r="D901" s="1201"/>
      <c r="E901" s="1200">
        <f>CEILING((E900+20*$Z$1),0.1)</f>
        <v>150</v>
      </c>
      <c r="F901" s="1201"/>
      <c r="G901" s="1200">
        <f>CEILING((G900+20*$Z$1),0.1)</f>
        <v>137.5</v>
      </c>
      <c r="H901" s="1201"/>
      <c r="I901" s="1200">
        <f>CEILING((I900+20*$Z$1),0.1)</f>
        <v>143.8</v>
      </c>
      <c r="J901" s="1201"/>
      <c r="K901" s="1200">
        <f>CEILING((K900+20*$Z$1),0.1)</f>
        <v>137.5</v>
      </c>
      <c r="L901" s="1201"/>
      <c r="M901" s="106"/>
      <c r="N901" s="98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136"/>
      <c r="AA901" s="136"/>
      <c r="AB901" s="136"/>
      <c r="AC901" s="136"/>
      <c r="AD901" s="136"/>
      <c r="AE901" s="136"/>
      <c r="AF901" s="136"/>
      <c r="AG901" s="136"/>
      <c r="AH901" s="136"/>
    </row>
    <row r="902" spans="1:34" s="94" customFormat="1" ht="34.5" customHeight="1">
      <c r="A902" s="341"/>
      <c r="B902" s="171" t="s">
        <v>626</v>
      </c>
      <c r="C902" s="1200">
        <f>CEILING(90*$Z$1,0.1)</f>
        <v>112.5</v>
      </c>
      <c r="D902" s="1201"/>
      <c r="E902" s="1200">
        <f>CEILING(105*$Z$1,0.1)</f>
        <v>131.3</v>
      </c>
      <c r="F902" s="1201"/>
      <c r="G902" s="1200">
        <f>CEILING(95*$Z$1,0.1)</f>
        <v>118.80000000000001</v>
      </c>
      <c r="H902" s="1201"/>
      <c r="I902" s="1200">
        <f>CEILING(100*$Z$1,0.1)</f>
        <v>125</v>
      </c>
      <c r="J902" s="1201"/>
      <c r="K902" s="1200">
        <f>CEILING(95*$Z$1,0.1)</f>
        <v>118.80000000000001</v>
      </c>
      <c r="L902" s="1201"/>
      <c r="M902" s="106"/>
      <c r="N902" s="98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136"/>
      <c r="AA902" s="136"/>
      <c r="AB902" s="136"/>
      <c r="AC902" s="136"/>
      <c r="AD902" s="136"/>
      <c r="AE902" s="136"/>
      <c r="AF902" s="136"/>
      <c r="AG902" s="136"/>
      <c r="AH902" s="136"/>
    </row>
    <row r="903" spans="1:34" s="94" customFormat="1" ht="34.5" customHeight="1">
      <c r="A903" s="341"/>
      <c r="B903" s="171" t="s">
        <v>627</v>
      </c>
      <c r="C903" s="1200">
        <f>CEILING((C902+20*$Z$1),0.1)</f>
        <v>137.5</v>
      </c>
      <c r="D903" s="1201"/>
      <c r="E903" s="1200">
        <f>CEILING((E902+20*$Z$1),0.1)</f>
        <v>156.3</v>
      </c>
      <c r="F903" s="1201"/>
      <c r="G903" s="1200">
        <f>CEILING((G902+20*$Z$1),0.1)</f>
        <v>143.8</v>
      </c>
      <c r="H903" s="1201"/>
      <c r="I903" s="1200">
        <f>CEILING((I902+20*$Z$1),0.1)</f>
        <v>150</v>
      </c>
      <c r="J903" s="1201"/>
      <c r="K903" s="1200">
        <f>CEILING((K902+20*$Z$1),0.1)</f>
        <v>143.8</v>
      </c>
      <c r="L903" s="1201"/>
      <c r="M903" s="106"/>
      <c r="N903" s="98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136"/>
      <c r="AA903" s="136"/>
      <c r="AB903" s="136"/>
      <c r="AC903" s="136"/>
      <c r="AD903" s="136"/>
      <c r="AE903" s="136"/>
      <c r="AF903" s="136"/>
      <c r="AG903" s="136"/>
      <c r="AH903" s="136"/>
    </row>
    <row r="904" spans="1:34" s="94" customFormat="1" ht="34.5" customHeight="1">
      <c r="A904" s="341"/>
      <c r="B904" s="171" t="s">
        <v>628</v>
      </c>
      <c r="C904" s="1200">
        <f>CEILING(95*$Z$1,0.1)</f>
        <v>118.80000000000001</v>
      </c>
      <c r="D904" s="1201"/>
      <c r="E904" s="1200">
        <f>CEILING(110*$Z$1,0.1)</f>
        <v>137.5</v>
      </c>
      <c r="F904" s="1201"/>
      <c r="G904" s="1200">
        <f>CEILING(100*$Z$1,0.1)</f>
        <v>125</v>
      </c>
      <c r="H904" s="1201"/>
      <c r="I904" s="1200">
        <f>CEILING(105*$Z$1,0.1)</f>
        <v>131.3</v>
      </c>
      <c r="J904" s="1201"/>
      <c r="K904" s="1200">
        <f>CEILING(100*$Z$1,0.1)</f>
        <v>125</v>
      </c>
      <c r="L904" s="1201"/>
      <c r="M904" s="106"/>
      <c r="N904" s="98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  <c r="AB904" s="136"/>
      <c r="AC904" s="136"/>
      <c r="AD904" s="136"/>
      <c r="AE904" s="136"/>
      <c r="AF904" s="136"/>
      <c r="AG904" s="136"/>
      <c r="AH904" s="136"/>
    </row>
    <row r="905" spans="1:34" s="94" customFormat="1" ht="34.5" customHeight="1">
      <c r="A905" s="341"/>
      <c r="B905" s="171" t="s">
        <v>629</v>
      </c>
      <c r="C905" s="1200">
        <f>CEILING((C904+20*$Z$1),0.1)</f>
        <v>143.8</v>
      </c>
      <c r="D905" s="1201"/>
      <c r="E905" s="1200">
        <f>CEILING((E904+20*$Z$1),0.1)</f>
        <v>162.5</v>
      </c>
      <c r="F905" s="1201"/>
      <c r="G905" s="1200">
        <f>CEILING((G904+20*$Z$1),0.1)</f>
        <v>150</v>
      </c>
      <c r="H905" s="1201"/>
      <c r="I905" s="1200">
        <f>CEILING((I904+20*$Z$1),0.1)</f>
        <v>156.3</v>
      </c>
      <c r="J905" s="1201"/>
      <c r="K905" s="1200">
        <f>CEILING((K904+20*$Z$1),0.1)</f>
        <v>150</v>
      </c>
      <c r="L905" s="1201"/>
      <c r="M905" s="106"/>
      <c r="N905" s="98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136"/>
      <c r="AA905" s="136"/>
      <c r="AB905" s="136"/>
      <c r="AC905" s="136"/>
      <c r="AD905" s="136"/>
      <c r="AE905" s="136"/>
      <c r="AF905" s="136"/>
      <c r="AG905" s="136"/>
      <c r="AH905" s="136"/>
    </row>
    <row r="906" spans="1:14" s="136" customFormat="1" ht="34.5" customHeight="1" thickBot="1">
      <c r="A906" s="503" t="s">
        <v>480</v>
      </c>
      <c r="B906" s="184" t="s">
        <v>630</v>
      </c>
      <c r="C906" s="1212">
        <v>75</v>
      </c>
      <c r="D906" s="1213"/>
      <c r="E906" s="1212">
        <v>75</v>
      </c>
      <c r="F906" s="1213"/>
      <c r="G906" s="1212">
        <v>75</v>
      </c>
      <c r="H906" s="1213"/>
      <c r="I906" s="1212">
        <v>75</v>
      </c>
      <c r="J906" s="1213"/>
      <c r="K906" s="1212">
        <v>75</v>
      </c>
      <c r="L906" s="1213"/>
      <c r="M906" s="97"/>
      <c r="N906" s="98"/>
    </row>
    <row r="907" spans="1:34" s="133" customFormat="1" ht="34.5" customHeight="1" thickTop="1">
      <c r="A907" s="339" t="s">
        <v>631</v>
      </c>
      <c r="B907" s="890"/>
      <c r="C907" s="339"/>
      <c r="D907" s="339"/>
      <c r="E907" s="339"/>
      <c r="F907" s="339"/>
      <c r="G907" s="339"/>
      <c r="H907" s="339"/>
      <c r="I907" s="339"/>
      <c r="J907" s="339"/>
      <c r="K907" s="516"/>
      <c r="L907" s="516"/>
      <c r="M907" s="887"/>
      <c r="N907" s="887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  <c r="AF907" s="132"/>
      <c r="AG907" s="132"/>
      <c r="AH907" s="132"/>
    </row>
    <row r="908" spans="1:59" s="121" customFormat="1" ht="34.5" customHeight="1" thickBot="1">
      <c r="A908" s="186"/>
      <c r="B908" s="186"/>
      <c r="C908" s="937"/>
      <c r="D908" s="937"/>
      <c r="E908" s="937"/>
      <c r="F908" s="937"/>
      <c r="G908" s="937"/>
      <c r="H908" s="937"/>
      <c r="I908" s="187"/>
      <c r="J908" s="187"/>
      <c r="K908" s="99"/>
      <c r="L908" s="99"/>
      <c r="M908" s="106"/>
      <c r="N908" s="106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100"/>
      <c r="AV908" s="100"/>
      <c r="AW908" s="100"/>
      <c r="AX908" s="100"/>
      <c r="AY908" s="100"/>
      <c r="AZ908" s="100"/>
      <c r="BA908" s="100"/>
      <c r="BB908" s="100"/>
      <c r="BC908" s="100"/>
      <c r="BD908" s="100"/>
      <c r="BE908" s="100"/>
      <c r="BF908" s="100"/>
      <c r="BG908" s="100"/>
    </row>
    <row r="909" spans="1:14" s="136" customFormat="1" ht="36" customHeight="1" thickTop="1">
      <c r="A909" s="826" t="s">
        <v>33</v>
      </c>
      <c r="B909" s="827" t="s">
        <v>568</v>
      </c>
      <c r="C909" s="948" t="s">
        <v>951</v>
      </c>
      <c r="D909" s="949"/>
      <c r="E909" s="830" t="s">
        <v>952</v>
      </c>
      <c r="F909" s="831"/>
      <c r="G909" s="830" t="s">
        <v>727</v>
      </c>
      <c r="H909" s="831"/>
      <c r="I909" s="1256" t="s">
        <v>728</v>
      </c>
      <c r="J909" s="1257"/>
      <c r="K909" s="1256" t="s">
        <v>729</v>
      </c>
      <c r="L909" s="1257"/>
      <c r="M909" s="934"/>
      <c r="N909" s="936"/>
    </row>
    <row r="910" spans="1:34" s="94" customFormat="1" ht="42" customHeight="1">
      <c r="A910" s="303" t="s">
        <v>1303</v>
      </c>
      <c r="B910" s="172" t="s">
        <v>1305</v>
      </c>
      <c r="C910" s="1216">
        <f>CEILING(35*$Z$1,0.1)</f>
        <v>43.800000000000004</v>
      </c>
      <c r="D910" s="1217"/>
      <c r="E910" s="1200">
        <f>CEILING(70*$Z$1,0.1)</f>
        <v>87.5</v>
      </c>
      <c r="F910" s="1214"/>
      <c r="G910" s="1216">
        <f>CEILING(55*$Z$1,0.1)</f>
        <v>68.8</v>
      </c>
      <c r="H910" s="1217"/>
      <c r="I910" s="1216">
        <f>CEILING(53*$Z$1,0.1)</f>
        <v>66.3</v>
      </c>
      <c r="J910" s="1217"/>
      <c r="K910" s="1216">
        <f>CEILING(43*$Z$1,0.1)</f>
        <v>53.800000000000004</v>
      </c>
      <c r="L910" s="1217"/>
      <c r="M910" s="238"/>
      <c r="N910" s="98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136"/>
      <c r="AA910" s="136"/>
      <c r="AB910" s="136"/>
      <c r="AC910" s="136"/>
      <c r="AD910" s="136"/>
      <c r="AE910" s="136"/>
      <c r="AF910" s="136"/>
      <c r="AG910" s="136"/>
      <c r="AH910" s="136"/>
    </row>
    <row r="911" spans="1:34" s="94" customFormat="1" ht="36" customHeight="1">
      <c r="A911" s="304" t="s">
        <v>35</v>
      </c>
      <c r="B911" s="172" t="s">
        <v>1306</v>
      </c>
      <c r="C911" s="1200">
        <f>CEILING((C910+5*$Z$1),0.1)</f>
        <v>50.1</v>
      </c>
      <c r="D911" s="1201"/>
      <c r="E911" s="1200">
        <f>CEILING((E910+5*$Z$1),0.1)</f>
        <v>93.80000000000001</v>
      </c>
      <c r="F911" s="1201"/>
      <c r="G911" s="1200">
        <f>CEILING((G910+20*$Z$1),0.1)</f>
        <v>93.80000000000001</v>
      </c>
      <c r="H911" s="1201"/>
      <c r="I911" s="1200">
        <f>CEILING((I910+20*$Z$1),0.1)</f>
        <v>91.30000000000001</v>
      </c>
      <c r="J911" s="1201"/>
      <c r="K911" s="1200">
        <f>CEILING((K910+20*$Z$1),0.1)</f>
        <v>78.80000000000001</v>
      </c>
      <c r="L911" s="1201"/>
      <c r="M911" s="238"/>
      <c r="N911" s="98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136"/>
      <c r="AA911" s="136"/>
      <c r="AB911" s="136"/>
      <c r="AC911" s="136"/>
      <c r="AD911" s="136"/>
      <c r="AE911" s="136"/>
      <c r="AF911" s="136"/>
      <c r="AG911" s="136"/>
      <c r="AH911" s="136"/>
    </row>
    <row r="912" spans="1:34" s="94" customFormat="1" ht="30" customHeight="1">
      <c r="A912" s="508"/>
      <c r="B912" s="192" t="s">
        <v>89</v>
      </c>
      <c r="C912" s="1200">
        <f>CEILING((C910*0),0.1)</f>
        <v>0</v>
      </c>
      <c r="D912" s="1201"/>
      <c r="E912" s="1200">
        <f>CEILING((E910*0),0.1)</f>
        <v>0</v>
      </c>
      <c r="F912" s="1201"/>
      <c r="G912" s="1200">
        <f>CEILING((G910*0),0.1)</f>
        <v>0</v>
      </c>
      <c r="H912" s="1201"/>
      <c r="I912" s="1200">
        <f>CEILING((I910*0.5),0.1)</f>
        <v>33.2</v>
      </c>
      <c r="J912" s="1201"/>
      <c r="K912" s="1200">
        <f>CEILING((K910*0),0.1)</f>
        <v>0</v>
      </c>
      <c r="L912" s="1201"/>
      <c r="M912" s="238"/>
      <c r="N912" s="98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136"/>
      <c r="AA912" s="136"/>
      <c r="AB912" s="136"/>
      <c r="AC912" s="136"/>
      <c r="AD912" s="136"/>
      <c r="AE912" s="136"/>
      <c r="AF912" s="136"/>
      <c r="AG912" s="136"/>
      <c r="AH912" s="136"/>
    </row>
    <row r="913" spans="1:25" s="94" customFormat="1" ht="31.5" customHeight="1">
      <c r="A913" s="305"/>
      <c r="B913" s="171" t="s">
        <v>596</v>
      </c>
      <c r="C913" s="1200">
        <f>CEILING(45*$Z$1,0.1)</f>
        <v>56.300000000000004</v>
      </c>
      <c r="D913" s="1201"/>
      <c r="E913" s="1200">
        <f>CEILING(80*$Z$1,0.1)</f>
        <v>100</v>
      </c>
      <c r="F913" s="1201"/>
      <c r="G913" s="1200">
        <f>CEILING(65*$Z$1,0.1)</f>
        <v>81.30000000000001</v>
      </c>
      <c r="H913" s="1201"/>
      <c r="I913" s="1200">
        <f>CEILING(63*$Z$1,0.1)</f>
        <v>78.80000000000001</v>
      </c>
      <c r="J913" s="1201"/>
      <c r="K913" s="1200">
        <f>CEILING(53*$Z$1,0.1)</f>
        <v>66.3</v>
      </c>
      <c r="L913" s="1201"/>
      <c r="M913" s="190"/>
      <c r="N913" s="98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</row>
    <row r="914" spans="1:25" s="94" customFormat="1" ht="28.5" customHeight="1" thickBot="1">
      <c r="A914" s="495" t="s">
        <v>1304</v>
      </c>
      <c r="B914" s="184" t="s">
        <v>1307</v>
      </c>
      <c r="C914" s="1212">
        <f>CEILING((C913+5*$Z$1),0.1)</f>
        <v>62.6</v>
      </c>
      <c r="D914" s="1213"/>
      <c r="E914" s="1212">
        <f>CEILING((E913+5*$Z$1),0.1)</f>
        <v>106.30000000000001</v>
      </c>
      <c r="F914" s="1213"/>
      <c r="G914" s="1212">
        <f>CEILING((G913+5*$Z$1),0.1)</f>
        <v>87.60000000000001</v>
      </c>
      <c r="H914" s="1213"/>
      <c r="I914" s="1212">
        <f>CEILING((I913+20*$Z$1),0.1)</f>
        <v>103.80000000000001</v>
      </c>
      <c r="J914" s="1213"/>
      <c r="K914" s="1212">
        <f>CEILING((K913+20*$Z$1),0.1)</f>
        <v>91.30000000000001</v>
      </c>
      <c r="L914" s="1213"/>
      <c r="M914" s="97"/>
      <c r="N914" s="98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</row>
    <row r="915" spans="1:34" s="133" customFormat="1" ht="34.5" customHeight="1" thickTop="1">
      <c r="A915" s="339" t="s">
        <v>1308</v>
      </c>
      <c r="B915" s="932"/>
      <c r="C915" s="339"/>
      <c r="D915" s="339"/>
      <c r="E915" s="339"/>
      <c r="F915" s="339"/>
      <c r="G915" s="339"/>
      <c r="H915" s="339"/>
      <c r="I915" s="339"/>
      <c r="J915" s="339"/>
      <c r="K915" s="516"/>
      <c r="L915" s="516"/>
      <c r="M915" s="936"/>
      <c r="N915" s="936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</row>
    <row r="916" spans="1:34" s="94" customFormat="1" ht="34.5" customHeight="1">
      <c r="A916" s="509"/>
      <c r="B916" s="90"/>
      <c r="C916" s="502"/>
      <c r="D916" s="502"/>
      <c r="E916" s="502"/>
      <c r="F916" s="502"/>
      <c r="G916" s="502"/>
      <c r="H916" s="502"/>
      <c r="I916" s="502"/>
      <c r="J916" s="502"/>
      <c r="K916" s="91"/>
      <c r="L916" s="91"/>
      <c r="M916" s="106"/>
      <c r="N916" s="9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</row>
    <row r="917" spans="1:42" s="167" customFormat="1" ht="34.5" customHeight="1">
      <c r="A917" s="837" t="s">
        <v>33</v>
      </c>
      <c r="B917" s="838" t="s">
        <v>568</v>
      </c>
      <c r="C917" s="839" t="s">
        <v>847</v>
      </c>
      <c r="D917" s="840"/>
      <c r="E917" s="841" t="s">
        <v>870</v>
      </c>
      <c r="F917" s="842"/>
      <c r="G917" s="841" t="s">
        <v>850</v>
      </c>
      <c r="H917" s="842"/>
      <c r="I917" s="841" t="s">
        <v>851</v>
      </c>
      <c r="J917" s="842"/>
      <c r="K917" s="841" t="s">
        <v>852</v>
      </c>
      <c r="L917" s="842"/>
      <c r="M917" s="151"/>
      <c r="N917" s="151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</row>
    <row r="918" spans="1:34" s="136" customFormat="1" ht="34.5" customHeight="1">
      <c r="A918" s="510" t="s">
        <v>804</v>
      </c>
      <c r="B918" s="468" t="s">
        <v>163</v>
      </c>
      <c r="C918" s="1194">
        <f>CEILING(65*$Z$1,0.1)</f>
        <v>81.30000000000001</v>
      </c>
      <c r="D918" s="1195"/>
      <c r="E918" s="1194">
        <f>CEILING(100*$Z$1,0.1)</f>
        <v>125</v>
      </c>
      <c r="F918" s="1195"/>
      <c r="G918" s="1194">
        <f>CEILING(80*$Z$1,0.1)</f>
        <v>100</v>
      </c>
      <c r="H918" s="1195"/>
      <c r="I918" s="1194">
        <f>CEILING(95*$Z$1,0.1)</f>
        <v>118.80000000000001</v>
      </c>
      <c r="J918" s="1195"/>
      <c r="K918" s="1194">
        <f>CEILING(68*$Z$1,0.1)</f>
        <v>85</v>
      </c>
      <c r="L918" s="1195"/>
      <c r="M918" s="106"/>
      <c r="N918" s="9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</row>
    <row r="919" spans="1:34" s="136" customFormat="1" ht="34.5" customHeight="1">
      <c r="A919" s="511" t="s">
        <v>35</v>
      </c>
      <c r="B919" s="172" t="s">
        <v>65</v>
      </c>
      <c r="C919" s="1192">
        <f>CEILING((C918+35*$Z$1),0.1)</f>
        <v>125.10000000000001</v>
      </c>
      <c r="D919" s="1193"/>
      <c r="E919" s="1192">
        <f>CEILING((E918+45*$Z$1),0.1)</f>
        <v>181.3</v>
      </c>
      <c r="F919" s="1193"/>
      <c r="G919" s="1192">
        <f>CEILING((G918+40*$Z$1),0.1)</f>
        <v>150</v>
      </c>
      <c r="H919" s="1193"/>
      <c r="I919" s="1192">
        <f>CEILING((I918+40*$Z$1),0.1)</f>
        <v>168.8</v>
      </c>
      <c r="J919" s="1193"/>
      <c r="K919" s="1192">
        <f>CEILING((K918+40*$Z$1),0.1)</f>
        <v>135</v>
      </c>
      <c r="L919" s="1193"/>
      <c r="M919" s="106"/>
      <c r="N919" s="9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</row>
    <row r="920" spans="1:34" s="136" customFormat="1" ht="34.5" customHeight="1">
      <c r="A920" s="512" t="s">
        <v>805</v>
      </c>
      <c r="B920" s="513" t="s">
        <v>37</v>
      </c>
      <c r="C920" s="1192">
        <f>CEILING((C918*0.85),0.1)</f>
        <v>69.2</v>
      </c>
      <c r="D920" s="1193"/>
      <c r="E920" s="1192">
        <f>CEILING((E918*0.85),0.1)</f>
        <v>106.30000000000001</v>
      </c>
      <c r="F920" s="1193"/>
      <c r="G920" s="1192">
        <f>CEILING((G918*0.85),0.1)</f>
        <v>85</v>
      </c>
      <c r="H920" s="1193"/>
      <c r="I920" s="1192">
        <f>CEILING((I918*0.85),0.1)</f>
        <v>101</v>
      </c>
      <c r="J920" s="1193"/>
      <c r="K920" s="1192">
        <f>CEILING((K918*0.85),0.1)</f>
        <v>72.3</v>
      </c>
      <c r="L920" s="1193"/>
      <c r="M920" s="106"/>
      <c r="N920" s="9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</row>
    <row r="921" spans="1:34" s="136" customFormat="1" ht="34.5" customHeight="1">
      <c r="A921" s="514"/>
      <c r="B921" s="245" t="s">
        <v>484</v>
      </c>
      <c r="C921" s="1192">
        <f>CEILING((C918*0),0.1)</f>
        <v>0</v>
      </c>
      <c r="D921" s="1193"/>
      <c r="E921" s="1192">
        <f>CEILING((E918*0),0.1)</f>
        <v>0</v>
      </c>
      <c r="F921" s="1193"/>
      <c r="G921" s="1192">
        <f>CEILING((G918*0),0.1)</f>
        <v>0</v>
      </c>
      <c r="H921" s="1193"/>
      <c r="I921" s="1192">
        <f>CEILING((I918*0),0.1)</f>
        <v>0</v>
      </c>
      <c r="J921" s="1193"/>
      <c r="K921" s="1192">
        <f>CEILING((K918*0),0.1)</f>
        <v>0</v>
      </c>
      <c r="L921" s="1193"/>
      <c r="M921" s="106"/>
      <c r="N921" s="9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</row>
    <row r="922" spans="1:34" s="136" customFormat="1" ht="34.5" customHeight="1">
      <c r="A922" s="515"/>
      <c r="B922" s="171" t="s">
        <v>806</v>
      </c>
      <c r="C922" s="1192">
        <f>CEILING(75*$Z$1,0.1)</f>
        <v>93.80000000000001</v>
      </c>
      <c r="D922" s="1193"/>
      <c r="E922" s="1192">
        <f>CEILING(110*$Z$1,0.1)</f>
        <v>137.5</v>
      </c>
      <c r="F922" s="1193"/>
      <c r="G922" s="1192">
        <f>CEILING(90*$Z$1,0.1)</f>
        <v>112.5</v>
      </c>
      <c r="H922" s="1193"/>
      <c r="I922" s="1192">
        <f>CEILING(105*$Z$1,0.1)</f>
        <v>131.3</v>
      </c>
      <c r="J922" s="1193"/>
      <c r="K922" s="1192">
        <f>CEILING(78*$Z$1,0.1)</f>
        <v>97.5</v>
      </c>
      <c r="L922" s="1193"/>
      <c r="M922" s="106"/>
      <c r="N922" s="9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</row>
    <row r="923" spans="1:34" s="136" customFormat="1" ht="34.5" customHeight="1" thickBot="1">
      <c r="A923" s="503" t="s">
        <v>804</v>
      </c>
      <c r="B923" s="184" t="s">
        <v>807</v>
      </c>
      <c r="C923" s="1218">
        <f>CEILING((C922+35*$Z$1),0.1)</f>
        <v>137.6</v>
      </c>
      <c r="D923" s="1219"/>
      <c r="E923" s="1218">
        <f>CEILING((E922+45*$Z$1),0.1)</f>
        <v>193.8</v>
      </c>
      <c r="F923" s="1219"/>
      <c r="G923" s="1218">
        <f>CEILING((G922+40*$Z$1),0.1)</f>
        <v>162.5</v>
      </c>
      <c r="H923" s="1219"/>
      <c r="I923" s="1218">
        <f>CEILING((I922+40*$Z$1),0.1)</f>
        <v>181.3</v>
      </c>
      <c r="J923" s="1219"/>
      <c r="K923" s="1218">
        <f>CEILING((K922+40*$Z$1),0.1)</f>
        <v>147.5</v>
      </c>
      <c r="L923" s="1219"/>
      <c r="M923" s="106"/>
      <c r="N923" s="9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</row>
    <row r="924" spans="1:34" s="133" customFormat="1" ht="34.5" customHeight="1" thickTop="1">
      <c r="A924" s="339" t="s">
        <v>808</v>
      </c>
      <c r="B924" s="890"/>
      <c r="C924" s="339"/>
      <c r="D924" s="339"/>
      <c r="E924" s="339"/>
      <c r="F924" s="339"/>
      <c r="G924" s="339"/>
      <c r="H924" s="339"/>
      <c r="I924" s="339"/>
      <c r="J924" s="339"/>
      <c r="K924" s="516"/>
      <c r="L924" s="516"/>
      <c r="M924" s="887"/>
      <c r="N924" s="887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</row>
    <row r="925" spans="1:34" s="133" customFormat="1" ht="34.5" customHeight="1">
      <c r="A925" s="339" t="s">
        <v>569</v>
      </c>
      <c r="B925" s="391"/>
      <c r="C925" s="339"/>
      <c r="D925" s="339"/>
      <c r="E925" s="339"/>
      <c r="F925" s="339"/>
      <c r="G925" s="339"/>
      <c r="H925" s="339"/>
      <c r="I925" s="339"/>
      <c r="J925" s="339"/>
      <c r="K925" s="516"/>
      <c r="L925" s="516"/>
      <c r="M925" s="127"/>
      <c r="N925" s="127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32"/>
      <c r="AH925" s="132"/>
    </row>
    <row r="926" spans="1:34" s="133" customFormat="1" ht="34.5" customHeight="1">
      <c r="A926" s="339" t="s">
        <v>809</v>
      </c>
      <c r="B926" s="1056"/>
      <c r="C926" s="339"/>
      <c r="D926" s="339"/>
      <c r="E926" s="339"/>
      <c r="F926" s="339"/>
      <c r="G926" s="339"/>
      <c r="H926" s="339"/>
      <c r="I926" s="339"/>
      <c r="J926" s="339"/>
      <c r="K926" s="516"/>
      <c r="L926" s="516"/>
      <c r="M926" s="1057"/>
      <c r="N926" s="1057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32"/>
      <c r="AH926" s="132"/>
    </row>
    <row r="927" spans="1:34" s="311" customFormat="1" ht="34.5" customHeight="1">
      <c r="A927" s="504"/>
      <c r="B927" s="505"/>
      <c r="C927" s="504"/>
      <c r="D927" s="504"/>
      <c r="E927" s="504"/>
      <c r="F927" s="504"/>
      <c r="G927" s="504"/>
      <c r="H927" s="504"/>
      <c r="I927" s="504"/>
      <c r="J927" s="504"/>
      <c r="K927" s="506"/>
      <c r="L927" s="506"/>
      <c r="M927" s="507"/>
      <c r="N927" s="507"/>
      <c r="O927" s="310"/>
      <c r="P927" s="310"/>
      <c r="Q927" s="310"/>
      <c r="R927" s="310"/>
      <c r="S927" s="310"/>
      <c r="T927" s="310"/>
      <c r="U927" s="310"/>
      <c r="V927" s="310"/>
      <c r="W927" s="310"/>
      <c r="X927" s="310"/>
      <c r="Y927" s="310"/>
      <c r="Z927" s="310"/>
      <c r="AA927" s="310"/>
      <c r="AB927" s="310"/>
      <c r="AC927" s="310"/>
      <c r="AD927" s="310"/>
      <c r="AE927" s="310"/>
      <c r="AF927" s="310"/>
      <c r="AG927" s="310"/>
      <c r="AH927" s="310"/>
    </row>
    <row r="928" spans="1:42" s="167" customFormat="1" ht="34.5" customHeight="1">
      <c r="A928" s="837" t="s">
        <v>33</v>
      </c>
      <c r="B928" s="838" t="s">
        <v>568</v>
      </c>
      <c r="C928" s="839" t="s">
        <v>847</v>
      </c>
      <c r="D928" s="840"/>
      <c r="E928" s="841" t="s">
        <v>870</v>
      </c>
      <c r="F928" s="842"/>
      <c r="G928" s="841" t="s">
        <v>850</v>
      </c>
      <c r="H928" s="842"/>
      <c r="I928" s="841" t="s">
        <v>1039</v>
      </c>
      <c r="J928" s="842"/>
      <c r="K928" s="841" t="s">
        <v>878</v>
      </c>
      <c r="L928" s="842"/>
      <c r="M928" s="151"/>
      <c r="N928" s="151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</row>
    <row r="929" spans="1:71" s="121" customFormat="1" ht="34.5" customHeight="1">
      <c r="A929" s="461" t="s">
        <v>591</v>
      </c>
      <c r="B929" s="517" t="s">
        <v>593</v>
      </c>
      <c r="C929" s="1194">
        <f>CEILING(47*$Z$1,0.1)</f>
        <v>58.800000000000004</v>
      </c>
      <c r="D929" s="1195"/>
      <c r="E929" s="1192">
        <f>CEILING(70*$Z$1,0.1)</f>
        <v>87.5</v>
      </c>
      <c r="F929" s="1220"/>
      <c r="G929" s="1194">
        <f>CEILING(52*$Z$1,0.1)</f>
        <v>65</v>
      </c>
      <c r="H929" s="1195"/>
      <c r="I929" s="1194">
        <f>CEILING(67*$Z$1,0.1)</f>
        <v>83.80000000000001</v>
      </c>
      <c r="J929" s="1195"/>
      <c r="K929" s="1194">
        <f>CEILING(47*$Z$1,0.1)</f>
        <v>58.800000000000004</v>
      </c>
      <c r="L929" s="1195"/>
      <c r="M929" s="106"/>
      <c r="N929" s="9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100"/>
      <c r="AV929" s="100"/>
      <c r="AW929" s="100"/>
      <c r="AX929" s="100"/>
      <c r="AY929" s="100"/>
      <c r="AZ929" s="100"/>
      <c r="BA929" s="100"/>
      <c r="BB929" s="100"/>
      <c r="BC929" s="100"/>
      <c r="BD929" s="100"/>
      <c r="BE929" s="100"/>
      <c r="BF929" s="100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100"/>
      <c r="BS929" s="100"/>
    </row>
    <row r="930" spans="1:71" s="121" customFormat="1" ht="34.5" customHeight="1">
      <c r="A930" s="463"/>
      <c r="B930" s="518" t="s">
        <v>594</v>
      </c>
      <c r="C930" s="1192">
        <f>CEILING((C929+20*$Z$1),0.1)</f>
        <v>83.80000000000001</v>
      </c>
      <c r="D930" s="1193"/>
      <c r="E930" s="1192">
        <f>CEILING((E929+20*$Z$1),0.1)</f>
        <v>112.5</v>
      </c>
      <c r="F930" s="1193"/>
      <c r="G930" s="1192">
        <f>CEILING((G929+20*$Z$1),0.1)</f>
        <v>90</v>
      </c>
      <c r="H930" s="1193"/>
      <c r="I930" s="1192">
        <f>CEILING((I929+20*$Z$1),0.1)</f>
        <v>108.80000000000001</v>
      </c>
      <c r="J930" s="1193"/>
      <c r="K930" s="1192">
        <f>CEILING((K929+20*$Z$1),0.1)</f>
        <v>83.80000000000001</v>
      </c>
      <c r="L930" s="1193"/>
      <c r="M930" s="106"/>
      <c r="N930" s="9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100"/>
      <c r="AV930" s="100"/>
      <c r="AW930" s="100"/>
      <c r="AX930" s="100"/>
      <c r="AY930" s="100"/>
      <c r="AZ930" s="100"/>
      <c r="BA930" s="100"/>
      <c r="BB930" s="100"/>
      <c r="BC930" s="100"/>
      <c r="BD930" s="100"/>
      <c r="BE930" s="100"/>
      <c r="BF930" s="100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100"/>
      <c r="BS930" s="100"/>
    </row>
    <row r="931" spans="1:71" s="121" customFormat="1" ht="34.5" customHeight="1">
      <c r="A931" s="519" t="s">
        <v>35</v>
      </c>
      <c r="B931" s="520" t="s">
        <v>37</v>
      </c>
      <c r="C931" s="1192">
        <f>CEILING((C929*0.85),0.1)</f>
        <v>50</v>
      </c>
      <c r="D931" s="1193"/>
      <c r="E931" s="1192">
        <f>CEILING((E929*0.85),0.1)</f>
        <v>74.4</v>
      </c>
      <c r="F931" s="1193"/>
      <c r="G931" s="1192">
        <f>CEILING((G929*0.85),0.1)</f>
        <v>55.300000000000004</v>
      </c>
      <c r="H931" s="1193"/>
      <c r="I931" s="1192">
        <f>CEILING((I929*0.85),0.1)</f>
        <v>71.3</v>
      </c>
      <c r="J931" s="1193"/>
      <c r="K931" s="1192">
        <f>CEILING((K929*0.85),0.1)</f>
        <v>50</v>
      </c>
      <c r="L931" s="1193"/>
      <c r="M931" s="106"/>
      <c r="N931" s="9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100"/>
      <c r="AV931" s="100"/>
      <c r="AW931" s="100"/>
      <c r="AX931" s="100"/>
      <c r="AY931" s="100"/>
      <c r="AZ931" s="100"/>
      <c r="BA931" s="100"/>
      <c r="BB931" s="100"/>
      <c r="BC931" s="100"/>
      <c r="BD931" s="100"/>
      <c r="BE931" s="100"/>
      <c r="BF931" s="100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100"/>
      <c r="BS931" s="100"/>
    </row>
    <row r="932" spans="1:71" s="121" customFormat="1" ht="34.5" customHeight="1">
      <c r="A932" s="467" t="s">
        <v>609</v>
      </c>
      <c r="B932" s="521" t="s">
        <v>595</v>
      </c>
      <c r="C932" s="1192">
        <f>CEILING((C929*0),0.1)</f>
        <v>0</v>
      </c>
      <c r="D932" s="1193"/>
      <c r="E932" s="1192">
        <f>CEILING((E929*0),0.1)</f>
        <v>0</v>
      </c>
      <c r="F932" s="1193"/>
      <c r="G932" s="1192">
        <f>CEILING((G929*0),0.1)</f>
        <v>0</v>
      </c>
      <c r="H932" s="1193"/>
      <c r="I932" s="1192">
        <f>CEILING((I929*0),0.1)</f>
        <v>0</v>
      </c>
      <c r="J932" s="1193"/>
      <c r="K932" s="1192">
        <f>CEILING((K929*0),0.1)</f>
        <v>0</v>
      </c>
      <c r="L932" s="1193"/>
      <c r="M932" s="106"/>
      <c r="N932" s="9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100"/>
      <c r="AV932" s="100"/>
      <c r="AW932" s="100"/>
      <c r="AX932" s="100"/>
      <c r="AY932" s="100"/>
      <c r="AZ932" s="100"/>
      <c r="BA932" s="100"/>
      <c r="BB932" s="100"/>
      <c r="BC932" s="100"/>
      <c r="BD932" s="100"/>
      <c r="BE932" s="100"/>
      <c r="BF932" s="100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100"/>
      <c r="BS932" s="100"/>
    </row>
    <row r="933" spans="1:71" s="121" customFormat="1" ht="34.5" customHeight="1">
      <c r="A933" s="522"/>
      <c r="B933" s="523" t="s">
        <v>596</v>
      </c>
      <c r="C933" s="1192">
        <f>CEILING(55*$Z$1,0.1)</f>
        <v>68.8</v>
      </c>
      <c r="D933" s="1193"/>
      <c r="E933" s="1192">
        <f>CEILING(78*$Z$1,0.1)</f>
        <v>97.5</v>
      </c>
      <c r="F933" s="1193"/>
      <c r="G933" s="1192">
        <f>CEILING(60*$Z$1,0.1)</f>
        <v>75</v>
      </c>
      <c r="H933" s="1193"/>
      <c r="I933" s="1192">
        <f>CEILING(75*$Z$1,0.1)</f>
        <v>93.80000000000001</v>
      </c>
      <c r="J933" s="1193"/>
      <c r="K933" s="1192">
        <f>CEILING(55*$Z$1,0.1)</f>
        <v>68.8</v>
      </c>
      <c r="L933" s="1193"/>
      <c r="M933" s="106"/>
      <c r="N933" s="9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100"/>
      <c r="AV933" s="100"/>
      <c r="AW933" s="100"/>
      <c r="AX933" s="100"/>
      <c r="AY933" s="100"/>
      <c r="AZ933" s="100"/>
      <c r="BA933" s="100"/>
      <c r="BB933" s="100"/>
      <c r="BC933" s="100"/>
      <c r="BD933" s="100"/>
      <c r="BE933" s="100"/>
      <c r="BF933" s="100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100"/>
      <c r="BS933" s="100"/>
    </row>
    <row r="934" spans="1:71" s="121" customFormat="1" ht="34.5" customHeight="1">
      <c r="A934" s="524"/>
      <c r="B934" s="179" t="s">
        <v>597</v>
      </c>
      <c r="C934" s="1192">
        <f>CEILING((C933+20*$Z$1),0.1)</f>
        <v>93.80000000000001</v>
      </c>
      <c r="D934" s="1193"/>
      <c r="E934" s="1192">
        <f>CEILING((E933+20*$Z$1),0.1)</f>
        <v>122.5</v>
      </c>
      <c r="F934" s="1255"/>
      <c r="G934" s="1192">
        <f>CEILING((G933+20*$Z$1),0.1)</f>
        <v>100</v>
      </c>
      <c r="H934" s="1193"/>
      <c r="I934" s="1192">
        <f>CEILING((I933+20*$Z$1),0.1)</f>
        <v>118.80000000000001</v>
      </c>
      <c r="J934" s="1193"/>
      <c r="K934" s="1192">
        <f>CEILING((K933+20*$Z$1),0.1)</f>
        <v>93.80000000000001</v>
      </c>
      <c r="L934" s="1193"/>
      <c r="M934" s="106"/>
      <c r="N934" s="9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100"/>
      <c r="AV934" s="100"/>
      <c r="AW934" s="100"/>
      <c r="AX934" s="100"/>
      <c r="AY934" s="100"/>
      <c r="AZ934" s="100"/>
      <c r="BA934" s="100"/>
      <c r="BB934" s="100"/>
      <c r="BC934" s="100"/>
      <c r="BD934" s="100"/>
      <c r="BE934" s="100"/>
      <c r="BF934" s="100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100"/>
      <c r="BS934" s="100"/>
    </row>
    <row r="935" spans="1:71" s="121" customFormat="1" ht="34.5" customHeight="1">
      <c r="A935" s="524"/>
      <c r="B935" s="340" t="s">
        <v>598</v>
      </c>
      <c r="C935" s="1192">
        <f>CEILING(85*$Z$1,0.1)</f>
        <v>106.30000000000001</v>
      </c>
      <c r="D935" s="1193"/>
      <c r="E935" s="1192">
        <f>CEILING(108*$Z$1,0.1)</f>
        <v>135</v>
      </c>
      <c r="F935" s="1193"/>
      <c r="G935" s="1192">
        <f>CEILING(90*$Z$1,0.1)</f>
        <v>112.5</v>
      </c>
      <c r="H935" s="1193"/>
      <c r="I935" s="1192">
        <f>CEILING(105*$Z$1,0.1)</f>
        <v>131.3</v>
      </c>
      <c r="J935" s="1193"/>
      <c r="K935" s="1192">
        <f>CEILING(85*$Z$1,0.1)</f>
        <v>106.30000000000001</v>
      </c>
      <c r="L935" s="1193"/>
      <c r="M935" s="106"/>
      <c r="N935" s="9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100"/>
      <c r="AV935" s="100"/>
      <c r="AW935" s="100"/>
      <c r="AX935" s="100"/>
      <c r="AY935" s="100"/>
      <c r="AZ935" s="100"/>
      <c r="BA935" s="100"/>
      <c r="BB935" s="100"/>
      <c r="BC935" s="100"/>
      <c r="BD935" s="100"/>
      <c r="BE935" s="100"/>
      <c r="BF935" s="100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100"/>
      <c r="BS935" s="100"/>
    </row>
    <row r="936" spans="1:71" s="121" customFormat="1" ht="34.5" customHeight="1">
      <c r="A936" s="522"/>
      <c r="B936" s="90" t="s">
        <v>599</v>
      </c>
      <c r="C936" s="1192">
        <f>CEILING((C935+20*$Z$1),0.1)</f>
        <v>131.3</v>
      </c>
      <c r="D936" s="1193"/>
      <c r="E936" s="1192">
        <f>CEILING((E935+20*$Z$1),0.1)</f>
        <v>160</v>
      </c>
      <c r="F936" s="1193"/>
      <c r="G936" s="1192">
        <f>CEILING((G935+20*$Z$1),0.1)</f>
        <v>137.5</v>
      </c>
      <c r="H936" s="1193"/>
      <c r="I936" s="1192">
        <f>CEILING((I935+20*$Z$1),0.1)</f>
        <v>156.3</v>
      </c>
      <c r="J936" s="1193"/>
      <c r="K936" s="1192">
        <f>CEILING((K935+20*$Z$1),0.1)</f>
        <v>131.3</v>
      </c>
      <c r="L936" s="1193"/>
      <c r="M936" s="106"/>
      <c r="N936" s="9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100"/>
      <c r="AV936" s="100"/>
      <c r="AW936" s="100"/>
      <c r="AX936" s="100"/>
      <c r="AY936" s="100"/>
      <c r="AZ936" s="100"/>
      <c r="BA936" s="100"/>
      <c r="BB936" s="100"/>
      <c r="BC936" s="100"/>
      <c r="BD936" s="100"/>
      <c r="BE936" s="100"/>
      <c r="BF936" s="100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100"/>
      <c r="BS936" s="100"/>
    </row>
    <row r="937" spans="1:71" s="411" customFormat="1" ht="34.5" customHeight="1">
      <c r="A937" s="525"/>
      <c r="B937" s="526" t="s">
        <v>600</v>
      </c>
      <c r="C937" s="1202">
        <f>CEILING(130*$Z$1,0.1)</f>
        <v>162.5</v>
      </c>
      <c r="D937" s="1203"/>
      <c r="E937" s="1192">
        <f>CEILING(153*$Z$1,0.1)</f>
        <v>191.3</v>
      </c>
      <c r="F937" s="1193"/>
      <c r="G937" s="1202">
        <f>CEILING(135*$Z$1,0.1)</f>
        <v>168.8</v>
      </c>
      <c r="H937" s="1203"/>
      <c r="I937" s="1202">
        <f>CEILING(150*$Z$1,0.1)</f>
        <v>187.5</v>
      </c>
      <c r="J937" s="1203"/>
      <c r="K937" s="1202">
        <f>CEILING(130*$Z$1,0.1)</f>
        <v>162.5</v>
      </c>
      <c r="L937" s="1203"/>
      <c r="M937" s="106"/>
      <c r="N937" s="9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100"/>
      <c r="AV937" s="100"/>
      <c r="AW937" s="100"/>
      <c r="AX937" s="100"/>
      <c r="AY937" s="100"/>
      <c r="AZ937" s="100"/>
      <c r="BA937" s="100"/>
      <c r="BB937" s="100"/>
      <c r="BC937" s="100"/>
      <c r="BD937" s="100"/>
      <c r="BE937" s="100"/>
      <c r="BF937" s="100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100"/>
      <c r="BS937" s="100"/>
    </row>
    <row r="938" spans="1:71" s="121" customFormat="1" ht="34.5" customHeight="1">
      <c r="A938" s="527"/>
      <c r="B938" s="349" t="s">
        <v>593</v>
      </c>
      <c r="C938" s="1194">
        <f>CEILING(52*$Z$1,0.1)</f>
        <v>65</v>
      </c>
      <c r="D938" s="1195"/>
      <c r="E938" s="1235">
        <f>CEILING(75*$Z$1,0.1)</f>
        <v>93.80000000000001</v>
      </c>
      <c r="F938" s="1195"/>
      <c r="G938" s="1194">
        <f>CEILING(57*$Z$1,0.1)</f>
        <v>71.3</v>
      </c>
      <c r="H938" s="1195"/>
      <c r="I938" s="1194">
        <f>CEILING(72*$Z$1,0.1)</f>
        <v>90</v>
      </c>
      <c r="J938" s="1195"/>
      <c r="K938" s="1194">
        <f>CEILING(52*$Z$1,0.1)</f>
        <v>65</v>
      </c>
      <c r="L938" s="1195"/>
      <c r="M938" s="106"/>
      <c r="N938" s="9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100"/>
      <c r="AV938" s="100"/>
      <c r="AW938" s="100"/>
      <c r="AX938" s="100"/>
      <c r="AY938" s="100"/>
      <c r="AZ938" s="100"/>
      <c r="BA938" s="100"/>
      <c r="BB938" s="100"/>
      <c r="BC938" s="100"/>
      <c r="BD938" s="100"/>
      <c r="BE938" s="100"/>
      <c r="BF938" s="100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100"/>
      <c r="BS938" s="100"/>
    </row>
    <row r="939" spans="1:71" s="121" customFormat="1" ht="34.5" customHeight="1">
      <c r="A939" s="528"/>
      <c r="B939" s="172" t="s">
        <v>594</v>
      </c>
      <c r="C939" s="1192">
        <f>CEILING((C938+20*$Z$1),0.1)</f>
        <v>90</v>
      </c>
      <c r="D939" s="1193"/>
      <c r="E939" s="1220">
        <f>CEILING((E938+20*$Z$1),0.1)</f>
        <v>118.80000000000001</v>
      </c>
      <c r="F939" s="1193"/>
      <c r="G939" s="1192">
        <f>CEILING((G938+20*$Z$1),0.1)</f>
        <v>96.30000000000001</v>
      </c>
      <c r="H939" s="1193"/>
      <c r="I939" s="1192">
        <f>CEILING((I938+20*$Z$1),0.1)</f>
        <v>115</v>
      </c>
      <c r="J939" s="1193"/>
      <c r="K939" s="1192">
        <f>CEILING((K938+20*$Z$1),0.1)</f>
        <v>90</v>
      </c>
      <c r="L939" s="1193"/>
      <c r="M939" s="106"/>
      <c r="N939" s="9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100"/>
      <c r="AV939" s="100"/>
      <c r="AW939" s="100"/>
      <c r="AX939" s="100"/>
      <c r="AY939" s="100"/>
      <c r="AZ939" s="100"/>
      <c r="BA939" s="100"/>
      <c r="BB939" s="100"/>
      <c r="BC939" s="100"/>
      <c r="BD939" s="100"/>
      <c r="BE939" s="100"/>
      <c r="BF939" s="100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100"/>
      <c r="BS939" s="100"/>
    </row>
    <row r="940" spans="1:71" s="121" customFormat="1" ht="34.5" customHeight="1">
      <c r="A940" s="529" t="s">
        <v>610</v>
      </c>
      <c r="B940" s="306" t="s">
        <v>37</v>
      </c>
      <c r="C940" s="1192">
        <f>CEILING((C938*0.85),0.1)</f>
        <v>55.300000000000004</v>
      </c>
      <c r="D940" s="1193"/>
      <c r="E940" s="1220">
        <f>CEILING((E938*0.85),0.1)</f>
        <v>79.80000000000001</v>
      </c>
      <c r="F940" s="1193"/>
      <c r="G940" s="1192">
        <f>CEILING((G938*0.85),0.1)</f>
        <v>60.7</v>
      </c>
      <c r="H940" s="1193"/>
      <c r="I940" s="1192">
        <f>CEILING((I938*0.85),0.1)</f>
        <v>76.5</v>
      </c>
      <c r="J940" s="1193"/>
      <c r="K940" s="1192">
        <f>CEILING((K938*0.85),0.1)</f>
        <v>55.300000000000004</v>
      </c>
      <c r="L940" s="1193"/>
      <c r="M940" s="106"/>
      <c r="N940" s="9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100"/>
      <c r="AV940" s="100"/>
      <c r="AW940" s="100"/>
      <c r="AX940" s="100"/>
      <c r="AY940" s="100"/>
      <c r="AZ940" s="100"/>
      <c r="BA940" s="100"/>
      <c r="BB940" s="100"/>
      <c r="BC940" s="100"/>
      <c r="BD940" s="100"/>
      <c r="BE940" s="100"/>
      <c r="BF940" s="100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100"/>
      <c r="BS940" s="100"/>
    </row>
    <row r="941" spans="1:71" s="121" customFormat="1" ht="34.5" customHeight="1">
      <c r="A941" s="524"/>
      <c r="B941" s="171" t="s">
        <v>596</v>
      </c>
      <c r="C941" s="1192">
        <f>CEILING(60*$Z$1,0.1)</f>
        <v>75</v>
      </c>
      <c r="D941" s="1193"/>
      <c r="E941" s="1220">
        <f>CEILING(83*$Z$1,0.1)</f>
        <v>103.80000000000001</v>
      </c>
      <c r="F941" s="1193"/>
      <c r="G941" s="1192">
        <f>CEILING(65*$Z$1,0.1)</f>
        <v>81.30000000000001</v>
      </c>
      <c r="H941" s="1193"/>
      <c r="I941" s="1192">
        <f>CEILING(80*$Z$1,0.1)</f>
        <v>100</v>
      </c>
      <c r="J941" s="1193"/>
      <c r="K941" s="1192">
        <f>CEILING(60*$Z$1,0.1)</f>
        <v>75</v>
      </c>
      <c r="L941" s="1193"/>
      <c r="M941" s="106"/>
      <c r="N941" s="9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100"/>
      <c r="AV941" s="100"/>
      <c r="AW941" s="100"/>
      <c r="AX941" s="100"/>
      <c r="AY941" s="100"/>
      <c r="AZ941" s="100"/>
      <c r="BA941" s="100"/>
      <c r="BB941" s="100"/>
      <c r="BC941" s="100"/>
      <c r="BD941" s="100"/>
      <c r="BE941" s="100"/>
      <c r="BF941" s="100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100"/>
      <c r="BS941" s="100"/>
    </row>
    <row r="942" spans="1:71" s="121" customFormat="1" ht="34.5" customHeight="1">
      <c r="A942" s="524"/>
      <c r="B942" s="171" t="s">
        <v>597</v>
      </c>
      <c r="C942" s="1192">
        <f>CEILING((C941+20*$Z$1),0.1)</f>
        <v>100</v>
      </c>
      <c r="D942" s="1193"/>
      <c r="E942" s="1220">
        <f>CEILING((E941+20*$Z$1),0.1)</f>
        <v>128.8</v>
      </c>
      <c r="F942" s="1255"/>
      <c r="G942" s="1192">
        <f>CEILING((G941+20*$Z$1),0.1)</f>
        <v>106.30000000000001</v>
      </c>
      <c r="H942" s="1193"/>
      <c r="I942" s="1192">
        <f>CEILING((I941+20*$Z$1),0.1)</f>
        <v>125</v>
      </c>
      <c r="J942" s="1193"/>
      <c r="K942" s="1192">
        <f>CEILING((K941+20*$Z$1),0.1)</f>
        <v>100</v>
      </c>
      <c r="L942" s="1193"/>
      <c r="M942" s="106"/>
      <c r="N942" s="9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100"/>
      <c r="AV942" s="100"/>
      <c r="AW942" s="100"/>
      <c r="AX942" s="100"/>
      <c r="AY942" s="100"/>
      <c r="AZ942" s="100"/>
      <c r="BA942" s="100"/>
      <c r="BB942" s="100"/>
      <c r="BC942" s="100"/>
      <c r="BD942" s="100"/>
      <c r="BE942" s="100"/>
      <c r="BF942" s="100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100"/>
      <c r="BS942" s="100"/>
    </row>
    <row r="943" spans="1:71" s="121" customFormat="1" ht="34.5" customHeight="1">
      <c r="A943" s="524"/>
      <c r="B943" s="172" t="s">
        <v>598</v>
      </c>
      <c r="C943" s="1192">
        <f>CEILING(90*$Z$1,0.1)</f>
        <v>112.5</v>
      </c>
      <c r="D943" s="1193"/>
      <c r="E943" s="1220">
        <f>CEILING(113*$Z$1,0.1)</f>
        <v>141.3</v>
      </c>
      <c r="F943" s="1193"/>
      <c r="G943" s="1192">
        <f>CEILING(95*$Z$1,0.1)</f>
        <v>118.80000000000001</v>
      </c>
      <c r="H943" s="1193"/>
      <c r="I943" s="1192">
        <f>CEILING(110*$Z$1,0.1)</f>
        <v>137.5</v>
      </c>
      <c r="J943" s="1193"/>
      <c r="K943" s="1192">
        <f>CEILING(90*$Z$1,0.1)</f>
        <v>112.5</v>
      </c>
      <c r="L943" s="1193"/>
      <c r="M943" s="106"/>
      <c r="N943" s="9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100"/>
      <c r="AV943" s="100"/>
      <c r="AW943" s="100"/>
      <c r="AX943" s="100"/>
      <c r="AY943" s="100"/>
      <c r="AZ943" s="100"/>
      <c r="BA943" s="100"/>
      <c r="BB943" s="100"/>
      <c r="BC943" s="100"/>
      <c r="BD943" s="100"/>
      <c r="BE943" s="100"/>
      <c r="BF943" s="100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100"/>
      <c r="BS943" s="100"/>
    </row>
    <row r="944" spans="1:71" s="121" customFormat="1" ht="34.5" customHeight="1">
      <c r="A944" s="524"/>
      <c r="B944" s="172" t="s">
        <v>599</v>
      </c>
      <c r="C944" s="1192">
        <f>CEILING((C943+20*$Z$1),0.1)</f>
        <v>137.5</v>
      </c>
      <c r="D944" s="1193"/>
      <c r="E944" s="1220">
        <f>CEILING((E943+20*$Z$1),0.1)</f>
        <v>166.3</v>
      </c>
      <c r="F944" s="1193"/>
      <c r="G944" s="1192">
        <f>CEILING((G943+20*$Z$1),0.1)</f>
        <v>143.8</v>
      </c>
      <c r="H944" s="1193"/>
      <c r="I944" s="1192">
        <f>CEILING((I943+20*$Z$1),0.1)</f>
        <v>162.5</v>
      </c>
      <c r="J944" s="1193"/>
      <c r="K944" s="1192">
        <f>CEILING((K943+20*$Z$1),0.1)</f>
        <v>137.5</v>
      </c>
      <c r="L944" s="1193"/>
      <c r="M944" s="106"/>
      <c r="N944" s="9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100"/>
      <c r="AV944" s="100"/>
      <c r="AW944" s="100"/>
      <c r="AX944" s="100"/>
      <c r="AY944" s="100"/>
      <c r="AZ944" s="100"/>
      <c r="BA944" s="100"/>
      <c r="BB944" s="100"/>
      <c r="BC944" s="100"/>
      <c r="BD944" s="100"/>
      <c r="BE944" s="100"/>
      <c r="BF944" s="100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100"/>
      <c r="BS944" s="100"/>
    </row>
    <row r="945" spans="1:71" s="411" customFormat="1" ht="34.5" customHeight="1">
      <c r="A945" s="530"/>
      <c r="B945" s="171" t="s">
        <v>602</v>
      </c>
      <c r="C945" s="1202">
        <f>CEILING(140*$Z$1,0.1)</f>
        <v>175</v>
      </c>
      <c r="D945" s="1203"/>
      <c r="E945" s="1220">
        <f>CEILING(163*$Z$1,0.1)</f>
        <v>203.8</v>
      </c>
      <c r="F945" s="1193"/>
      <c r="G945" s="1202">
        <f>CEILING(145*$Z$1,0.1)</f>
        <v>181.3</v>
      </c>
      <c r="H945" s="1203"/>
      <c r="I945" s="1202">
        <f>CEILING(160*$Z$1,0.1)</f>
        <v>200</v>
      </c>
      <c r="J945" s="1203"/>
      <c r="K945" s="1202">
        <f>CEILING(140*$Z$1,0.1)</f>
        <v>175</v>
      </c>
      <c r="L945" s="1203"/>
      <c r="M945" s="106"/>
      <c r="N945" s="9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100"/>
      <c r="AV945" s="100"/>
      <c r="AW945" s="100"/>
      <c r="AX945" s="100"/>
      <c r="AY945" s="100"/>
      <c r="AZ945" s="100"/>
      <c r="BA945" s="100"/>
      <c r="BB945" s="100"/>
      <c r="BC945" s="100"/>
      <c r="BD945" s="100"/>
      <c r="BE945" s="100"/>
      <c r="BF945" s="100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100"/>
      <c r="BS945" s="100"/>
    </row>
    <row r="946" spans="1:71" s="121" customFormat="1" ht="34.5" customHeight="1">
      <c r="A946" s="527"/>
      <c r="B946" s="404" t="s">
        <v>603</v>
      </c>
      <c r="C946" s="1194">
        <f>CEILING(67*$Z$1,0.1)</f>
        <v>83.80000000000001</v>
      </c>
      <c r="D946" s="1195"/>
      <c r="E946" s="1194">
        <f>CEILING(87*$Z$1,0.1)</f>
        <v>108.80000000000001</v>
      </c>
      <c r="F946" s="1195"/>
      <c r="G946" s="1194">
        <f>CEILING(72*$Z$1,0.1)</f>
        <v>90</v>
      </c>
      <c r="H946" s="1195"/>
      <c r="I946" s="1194">
        <f>CEILING(80*$Z$1,0.1)</f>
        <v>100</v>
      </c>
      <c r="J946" s="1195"/>
      <c r="K946" s="1194">
        <f>CEILING(70*$Z$1,0.1)</f>
        <v>87.5</v>
      </c>
      <c r="L946" s="1195"/>
      <c r="M946" s="106"/>
      <c r="N946" s="9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100"/>
      <c r="AV946" s="100"/>
      <c r="AW946" s="100"/>
      <c r="AX946" s="100"/>
      <c r="AY946" s="100"/>
      <c r="AZ946" s="100"/>
      <c r="BA946" s="100"/>
      <c r="BB946" s="100"/>
      <c r="BC946" s="100"/>
      <c r="BD946" s="100"/>
      <c r="BE946" s="100"/>
      <c r="BF946" s="100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100"/>
      <c r="BS946" s="100"/>
    </row>
    <row r="947" spans="1:71" s="121" customFormat="1" ht="34.5" customHeight="1">
      <c r="A947" s="528"/>
      <c r="B947" s="340" t="s">
        <v>604</v>
      </c>
      <c r="C947" s="1192">
        <f>CEILING((C946+20*$Z$1),0.1)</f>
        <v>108.80000000000001</v>
      </c>
      <c r="D947" s="1193"/>
      <c r="E947" s="1192">
        <f>CEILING((E946+20*$Z$1),0.1)</f>
        <v>133.8</v>
      </c>
      <c r="F947" s="1193"/>
      <c r="G947" s="1192">
        <f>CEILING((G946+20*$Z$1),0.1)</f>
        <v>115</v>
      </c>
      <c r="H947" s="1193"/>
      <c r="I947" s="1192">
        <f>CEILING((I946+20*$Z$1),0.1)</f>
        <v>125</v>
      </c>
      <c r="J947" s="1193"/>
      <c r="K947" s="1192">
        <f>CEILING((K946+20*$Z$1),0.1)</f>
        <v>112.5</v>
      </c>
      <c r="L947" s="1193"/>
      <c r="M947" s="106"/>
      <c r="N947" s="9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100"/>
      <c r="AV947" s="100"/>
      <c r="AW947" s="100"/>
      <c r="AX947" s="100"/>
      <c r="AY947" s="100"/>
      <c r="AZ947" s="100"/>
      <c r="BA947" s="100"/>
      <c r="BB947" s="100"/>
      <c r="BC947" s="100"/>
      <c r="BD947" s="100"/>
      <c r="BE947" s="100"/>
      <c r="BF947" s="100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100"/>
      <c r="BS947" s="100"/>
    </row>
    <row r="948" spans="1:71" s="121" customFormat="1" ht="34.5" customHeight="1">
      <c r="A948" s="529" t="s">
        <v>601</v>
      </c>
      <c r="B948" s="179" t="s">
        <v>605</v>
      </c>
      <c r="C948" s="1192">
        <f>CEILING(82*$Z$1,0.1)</f>
        <v>102.5</v>
      </c>
      <c r="D948" s="1193"/>
      <c r="E948" s="1192">
        <f>CEILING(102*$Z$1,0.1)</f>
        <v>127.5</v>
      </c>
      <c r="F948" s="1193"/>
      <c r="G948" s="1192">
        <f>CEILING(87*$Z$1,0.1)</f>
        <v>108.80000000000001</v>
      </c>
      <c r="H948" s="1193"/>
      <c r="I948" s="1192">
        <f>CEILING(95*$Z$1,0.1)</f>
        <v>118.80000000000001</v>
      </c>
      <c r="J948" s="1193"/>
      <c r="K948" s="1192">
        <f>CEILING(85*$Z$1,0.1)</f>
        <v>106.30000000000001</v>
      </c>
      <c r="L948" s="1193"/>
      <c r="M948" s="106"/>
      <c r="N948" s="9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100"/>
      <c r="AV948" s="100"/>
      <c r="AW948" s="100"/>
      <c r="AX948" s="100"/>
      <c r="AY948" s="100"/>
      <c r="AZ948" s="100"/>
      <c r="BA948" s="100"/>
      <c r="BB948" s="100"/>
      <c r="BC948" s="100"/>
      <c r="BD948" s="100"/>
      <c r="BE948" s="100"/>
      <c r="BF948" s="100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100"/>
      <c r="BS948" s="100"/>
    </row>
    <row r="949" spans="1:71" s="121" customFormat="1" ht="34.5" customHeight="1">
      <c r="A949" s="524"/>
      <c r="B949" s="179" t="s">
        <v>606</v>
      </c>
      <c r="C949" s="1192">
        <f>CEILING((C948+20*$Z$1),0.1)</f>
        <v>127.5</v>
      </c>
      <c r="D949" s="1193"/>
      <c r="E949" s="1192">
        <f>CEILING((E948+20*$Z$1),0.1)</f>
        <v>152.5</v>
      </c>
      <c r="F949" s="1255"/>
      <c r="G949" s="1192">
        <f>CEILING((G948+20*$Z$1),0.1)</f>
        <v>133.8</v>
      </c>
      <c r="H949" s="1193"/>
      <c r="I949" s="1192">
        <f>CEILING((I948+20*$Z$1),0.1)</f>
        <v>143.8</v>
      </c>
      <c r="J949" s="1193"/>
      <c r="K949" s="1192">
        <f>CEILING((K948+20*$Z$1),0.1)</f>
        <v>131.3</v>
      </c>
      <c r="L949" s="1193"/>
      <c r="M949" s="106"/>
      <c r="N949" s="9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100"/>
      <c r="AV949" s="100"/>
      <c r="AW949" s="100"/>
      <c r="AX949" s="100"/>
      <c r="AY949" s="100"/>
      <c r="AZ949" s="100"/>
      <c r="BA949" s="100"/>
      <c r="BB949" s="100"/>
      <c r="BC949" s="100"/>
      <c r="BD949" s="100"/>
      <c r="BE949" s="100"/>
      <c r="BF949" s="100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100"/>
      <c r="BS949" s="100"/>
    </row>
    <row r="950" spans="1:71" s="121" customFormat="1" ht="34.5" customHeight="1">
      <c r="A950" s="524"/>
      <c r="B950" s="340" t="s">
        <v>607</v>
      </c>
      <c r="C950" s="1192">
        <f>CEILING(112*$Z$1,0.1)</f>
        <v>140</v>
      </c>
      <c r="D950" s="1193"/>
      <c r="E950" s="1192">
        <f>CEILING(132*$Z$1,0.1)</f>
        <v>165</v>
      </c>
      <c r="F950" s="1193"/>
      <c r="G950" s="1192">
        <f>CEILING(117*$Z$1,0.1)</f>
        <v>146.3</v>
      </c>
      <c r="H950" s="1193"/>
      <c r="I950" s="1192">
        <f>CEILING(125*$Z$1,0.1)</f>
        <v>156.3</v>
      </c>
      <c r="J950" s="1193"/>
      <c r="K950" s="1192">
        <f>CEILING(115*$Z$1,0.1)</f>
        <v>143.8</v>
      </c>
      <c r="L950" s="1193"/>
      <c r="M950" s="106"/>
      <c r="N950" s="9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100"/>
      <c r="AV950" s="100"/>
      <c r="AW950" s="100"/>
      <c r="AX950" s="100"/>
      <c r="AY950" s="100"/>
      <c r="AZ950" s="100"/>
      <c r="BA950" s="100"/>
      <c r="BB950" s="100"/>
      <c r="BC950" s="100"/>
      <c r="BD950" s="100"/>
      <c r="BE950" s="100"/>
      <c r="BF950" s="100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100"/>
      <c r="BS950" s="100"/>
    </row>
    <row r="951" spans="1:71" s="411" customFormat="1" ht="34.5" customHeight="1" thickBot="1">
      <c r="A951" s="531" t="s">
        <v>592</v>
      </c>
      <c r="B951" s="407" t="s">
        <v>608</v>
      </c>
      <c r="C951" s="1218">
        <f>CEILING((C950+20*$Z$1),0.1)</f>
        <v>165</v>
      </c>
      <c r="D951" s="1219"/>
      <c r="E951" s="1218">
        <f>CEILING((E950+20*$Z$1),0.1)</f>
        <v>190</v>
      </c>
      <c r="F951" s="1219"/>
      <c r="G951" s="1218">
        <f>CEILING((G950+20*$Z$1),0.1)</f>
        <v>171.3</v>
      </c>
      <c r="H951" s="1219"/>
      <c r="I951" s="1218">
        <f>CEILING((I950+20*$Z$1),0.1)</f>
        <v>181.3</v>
      </c>
      <c r="J951" s="1219"/>
      <c r="K951" s="1218">
        <f>CEILING((K950+20*$Z$1),0.1)</f>
        <v>168.8</v>
      </c>
      <c r="L951" s="1219"/>
      <c r="M951" s="106"/>
      <c r="N951" s="9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100"/>
      <c r="AV951" s="100"/>
      <c r="AW951" s="100"/>
      <c r="AX951" s="100"/>
      <c r="AY951" s="100"/>
      <c r="AZ951" s="100"/>
      <c r="BA951" s="100"/>
      <c r="BB951" s="100"/>
      <c r="BC951" s="100"/>
      <c r="BD951" s="100"/>
      <c r="BE951" s="100"/>
      <c r="BF951" s="100"/>
      <c r="BG951" s="100"/>
      <c r="BH951" s="100"/>
      <c r="BI951" s="100"/>
      <c r="BJ951" s="100"/>
      <c r="BK951" s="532"/>
      <c r="BL951" s="532"/>
      <c r="BM951" s="532"/>
      <c r="BN951" s="532"/>
      <c r="BO951" s="532"/>
      <c r="BP951" s="532"/>
      <c r="BQ951" s="532"/>
      <c r="BR951" s="532"/>
      <c r="BS951" s="532"/>
    </row>
    <row r="952" spans="1:25" s="121" customFormat="1" ht="34.5" customHeight="1" thickTop="1">
      <c r="A952" s="433" t="s">
        <v>1040</v>
      </c>
      <c r="B952" s="433"/>
      <c r="C952" s="433"/>
      <c r="D952" s="433"/>
      <c r="E952" s="433"/>
      <c r="F952" s="433"/>
      <c r="G952" s="433"/>
      <c r="H952" s="433"/>
      <c r="I952" s="443"/>
      <c r="J952" s="443"/>
      <c r="K952" s="120"/>
      <c r="L952" s="120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</row>
    <row r="953" spans="1:25" s="94" customFormat="1" ht="34.5" customHeight="1">
      <c r="A953" s="433" t="s">
        <v>611</v>
      </c>
      <c r="B953" s="433"/>
      <c r="C953" s="433"/>
      <c r="D953" s="433"/>
      <c r="E953" s="433"/>
      <c r="F953" s="433"/>
      <c r="G953" s="433"/>
      <c r="H953" s="433"/>
      <c r="I953" s="443"/>
      <c r="J953" s="443"/>
      <c r="K953" s="444"/>
      <c r="L953" s="444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</row>
    <row r="954" spans="1:25" s="31" customFormat="1" ht="34.5" customHeight="1">
      <c r="A954" s="39"/>
      <c r="B954" s="39"/>
      <c r="C954" s="39"/>
      <c r="D954" s="39"/>
      <c r="E954" s="39"/>
      <c r="F954" s="39"/>
      <c r="G954" s="39"/>
      <c r="H954" s="39"/>
      <c r="I954" s="4"/>
      <c r="J954" s="4"/>
      <c r="K954" s="33"/>
      <c r="L954" s="33"/>
      <c r="M954" s="32"/>
      <c r="N954" s="35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</row>
    <row r="955" spans="1:25" s="94" customFormat="1" ht="34.5" customHeight="1">
      <c r="A955" s="1241" t="s">
        <v>1118</v>
      </c>
      <c r="B955" s="1241"/>
      <c r="C955" s="1241"/>
      <c r="D955" s="1241"/>
      <c r="E955" s="1241"/>
      <c r="F955" s="1241"/>
      <c r="G955" s="1241"/>
      <c r="H955" s="1241"/>
      <c r="I955" s="1007"/>
      <c r="J955" s="1007"/>
      <c r="K955" s="1008"/>
      <c r="L955" s="1008"/>
      <c r="M955" s="97"/>
      <c r="N955" s="98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</row>
    <row r="956" spans="1:25" s="94" customFormat="1" ht="33" customHeight="1">
      <c r="A956" s="1241" t="s">
        <v>1119</v>
      </c>
      <c r="B956" s="1241"/>
      <c r="C956" s="1241"/>
      <c r="D956" s="1241"/>
      <c r="E956" s="1241"/>
      <c r="F956" s="1241"/>
      <c r="G956" s="1241"/>
      <c r="H956" s="1241"/>
      <c r="I956" s="1007"/>
      <c r="J956" s="1007"/>
      <c r="K956" s="1008"/>
      <c r="L956" s="1008"/>
      <c r="M956" s="97"/>
      <c r="N956" s="98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</row>
    <row r="957" spans="1:25" s="94" customFormat="1" ht="34.5" customHeight="1">
      <c r="A957" s="1241" t="s">
        <v>1273</v>
      </c>
      <c r="B957" s="1241"/>
      <c r="C957" s="1241"/>
      <c r="D957" s="1241"/>
      <c r="E957" s="1241"/>
      <c r="F957" s="1241"/>
      <c r="G957" s="1241"/>
      <c r="H957" s="1241"/>
      <c r="I957" s="1242"/>
      <c r="J957" s="1007"/>
      <c r="K957" s="1008"/>
      <c r="L957" s="1008"/>
      <c r="M957" s="97"/>
      <c r="N957" s="98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</row>
    <row r="958" spans="1:25" s="94" customFormat="1" ht="36" customHeight="1">
      <c r="A958" s="1241" t="s">
        <v>1274</v>
      </c>
      <c r="B958" s="1241"/>
      <c r="C958" s="1241"/>
      <c r="D958" s="1241"/>
      <c r="E958" s="1241"/>
      <c r="F958" s="1241"/>
      <c r="G958" s="1241"/>
      <c r="H958" s="1241"/>
      <c r="I958" s="1009"/>
      <c r="J958" s="1009"/>
      <c r="K958" s="1008"/>
      <c r="L958" s="1008"/>
      <c r="M958" s="97"/>
      <c r="N958" s="98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</row>
    <row r="959" spans="1:25" s="15" customFormat="1" ht="34.5" customHeight="1">
      <c r="A959" s="66"/>
      <c r="B959" s="66"/>
      <c r="C959" s="66"/>
      <c r="D959" s="66"/>
      <c r="E959" s="66"/>
      <c r="F959" s="66"/>
      <c r="G959" s="66"/>
      <c r="H959" s="66"/>
      <c r="I959" s="67"/>
      <c r="J959" s="67"/>
      <c r="K959" s="13"/>
      <c r="L959" s="65"/>
      <c r="M959" s="32"/>
      <c r="N959" s="8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s="15" customFormat="1" ht="34.5" customHeight="1">
      <c r="A960" s="1265" t="s">
        <v>789</v>
      </c>
      <c r="B960" s="1265"/>
      <c r="C960" s="1265"/>
      <c r="D960" s="1265"/>
      <c r="E960" s="1265"/>
      <c r="F960" s="1265"/>
      <c r="G960" s="1265"/>
      <c r="H960" s="1265"/>
      <c r="I960" s="68"/>
      <c r="J960" s="68"/>
      <c r="K960" s="13"/>
      <c r="L960" s="13"/>
      <c r="M960" s="32"/>
      <c r="N960" s="8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s="15" customFormat="1" ht="34.5" customHeight="1" thickBot="1">
      <c r="A961" s="59"/>
      <c r="B961" s="59"/>
      <c r="C961" s="59"/>
      <c r="D961" s="59"/>
      <c r="E961" s="59"/>
      <c r="F961" s="59"/>
      <c r="G961" s="59"/>
      <c r="H961" s="59"/>
      <c r="I961" s="58"/>
      <c r="J961" s="58"/>
      <c r="K961" s="13"/>
      <c r="L961" s="13"/>
      <c r="M961" s="7"/>
      <c r="N961" s="8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42" s="167" customFormat="1" ht="34.5" customHeight="1" thickTop="1">
      <c r="A962" s="826" t="s">
        <v>33</v>
      </c>
      <c r="B962" s="827" t="s">
        <v>568</v>
      </c>
      <c r="C962" s="828" t="s">
        <v>847</v>
      </c>
      <c r="D962" s="829"/>
      <c r="E962" s="830" t="s">
        <v>848</v>
      </c>
      <c r="F962" s="831"/>
      <c r="G962" s="830" t="s">
        <v>849</v>
      </c>
      <c r="H962" s="831"/>
      <c r="I962" s="830" t="s">
        <v>850</v>
      </c>
      <c r="J962" s="831"/>
      <c r="K962" s="830" t="s">
        <v>851</v>
      </c>
      <c r="L962" s="831"/>
      <c r="M962" s="830" t="s">
        <v>852</v>
      </c>
      <c r="N962" s="831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</row>
    <row r="963" spans="1:25" s="94" customFormat="1" ht="34.5" customHeight="1">
      <c r="A963" s="435" t="s">
        <v>98</v>
      </c>
      <c r="B963" s="189" t="s">
        <v>214</v>
      </c>
      <c r="C963" s="1194">
        <f>CEILING(90*$Z$1,0.1)</f>
        <v>112.5</v>
      </c>
      <c r="D963" s="1195"/>
      <c r="E963" s="1194">
        <f>CEILING(110*$Z$1,0.1)</f>
        <v>137.5</v>
      </c>
      <c r="F963" s="1195"/>
      <c r="G963" s="1194">
        <f>CEILING(130*$Z$1,0.1)</f>
        <v>162.5</v>
      </c>
      <c r="H963" s="1195"/>
      <c r="I963" s="1194">
        <f>CEILING(120*$Z$1,0.1)</f>
        <v>150</v>
      </c>
      <c r="J963" s="1195"/>
      <c r="K963" s="1194">
        <f>CEILING(120*$Z$1,0.1)</f>
        <v>150</v>
      </c>
      <c r="L963" s="1195"/>
      <c r="M963" s="1194">
        <f>CEILING(90*$Z$1,0.1)</f>
        <v>112.5</v>
      </c>
      <c r="N963" s="1195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</row>
    <row r="964" spans="1:25" s="94" customFormat="1" ht="34.5" customHeight="1">
      <c r="A964" s="214" t="s">
        <v>35</v>
      </c>
      <c r="B964" s="190" t="s">
        <v>215</v>
      </c>
      <c r="C964" s="1192">
        <f>CEILING((C963+36*$Z$1),0.1)</f>
        <v>157.5</v>
      </c>
      <c r="D964" s="1193"/>
      <c r="E964" s="1192">
        <f>CEILING((E963+72*$Z$1),0.1)</f>
        <v>227.5</v>
      </c>
      <c r="F964" s="1193"/>
      <c r="G964" s="1192">
        <f>CEILING((G963+92*$Z$1),0.1)</f>
        <v>277.5</v>
      </c>
      <c r="H964" s="1193"/>
      <c r="I964" s="1192">
        <f>CEILING((I963+72*$Z$1),0.1)</f>
        <v>240</v>
      </c>
      <c r="J964" s="1193"/>
      <c r="K964" s="1192">
        <f>CEILING((K963+72*$Z$1),0.1)</f>
        <v>240</v>
      </c>
      <c r="L964" s="1193"/>
      <c r="M964" s="1192">
        <f>CEILING((M963+36*$Z$1),0.1)</f>
        <v>157.5</v>
      </c>
      <c r="N964" s="1193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</row>
    <row r="965" spans="1:25" s="94" customFormat="1" ht="34.5" customHeight="1">
      <c r="A965" s="373"/>
      <c r="B965" s="190" t="s">
        <v>67</v>
      </c>
      <c r="C965" s="1192">
        <f>CEILING((C963*0.85),0.1)</f>
        <v>95.7</v>
      </c>
      <c r="D965" s="1193"/>
      <c r="E965" s="1192">
        <f>CEILING((E963*0.85),0.1)</f>
        <v>116.9</v>
      </c>
      <c r="F965" s="1193"/>
      <c r="G965" s="1192">
        <f>CEILING((G963*0.85),0.1)</f>
        <v>138.20000000000002</v>
      </c>
      <c r="H965" s="1193"/>
      <c r="I965" s="1192">
        <f>CEILING((I963*0.85),0.1)</f>
        <v>127.5</v>
      </c>
      <c r="J965" s="1193"/>
      <c r="K965" s="1192">
        <f>CEILING((K963*0.85),0.1)</f>
        <v>127.5</v>
      </c>
      <c r="L965" s="1193"/>
      <c r="M965" s="1192">
        <f>CEILING((M963*0.85),0.1)</f>
        <v>95.7</v>
      </c>
      <c r="N965" s="1193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</row>
    <row r="966" spans="1:25" s="94" customFormat="1" ht="34.5" customHeight="1">
      <c r="A966" s="113" t="s">
        <v>745</v>
      </c>
      <c r="B966" s="270" t="s">
        <v>1</v>
      </c>
      <c r="C966" s="1192">
        <f>CEILING(135*$Z$1,0.1)</f>
        <v>168.8</v>
      </c>
      <c r="D966" s="1193"/>
      <c r="E966" s="1192">
        <f>CEILING(155*$Z$1,0.1)</f>
        <v>193.8</v>
      </c>
      <c r="F966" s="1193"/>
      <c r="G966" s="1192">
        <f>CEILING(175*$Z$1,0.1)</f>
        <v>218.8</v>
      </c>
      <c r="H966" s="1193"/>
      <c r="I966" s="1192">
        <f>CEILING(165*$Z$1,0.1)</f>
        <v>206.3</v>
      </c>
      <c r="J966" s="1193"/>
      <c r="K966" s="1192">
        <f>CEILING(165*$Z$1,0.1)</f>
        <v>206.3</v>
      </c>
      <c r="L966" s="1193"/>
      <c r="M966" s="1192">
        <f>CEILING(135*$Z$1,0.1)</f>
        <v>168.8</v>
      </c>
      <c r="N966" s="1193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</row>
    <row r="967" spans="1:25" s="94" customFormat="1" ht="34.5" customHeight="1">
      <c r="A967" s="533"/>
      <c r="B967" s="270" t="s">
        <v>2</v>
      </c>
      <c r="C967" s="1192">
        <f>CEILING((C966+41*$Z$1),0.1)</f>
        <v>220.10000000000002</v>
      </c>
      <c r="D967" s="1193"/>
      <c r="E967" s="1192">
        <f>CEILING((E966+77*$Z$1),0.1)</f>
        <v>290.1</v>
      </c>
      <c r="F967" s="1193"/>
      <c r="G967" s="1192">
        <f>CEILING((G966+77*$Z$1),0.1)</f>
        <v>315.1</v>
      </c>
      <c r="H967" s="1193"/>
      <c r="I967" s="1192">
        <f>CEILING((I966+77*$Z$1),0.1)</f>
        <v>302.6</v>
      </c>
      <c r="J967" s="1193"/>
      <c r="K967" s="1192">
        <f>CEILING((K966+77*$Z$1),0.1)</f>
        <v>302.6</v>
      </c>
      <c r="L967" s="1193"/>
      <c r="M967" s="1192">
        <f>CEILING((M966+41*$Z$1),0.1)</f>
        <v>220.10000000000002</v>
      </c>
      <c r="N967" s="1193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</row>
    <row r="968" spans="1:25" s="94" customFormat="1" ht="34.5" customHeight="1">
      <c r="A968" s="113"/>
      <c r="B968" s="270" t="s">
        <v>756</v>
      </c>
      <c r="C968" s="1192">
        <f>CEILING(150*$Z$1,0.1)</f>
        <v>187.5</v>
      </c>
      <c r="D968" s="1193"/>
      <c r="E968" s="1192">
        <f>CEILING(170*$Z$1,0.1)</f>
        <v>212.5</v>
      </c>
      <c r="F968" s="1193"/>
      <c r="G968" s="1192">
        <f>CEILING(190*$Z$1,0.1)</f>
        <v>237.5</v>
      </c>
      <c r="H968" s="1193"/>
      <c r="I968" s="1192">
        <f>CEILING(180*$Z$1,0.1)</f>
        <v>225</v>
      </c>
      <c r="J968" s="1193"/>
      <c r="K968" s="1192">
        <f>CEILING(180*$Z$1,0.1)</f>
        <v>225</v>
      </c>
      <c r="L968" s="1193"/>
      <c r="M968" s="1192">
        <f>CEILING(150*$Z$1,0.1)</f>
        <v>187.5</v>
      </c>
      <c r="N968" s="1193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</row>
    <row r="969" spans="1:25" s="94" customFormat="1" ht="34.5" customHeight="1">
      <c r="A969" s="115"/>
      <c r="B969" s="270" t="s">
        <v>757</v>
      </c>
      <c r="C969" s="1192">
        <f>CEILING((C968+56*$Z$1),0.1)</f>
        <v>257.5</v>
      </c>
      <c r="D969" s="1193"/>
      <c r="E969" s="1192">
        <f>CEILING((E968+92*$Z$1),0.1)</f>
        <v>327.5</v>
      </c>
      <c r="F969" s="1193"/>
      <c r="G969" s="1192">
        <f>CEILING((G968+92*$Z$1),0.1)</f>
        <v>352.5</v>
      </c>
      <c r="H969" s="1193"/>
      <c r="I969" s="1192">
        <f>CEILING((I968+92*$Z$1),0.1)</f>
        <v>340</v>
      </c>
      <c r="J969" s="1193"/>
      <c r="K969" s="1192">
        <f>CEILING((K968+92*$Z$1),0.1)</f>
        <v>340</v>
      </c>
      <c r="L969" s="1193"/>
      <c r="M969" s="1192">
        <f>CEILING((M968+56*$Z$1),0.1)</f>
        <v>257.5</v>
      </c>
      <c r="N969" s="1193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</row>
    <row r="970" spans="1:25" s="94" customFormat="1" ht="34.5" customHeight="1">
      <c r="A970" s="373"/>
      <c r="B970" s="298" t="s">
        <v>758</v>
      </c>
      <c r="C970" s="1192">
        <f>CEILING(170*$Z$1,0.1)</f>
        <v>212.5</v>
      </c>
      <c r="D970" s="1193"/>
      <c r="E970" s="1192">
        <f>CEILING(190*$Z$1,0.1)</f>
        <v>237.5</v>
      </c>
      <c r="F970" s="1193"/>
      <c r="G970" s="1192">
        <f>CEILING(210*$Z$1,0.1)</f>
        <v>262.5</v>
      </c>
      <c r="H970" s="1193"/>
      <c r="I970" s="1192">
        <f>CEILING(200*$Z$1,0.1)</f>
        <v>250</v>
      </c>
      <c r="J970" s="1193"/>
      <c r="K970" s="1192">
        <f>CEILING(200*$Z$1,0.1)</f>
        <v>250</v>
      </c>
      <c r="L970" s="1193"/>
      <c r="M970" s="1192">
        <f>CEILING(170*$Z$1,0.1)</f>
        <v>212.5</v>
      </c>
      <c r="N970" s="1193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</row>
    <row r="971" spans="1:25" s="94" customFormat="1" ht="34.5" customHeight="1" thickBot="1">
      <c r="A971" s="252" t="s">
        <v>826</v>
      </c>
      <c r="B971" s="414" t="s">
        <v>759</v>
      </c>
      <c r="C971" s="1218">
        <f>CEILING((C970+56*$Z$1),0.1)</f>
        <v>282.5</v>
      </c>
      <c r="D971" s="1219"/>
      <c r="E971" s="1218">
        <f>CEILING((E970+92*$Z$1),0.1)</f>
        <v>352.5</v>
      </c>
      <c r="F971" s="1219"/>
      <c r="G971" s="1218">
        <f>CEILING((G970+92*$Z$1),0.1)</f>
        <v>377.5</v>
      </c>
      <c r="H971" s="1219"/>
      <c r="I971" s="1218">
        <f>CEILING((I970+92*$Z$1),0.1)</f>
        <v>365</v>
      </c>
      <c r="J971" s="1219"/>
      <c r="K971" s="1218">
        <f>CEILING((K970+92*$Z$1),0.1)</f>
        <v>365</v>
      </c>
      <c r="L971" s="1219"/>
      <c r="M971" s="1218">
        <f>CEILING((M970+56*$Z$1),0.1)</f>
        <v>282.5</v>
      </c>
      <c r="N971" s="1219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</row>
    <row r="972" spans="1:25" s="875" customFormat="1" ht="34.5" customHeight="1" thickTop="1">
      <c r="A972" s="651" t="s">
        <v>1110</v>
      </c>
      <c r="B972" s="339"/>
      <c r="C972" s="1065"/>
      <c r="D972" s="1065"/>
      <c r="E972" s="1065"/>
      <c r="F972" s="1065"/>
      <c r="G972" s="1065"/>
      <c r="H972" s="1065"/>
      <c r="I972" s="1065"/>
      <c r="J972" s="1065"/>
      <c r="K972" s="1065"/>
      <c r="L972" s="1065"/>
      <c r="M972" s="1065"/>
      <c r="N972" s="1065"/>
      <c r="O972" s="1066"/>
      <c r="P972" s="1066"/>
      <c r="Q972" s="1066"/>
      <c r="R972" s="1066"/>
      <c r="S972" s="1066"/>
      <c r="T972" s="1066"/>
      <c r="U972" s="1066"/>
      <c r="V972" s="1066"/>
      <c r="W972" s="1066"/>
      <c r="X972" s="1066"/>
      <c r="Y972" s="1066"/>
    </row>
    <row r="973" spans="1:25" s="94" customFormat="1" ht="34.5" customHeight="1" thickBot="1">
      <c r="A973" s="314"/>
      <c r="B973" s="140"/>
      <c r="C973" s="278"/>
      <c r="D973" s="140"/>
      <c r="E973" s="140"/>
      <c r="F973" s="140"/>
      <c r="G973" s="140"/>
      <c r="H973" s="140"/>
      <c r="I973" s="140"/>
      <c r="J973" s="140"/>
      <c r="K973" s="91"/>
      <c r="L973" s="99"/>
      <c r="M973" s="127"/>
      <c r="N973" s="127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</row>
    <row r="974" spans="1:42" s="167" customFormat="1" ht="34.5" customHeight="1" thickTop="1">
      <c r="A974" s="826" t="s">
        <v>33</v>
      </c>
      <c r="B974" s="827" t="s">
        <v>568</v>
      </c>
      <c r="C974" s="828" t="s">
        <v>847</v>
      </c>
      <c r="D974" s="829"/>
      <c r="E974" s="830" t="s">
        <v>848</v>
      </c>
      <c r="F974" s="831"/>
      <c r="G974" s="830" t="s">
        <v>849</v>
      </c>
      <c r="H974" s="831"/>
      <c r="I974" s="830" t="s">
        <v>850</v>
      </c>
      <c r="J974" s="831"/>
      <c r="K974" s="830" t="s">
        <v>851</v>
      </c>
      <c r="L974" s="831"/>
      <c r="M974" s="830" t="s">
        <v>852</v>
      </c>
      <c r="N974" s="831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</row>
    <row r="975" spans="1:14" s="136" customFormat="1" ht="34.5" customHeight="1">
      <c r="A975" s="534" t="s">
        <v>157</v>
      </c>
      <c r="B975" s="238" t="s">
        <v>214</v>
      </c>
      <c r="C975" s="1194">
        <f>CEILING(50*$Z$1,0.1)</f>
        <v>62.5</v>
      </c>
      <c r="D975" s="1195"/>
      <c r="E975" s="1194">
        <f>CEILING(60*$Z$1,0.1)</f>
        <v>75</v>
      </c>
      <c r="F975" s="1195"/>
      <c r="G975" s="1194">
        <f>CEILING(65*$Z$1,0.1)</f>
        <v>81.30000000000001</v>
      </c>
      <c r="H975" s="1195"/>
      <c r="I975" s="1194">
        <f>CEILING(60*$Z$1,0.1)</f>
        <v>75</v>
      </c>
      <c r="J975" s="1195"/>
      <c r="K975" s="1194">
        <f>CEILING(60*$Z$1,0.1)</f>
        <v>75</v>
      </c>
      <c r="L975" s="1195"/>
      <c r="M975" s="1194">
        <f>CEILING(50*$Z$1,0.1)</f>
        <v>62.5</v>
      </c>
      <c r="N975" s="1195"/>
    </row>
    <row r="976" spans="1:14" s="136" customFormat="1" ht="34.5" customHeight="1">
      <c r="A976" s="244" t="s">
        <v>35</v>
      </c>
      <c r="B976" s="245" t="s">
        <v>215</v>
      </c>
      <c r="C976" s="1192">
        <f>CEILING((C975+0*$Z$1),0.1)</f>
        <v>62.5</v>
      </c>
      <c r="D976" s="1193"/>
      <c r="E976" s="1192">
        <f>CEILING((E975+36*$Z$1),0.1)</f>
        <v>120</v>
      </c>
      <c r="F976" s="1193"/>
      <c r="G976" s="1192">
        <f>CEILING((G975+36*$Z$1),0.1)</f>
        <v>126.30000000000001</v>
      </c>
      <c r="H976" s="1193"/>
      <c r="I976" s="1192">
        <f>CEILING((I975+36*$Z$1),0.1)</f>
        <v>120</v>
      </c>
      <c r="J976" s="1193"/>
      <c r="K976" s="1192">
        <f>CEILING((K975+36*$Z$1),0.1)</f>
        <v>120</v>
      </c>
      <c r="L976" s="1193"/>
      <c r="M976" s="1192">
        <f>CEILING((M975+0*$Z$1),0.1)</f>
        <v>62.5</v>
      </c>
      <c r="N976" s="1193"/>
    </row>
    <row r="977" spans="1:14" s="136" customFormat="1" ht="34.5" customHeight="1">
      <c r="A977" s="244"/>
      <c r="B977" s="245" t="s">
        <v>67</v>
      </c>
      <c r="C977" s="1192">
        <f>CEILING((C975*0.85),0.1)</f>
        <v>53.2</v>
      </c>
      <c r="D977" s="1193"/>
      <c r="E977" s="1192">
        <f>CEILING((E975*0.85),0.1)</f>
        <v>63.800000000000004</v>
      </c>
      <c r="F977" s="1193"/>
      <c r="G977" s="1192">
        <f>CEILING((G975*0.85),0.1)</f>
        <v>69.2</v>
      </c>
      <c r="H977" s="1193"/>
      <c r="I977" s="1192">
        <f>CEILING((I975*0.85),0.1)</f>
        <v>63.800000000000004</v>
      </c>
      <c r="J977" s="1193"/>
      <c r="K977" s="1192">
        <f>CEILING((K975*0.85),0.1)</f>
        <v>63.800000000000004</v>
      </c>
      <c r="L977" s="1193"/>
      <c r="M977" s="1192">
        <f>CEILING((M975*0.85),0.1)</f>
        <v>53.2</v>
      </c>
      <c r="N977" s="1193"/>
    </row>
    <row r="978" spans="1:14" s="136" customFormat="1" ht="34.5" customHeight="1">
      <c r="A978" s="535"/>
      <c r="B978" s="464" t="s">
        <v>673</v>
      </c>
      <c r="C978" s="1192">
        <f>CEILING((C975*0),0.1)</f>
        <v>0</v>
      </c>
      <c r="D978" s="1193"/>
      <c r="E978" s="1192">
        <f>CEILING((E975*0),0.1)</f>
        <v>0</v>
      </c>
      <c r="F978" s="1193"/>
      <c r="G978" s="1192">
        <f>CEILING((G975*0),0.1)</f>
        <v>0</v>
      </c>
      <c r="H978" s="1193"/>
      <c r="I978" s="1192">
        <f>CEILING((I975*0),0.1)</f>
        <v>0</v>
      </c>
      <c r="J978" s="1193"/>
      <c r="K978" s="1192">
        <f>CEILING((K975*0),0.1)</f>
        <v>0</v>
      </c>
      <c r="L978" s="1193"/>
      <c r="M978" s="1192">
        <f>CEILING((M975*0),0.1)</f>
        <v>0</v>
      </c>
      <c r="N978" s="1193"/>
    </row>
    <row r="979" spans="1:14" s="136" customFormat="1" ht="34.5" customHeight="1">
      <c r="A979" s="244"/>
      <c r="B979" s="536" t="s">
        <v>343</v>
      </c>
      <c r="C979" s="1192">
        <f>CEILING(80*$Z$1,0.1)</f>
        <v>100</v>
      </c>
      <c r="D979" s="1193"/>
      <c r="E979" s="1192">
        <f>CEILING(90*$Z$1,0.1)</f>
        <v>112.5</v>
      </c>
      <c r="F979" s="1193"/>
      <c r="G979" s="1192">
        <f>CEILING(95*$Z$1,0.1)</f>
        <v>118.80000000000001</v>
      </c>
      <c r="H979" s="1193"/>
      <c r="I979" s="1192">
        <f>CEILING(90*$Z$1,0.1)</f>
        <v>112.5</v>
      </c>
      <c r="J979" s="1193"/>
      <c r="K979" s="1192">
        <f>CEILING(90*$Z$1,0.1)</f>
        <v>112.5</v>
      </c>
      <c r="L979" s="1193"/>
      <c r="M979" s="1192">
        <f>CEILING(80*$Z$1,0.1)</f>
        <v>100</v>
      </c>
      <c r="N979" s="1193"/>
    </row>
    <row r="980" spans="1:14" s="136" customFormat="1" ht="34.5" customHeight="1" thickBot="1">
      <c r="A980" s="537" t="s">
        <v>827</v>
      </c>
      <c r="B980" s="453" t="s">
        <v>344</v>
      </c>
      <c r="C980" s="1218">
        <f>CEILING((C979+0*$Z$1),0.1)</f>
        <v>100</v>
      </c>
      <c r="D980" s="1219"/>
      <c r="E980" s="1218">
        <f>CEILING((E979+61*$Z$1),0.1)</f>
        <v>188.8</v>
      </c>
      <c r="F980" s="1219"/>
      <c r="G980" s="1218">
        <f>CEILING((G979+61*$Z$1),0.1)</f>
        <v>195.10000000000002</v>
      </c>
      <c r="H980" s="1219"/>
      <c r="I980" s="1218">
        <f>CEILING((I979+61*$Z$1),0.1)</f>
        <v>188.8</v>
      </c>
      <c r="J980" s="1219"/>
      <c r="K980" s="1218">
        <f>CEILING((K979+61*$Z$1),0.1)</f>
        <v>188.8</v>
      </c>
      <c r="L980" s="1219"/>
      <c r="M980" s="1218">
        <f>CEILING((M979+0*$Z$1),0.1)</f>
        <v>100</v>
      </c>
      <c r="N980" s="1219"/>
    </row>
    <row r="981" spans="1:25" s="94" customFormat="1" ht="34.5" customHeight="1" thickTop="1">
      <c r="A981" s="1221" t="s">
        <v>814</v>
      </c>
      <c r="B981" s="1221"/>
      <c r="C981" s="1221"/>
      <c r="D981" s="1221"/>
      <c r="E981" s="1221"/>
      <c r="F981" s="1221"/>
      <c r="G981" s="1221"/>
      <c r="H981" s="1221"/>
      <c r="I981" s="1222"/>
      <c r="J981" s="1222"/>
      <c r="K981" s="95"/>
      <c r="L981" s="95"/>
      <c r="M981" s="106"/>
      <c r="N981" s="106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</row>
    <row r="982" spans="1:25" s="94" customFormat="1" ht="34.5" customHeight="1">
      <c r="A982" s="832" t="s">
        <v>1290</v>
      </c>
      <c r="B982" s="832"/>
      <c r="C982" s="1169"/>
      <c r="D982" s="1169"/>
      <c r="E982" s="1169"/>
      <c r="F982" s="1169"/>
      <c r="G982" s="1169"/>
      <c r="H982" s="1169"/>
      <c r="I982" s="1169"/>
      <c r="J982" s="1169"/>
      <c r="K982" s="95"/>
      <c r="L982" s="95"/>
      <c r="M982" s="106"/>
      <c r="N982" s="106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</row>
    <row r="983" spans="1:25" s="94" customFormat="1" ht="34.5" customHeight="1" thickBot="1">
      <c r="A983" s="1266"/>
      <c r="B983" s="1266"/>
      <c r="C983" s="1266"/>
      <c r="D983" s="1266"/>
      <c r="E983" s="1266"/>
      <c r="F983" s="1266"/>
      <c r="G983" s="1266"/>
      <c r="H983" s="1266"/>
      <c r="I983" s="1222"/>
      <c r="J983" s="1222"/>
      <c r="K983" s="95"/>
      <c r="L983" s="95"/>
      <c r="M983" s="109"/>
      <c r="N983" s="109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</row>
    <row r="984" spans="1:42" s="167" customFormat="1" ht="34.5" customHeight="1" thickTop="1">
      <c r="A984" s="826" t="s">
        <v>33</v>
      </c>
      <c r="B984" s="827" t="s">
        <v>568</v>
      </c>
      <c r="C984" s="828" t="s">
        <v>847</v>
      </c>
      <c r="D984" s="829"/>
      <c r="E984" s="830" t="s">
        <v>848</v>
      </c>
      <c r="F984" s="831"/>
      <c r="G984" s="830" t="s">
        <v>849</v>
      </c>
      <c r="H984" s="831"/>
      <c r="I984" s="830" t="s">
        <v>850</v>
      </c>
      <c r="J984" s="831"/>
      <c r="K984" s="830" t="s">
        <v>851</v>
      </c>
      <c r="L984" s="831"/>
      <c r="M984" s="830" t="s">
        <v>852</v>
      </c>
      <c r="N984" s="831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</row>
    <row r="985" spans="1:25" s="94" customFormat="1" ht="34.5" customHeight="1">
      <c r="A985" s="249" t="s">
        <v>99</v>
      </c>
      <c r="B985" s="213" t="s">
        <v>632</v>
      </c>
      <c r="C985" s="1194">
        <f>CEILING(45*$Z$1,0.1)</f>
        <v>56.300000000000004</v>
      </c>
      <c r="D985" s="1195"/>
      <c r="E985" s="1194">
        <f>CEILING(55*$Z$1,0.1)</f>
        <v>68.8</v>
      </c>
      <c r="F985" s="1195"/>
      <c r="G985" s="1194">
        <f>CEILING(60*$Z$1,0.1)</f>
        <v>75</v>
      </c>
      <c r="H985" s="1195"/>
      <c r="I985" s="1194">
        <f>CEILING(55*$Z$1,0.1)</f>
        <v>68.8</v>
      </c>
      <c r="J985" s="1195"/>
      <c r="K985" s="1194">
        <f>CEILING(55*$Z$1,0.1)</f>
        <v>68.8</v>
      </c>
      <c r="L985" s="1195"/>
      <c r="M985" s="1194">
        <f>CEILING(45*$Z$1,0.1)</f>
        <v>56.300000000000004</v>
      </c>
      <c r="N985" s="1195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</row>
    <row r="986" spans="1:25" s="94" customFormat="1" ht="34.5" customHeight="1">
      <c r="A986" s="244" t="s">
        <v>49</v>
      </c>
      <c r="B986" s="192" t="s">
        <v>633</v>
      </c>
      <c r="C986" s="1192">
        <f>CEILING((C985+18*$Z$1),0.1)</f>
        <v>78.80000000000001</v>
      </c>
      <c r="D986" s="1193"/>
      <c r="E986" s="1192">
        <f>CEILING((E985+33*$Z$1),0.1)</f>
        <v>110.10000000000001</v>
      </c>
      <c r="F986" s="1193"/>
      <c r="G986" s="1192">
        <f>CEILING((G985+33*$Z$1),0.1)</f>
        <v>116.30000000000001</v>
      </c>
      <c r="H986" s="1193"/>
      <c r="I986" s="1192">
        <f>CEILING((I985+33*$Z$1),0.1)</f>
        <v>110.10000000000001</v>
      </c>
      <c r="J986" s="1193"/>
      <c r="K986" s="1192">
        <f>CEILING((K985+33*$Z$1),0.1)</f>
        <v>110.10000000000001</v>
      </c>
      <c r="L986" s="1193"/>
      <c r="M986" s="1192">
        <f>CEILING((M985+18*$Z$1),0.1)</f>
        <v>78.80000000000001</v>
      </c>
      <c r="N986" s="1193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</row>
    <row r="987" spans="1:25" s="94" customFormat="1" ht="34.5" customHeight="1">
      <c r="A987" s="113"/>
      <c r="B987" s="192" t="s">
        <v>67</v>
      </c>
      <c r="C987" s="1192">
        <f>CEILING((C985*0.85),0.1)</f>
        <v>47.900000000000006</v>
      </c>
      <c r="D987" s="1193"/>
      <c r="E987" s="1192">
        <f>CEILING((E985*0.85),0.1)</f>
        <v>58.5</v>
      </c>
      <c r="F987" s="1193"/>
      <c r="G987" s="1192">
        <f>CEILING((G985*0.85),0.1)</f>
        <v>63.800000000000004</v>
      </c>
      <c r="H987" s="1193"/>
      <c r="I987" s="1192">
        <f>CEILING((I985*0.85),0.1)</f>
        <v>58.5</v>
      </c>
      <c r="J987" s="1193"/>
      <c r="K987" s="1192">
        <f>CEILING((K985*0.85),0.1)</f>
        <v>58.5</v>
      </c>
      <c r="L987" s="1193"/>
      <c r="M987" s="1192">
        <f>CEILING((M985*0.85),0.1)</f>
        <v>47.900000000000006</v>
      </c>
      <c r="N987" s="1193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</row>
    <row r="988" spans="1:25" s="94" customFormat="1" ht="34.5" customHeight="1">
      <c r="A988" s="115"/>
      <c r="B988" s="172" t="s">
        <v>673</v>
      </c>
      <c r="C988" s="1192">
        <f>CEILING((C985*0),0.1)</f>
        <v>0</v>
      </c>
      <c r="D988" s="1193"/>
      <c r="E988" s="1192">
        <f>CEILING((E985*0),0.1)</f>
        <v>0</v>
      </c>
      <c r="F988" s="1193"/>
      <c r="G988" s="1192">
        <f>CEILING((G985*0),0.1)</f>
        <v>0</v>
      </c>
      <c r="H988" s="1193"/>
      <c r="I988" s="1192">
        <f>CEILING((I985*0),0.1)</f>
        <v>0</v>
      </c>
      <c r="J988" s="1193"/>
      <c r="K988" s="1192">
        <f>CEILING((K985*0),0.1)</f>
        <v>0</v>
      </c>
      <c r="L988" s="1193"/>
      <c r="M988" s="1192">
        <f>CEILING((M985*0),0.1)</f>
        <v>0</v>
      </c>
      <c r="N988" s="1193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</row>
    <row r="989" spans="1:25" s="94" customFormat="1" ht="34.5" customHeight="1">
      <c r="A989" s="539"/>
      <c r="B989" s="279" t="s">
        <v>634</v>
      </c>
      <c r="C989" s="1192">
        <f>CEILING(55*$Z$1,0.1)</f>
        <v>68.8</v>
      </c>
      <c r="D989" s="1193"/>
      <c r="E989" s="1192">
        <f>CEILING(65*$Z$1,0.1)</f>
        <v>81.30000000000001</v>
      </c>
      <c r="F989" s="1193"/>
      <c r="G989" s="1192">
        <f>CEILING(70*$Z$1,0.1)</f>
        <v>87.5</v>
      </c>
      <c r="H989" s="1193"/>
      <c r="I989" s="1192">
        <f>CEILING(65*$Z$1,0.1)</f>
        <v>81.30000000000001</v>
      </c>
      <c r="J989" s="1193"/>
      <c r="K989" s="1192">
        <f>CEILING(65*$Z$1,0.1)</f>
        <v>81.30000000000001</v>
      </c>
      <c r="L989" s="1193"/>
      <c r="M989" s="1192">
        <f>CEILING(55*$Z$1,0.1)</f>
        <v>68.8</v>
      </c>
      <c r="N989" s="1193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</row>
    <row r="990" spans="1:25" s="94" customFormat="1" ht="34.5" customHeight="1">
      <c r="A990" s="115"/>
      <c r="B990" s="279" t="s">
        <v>635</v>
      </c>
      <c r="C990" s="1192">
        <f>CEILING((C989+18*$Z$1),0.1)</f>
        <v>91.30000000000001</v>
      </c>
      <c r="D990" s="1193"/>
      <c r="E990" s="1192">
        <f>CEILING((E989+33*$Z$1),0.1)</f>
        <v>122.60000000000001</v>
      </c>
      <c r="F990" s="1193"/>
      <c r="G990" s="1192">
        <f>CEILING((G989+33*$Z$1),0.1)</f>
        <v>128.8</v>
      </c>
      <c r="H990" s="1193"/>
      <c r="I990" s="1192">
        <f>CEILING((I989+33*$Z$1),0.1)</f>
        <v>122.60000000000001</v>
      </c>
      <c r="J990" s="1193"/>
      <c r="K990" s="1192">
        <f>CEILING((K989+33*$Z$1),0.1)</f>
        <v>122.60000000000001</v>
      </c>
      <c r="L990" s="1193"/>
      <c r="M990" s="1192">
        <f>CEILING((M989+18*$Z$1),0.1)</f>
        <v>91.30000000000001</v>
      </c>
      <c r="N990" s="1193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</row>
    <row r="991" spans="1:25" s="94" customFormat="1" ht="34.5" customHeight="1">
      <c r="A991" s="244"/>
      <c r="B991" s="215" t="s">
        <v>3</v>
      </c>
      <c r="C991" s="1192">
        <f>CEILING(65*$Z$1,0.1)</f>
        <v>81.30000000000001</v>
      </c>
      <c r="D991" s="1193"/>
      <c r="E991" s="1192">
        <f>CEILING(75*$Z$1,0.1)</f>
        <v>93.80000000000001</v>
      </c>
      <c r="F991" s="1193"/>
      <c r="G991" s="1192">
        <f>CEILING(80*$Z$1,0.1)</f>
        <v>100</v>
      </c>
      <c r="H991" s="1193"/>
      <c r="I991" s="1192">
        <f>CEILING(75*$Z$1,0.1)</f>
        <v>93.80000000000001</v>
      </c>
      <c r="J991" s="1193"/>
      <c r="K991" s="1192">
        <f>CEILING(75*$Z$1,0.1)</f>
        <v>93.80000000000001</v>
      </c>
      <c r="L991" s="1193"/>
      <c r="M991" s="1192">
        <f>CEILING(65*$Z$1,0.1)</f>
        <v>81.30000000000001</v>
      </c>
      <c r="N991" s="1193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</row>
    <row r="992" spans="1:25" s="94" customFormat="1" ht="34.5" customHeight="1" thickBot="1">
      <c r="A992" s="252" t="s">
        <v>828</v>
      </c>
      <c r="B992" s="453" t="s">
        <v>4</v>
      </c>
      <c r="C992" s="1218">
        <f>CEILING((C991+23*$Z$1),0.1)</f>
        <v>110.10000000000001</v>
      </c>
      <c r="D992" s="1219"/>
      <c r="E992" s="1218">
        <f>CEILING((E991+38*$Z$1),0.1)</f>
        <v>141.3</v>
      </c>
      <c r="F992" s="1219"/>
      <c r="G992" s="1218">
        <f>CEILING((G991+38*$Z$1),0.1)</f>
        <v>147.5</v>
      </c>
      <c r="H992" s="1219"/>
      <c r="I992" s="1218">
        <f>CEILING((I991+38*$Z$1),0.1)</f>
        <v>141.3</v>
      </c>
      <c r="J992" s="1219"/>
      <c r="K992" s="1218">
        <f>CEILING((K991+38*$Z$1),0.1)</f>
        <v>141.3</v>
      </c>
      <c r="L992" s="1219"/>
      <c r="M992" s="1218">
        <f>CEILING((M991+23*$Z$1),0.1)</f>
        <v>110.10000000000001</v>
      </c>
      <c r="N992" s="1219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</row>
    <row r="993" spans="1:25" s="94" customFormat="1" ht="34.5" customHeight="1" thickTop="1">
      <c r="A993" s="1221" t="s">
        <v>814</v>
      </c>
      <c r="B993" s="1221"/>
      <c r="C993" s="1221"/>
      <c r="D993" s="1221"/>
      <c r="E993" s="1221"/>
      <c r="F993" s="1221"/>
      <c r="G993" s="1221"/>
      <c r="H993" s="1221"/>
      <c r="I993" s="1222"/>
      <c r="J993" s="1222"/>
      <c r="K993" s="95"/>
      <c r="L993" s="95"/>
      <c r="M993" s="106"/>
      <c r="N993" s="106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</row>
    <row r="994" spans="1:25" s="94" customFormat="1" ht="34.5" customHeight="1">
      <c r="A994" s="832" t="s">
        <v>1291</v>
      </c>
      <c r="B994" s="832"/>
      <c r="C994" s="1169"/>
      <c r="D994" s="1169"/>
      <c r="E994" s="1169"/>
      <c r="F994" s="1169"/>
      <c r="G994" s="1169"/>
      <c r="H994" s="1169"/>
      <c r="I994" s="1169"/>
      <c r="J994" s="1169"/>
      <c r="K994" s="95"/>
      <c r="L994" s="95"/>
      <c r="M994" s="106"/>
      <c r="N994" s="106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</row>
    <row r="995" spans="1:59" s="121" customFormat="1" ht="34.5" customHeight="1" thickBot="1">
      <c r="A995" s="186"/>
      <c r="B995" s="186"/>
      <c r="C995" s="903"/>
      <c r="D995" s="903"/>
      <c r="E995" s="903"/>
      <c r="F995" s="903"/>
      <c r="G995" s="903"/>
      <c r="H995" s="903"/>
      <c r="I995" s="187"/>
      <c r="J995" s="187"/>
      <c r="K995" s="99"/>
      <c r="L995" s="99"/>
      <c r="M995" s="106"/>
      <c r="N995" s="106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100"/>
      <c r="AV995" s="100"/>
      <c r="AW995" s="100"/>
      <c r="AX995" s="100"/>
      <c r="AY995" s="100"/>
      <c r="AZ995" s="100"/>
      <c r="BA995" s="100"/>
      <c r="BB995" s="100"/>
      <c r="BC995" s="100"/>
      <c r="BD995" s="100"/>
      <c r="BE995" s="100"/>
      <c r="BF995" s="100"/>
      <c r="BG995" s="100"/>
    </row>
    <row r="996" spans="1:42" s="167" customFormat="1" ht="34.5" customHeight="1" thickTop="1">
      <c r="A996" s="826" t="s">
        <v>33</v>
      </c>
      <c r="B996" s="827" t="s">
        <v>568</v>
      </c>
      <c r="C996" s="828" t="s">
        <v>847</v>
      </c>
      <c r="D996" s="829"/>
      <c r="E996" s="830" t="s">
        <v>848</v>
      </c>
      <c r="F996" s="831"/>
      <c r="G996" s="830" t="s">
        <v>849</v>
      </c>
      <c r="H996" s="831"/>
      <c r="I996" s="830" t="s">
        <v>850</v>
      </c>
      <c r="J996" s="831"/>
      <c r="K996" s="830" t="s">
        <v>851</v>
      </c>
      <c r="L996" s="831"/>
      <c r="M996" s="830" t="s">
        <v>852</v>
      </c>
      <c r="N996" s="831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</row>
    <row r="997" spans="1:25" s="94" customFormat="1" ht="34.5" customHeight="1">
      <c r="A997" s="249" t="s">
        <v>910</v>
      </c>
      <c r="B997" s="213" t="s">
        <v>528</v>
      </c>
      <c r="C997" s="1194">
        <f>CEILING(45*$Z$1,0.1)</f>
        <v>56.300000000000004</v>
      </c>
      <c r="D997" s="1195"/>
      <c r="E997" s="1194">
        <f>CEILING(55*$Z$1,0.1)</f>
        <v>68.8</v>
      </c>
      <c r="F997" s="1195"/>
      <c r="G997" s="1194">
        <f>CEILING(60*$Z$1,0.1)</f>
        <v>75</v>
      </c>
      <c r="H997" s="1195"/>
      <c r="I997" s="1194">
        <f>CEILING(55*$Z$1,0.1)</f>
        <v>68.8</v>
      </c>
      <c r="J997" s="1195"/>
      <c r="K997" s="1194">
        <f>CEILING(55*$Z$1,0.1)</f>
        <v>68.8</v>
      </c>
      <c r="L997" s="1195"/>
      <c r="M997" s="1194">
        <f>CEILING(45*$Z$1,0.1)</f>
        <v>56.300000000000004</v>
      </c>
      <c r="N997" s="1195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</row>
    <row r="998" spans="1:25" s="94" customFormat="1" ht="34.5" customHeight="1">
      <c r="A998" s="244" t="s">
        <v>49</v>
      </c>
      <c r="B998" s="192" t="s">
        <v>466</v>
      </c>
      <c r="C998" s="1192">
        <f>CEILING((C997+18*$Z$1),0.1)</f>
        <v>78.80000000000001</v>
      </c>
      <c r="D998" s="1193"/>
      <c r="E998" s="1192">
        <f>CEILING((E997+33*$Z$1),0.1)</f>
        <v>110.10000000000001</v>
      </c>
      <c r="F998" s="1193"/>
      <c r="G998" s="1192">
        <f>CEILING((G997+33*$Z$1),0.1)</f>
        <v>116.30000000000001</v>
      </c>
      <c r="H998" s="1193"/>
      <c r="I998" s="1192">
        <f>CEILING((I997+33*$Z$1),0.1)</f>
        <v>110.10000000000001</v>
      </c>
      <c r="J998" s="1193"/>
      <c r="K998" s="1192">
        <f>CEILING((K997+33*$Z$1),0.1)</f>
        <v>110.10000000000001</v>
      </c>
      <c r="L998" s="1193"/>
      <c r="M998" s="1192">
        <f>CEILING((M997+18*$Z$1),0.1)</f>
        <v>78.80000000000001</v>
      </c>
      <c r="N998" s="1193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</row>
    <row r="999" spans="1:25" s="94" customFormat="1" ht="34.5" customHeight="1">
      <c r="A999" s="113"/>
      <c r="B999" s="192" t="s">
        <v>67</v>
      </c>
      <c r="C999" s="1192">
        <f>CEILING((C997*0.85),0.1)</f>
        <v>47.900000000000006</v>
      </c>
      <c r="D999" s="1193"/>
      <c r="E999" s="1192">
        <f>CEILING((E997*0.85),0.1)</f>
        <v>58.5</v>
      </c>
      <c r="F999" s="1193"/>
      <c r="G999" s="1192">
        <f>CEILING((G997*0.85),0.1)</f>
        <v>63.800000000000004</v>
      </c>
      <c r="H999" s="1193"/>
      <c r="I999" s="1192">
        <f>CEILING((I997*0.85),0.1)</f>
        <v>58.5</v>
      </c>
      <c r="J999" s="1193"/>
      <c r="K999" s="1192">
        <f>CEILING((K997*0.85),0.1)</f>
        <v>58.5</v>
      </c>
      <c r="L999" s="1193"/>
      <c r="M999" s="1192">
        <f>CEILING((M997*0.85),0.1)</f>
        <v>47.900000000000006</v>
      </c>
      <c r="N999" s="1193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</row>
    <row r="1000" spans="1:25" s="94" customFormat="1" ht="34.5" customHeight="1">
      <c r="A1000" s="115"/>
      <c r="B1000" s="172" t="s">
        <v>673</v>
      </c>
      <c r="C1000" s="1192">
        <f>CEILING((C997*0.5),0.1)</f>
        <v>28.200000000000003</v>
      </c>
      <c r="D1000" s="1193"/>
      <c r="E1000" s="1192">
        <f>CEILING((E997*0.5),0.1)</f>
        <v>34.4</v>
      </c>
      <c r="F1000" s="1193"/>
      <c r="G1000" s="1192">
        <f>CEILING((G997*0.5),0.1)</f>
        <v>37.5</v>
      </c>
      <c r="H1000" s="1193"/>
      <c r="I1000" s="1192">
        <f>CEILING((I997*0.5),0.1)</f>
        <v>34.4</v>
      </c>
      <c r="J1000" s="1193"/>
      <c r="K1000" s="1192">
        <f>CEILING((K997*0.5),0.1)</f>
        <v>34.4</v>
      </c>
      <c r="L1000" s="1193"/>
      <c r="M1000" s="1192">
        <f>CEILING((M997*0.5),0.1)</f>
        <v>28.200000000000003</v>
      </c>
      <c r="N1000" s="1193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</row>
    <row r="1001" spans="1:25" s="94" customFormat="1" ht="34.5" customHeight="1">
      <c r="A1001" s="539"/>
      <c r="B1001" s="279" t="s">
        <v>912</v>
      </c>
      <c r="C1001" s="1192">
        <f>CEILING(55*$Z$1,0.1)</f>
        <v>68.8</v>
      </c>
      <c r="D1001" s="1193"/>
      <c r="E1001" s="1192">
        <f>CEILING(65*$Z$1,0.1)</f>
        <v>81.30000000000001</v>
      </c>
      <c r="F1001" s="1193"/>
      <c r="G1001" s="1192">
        <f>CEILING(70*$Z$1,0.1)</f>
        <v>87.5</v>
      </c>
      <c r="H1001" s="1193"/>
      <c r="I1001" s="1192">
        <f>CEILING(65*$Z$1,0.1)</f>
        <v>81.30000000000001</v>
      </c>
      <c r="J1001" s="1193"/>
      <c r="K1001" s="1192">
        <f>CEILING(65*$Z$1,0.1)</f>
        <v>81.30000000000001</v>
      </c>
      <c r="L1001" s="1193"/>
      <c r="M1001" s="1192">
        <f>CEILING(55*$Z$1,0.1)</f>
        <v>68.8</v>
      </c>
      <c r="N1001" s="1193"/>
      <c r="O1001" s="92"/>
      <c r="P1001" s="92"/>
      <c r="Q1001" s="92"/>
      <c r="R1001" s="92"/>
      <c r="S1001" s="92"/>
      <c r="T1001" s="92"/>
      <c r="U1001" s="92"/>
      <c r="V1001" s="92"/>
      <c r="W1001" s="92"/>
      <c r="X1001" s="92"/>
      <c r="Y1001" s="92"/>
    </row>
    <row r="1002" spans="1:25" s="94" customFormat="1" ht="34.5" customHeight="1">
      <c r="A1002" s="115"/>
      <c r="B1002" s="279" t="s">
        <v>911</v>
      </c>
      <c r="C1002" s="1192">
        <f>CEILING((C1001+18*$Z$1),0.1)</f>
        <v>91.30000000000001</v>
      </c>
      <c r="D1002" s="1193"/>
      <c r="E1002" s="1192">
        <f>CEILING((E1001+33*$Z$1),0.1)</f>
        <v>122.60000000000001</v>
      </c>
      <c r="F1002" s="1193"/>
      <c r="G1002" s="1192">
        <f>CEILING((G1001+33*$Z$1),0.1)</f>
        <v>128.8</v>
      </c>
      <c r="H1002" s="1193"/>
      <c r="I1002" s="1192">
        <f>CEILING((I1001+33*$Z$1),0.1)</f>
        <v>122.60000000000001</v>
      </c>
      <c r="J1002" s="1193"/>
      <c r="K1002" s="1192">
        <f>CEILING((K1001+33*$Z$1),0.1)</f>
        <v>122.60000000000001</v>
      </c>
      <c r="L1002" s="1193"/>
      <c r="M1002" s="1192">
        <f>CEILING((M1001+18*$Z$1),0.1)</f>
        <v>91.30000000000001</v>
      </c>
      <c r="N1002" s="1193"/>
      <c r="O1002" s="92"/>
      <c r="P1002" s="92"/>
      <c r="Q1002" s="92"/>
      <c r="R1002" s="92"/>
      <c r="S1002" s="92"/>
      <c r="T1002" s="92"/>
      <c r="U1002" s="92"/>
      <c r="V1002" s="92"/>
      <c r="W1002" s="92"/>
      <c r="X1002" s="92"/>
      <c r="Y1002" s="92"/>
    </row>
    <row r="1003" spans="1:25" s="94" customFormat="1" ht="34.5" customHeight="1">
      <c r="A1003" s="244"/>
      <c r="B1003" s="215" t="s">
        <v>704</v>
      </c>
      <c r="C1003" s="1192">
        <f>CEILING(65*$Z$1,0.1)</f>
        <v>81.30000000000001</v>
      </c>
      <c r="D1003" s="1193"/>
      <c r="E1003" s="1192">
        <f>CEILING(75*$Z$1,0.1)</f>
        <v>93.80000000000001</v>
      </c>
      <c r="F1003" s="1193"/>
      <c r="G1003" s="1192">
        <f>CEILING(80*$Z$1,0.1)</f>
        <v>100</v>
      </c>
      <c r="H1003" s="1193"/>
      <c r="I1003" s="1192">
        <f>CEILING(75*$Z$1,0.1)</f>
        <v>93.80000000000001</v>
      </c>
      <c r="J1003" s="1193"/>
      <c r="K1003" s="1192">
        <f>CEILING(75*$Z$1,0.1)</f>
        <v>93.80000000000001</v>
      </c>
      <c r="L1003" s="1193"/>
      <c r="M1003" s="1192">
        <f>CEILING(65*$Z$1,0.1)</f>
        <v>81.30000000000001</v>
      </c>
      <c r="N1003" s="1193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</row>
    <row r="1004" spans="1:25" s="94" customFormat="1" ht="34.5" customHeight="1" thickBot="1">
      <c r="A1004" s="252" t="s">
        <v>828</v>
      </c>
      <c r="B1004" s="453" t="s">
        <v>351</v>
      </c>
      <c r="C1004" s="1218">
        <f>CEILING((C1003+23*$Z$1),0.1)</f>
        <v>110.10000000000001</v>
      </c>
      <c r="D1004" s="1219"/>
      <c r="E1004" s="1218">
        <f>CEILING((E1003+38*$Z$1),0.1)</f>
        <v>141.3</v>
      </c>
      <c r="F1004" s="1219"/>
      <c r="G1004" s="1218">
        <f>CEILING((G1003+38*$Z$1),0.1)</f>
        <v>147.5</v>
      </c>
      <c r="H1004" s="1219"/>
      <c r="I1004" s="1218">
        <f>CEILING((I1003+38*$Z$1),0.1)</f>
        <v>141.3</v>
      </c>
      <c r="J1004" s="1219"/>
      <c r="K1004" s="1218">
        <f>CEILING((K1003+38*$Z$1),0.1)</f>
        <v>141.3</v>
      </c>
      <c r="L1004" s="1219"/>
      <c r="M1004" s="1218">
        <f>CEILING((M1003+23*$Z$1),0.1)</f>
        <v>110.10000000000001</v>
      </c>
      <c r="N1004" s="1219"/>
      <c r="O1004" s="92"/>
      <c r="P1004" s="92"/>
      <c r="Q1004" s="92"/>
      <c r="R1004" s="92"/>
      <c r="S1004" s="92"/>
      <c r="T1004" s="92"/>
      <c r="U1004" s="92"/>
      <c r="V1004" s="92"/>
      <c r="W1004" s="92"/>
      <c r="X1004" s="92"/>
      <c r="Y1004" s="92"/>
    </row>
    <row r="1005" spans="1:25" s="94" customFormat="1" ht="34.5" customHeight="1" thickTop="1">
      <c r="A1005" s="1221" t="s">
        <v>1004</v>
      </c>
      <c r="B1005" s="1221"/>
      <c r="C1005" s="1221"/>
      <c r="D1005" s="1221"/>
      <c r="E1005" s="1221"/>
      <c r="F1005" s="1221"/>
      <c r="G1005" s="1221"/>
      <c r="H1005" s="1221"/>
      <c r="I1005" s="1222"/>
      <c r="J1005" s="1222"/>
      <c r="K1005" s="95"/>
      <c r="L1005" s="95"/>
      <c r="M1005" s="106"/>
      <c r="N1005" s="106"/>
      <c r="O1005" s="92"/>
      <c r="P1005" s="92"/>
      <c r="Q1005" s="92"/>
      <c r="R1005" s="92"/>
      <c r="S1005" s="92"/>
      <c r="T1005" s="92"/>
      <c r="U1005" s="92"/>
      <c r="V1005" s="92"/>
      <c r="W1005" s="92"/>
      <c r="X1005" s="92"/>
      <c r="Y1005" s="92"/>
    </row>
    <row r="1006" spans="1:25" s="94" customFormat="1" ht="34.5" customHeight="1">
      <c r="A1006" s="234"/>
      <c r="B1006" s="391"/>
      <c r="C1006" s="391"/>
      <c r="D1006" s="391"/>
      <c r="E1006" s="391"/>
      <c r="F1006" s="391"/>
      <c r="G1006" s="391"/>
      <c r="H1006" s="391"/>
      <c r="I1006" s="391"/>
      <c r="J1006" s="391"/>
      <c r="K1006" s="119"/>
      <c r="L1006" s="119"/>
      <c r="M1006" s="97"/>
      <c r="N1006" s="98"/>
      <c r="O1006" s="92"/>
      <c r="P1006" s="92"/>
      <c r="Q1006" s="92"/>
      <c r="R1006" s="92"/>
      <c r="S1006" s="92"/>
      <c r="T1006" s="92"/>
      <c r="U1006" s="92"/>
      <c r="V1006" s="92"/>
      <c r="W1006" s="92"/>
      <c r="X1006" s="92"/>
      <c r="Y1006" s="92"/>
    </row>
    <row r="1007" spans="1:42" s="167" customFormat="1" ht="34.5" customHeight="1">
      <c r="A1007" s="837" t="s">
        <v>33</v>
      </c>
      <c r="B1007" s="838" t="s">
        <v>568</v>
      </c>
      <c r="C1007" s="839" t="s">
        <v>847</v>
      </c>
      <c r="D1007" s="840"/>
      <c r="E1007" s="841" t="s">
        <v>870</v>
      </c>
      <c r="F1007" s="842"/>
      <c r="G1007" s="841" t="s">
        <v>850</v>
      </c>
      <c r="H1007" s="842"/>
      <c r="I1007" s="841" t="s">
        <v>851</v>
      </c>
      <c r="J1007" s="842"/>
      <c r="K1007" s="841" t="s">
        <v>852</v>
      </c>
      <c r="L1007" s="842"/>
      <c r="M1007" s="151"/>
      <c r="N1007" s="151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</row>
    <row r="1008" spans="1:25" s="94" customFormat="1" ht="34.5" customHeight="1">
      <c r="A1008" s="540" t="s">
        <v>9</v>
      </c>
      <c r="B1008" s="541" t="s">
        <v>10</v>
      </c>
      <c r="C1008" s="1194">
        <f>CEILING(67*$Z$1,0.1)</f>
        <v>83.80000000000001</v>
      </c>
      <c r="D1008" s="1195"/>
      <c r="E1008" s="1192">
        <f>CEILING(127*$Z$1,0.1)</f>
        <v>158.8</v>
      </c>
      <c r="F1008" s="1193"/>
      <c r="G1008" s="1194">
        <f>CEILING(91*$Z$1,0.1)</f>
        <v>113.80000000000001</v>
      </c>
      <c r="H1008" s="1195"/>
      <c r="I1008" s="1194">
        <f>CEILING(111*$Z$1,0.1)</f>
        <v>138.8</v>
      </c>
      <c r="J1008" s="1195"/>
      <c r="K1008" s="1194">
        <f>CEILING(85*$Z$1,0.1)</f>
        <v>106.30000000000001</v>
      </c>
      <c r="L1008" s="1195"/>
      <c r="M1008" s="542"/>
      <c r="N1008" s="542"/>
      <c r="O1008" s="542"/>
      <c r="P1008" s="92"/>
      <c r="Q1008" s="92"/>
      <c r="R1008" s="92"/>
      <c r="S1008" s="92"/>
      <c r="T1008" s="92"/>
      <c r="U1008" s="92"/>
      <c r="V1008" s="92"/>
      <c r="W1008" s="92"/>
      <c r="X1008" s="92"/>
      <c r="Y1008" s="92"/>
    </row>
    <row r="1009" spans="1:25" s="94" customFormat="1" ht="34.5" customHeight="1">
      <c r="A1009" s="543" t="s">
        <v>35</v>
      </c>
      <c r="B1009" s="544" t="s">
        <v>665</v>
      </c>
      <c r="C1009" s="1192">
        <f>CEILING((C1008+30*$Z$1),0.1)</f>
        <v>121.30000000000001</v>
      </c>
      <c r="D1009" s="1193"/>
      <c r="E1009" s="1192">
        <f>CEILING((E1008+50*$Z$1),0.1)</f>
        <v>221.3</v>
      </c>
      <c r="F1009" s="1193"/>
      <c r="G1009" s="1192">
        <f>CEILING((G1008+50*$Z$1),0.1)</f>
        <v>176.3</v>
      </c>
      <c r="H1009" s="1193"/>
      <c r="I1009" s="1192">
        <f>CEILING((I1008+50*$Z$1),0.1)</f>
        <v>201.3</v>
      </c>
      <c r="J1009" s="1193"/>
      <c r="K1009" s="1192">
        <f>CEILING((K1008+40*$Z$1),0.1)</f>
        <v>156.3</v>
      </c>
      <c r="L1009" s="1193"/>
      <c r="M1009" s="542"/>
      <c r="N1009" s="542"/>
      <c r="O1009" s="542"/>
      <c r="P1009" s="92"/>
      <c r="Q1009" s="92"/>
      <c r="R1009" s="92"/>
      <c r="S1009" s="92"/>
      <c r="T1009" s="92"/>
      <c r="U1009" s="92"/>
      <c r="V1009" s="92"/>
      <c r="W1009" s="92"/>
      <c r="X1009" s="92"/>
      <c r="Y1009" s="92"/>
    </row>
    <row r="1010" spans="1:25" s="94" customFormat="1" ht="34.5" customHeight="1">
      <c r="A1010" s="545"/>
      <c r="B1010" s="546" t="s">
        <v>713</v>
      </c>
      <c r="C1010" s="1192">
        <f>CEILING((C1008*0.85),0.1)</f>
        <v>71.3</v>
      </c>
      <c r="D1010" s="1193"/>
      <c r="E1010" s="1192">
        <f>CEILING((E1008*0.85),0.1)</f>
        <v>135</v>
      </c>
      <c r="F1010" s="1193"/>
      <c r="G1010" s="1192">
        <f>CEILING((G1008*0.85),0.1)</f>
        <v>96.80000000000001</v>
      </c>
      <c r="H1010" s="1193"/>
      <c r="I1010" s="1192">
        <f>CEILING((I1008*0.85),0.1)</f>
        <v>118</v>
      </c>
      <c r="J1010" s="1193"/>
      <c r="K1010" s="1192">
        <f>CEILING((K1008*0.85),0.1)</f>
        <v>90.4</v>
      </c>
      <c r="L1010" s="1193"/>
      <c r="M1010" s="542"/>
      <c r="N1010" s="542"/>
      <c r="O1010" s="542"/>
      <c r="P1010" s="92"/>
      <c r="Q1010" s="92"/>
      <c r="R1010" s="92"/>
      <c r="S1010" s="92"/>
      <c r="T1010" s="92"/>
      <c r="U1010" s="92"/>
      <c r="V1010" s="92"/>
      <c r="W1010" s="92"/>
      <c r="X1010" s="92"/>
      <c r="Y1010" s="92"/>
    </row>
    <row r="1011" spans="1:25" s="94" customFormat="1" ht="34.5" customHeight="1">
      <c r="A1011" s="547"/>
      <c r="B1011" s="548" t="s">
        <v>663</v>
      </c>
      <c r="C1011" s="1192">
        <f>CEILING((C1008*0),0.1)</f>
        <v>0</v>
      </c>
      <c r="D1011" s="1193"/>
      <c r="E1011" s="1192">
        <f>CEILING((E1008*0),0.1)</f>
        <v>0</v>
      </c>
      <c r="F1011" s="1193"/>
      <c r="G1011" s="1192">
        <f>CEILING((G1008*0),0.1)</f>
        <v>0</v>
      </c>
      <c r="H1011" s="1193"/>
      <c r="I1011" s="1192">
        <f>CEILING((I1008*0),0.1)</f>
        <v>0</v>
      </c>
      <c r="J1011" s="1193"/>
      <c r="K1011" s="1192">
        <f>CEILING((K1008*0),0.1)</f>
        <v>0</v>
      </c>
      <c r="L1011" s="1193"/>
      <c r="M1011" s="542"/>
      <c r="N1011" s="542"/>
      <c r="O1011" s="542"/>
      <c r="P1011" s="92"/>
      <c r="Q1011" s="92"/>
      <c r="R1011" s="92"/>
      <c r="S1011" s="92"/>
      <c r="T1011" s="92"/>
      <c r="U1011" s="92"/>
      <c r="V1011" s="92"/>
      <c r="W1011" s="92"/>
      <c r="X1011" s="92"/>
      <c r="Y1011" s="92"/>
    </row>
    <row r="1012" spans="1:25" s="94" customFormat="1" ht="34.5" customHeight="1">
      <c r="A1012" s="547"/>
      <c r="B1012" s="548" t="s">
        <v>664</v>
      </c>
      <c r="C1012" s="1192">
        <f>CEILING((C1008*0.5),0.1)</f>
        <v>41.900000000000006</v>
      </c>
      <c r="D1012" s="1193"/>
      <c r="E1012" s="1192">
        <f>CEILING((E1008*0.5),0.1)</f>
        <v>79.4</v>
      </c>
      <c r="F1012" s="1193"/>
      <c r="G1012" s="1192">
        <f>CEILING((G1008*0.5),0.1)</f>
        <v>56.900000000000006</v>
      </c>
      <c r="H1012" s="1193"/>
      <c r="I1012" s="1192">
        <f>CEILING((I1008*0.5),0.1)</f>
        <v>69.4</v>
      </c>
      <c r="J1012" s="1193"/>
      <c r="K1012" s="1192">
        <f>CEILING((K1008*0.5),0.1)</f>
        <v>53.2</v>
      </c>
      <c r="L1012" s="1193"/>
      <c r="M1012" s="542"/>
      <c r="N1012" s="542"/>
      <c r="O1012" s="542"/>
      <c r="P1012" s="92"/>
      <c r="Q1012" s="92"/>
      <c r="R1012" s="92"/>
      <c r="S1012" s="92"/>
      <c r="T1012" s="92"/>
      <c r="U1012" s="92"/>
      <c r="V1012" s="92"/>
      <c r="W1012" s="92"/>
      <c r="X1012" s="92"/>
      <c r="Y1012" s="92"/>
    </row>
    <row r="1013" spans="1:25" s="94" customFormat="1" ht="34.5" customHeight="1">
      <c r="A1013" s="549"/>
      <c r="B1013" s="550" t="s">
        <v>667</v>
      </c>
      <c r="C1013" s="1192">
        <f>CEILING(87*$Z$1,0.1)</f>
        <v>108.80000000000001</v>
      </c>
      <c r="D1013" s="1193"/>
      <c r="E1013" s="1192">
        <f>CEILING(147*$Z$1,0.1)</f>
        <v>183.8</v>
      </c>
      <c r="F1013" s="1193"/>
      <c r="G1013" s="1192">
        <f>CEILING(111*$Z$1,0.1)</f>
        <v>138.8</v>
      </c>
      <c r="H1013" s="1193"/>
      <c r="I1013" s="1192">
        <f>CEILING(131*$Z$1,0.1)</f>
        <v>163.8</v>
      </c>
      <c r="J1013" s="1193"/>
      <c r="K1013" s="1192">
        <f>CEILING(105*$Z$1,0.1)</f>
        <v>131.3</v>
      </c>
      <c r="L1013" s="1193"/>
      <c r="M1013" s="542"/>
      <c r="N1013" s="542"/>
      <c r="O1013" s="542"/>
      <c r="P1013" s="92"/>
      <c r="Q1013" s="92"/>
      <c r="R1013" s="92"/>
      <c r="S1013" s="92"/>
      <c r="T1013" s="92"/>
      <c r="U1013" s="92"/>
      <c r="V1013" s="92"/>
      <c r="W1013" s="92"/>
      <c r="X1013" s="92"/>
      <c r="Y1013" s="92"/>
    </row>
    <row r="1014" spans="1:25" s="94" customFormat="1" ht="34.5" customHeight="1">
      <c r="A1014" s="549"/>
      <c r="B1014" s="550" t="s">
        <v>668</v>
      </c>
      <c r="C1014" s="1192">
        <f>CEILING((C1013+60*$Z$1),0.1)</f>
        <v>183.8</v>
      </c>
      <c r="D1014" s="1193"/>
      <c r="E1014" s="1192">
        <f>CEILING((E1013+80*$Z$1),0.1)</f>
        <v>283.8</v>
      </c>
      <c r="F1014" s="1193"/>
      <c r="G1014" s="1192">
        <f>CEILING((G1013+80*$Z$1),0.1)</f>
        <v>238.8</v>
      </c>
      <c r="H1014" s="1193"/>
      <c r="I1014" s="1192">
        <f>CEILING((I1013+80*$Z$1),0.1)</f>
        <v>263.8</v>
      </c>
      <c r="J1014" s="1193"/>
      <c r="K1014" s="1192">
        <f>CEILING((K1013+70*$Z$1),0.1)</f>
        <v>218.8</v>
      </c>
      <c r="L1014" s="1193"/>
      <c r="M1014" s="542"/>
      <c r="N1014" s="542"/>
      <c r="O1014" s="542"/>
      <c r="P1014" s="92"/>
      <c r="Q1014" s="92"/>
      <c r="R1014" s="92"/>
      <c r="S1014" s="92"/>
      <c r="T1014" s="92"/>
      <c r="U1014" s="92"/>
      <c r="V1014" s="92"/>
      <c r="W1014" s="92"/>
      <c r="X1014" s="92"/>
      <c r="Y1014" s="92"/>
    </row>
    <row r="1015" spans="1:25" s="94" customFormat="1" ht="34.5" customHeight="1" thickBot="1">
      <c r="A1015" s="551" t="s">
        <v>666</v>
      </c>
      <c r="B1015" s="552" t="s">
        <v>829</v>
      </c>
      <c r="C1015" s="1202">
        <f>CEILING(918*$Z$1,0.1)</f>
        <v>1147.5</v>
      </c>
      <c r="D1015" s="1203"/>
      <c r="E1015" s="1202">
        <f>CEILING(1266*$Z$1,0.1)</f>
        <v>1582.5</v>
      </c>
      <c r="F1015" s="1203"/>
      <c r="G1015" s="1202">
        <f>CEILING(1056*$Z$1,0.1)</f>
        <v>1320</v>
      </c>
      <c r="H1015" s="1203"/>
      <c r="I1015" s="1202">
        <f>CEILING(1152*$Z$1,0.1)</f>
        <v>1440</v>
      </c>
      <c r="J1015" s="1203"/>
      <c r="K1015" s="1202">
        <f>CEILING(996*$Z$1,0.1)</f>
        <v>1245</v>
      </c>
      <c r="L1015" s="1203"/>
      <c r="M1015" s="542"/>
      <c r="N1015" s="542"/>
      <c r="O1015" s="542"/>
      <c r="P1015" s="92"/>
      <c r="Q1015" s="92"/>
      <c r="R1015" s="92"/>
      <c r="S1015" s="92"/>
      <c r="T1015" s="92"/>
      <c r="U1015" s="92"/>
      <c r="V1015" s="92"/>
      <c r="W1015" s="92"/>
      <c r="X1015" s="92"/>
      <c r="Y1015" s="92"/>
    </row>
    <row r="1016" spans="1:25" s="94" customFormat="1" ht="34.5" customHeight="1" thickTop="1">
      <c r="A1016" s="1221" t="s">
        <v>1005</v>
      </c>
      <c r="B1016" s="1221"/>
      <c r="C1016" s="1221"/>
      <c r="D1016" s="1221"/>
      <c r="E1016" s="1221"/>
      <c r="F1016" s="1221"/>
      <c r="G1016" s="1221"/>
      <c r="H1016" s="1221"/>
      <c r="I1016" s="1222"/>
      <c r="J1016" s="1222"/>
      <c r="K1016" s="95"/>
      <c r="L1016" s="95"/>
      <c r="M1016" s="106"/>
      <c r="N1016" s="106"/>
      <c r="O1016" s="92"/>
      <c r="P1016" s="92"/>
      <c r="Q1016" s="92"/>
      <c r="R1016" s="92"/>
      <c r="S1016" s="92"/>
      <c r="T1016" s="92"/>
      <c r="U1016" s="92"/>
      <c r="V1016" s="92"/>
      <c r="W1016" s="92"/>
      <c r="X1016" s="92"/>
      <c r="Y1016" s="92"/>
    </row>
    <row r="1017" spans="1:59" s="121" customFormat="1" ht="34.5" customHeight="1">
      <c r="A1017" s="186" t="s">
        <v>855</v>
      </c>
      <c r="B1017" s="186"/>
      <c r="C1017" s="974"/>
      <c r="D1017" s="974"/>
      <c r="E1017" s="974"/>
      <c r="F1017" s="974"/>
      <c r="G1017" s="974"/>
      <c r="H1017" s="974"/>
      <c r="I1017" s="187"/>
      <c r="J1017" s="187"/>
      <c r="K1017" s="99"/>
      <c r="L1017" s="99"/>
      <c r="M1017" s="106"/>
      <c r="N1017" s="106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100"/>
      <c r="AV1017" s="100"/>
      <c r="AW1017" s="100"/>
      <c r="AX1017" s="100"/>
      <c r="AY1017" s="100"/>
      <c r="AZ1017" s="100"/>
      <c r="BA1017" s="100"/>
      <c r="BB1017" s="100"/>
      <c r="BC1017" s="100"/>
      <c r="BD1017" s="100"/>
      <c r="BE1017" s="100"/>
      <c r="BF1017" s="100"/>
      <c r="BG1017" s="100"/>
    </row>
    <row r="1018" spans="1:25" s="94" customFormat="1" ht="34.5" customHeight="1" thickBot="1">
      <c r="A1018" s="538"/>
      <c r="B1018" s="432"/>
      <c r="C1018" s="432"/>
      <c r="D1018" s="432"/>
      <c r="E1018" s="432"/>
      <c r="F1018" s="432"/>
      <c r="G1018" s="432"/>
      <c r="H1018" s="432"/>
      <c r="I1018" s="1223"/>
      <c r="J1018" s="1223"/>
      <c r="K1018" s="344"/>
      <c r="L1018" s="344"/>
      <c r="M1018" s="97"/>
      <c r="N1018" s="98"/>
      <c r="O1018" s="92"/>
      <c r="P1018" s="92"/>
      <c r="Q1018" s="92"/>
      <c r="R1018" s="92"/>
      <c r="S1018" s="92"/>
      <c r="T1018" s="92"/>
      <c r="U1018" s="92"/>
      <c r="V1018" s="92"/>
      <c r="W1018" s="92"/>
      <c r="X1018" s="92"/>
      <c r="Y1018" s="92"/>
    </row>
    <row r="1019" spans="1:42" s="167" customFormat="1" ht="34.5" customHeight="1" thickTop="1">
      <c r="A1019" s="837" t="s">
        <v>33</v>
      </c>
      <c r="B1019" s="838" t="s">
        <v>568</v>
      </c>
      <c r="C1019" s="839" t="s">
        <v>847</v>
      </c>
      <c r="D1019" s="840"/>
      <c r="E1019" s="841" t="s">
        <v>870</v>
      </c>
      <c r="F1019" s="842"/>
      <c r="G1019" s="841" t="s">
        <v>850</v>
      </c>
      <c r="H1019" s="842"/>
      <c r="I1019" s="841" t="s">
        <v>851</v>
      </c>
      <c r="J1019" s="842"/>
      <c r="K1019" s="841" t="s">
        <v>852</v>
      </c>
      <c r="L1019" s="842"/>
      <c r="M1019" s="151"/>
      <c r="N1019" s="151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</row>
    <row r="1020" spans="1:25" s="94" customFormat="1" ht="34.5" customHeight="1">
      <c r="A1020" s="553" t="s">
        <v>101</v>
      </c>
      <c r="B1020" s="289" t="s">
        <v>283</v>
      </c>
      <c r="C1020" s="1194">
        <f>CEILING(43*$Z$1,0.1)</f>
        <v>53.800000000000004</v>
      </c>
      <c r="D1020" s="1195"/>
      <c r="E1020" s="1194">
        <f>CEILING(75*$Z$1,0.1)</f>
        <v>93.80000000000001</v>
      </c>
      <c r="F1020" s="1195"/>
      <c r="G1020" s="1194">
        <f>CEILING(50*$Z$1,0.1)</f>
        <v>62.5</v>
      </c>
      <c r="H1020" s="1195"/>
      <c r="I1020" s="1194">
        <f>CEILING(54*$Z$1,0.1)</f>
        <v>67.5</v>
      </c>
      <c r="J1020" s="1195"/>
      <c r="K1020" s="1194">
        <f>CEILING(46*$Z$1,0.1)</f>
        <v>57.5</v>
      </c>
      <c r="L1020" s="1195"/>
      <c r="M1020" s="97"/>
      <c r="N1020" s="98"/>
      <c r="O1020" s="92"/>
      <c r="P1020" s="92"/>
      <c r="Q1020" s="92"/>
      <c r="R1020" s="92"/>
      <c r="S1020" s="92"/>
      <c r="T1020" s="92"/>
      <c r="U1020" s="92"/>
      <c r="V1020" s="92"/>
      <c r="W1020" s="92"/>
      <c r="X1020" s="92"/>
      <c r="Y1020" s="92"/>
    </row>
    <row r="1021" spans="1:25" s="94" customFormat="1" ht="34.5" customHeight="1">
      <c r="A1021" s="554" t="s">
        <v>49</v>
      </c>
      <c r="B1021" s="238" t="s">
        <v>284</v>
      </c>
      <c r="C1021" s="1192">
        <f>CEILING((C1020+25*$Z$1),0.1)</f>
        <v>85.10000000000001</v>
      </c>
      <c r="D1021" s="1193"/>
      <c r="E1021" s="1192">
        <f>CEILING((E1020+25*$Z$1),0.1)</f>
        <v>125.10000000000001</v>
      </c>
      <c r="F1021" s="1193"/>
      <c r="G1021" s="1192">
        <f>CEILING((G1020+25*$Z$1),0.1)</f>
        <v>93.80000000000001</v>
      </c>
      <c r="H1021" s="1193"/>
      <c r="I1021" s="1192">
        <f>CEILING((I1020+25*$Z$1),0.1)</f>
        <v>98.80000000000001</v>
      </c>
      <c r="J1021" s="1193"/>
      <c r="K1021" s="1192">
        <f>CEILING((K1020+25*$Z$1),0.1)</f>
        <v>88.80000000000001</v>
      </c>
      <c r="L1021" s="1193"/>
      <c r="M1021" s="97"/>
      <c r="N1021" s="98"/>
      <c r="O1021" s="92"/>
      <c r="P1021" s="92"/>
      <c r="Q1021" s="92"/>
      <c r="R1021" s="92"/>
      <c r="S1021" s="92"/>
      <c r="T1021" s="92"/>
      <c r="U1021" s="92"/>
      <c r="V1021" s="92"/>
      <c r="W1021" s="92"/>
      <c r="X1021" s="92"/>
      <c r="Y1021" s="92"/>
    </row>
    <row r="1022" spans="1:25" s="94" customFormat="1" ht="34.5" customHeight="1">
      <c r="A1022" s="555" t="s">
        <v>386</v>
      </c>
      <c r="B1022" s="245" t="s">
        <v>67</v>
      </c>
      <c r="C1022" s="1192">
        <f>CEILING((C1020*0.85),0.1)</f>
        <v>45.800000000000004</v>
      </c>
      <c r="D1022" s="1193"/>
      <c r="E1022" s="1192">
        <f>CEILING((E1020*0.85),0.1)</f>
        <v>79.80000000000001</v>
      </c>
      <c r="F1022" s="1193"/>
      <c r="G1022" s="1192">
        <f>CEILING((G1020*0.85),0.1)</f>
        <v>53.2</v>
      </c>
      <c r="H1022" s="1193"/>
      <c r="I1022" s="1192">
        <f>CEILING((I1020*0.85),0.1)</f>
        <v>57.400000000000006</v>
      </c>
      <c r="J1022" s="1193"/>
      <c r="K1022" s="1192">
        <f>CEILING((K1020*0.85),0.1)</f>
        <v>48.900000000000006</v>
      </c>
      <c r="L1022" s="1193"/>
      <c r="M1022" s="97"/>
      <c r="N1022" s="98"/>
      <c r="O1022" s="92"/>
      <c r="P1022" s="92"/>
      <c r="Q1022" s="92"/>
      <c r="R1022" s="92"/>
      <c r="S1022" s="92"/>
      <c r="T1022" s="92"/>
      <c r="U1022" s="92"/>
      <c r="V1022" s="92"/>
      <c r="W1022" s="92"/>
      <c r="X1022" s="92"/>
      <c r="Y1022" s="92"/>
    </row>
    <row r="1023" spans="1:25" s="94" customFormat="1" ht="34.5" customHeight="1">
      <c r="A1023" s="555"/>
      <c r="B1023" s="245" t="s">
        <v>159</v>
      </c>
      <c r="C1023" s="1192">
        <f>CEILING(53*$Z$1,0.1)</f>
        <v>66.3</v>
      </c>
      <c r="D1023" s="1193"/>
      <c r="E1023" s="1192">
        <f>CEILING(85*$Z$1,0.1)</f>
        <v>106.30000000000001</v>
      </c>
      <c r="F1023" s="1193"/>
      <c r="G1023" s="1192">
        <f>CEILING(60*$Z$1,0.1)</f>
        <v>75</v>
      </c>
      <c r="H1023" s="1193"/>
      <c r="I1023" s="1192">
        <f>CEILING(64*$Z$1,0.1)</f>
        <v>80</v>
      </c>
      <c r="J1023" s="1193"/>
      <c r="K1023" s="1192">
        <f>CEILING(56*$Z$1,0.1)</f>
        <v>70</v>
      </c>
      <c r="L1023" s="1193"/>
      <c r="M1023" s="97"/>
      <c r="N1023" s="98"/>
      <c r="O1023" s="92"/>
      <c r="P1023" s="92"/>
      <c r="Q1023" s="92"/>
      <c r="R1023" s="92"/>
      <c r="S1023" s="92"/>
      <c r="T1023" s="92"/>
      <c r="U1023" s="92"/>
      <c r="V1023" s="92"/>
      <c r="W1023" s="92"/>
      <c r="X1023" s="92"/>
      <c r="Y1023" s="92"/>
    </row>
    <row r="1024" spans="1:25" s="94" customFormat="1" ht="34.5" customHeight="1" thickBot="1">
      <c r="A1024" s="556" t="s">
        <v>506</v>
      </c>
      <c r="B1024" s="447" t="s">
        <v>160</v>
      </c>
      <c r="C1024" s="1218">
        <f>CEILING((C1023+40*$Z$1),0.1)</f>
        <v>116.30000000000001</v>
      </c>
      <c r="D1024" s="1219"/>
      <c r="E1024" s="1218">
        <f>CEILING((E1023+40*$Z$1),0.1)</f>
        <v>156.3</v>
      </c>
      <c r="F1024" s="1219"/>
      <c r="G1024" s="1218">
        <f>CEILING((G1023+40*$Z$1),0.1)</f>
        <v>125</v>
      </c>
      <c r="H1024" s="1219"/>
      <c r="I1024" s="1218">
        <f>CEILING((I1023+40*$Z$1),0.1)</f>
        <v>130</v>
      </c>
      <c r="J1024" s="1219"/>
      <c r="K1024" s="1218">
        <f>CEILING((K1023+40*$Z$1),0.1)</f>
        <v>120</v>
      </c>
      <c r="L1024" s="1219"/>
      <c r="M1024" s="97"/>
      <c r="N1024" s="98"/>
      <c r="O1024" s="92"/>
      <c r="P1024" s="92"/>
      <c r="Q1024" s="92"/>
      <c r="R1024" s="92"/>
      <c r="S1024" s="92"/>
      <c r="T1024" s="92"/>
      <c r="U1024" s="92"/>
      <c r="V1024" s="92"/>
      <c r="W1024" s="92"/>
      <c r="X1024" s="92"/>
      <c r="Y1024" s="92"/>
    </row>
    <row r="1025" spans="1:25" s="94" customFormat="1" ht="34.5" customHeight="1" thickTop="1">
      <c r="A1025" s="1222" t="s">
        <v>637</v>
      </c>
      <c r="B1025" s="1222"/>
      <c r="C1025" s="1222"/>
      <c r="D1025" s="1222"/>
      <c r="E1025" s="1222"/>
      <c r="F1025" s="1222"/>
      <c r="G1025" s="1222"/>
      <c r="H1025" s="1222"/>
      <c r="I1025" s="1222"/>
      <c r="J1025" s="1222"/>
      <c r="K1025" s="119"/>
      <c r="L1025" s="119"/>
      <c r="M1025" s="109"/>
      <c r="N1025" s="109"/>
      <c r="O1025" s="92"/>
      <c r="P1025" s="92"/>
      <c r="Q1025" s="92"/>
      <c r="R1025" s="92"/>
      <c r="S1025" s="92"/>
      <c r="T1025" s="92"/>
      <c r="U1025" s="92"/>
      <c r="V1025" s="92"/>
      <c r="W1025" s="92"/>
      <c r="X1025" s="92"/>
      <c r="Y1025" s="92"/>
    </row>
    <row r="1026" spans="1:59" s="121" customFormat="1" ht="34.5" customHeight="1">
      <c r="A1026" s="832" t="s">
        <v>906</v>
      </c>
      <c r="B1026" s="833"/>
      <c r="C1026" s="903"/>
      <c r="D1026" s="903"/>
      <c r="E1026" s="903"/>
      <c r="F1026" s="903"/>
      <c r="G1026" s="903"/>
      <c r="H1026" s="903"/>
      <c r="I1026" s="187"/>
      <c r="J1026" s="187"/>
      <c r="K1026" s="99"/>
      <c r="L1026" s="99"/>
      <c r="M1026" s="106"/>
      <c r="N1026" s="106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100"/>
      <c r="AV1026" s="100"/>
      <c r="AW1026" s="100"/>
      <c r="AX1026" s="100"/>
      <c r="AY1026" s="100"/>
      <c r="AZ1026" s="100"/>
      <c r="BA1026" s="100"/>
      <c r="BB1026" s="100"/>
      <c r="BC1026" s="100"/>
      <c r="BD1026" s="100"/>
      <c r="BE1026" s="100"/>
      <c r="BF1026" s="100"/>
      <c r="BG1026" s="100"/>
    </row>
    <row r="1027" spans="1:14" s="100" customFormat="1" ht="34.5" customHeight="1">
      <c r="A1027" s="1233"/>
      <c r="B1027" s="1233"/>
      <c r="C1027" s="1233"/>
      <c r="D1027" s="1233"/>
      <c r="E1027" s="1233"/>
      <c r="F1027" s="1233"/>
      <c r="G1027" s="1233"/>
      <c r="H1027" s="1233"/>
      <c r="I1027" s="1233"/>
      <c r="J1027" s="1233"/>
      <c r="K1027" s="1233"/>
      <c r="L1027" s="1233"/>
      <c r="M1027" s="106"/>
      <c r="N1027" s="106"/>
    </row>
    <row r="1028" spans="1:42" s="167" customFormat="1" ht="34.5" customHeight="1">
      <c r="A1028" s="837" t="s">
        <v>33</v>
      </c>
      <c r="B1028" s="838" t="s">
        <v>568</v>
      </c>
      <c r="C1028" s="839" t="s">
        <v>847</v>
      </c>
      <c r="D1028" s="840"/>
      <c r="E1028" s="841" t="s">
        <v>870</v>
      </c>
      <c r="F1028" s="842"/>
      <c r="G1028" s="841" t="s">
        <v>850</v>
      </c>
      <c r="H1028" s="842"/>
      <c r="I1028" s="841" t="s">
        <v>851</v>
      </c>
      <c r="J1028" s="842"/>
      <c r="K1028" s="841" t="s">
        <v>852</v>
      </c>
      <c r="L1028" s="842"/>
      <c r="M1028" s="151"/>
      <c r="N1028" s="151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</row>
    <row r="1029" spans="1:25" s="94" customFormat="1" ht="34.5" customHeight="1">
      <c r="A1029" s="242" t="s">
        <v>100</v>
      </c>
      <c r="B1029" s="490" t="s">
        <v>34</v>
      </c>
      <c r="C1029" s="1194">
        <f>CEILING(45*$Z$1,0.1)</f>
        <v>56.300000000000004</v>
      </c>
      <c r="D1029" s="1195"/>
      <c r="E1029" s="1194">
        <f>CEILING(77*$Z$1,0.1)</f>
        <v>96.30000000000001</v>
      </c>
      <c r="F1029" s="1195"/>
      <c r="G1029" s="1194">
        <f>CEILING(52*$Z$1,0.1)</f>
        <v>65</v>
      </c>
      <c r="H1029" s="1195"/>
      <c r="I1029" s="1194">
        <f>CEILING(54*$Z$1,0.1)</f>
        <v>67.5</v>
      </c>
      <c r="J1029" s="1195"/>
      <c r="K1029" s="1194">
        <f>CEILING(48*$Z$1,0.1)</f>
        <v>60</v>
      </c>
      <c r="L1029" s="1195"/>
      <c r="M1029" s="106"/>
      <c r="N1029" s="98"/>
      <c r="O1029" s="92"/>
      <c r="P1029" s="92"/>
      <c r="Q1029" s="92"/>
      <c r="R1029" s="92"/>
      <c r="S1029" s="92"/>
      <c r="T1029" s="92"/>
      <c r="U1029" s="92"/>
      <c r="V1029" s="92"/>
      <c r="W1029" s="92"/>
      <c r="X1029" s="92"/>
      <c r="Y1029" s="92"/>
    </row>
    <row r="1030" spans="1:25" s="94" customFormat="1" ht="34.5" customHeight="1">
      <c r="A1030" s="244" t="s">
        <v>35</v>
      </c>
      <c r="B1030" s="270" t="s">
        <v>36</v>
      </c>
      <c r="C1030" s="1192">
        <f>CEILING((C1029+25*$Z$1),0.1)</f>
        <v>87.60000000000001</v>
      </c>
      <c r="D1030" s="1193"/>
      <c r="E1030" s="1192">
        <f>CEILING((E1029+25*$Z$1),0.1)</f>
        <v>127.60000000000001</v>
      </c>
      <c r="F1030" s="1193"/>
      <c r="G1030" s="1192">
        <f>CEILING((G1029+25*$Z$1),0.1)</f>
        <v>96.30000000000001</v>
      </c>
      <c r="H1030" s="1193"/>
      <c r="I1030" s="1192">
        <f>CEILING((I1029+25*$Z$1),0.1)</f>
        <v>98.80000000000001</v>
      </c>
      <c r="J1030" s="1193"/>
      <c r="K1030" s="1192">
        <f>CEILING((K1029+25*$Z$1),0.1)</f>
        <v>91.30000000000001</v>
      </c>
      <c r="L1030" s="1193"/>
      <c r="M1030" s="106"/>
      <c r="N1030" s="98"/>
      <c r="O1030" s="92"/>
      <c r="P1030" s="92"/>
      <c r="Q1030" s="92"/>
      <c r="R1030" s="92"/>
      <c r="S1030" s="92"/>
      <c r="T1030" s="92"/>
      <c r="U1030" s="92"/>
      <c r="V1030" s="92"/>
      <c r="W1030" s="92"/>
      <c r="X1030" s="92"/>
      <c r="Y1030" s="92"/>
    </row>
    <row r="1031" spans="1:25" s="94" customFormat="1" ht="34.5" customHeight="1">
      <c r="A1031" s="492"/>
      <c r="B1031" s="192" t="s">
        <v>67</v>
      </c>
      <c r="C1031" s="1192">
        <f>CEILING((C1029*0.85),0.1)</f>
        <v>47.900000000000006</v>
      </c>
      <c r="D1031" s="1193"/>
      <c r="E1031" s="1192">
        <f>CEILING((E1029*0.85),0.1)</f>
        <v>81.9</v>
      </c>
      <c r="F1031" s="1193"/>
      <c r="G1031" s="1192">
        <f>CEILING((G1029*0.85),0.1)</f>
        <v>55.300000000000004</v>
      </c>
      <c r="H1031" s="1193"/>
      <c r="I1031" s="1192">
        <f>CEILING((I1029*0.85),0.1)</f>
        <v>57.400000000000006</v>
      </c>
      <c r="J1031" s="1193"/>
      <c r="K1031" s="1192">
        <f>CEILING((K1029*0.85),0.1)</f>
        <v>51</v>
      </c>
      <c r="L1031" s="1193"/>
      <c r="M1031" s="106"/>
      <c r="N1031" s="98"/>
      <c r="O1031" s="92"/>
      <c r="P1031" s="92"/>
      <c r="Q1031" s="92"/>
      <c r="R1031" s="92"/>
      <c r="S1031" s="92"/>
      <c r="T1031" s="92"/>
      <c r="U1031" s="92"/>
      <c r="V1031" s="92"/>
      <c r="W1031" s="92"/>
      <c r="X1031" s="92"/>
      <c r="Y1031" s="92"/>
    </row>
    <row r="1032" spans="1:25" s="94" customFormat="1" ht="34.5" customHeight="1">
      <c r="A1032" s="555"/>
      <c r="B1032" s="172" t="s">
        <v>66</v>
      </c>
      <c r="C1032" s="1192">
        <f>CEILING((C1029*0),0.1)</f>
        <v>0</v>
      </c>
      <c r="D1032" s="1193"/>
      <c r="E1032" s="1192">
        <f>CEILING((E1029*0.5),0.1)</f>
        <v>48.2</v>
      </c>
      <c r="F1032" s="1193"/>
      <c r="G1032" s="1192">
        <f>CEILING((G1029*0.5),0.1)</f>
        <v>32.5</v>
      </c>
      <c r="H1032" s="1193"/>
      <c r="I1032" s="1192">
        <f>CEILING((I1029*0.5),0.1)</f>
        <v>33.800000000000004</v>
      </c>
      <c r="J1032" s="1193"/>
      <c r="K1032" s="1192">
        <f>CEILING((K1029*0),0.1)</f>
        <v>0</v>
      </c>
      <c r="L1032" s="1193"/>
      <c r="M1032" s="106"/>
      <c r="N1032" s="98"/>
      <c r="O1032" s="92"/>
      <c r="P1032" s="92"/>
      <c r="Q1032" s="92"/>
      <c r="R1032" s="92"/>
      <c r="S1032" s="92"/>
      <c r="T1032" s="92"/>
      <c r="U1032" s="92"/>
      <c r="V1032" s="92"/>
      <c r="W1032" s="92"/>
      <c r="X1032" s="92"/>
      <c r="Y1032" s="92"/>
    </row>
    <row r="1033" spans="1:25" s="94" customFormat="1" ht="34.5" customHeight="1">
      <c r="A1033" s="557"/>
      <c r="B1033" s="172" t="s">
        <v>636</v>
      </c>
      <c r="C1033" s="1192">
        <f>CEILING(53*$Z$1,0.1)</f>
        <v>66.3</v>
      </c>
      <c r="D1033" s="1193"/>
      <c r="E1033" s="1192">
        <f>CEILING(85*$Z$1,0.1)</f>
        <v>106.30000000000001</v>
      </c>
      <c r="F1033" s="1193"/>
      <c r="G1033" s="1192">
        <f>CEILING(60*$Z$1,0.1)</f>
        <v>75</v>
      </c>
      <c r="H1033" s="1193"/>
      <c r="I1033" s="1192">
        <f>CEILING(62*$Z$1,0.1)</f>
        <v>77.5</v>
      </c>
      <c r="J1033" s="1193"/>
      <c r="K1033" s="1192">
        <f>CEILING(56*$Z$1,0.1)</f>
        <v>70</v>
      </c>
      <c r="L1033" s="1193"/>
      <c r="M1033" s="106"/>
      <c r="N1033" s="98"/>
      <c r="O1033" s="92"/>
      <c r="P1033" s="92"/>
      <c r="Q1033" s="92"/>
      <c r="R1033" s="92"/>
      <c r="S1033" s="92"/>
      <c r="T1033" s="92"/>
      <c r="U1033" s="92"/>
      <c r="V1033" s="92"/>
      <c r="W1033" s="92"/>
      <c r="X1033" s="92"/>
      <c r="Y1033" s="92"/>
    </row>
    <row r="1034" spans="1:25" s="94" customFormat="1" ht="34.5" customHeight="1" thickBot="1">
      <c r="A1034" s="495" t="s">
        <v>301</v>
      </c>
      <c r="B1034" s="343" t="s">
        <v>46</v>
      </c>
      <c r="C1034" s="1218">
        <f>CEILING(75*$Z$1,0.1)</f>
        <v>93.80000000000001</v>
      </c>
      <c r="D1034" s="1219"/>
      <c r="E1034" s="1218">
        <f>CEILING(107*$Z$1,0.1)</f>
        <v>133.8</v>
      </c>
      <c r="F1034" s="1219"/>
      <c r="G1034" s="1218">
        <f>CEILING(82*$Z$1,0.1)</f>
        <v>102.5</v>
      </c>
      <c r="H1034" s="1219"/>
      <c r="I1034" s="1218">
        <f>CEILING(84*$Z$1,0.1)</f>
        <v>105</v>
      </c>
      <c r="J1034" s="1219"/>
      <c r="K1034" s="1218">
        <f>CEILING(78*$Z$1,0.1)</f>
        <v>97.5</v>
      </c>
      <c r="L1034" s="1219"/>
      <c r="M1034" s="106"/>
      <c r="N1034" s="98"/>
      <c r="O1034" s="92"/>
      <c r="P1034" s="92"/>
      <c r="Q1034" s="92"/>
      <c r="R1034" s="92"/>
      <c r="S1034" s="92"/>
      <c r="T1034" s="92"/>
      <c r="U1034" s="92"/>
      <c r="V1034" s="92"/>
      <c r="W1034" s="92"/>
      <c r="X1034" s="92"/>
      <c r="Y1034" s="92"/>
    </row>
    <row r="1035" spans="1:25" s="94" customFormat="1" ht="34.5" customHeight="1" thickTop="1">
      <c r="A1035" s="339" t="s">
        <v>379</v>
      </c>
      <c r="B1035" s="90"/>
      <c r="C1035" s="191"/>
      <c r="D1035" s="191"/>
      <c r="E1035" s="191"/>
      <c r="F1035" s="191"/>
      <c r="G1035" s="191"/>
      <c r="H1035" s="191"/>
      <c r="I1035" s="191"/>
      <c r="J1035" s="191"/>
      <c r="K1035" s="558"/>
      <c r="L1035" s="558"/>
      <c r="M1035" s="106"/>
      <c r="N1035" s="98"/>
      <c r="O1035" s="92"/>
      <c r="P1035" s="92"/>
      <c r="Q1035" s="92"/>
      <c r="R1035" s="92"/>
      <c r="S1035" s="92"/>
      <c r="T1035" s="92"/>
      <c r="U1035" s="92"/>
      <c r="V1035" s="92"/>
      <c r="W1035" s="92"/>
      <c r="X1035" s="92"/>
      <c r="Y1035" s="92"/>
    </row>
    <row r="1036" spans="1:59" s="121" customFormat="1" ht="34.5" customHeight="1">
      <c r="A1036" s="832" t="s">
        <v>906</v>
      </c>
      <c r="B1036" s="833"/>
      <c r="C1036" s="903"/>
      <c r="D1036" s="903"/>
      <c r="E1036" s="903"/>
      <c r="F1036" s="903"/>
      <c r="G1036" s="903"/>
      <c r="H1036" s="903"/>
      <c r="I1036" s="187"/>
      <c r="J1036" s="187"/>
      <c r="K1036" s="99"/>
      <c r="L1036" s="99"/>
      <c r="M1036" s="106"/>
      <c r="N1036" s="106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100"/>
      <c r="AV1036" s="100"/>
      <c r="AW1036" s="100"/>
      <c r="AX1036" s="100"/>
      <c r="AY1036" s="100"/>
      <c r="AZ1036" s="100"/>
      <c r="BA1036" s="100"/>
      <c r="BB1036" s="100"/>
      <c r="BC1036" s="100"/>
      <c r="BD1036" s="100"/>
      <c r="BE1036" s="100"/>
      <c r="BF1036" s="100"/>
      <c r="BG1036" s="100"/>
    </row>
    <row r="1037" spans="1:59" s="121" customFormat="1" ht="34.5" customHeight="1">
      <c r="A1037" s="186"/>
      <c r="B1037" s="186"/>
      <c r="C1037" s="1020"/>
      <c r="D1037" s="1020"/>
      <c r="E1037" s="1020"/>
      <c r="F1037" s="1020"/>
      <c r="G1037" s="1020"/>
      <c r="H1037" s="1020"/>
      <c r="I1037" s="187"/>
      <c r="J1037" s="187"/>
      <c r="K1037" s="99"/>
      <c r="L1037" s="99"/>
      <c r="M1037" s="106"/>
      <c r="N1037" s="106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100"/>
      <c r="AV1037" s="100"/>
      <c r="AW1037" s="100"/>
      <c r="AX1037" s="100"/>
      <c r="AY1037" s="100"/>
      <c r="AZ1037" s="100"/>
      <c r="BA1037" s="100"/>
      <c r="BB1037" s="100"/>
      <c r="BC1037" s="100"/>
      <c r="BD1037" s="100"/>
      <c r="BE1037" s="100"/>
      <c r="BF1037" s="100"/>
      <c r="BG1037" s="100"/>
    </row>
    <row r="1038" spans="1:42" s="167" customFormat="1" ht="34.5" customHeight="1">
      <c r="A1038" s="837" t="s">
        <v>33</v>
      </c>
      <c r="B1038" s="838" t="s">
        <v>568</v>
      </c>
      <c r="C1038" s="839" t="s">
        <v>847</v>
      </c>
      <c r="D1038" s="840"/>
      <c r="E1038" s="841" t="s">
        <v>1048</v>
      </c>
      <c r="F1038" s="842"/>
      <c r="G1038" s="841" t="s">
        <v>1049</v>
      </c>
      <c r="H1038" s="842"/>
      <c r="I1038" s="841" t="s">
        <v>850</v>
      </c>
      <c r="J1038" s="842"/>
      <c r="K1038" s="841" t="s">
        <v>851</v>
      </c>
      <c r="L1038" s="842"/>
      <c r="M1038" s="839" t="s">
        <v>954</v>
      </c>
      <c r="N1038" s="840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</row>
    <row r="1039" spans="1:71" s="121" customFormat="1" ht="34.5" customHeight="1">
      <c r="A1039" s="461" t="s">
        <v>1041</v>
      </c>
      <c r="B1039" s="517" t="s">
        <v>1044</v>
      </c>
      <c r="C1039" s="1194">
        <f>CEILING(70*$Z$1,0.1)</f>
        <v>87.5</v>
      </c>
      <c r="D1039" s="1195"/>
      <c r="E1039" s="1192">
        <f>CEILING(100*$Z$1,0.1)</f>
        <v>125</v>
      </c>
      <c r="F1039" s="1220"/>
      <c r="G1039" s="1194">
        <f>CEILING(110*$Z$1,0.1)</f>
        <v>137.5</v>
      </c>
      <c r="H1039" s="1195"/>
      <c r="I1039" s="1194">
        <f>CEILING(84*$Z$1,0.1)</f>
        <v>105</v>
      </c>
      <c r="J1039" s="1195"/>
      <c r="K1039" s="1194">
        <f>CEILING(90*$Z$1,0.1)</f>
        <v>112.5</v>
      </c>
      <c r="L1039" s="1195"/>
      <c r="M1039" s="1194">
        <f>CEILING(70*$Z$1,0.1)</f>
        <v>87.5</v>
      </c>
      <c r="N1039" s="1195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100"/>
      <c r="AV1039" s="100"/>
      <c r="AW1039" s="100"/>
      <c r="AX1039" s="100"/>
      <c r="AY1039" s="100"/>
      <c r="AZ1039" s="100"/>
      <c r="BA1039" s="100"/>
      <c r="BB1039" s="100"/>
      <c r="BC1039" s="100"/>
      <c r="BD1039" s="100"/>
      <c r="BE1039" s="100"/>
      <c r="BF1039" s="100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100"/>
      <c r="BS1039" s="100"/>
    </row>
    <row r="1040" spans="1:71" s="121" customFormat="1" ht="34.5" customHeight="1">
      <c r="A1040" s="463"/>
      <c r="B1040" s="518" t="s">
        <v>1045</v>
      </c>
      <c r="C1040" s="1192">
        <f>CEILING((C1039+25*$Z$1),0.1)</f>
        <v>118.80000000000001</v>
      </c>
      <c r="D1040" s="1193"/>
      <c r="E1040" s="1192">
        <f>CEILING((E1039+25*$Z$1),0.1)</f>
        <v>156.3</v>
      </c>
      <c r="F1040" s="1193"/>
      <c r="G1040" s="1192">
        <f>CEILING((G1039+25*$Z$1),0.1)</f>
        <v>168.8</v>
      </c>
      <c r="H1040" s="1193"/>
      <c r="I1040" s="1192">
        <f>CEILING((I1039+25*$Z$1),0.1)</f>
        <v>136.3</v>
      </c>
      <c r="J1040" s="1193"/>
      <c r="K1040" s="1192">
        <f>CEILING((K1039+25*$Z$1),0.1)</f>
        <v>143.8</v>
      </c>
      <c r="L1040" s="1193"/>
      <c r="M1040" s="1192">
        <f>CEILING((M1039+25*$Z$1),0.1)</f>
        <v>118.80000000000001</v>
      </c>
      <c r="N1040" s="1193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100"/>
      <c r="AV1040" s="100"/>
      <c r="AW1040" s="100"/>
      <c r="AX1040" s="100"/>
      <c r="AY1040" s="100"/>
      <c r="AZ1040" s="100"/>
      <c r="BA1040" s="100"/>
      <c r="BB1040" s="100"/>
      <c r="BC1040" s="100"/>
      <c r="BD1040" s="100"/>
      <c r="BE1040" s="100"/>
      <c r="BF1040" s="100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100"/>
      <c r="BS1040" s="100"/>
    </row>
    <row r="1041" spans="1:71" s="121" customFormat="1" ht="34.5" customHeight="1">
      <c r="A1041" s="519" t="s">
        <v>35</v>
      </c>
      <c r="B1041" s="520" t="s">
        <v>37</v>
      </c>
      <c r="C1041" s="1192">
        <f>CEILING((C1039*0.85),0.1)</f>
        <v>74.4</v>
      </c>
      <c r="D1041" s="1193"/>
      <c r="E1041" s="1192">
        <f>CEILING((E1039*0.85),0.1)</f>
        <v>106.30000000000001</v>
      </c>
      <c r="F1041" s="1193"/>
      <c r="G1041" s="1192">
        <f>CEILING((G1039*0.85),0.1)</f>
        <v>116.9</v>
      </c>
      <c r="H1041" s="1193"/>
      <c r="I1041" s="1192">
        <f>CEILING((I1039*0.85),0.1)</f>
        <v>89.30000000000001</v>
      </c>
      <c r="J1041" s="1193"/>
      <c r="K1041" s="1192">
        <f>CEILING((K1039*0.85),0.1)</f>
        <v>95.7</v>
      </c>
      <c r="L1041" s="1193"/>
      <c r="M1041" s="1192">
        <f>CEILING((M1039*0.85),0.1)</f>
        <v>74.4</v>
      </c>
      <c r="N1041" s="1193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100"/>
      <c r="AV1041" s="100"/>
      <c r="AW1041" s="100"/>
      <c r="AX1041" s="100"/>
      <c r="AY1041" s="100"/>
      <c r="AZ1041" s="100"/>
      <c r="BA1041" s="100"/>
      <c r="BB1041" s="100"/>
      <c r="BC1041" s="100"/>
      <c r="BD1041" s="100"/>
      <c r="BE1041" s="100"/>
      <c r="BF1041" s="100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100"/>
      <c r="BS1041" s="100"/>
    </row>
    <row r="1042" spans="1:71" s="121" customFormat="1" ht="34.5" customHeight="1">
      <c r="A1042" s="467" t="s">
        <v>609</v>
      </c>
      <c r="B1042" s="521" t="s">
        <v>595</v>
      </c>
      <c r="C1042" s="1192">
        <f>CEILING((C1039*0),0.1)</f>
        <v>0</v>
      </c>
      <c r="D1042" s="1193"/>
      <c r="E1042" s="1192">
        <f>CEILING((E1039*0),0.1)</f>
        <v>0</v>
      </c>
      <c r="F1042" s="1193"/>
      <c r="G1042" s="1192">
        <f>CEILING((G1039*0),0.1)</f>
        <v>0</v>
      </c>
      <c r="H1042" s="1193"/>
      <c r="I1042" s="1192">
        <f>CEILING((I1039*0),0.1)</f>
        <v>0</v>
      </c>
      <c r="J1042" s="1193"/>
      <c r="K1042" s="1192">
        <f>CEILING((K1039*0),0.1)</f>
        <v>0</v>
      </c>
      <c r="L1042" s="1193"/>
      <c r="M1042" s="1192">
        <f>CEILING((M1039*0),0.1)</f>
        <v>0</v>
      </c>
      <c r="N1042" s="1193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100"/>
      <c r="AV1042" s="100"/>
      <c r="AW1042" s="100"/>
      <c r="AX1042" s="100"/>
      <c r="AY1042" s="100"/>
      <c r="AZ1042" s="100"/>
      <c r="BA1042" s="100"/>
      <c r="BB1042" s="100"/>
      <c r="BC1042" s="100"/>
      <c r="BD1042" s="100"/>
      <c r="BE1042" s="100"/>
      <c r="BF1042" s="100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100"/>
      <c r="BS1042" s="100"/>
    </row>
    <row r="1043" spans="1:71" s="121" customFormat="1" ht="34.5" customHeight="1">
      <c r="A1043" s="522"/>
      <c r="B1043" s="523" t="s">
        <v>1046</v>
      </c>
      <c r="C1043" s="1192">
        <f>CEILING(80*$Z$1,0.1)</f>
        <v>100</v>
      </c>
      <c r="D1043" s="1193"/>
      <c r="E1043" s="1192">
        <f>CEILING(110*$Z$1,0.1)</f>
        <v>137.5</v>
      </c>
      <c r="F1043" s="1193"/>
      <c r="G1043" s="1192">
        <f>CEILING(120*$Z$1,0.1)</f>
        <v>150</v>
      </c>
      <c r="H1043" s="1193"/>
      <c r="I1043" s="1192">
        <f>CEILING(94*$Z$1,0.1)</f>
        <v>117.5</v>
      </c>
      <c r="J1043" s="1193"/>
      <c r="K1043" s="1192">
        <f>CEILING(100*$Z$1,0.1)</f>
        <v>125</v>
      </c>
      <c r="L1043" s="1193"/>
      <c r="M1043" s="1192">
        <f>CEILING(80*$Z$1,0.1)</f>
        <v>100</v>
      </c>
      <c r="N1043" s="1193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100"/>
      <c r="AV1043" s="100"/>
      <c r="AW1043" s="100"/>
      <c r="AX1043" s="100"/>
      <c r="AY1043" s="100"/>
      <c r="AZ1043" s="100"/>
      <c r="BA1043" s="100"/>
      <c r="BB1043" s="100"/>
      <c r="BC1043" s="100"/>
      <c r="BD1043" s="100"/>
      <c r="BE1043" s="100"/>
      <c r="BF1043" s="100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100"/>
      <c r="BS1043" s="100"/>
    </row>
    <row r="1044" spans="1:71" s="121" customFormat="1" ht="34.5" customHeight="1">
      <c r="A1044" s="524"/>
      <c r="B1044" s="179" t="s">
        <v>1047</v>
      </c>
      <c r="C1044" s="1192">
        <f>CEILING((C1043+25*$Z$1),0.1)</f>
        <v>131.3</v>
      </c>
      <c r="D1044" s="1193"/>
      <c r="E1044" s="1192">
        <f>CEILING((E1043+25*$Z$1),0.1)</f>
        <v>168.8</v>
      </c>
      <c r="F1044" s="1255"/>
      <c r="G1044" s="1192">
        <f>CEILING((G1043+25*$Z$1),0.1)</f>
        <v>181.3</v>
      </c>
      <c r="H1044" s="1193"/>
      <c r="I1044" s="1192">
        <f>CEILING((I1043+25*$Z$1),0.1)</f>
        <v>148.8</v>
      </c>
      <c r="J1044" s="1193"/>
      <c r="K1044" s="1192">
        <f>CEILING((K1043+25*$Z$1),0.1)</f>
        <v>156.3</v>
      </c>
      <c r="L1044" s="1193"/>
      <c r="M1044" s="1192">
        <f>CEILING((M1043+25*$Z$1),0.1)</f>
        <v>131.3</v>
      </c>
      <c r="N1044" s="1193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100"/>
      <c r="AV1044" s="100"/>
      <c r="AW1044" s="100"/>
      <c r="AX1044" s="100"/>
      <c r="AY1044" s="100"/>
      <c r="AZ1044" s="100"/>
      <c r="BA1044" s="100"/>
      <c r="BB1044" s="100"/>
      <c r="BC1044" s="100"/>
      <c r="BD1044" s="100"/>
      <c r="BE1044" s="100"/>
      <c r="BF1044" s="100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100"/>
      <c r="BS1044" s="100"/>
    </row>
    <row r="1045" spans="1:71" s="121" customFormat="1" ht="34.5" customHeight="1">
      <c r="A1045" s="524"/>
      <c r="B1045" s="340" t="s">
        <v>1042</v>
      </c>
      <c r="C1045" s="1192">
        <f>CEILING(115*$Z$1,0.1)</f>
        <v>143.8</v>
      </c>
      <c r="D1045" s="1193"/>
      <c r="E1045" s="1192">
        <f>CEILING(145*$Z$1,0.1)</f>
        <v>181.3</v>
      </c>
      <c r="F1045" s="1193"/>
      <c r="G1045" s="1192">
        <f>CEILING(155*$Z$1,0.1)</f>
        <v>193.8</v>
      </c>
      <c r="H1045" s="1193"/>
      <c r="I1045" s="1192">
        <f>CEILING(129*$Z$1,0.1)</f>
        <v>161.3</v>
      </c>
      <c r="J1045" s="1193"/>
      <c r="K1045" s="1192">
        <f>CEILING(129*$Z$1,0.1)</f>
        <v>161.3</v>
      </c>
      <c r="L1045" s="1193"/>
      <c r="M1045" s="1192">
        <f>CEILING(115*$Z$1,0.1)</f>
        <v>143.8</v>
      </c>
      <c r="N1045" s="1193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100"/>
      <c r="AV1045" s="100"/>
      <c r="AW1045" s="100"/>
      <c r="AX1045" s="100"/>
      <c r="AY1045" s="100"/>
      <c r="AZ1045" s="100"/>
      <c r="BA1045" s="100"/>
      <c r="BB1045" s="100"/>
      <c r="BC1045" s="100"/>
      <c r="BD1045" s="100"/>
      <c r="BE1045" s="100"/>
      <c r="BF1045" s="100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100"/>
      <c r="BS1045" s="100"/>
    </row>
    <row r="1046" spans="1:71" s="121" customFormat="1" ht="34.5" customHeight="1">
      <c r="A1046" s="522"/>
      <c r="B1046" s="90" t="s">
        <v>1043</v>
      </c>
      <c r="C1046" s="1192">
        <f>CEILING((C1045+25*$Z$1),0.1)</f>
        <v>175.10000000000002</v>
      </c>
      <c r="D1046" s="1193"/>
      <c r="E1046" s="1192">
        <f>CEILING((E1045+25*$Z$1),0.1)</f>
        <v>212.60000000000002</v>
      </c>
      <c r="F1046" s="1193"/>
      <c r="G1046" s="1192">
        <f>CEILING((G1045+25*$Z$1),0.1)</f>
        <v>225.10000000000002</v>
      </c>
      <c r="H1046" s="1193"/>
      <c r="I1046" s="1192">
        <f>CEILING((I1045+25*$Z$1),0.1)</f>
        <v>192.60000000000002</v>
      </c>
      <c r="J1046" s="1193"/>
      <c r="K1046" s="1192">
        <f>CEILING((K1045+25*$Z$1),0.1)</f>
        <v>192.60000000000002</v>
      </c>
      <c r="L1046" s="1193"/>
      <c r="M1046" s="1192">
        <f>CEILING((M1045+25*$Z$1),0.1)</f>
        <v>175.10000000000002</v>
      </c>
      <c r="N1046" s="1193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100"/>
      <c r="AV1046" s="100"/>
      <c r="AW1046" s="100"/>
      <c r="AX1046" s="100"/>
      <c r="AY1046" s="100"/>
      <c r="AZ1046" s="100"/>
      <c r="BA1046" s="100"/>
      <c r="BB1046" s="100"/>
      <c r="BC1046" s="100"/>
      <c r="BD1046" s="100"/>
      <c r="BE1046" s="100"/>
      <c r="BF1046" s="100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100"/>
      <c r="BS1046" s="100"/>
    </row>
    <row r="1047" spans="1:71" s="121" customFormat="1" ht="34.5" customHeight="1">
      <c r="A1047" s="527"/>
      <c r="B1047" s="349" t="s">
        <v>1050</v>
      </c>
      <c r="C1047" s="1194">
        <f>CEILING(120*$Z$1,0.1)</f>
        <v>150</v>
      </c>
      <c r="D1047" s="1195"/>
      <c r="E1047" s="1235">
        <f>CEILING(150*$Z$1,0.1)</f>
        <v>187.5</v>
      </c>
      <c r="F1047" s="1195"/>
      <c r="G1047" s="1194">
        <f>CEILING(160*$Z$1,0.1)</f>
        <v>200</v>
      </c>
      <c r="H1047" s="1195"/>
      <c r="I1047" s="1194">
        <f>CEILING(134*$Z$1,0.1)</f>
        <v>167.5</v>
      </c>
      <c r="J1047" s="1195"/>
      <c r="K1047" s="1194">
        <f>CEILING(140*$Z$1,0.1)</f>
        <v>175</v>
      </c>
      <c r="L1047" s="1195"/>
      <c r="M1047" s="1194">
        <f>CEILING(120*$Z$1,0.1)</f>
        <v>150</v>
      </c>
      <c r="N1047" s="1195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100"/>
      <c r="AV1047" s="100"/>
      <c r="AW1047" s="100"/>
      <c r="AX1047" s="100"/>
      <c r="AY1047" s="100"/>
      <c r="AZ1047" s="100"/>
      <c r="BA1047" s="100"/>
      <c r="BB1047" s="100"/>
      <c r="BC1047" s="100"/>
      <c r="BD1047" s="100"/>
      <c r="BE1047" s="100"/>
      <c r="BF1047" s="100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100"/>
      <c r="BS1047" s="100"/>
    </row>
    <row r="1048" spans="1:71" s="121" customFormat="1" ht="34.5" customHeight="1">
      <c r="A1048" s="528"/>
      <c r="B1048" s="172" t="s">
        <v>1051</v>
      </c>
      <c r="C1048" s="1192">
        <f>CEILING((C1047+25*$Z$1),0.1)</f>
        <v>181.3</v>
      </c>
      <c r="D1048" s="1193"/>
      <c r="E1048" s="1220">
        <f>CEILING((E1047+25*$Z$1),0.1)</f>
        <v>218.8</v>
      </c>
      <c r="F1048" s="1193"/>
      <c r="G1048" s="1192">
        <f>CEILING((G1047+25*$Z$1),0.1)</f>
        <v>231.3</v>
      </c>
      <c r="H1048" s="1193"/>
      <c r="I1048" s="1192">
        <f>CEILING((I1047+25*$Z$1),0.1)</f>
        <v>198.8</v>
      </c>
      <c r="J1048" s="1193"/>
      <c r="K1048" s="1192">
        <f>CEILING((K1047+25*$Z$1),0.1)</f>
        <v>206.3</v>
      </c>
      <c r="L1048" s="1193"/>
      <c r="M1048" s="1192">
        <f>CEILING((M1047+25*$Z$1),0.1)</f>
        <v>181.3</v>
      </c>
      <c r="N1048" s="1193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100"/>
      <c r="AV1048" s="100"/>
      <c r="AW1048" s="100"/>
      <c r="AX1048" s="100"/>
      <c r="AY1048" s="100"/>
      <c r="AZ1048" s="100"/>
      <c r="BA1048" s="100"/>
      <c r="BB1048" s="100"/>
      <c r="BC1048" s="100"/>
      <c r="BD1048" s="100"/>
      <c r="BE1048" s="100"/>
      <c r="BF1048" s="100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100"/>
      <c r="BS1048" s="100"/>
    </row>
    <row r="1049" spans="1:71" s="121" customFormat="1" ht="34.5" customHeight="1">
      <c r="A1049" s="529" t="s">
        <v>1059</v>
      </c>
      <c r="B1049" s="306" t="s">
        <v>37</v>
      </c>
      <c r="C1049" s="1192">
        <f>CEILING((C1047*0.85),0.1)</f>
        <v>127.5</v>
      </c>
      <c r="D1049" s="1193"/>
      <c r="E1049" s="1220">
        <f>CEILING((E1047*0.85),0.1)</f>
        <v>159.4</v>
      </c>
      <c r="F1049" s="1193"/>
      <c r="G1049" s="1192">
        <f>CEILING((G1047*0.85),0.1)</f>
        <v>170</v>
      </c>
      <c r="H1049" s="1193"/>
      <c r="I1049" s="1192">
        <f>CEILING((I1047*0.85),0.1)</f>
        <v>142.4</v>
      </c>
      <c r="J1049" s="1193"/>
      <c r="K1049" s="1192">
        <f>CEILING((K1047*0.85),0.1)</f>
        <v>148.8</v>
      </c>
      <c r="L1049" s="1193"/>
      <c r="M1049" s="1192">
        <f>CEILING((M1047*0.85),0.1)</f>
        <v>127.5</v>
      </c>
      <c r="N1049" s="1193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100"/>
      <c r="AV1049" s="100"/>
      <c r="AW1049" s="100"/>
      <c r="AX1049" s="100"/>
      <c r="AY1049" s="100"/>
      <c r="AZ1049" s="100"/>
      <c r="BA1049" s="100"/>
      <c r="BB1049" s="100"/>
      <c r="BC1049" s="100"/>
      <c r="BD1049" s="100"/>
      <c r="BE1049" s="100"/>
      <c r="BF1049" s="100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100"/>
      <c r="BS1049" s="100"/>
    </row>
    <row r="1050" spans="1:71" s="121" customFormat="1" ht="34.5" customHeight="1">
      <c r="A1050" s="524"/>
      <c r="B1050" s="171" t="s">
        <v>1052</v>
      </c>
      <c r="C1050" s="1192">
        <f>CEILING(130*$Z$1,0.1)</f>
        <v>162.5</v>
      </c>
      <c r="D1050" s="1193"/>
      <c r="E1050" s="1220">
        <f>CEILING(160*$Z$1,0.1)</f>
        <v>200</v>
      </c>
      <c r="F1050" s="1193"/>
      <c r="G1050" s="1192">
        <f>CEILING(170*$Z$1,0.1)</f>
        <v>212.5</v>
      </c>
      <c r="H1050" s="1193"/>
      <c r="I1050" s="1192">
        <f>CEILING(144*$Z$1,0.1)</f>
        <v>180</v>
      </c>
      <c r="J1050" s="1193"/>
      <c r="K1050" s="1192">
        <f>CEILING(150*$Z$1,0.1)</f>
        <v>187.5</v>
      </c>
      <c r="L1050" s="1193"/>
      <c r="M1050" s="1192">
        <f>CEILING(130*$Z$1,0.1)</f>
        <v>162.5</v>
      </c>
      <c r="N1050" s="1193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100"/>
      <c r="AV1050" s="100"/>
      <c r="AW1050" s="100"/>
      <c r="AX1050" s="100"/>
      <c r="AY1050" s="100"/>
      <c r="AZ1050" s="100"/>
      <c r="BA1050" s="100"/>
      <c r="BB1050" s="100"/>
      <c r="BC1050" s="100"/>
      <c r="BD1050" s="100"/>
      <c r="BE1050" s="100"/>
      <c r="BF1050" s="100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100"/>
      <c r="BS1050" s="100"/>
    </row>
    <row r="1051" spans="1:71" s="121" customFormat="1" ht="34.5" customHeight="1">
      <c r="A1051" s="524"/>
      <c r="B1051" s="171" t="s">
        <v>1053</v>
      </c>
      <c r="C1051" s="1192">
        <f>CEILING((C1050+25*$Z$1),0.1)</f>
        <v>193.8</v>
      </c>
      <c r="D1051" s="1193"/>
      <c r="E1051" s="1220">
        <f>CEILING((E1050+25*$Z$1),0.1)</f>
        <v>231.3</v>
      </c>
      <c r="F1051" s="1255"/>
      <c r="G1051" s="1192">
        <f>CEILING((G1050+25*$Z$1),0.1)</f>
        <v>243.8</v>
      </c>
      <c r="H1051" s="1193"/>
      <c r="I1051" s="1192">
        <f>CEILING((I1050+25*$Z$1),0.1)</f>
        <v>211.3</v>
      </c>
      <c r="J1051" s="1193"/>
      <c r="K1051" s="1192">
        <f>CEILING((K1050+25*$Z$1),0.1)</f>
        <v>218.8</v>
      </c>
      <c r="L1051" s="1193"/>
      <c r="M1051" s="1192">
        <f>CEILING((M1050+25*$Z$1),0.1)</f>
        <v>193.8</v>
      </c>
      <c r="N1051" s="1193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100"/>
      <c r="AV1051" s="100"/>
      <c r="AW1051" s="100"/>
      <c r="AX1051" s="100"/>
      <c r="AY1051" s="100"/>
      <c r="AZ1051" s="100"/>
      <c r="BA1051" s="100"/>
      <c r="BB1051" s="100"/>
      <c r="BC1051" s="100"/>
      <c r="BD1051" s="100"/>
      <c r="BE1051" s="100"/>
      <c r="BF1051" s="100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100"/>
      <c r="BS1051" s="100"/>
    </row>
    <row r="1052" spans="1:71" s="121" customFormat="1" ht="34.5" customHeight="1">
      <c r="A1052" s="524"/>
      <c r="B1052" s="172" t="s">
        <v>1054</v>
      </c>
      <c r="C1052" s="1192">
        <f>CEILING(150*$Z$1,0.1)</f>
        <v>187.5</v>
      </c>
      <c r="D1052" s="1193"/>
      <c r="E1052" s="1220">
        <f>CEILING(180*$Z$1,0.1)</f>
        <v>225</v>
      </c>
      <c r="F1052" s="1193"/>
      <c r="G1052" s="1192">
        <f>CEILING(190*$Z$1,0.1)</f>
        <v>237.5</v>
      </c>
      <c r="H1052" s="1193"/>
      <c r="I1052" s="1192">
        <f>CEILING(164*$Z$1,0.1)</f>
        <v>205</v>
      </c>
      <c r="J1052" s="1193"/>
      <c r="K1052" s="1192">
        <f>CEILING(170*$Z$1,0.1)</f>
        <v>212.5</v>
      </c>
      <c r="L1052" s="1193"/>
      <c r="M1052" s="1192">
        <f>CEILING(150*$Z$1,0.1)</f>
        <v>187.5</v>
      </c>
      <c r="N1052" s="1193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100"/>
      <c r="AV1052" s="100"/>
      <c r="AW1052" s="100"/>
      <c r="AX1052" s="100"/>
      <c r="AY1052" s="100"/>
      <c r="AZ1052" s="100"/>
      <c r="BA1052" s="100"/>
      <c r="BB1052" s="100"/>
      <c r="BC1052" s="100"/>
      <c r="BD1052" s="100"/>
      <c r="BE1052" s="100"/>
      <c r="BF1052" s="100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100"/>
      <c r="BS1052" s="100"/>
    </row>
    <row r="1053" spans="1:71" s="121" customFormat="1" ht="34.5" customHeight="1">
      <c r="A1053" s="524"/>
      <c r="B1053" s="172" t="s">
        <v>1055</v>
      </c>
      <c r="C1053" s="1192">
        <f>CEILING((C1052+25*$Z$1),0.1)</f>
        <v>218.8</v>
      </c>
      <c r="D1053" s="1193"/>
      <c r="E1053" s="1220">
        <f>CEILING((E1052+25*$Z$1),0.1)</f>
        <v>256.3</v>
      </c>
      <c r="F1053" s="1193"/>
      <c r="G1053" s="1192">
        <f>CEILING((G1052+25*$Z$1),0.1)</f>
        <v>268.8</v>
      </c>
      <c r="H1053" s="1193"/>
      <c r="I1053" s="1192">
        <f>CEILING((I1052+25*$Z$1),0.1)</f>
        <v>236.3</v>
      </c>
      <c r="J1053" s="1193"/>
      <c r="K1053" s="1192">
        <f>CEILING((K1052+25*$Z$1),0.1)</f>
        <v>243.8</v>
      </c>
      <c r="L1053" s="1193"/>
      <c r="M1053" s="1192">
        <f>CEILING((M1052+25*$Z$1),0.1)</f>
        <v>218.8</v>
      </c>
      <c r="N1053" s="1193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100"/>
      <c r="AV1053" s="100"/>
      <c r="AW1053" s="100"/>
      <c r="AX1053" s="100"/>
      <c r="AY1053" s="100"/>
      <c r="AZ1053" s="100"/>
      <c r="BA1053" s="100"/>
      <c r="BB1053" s="100"/>
      <c r="BC1053" s="100"/>
      <c r="BD1053" s="100"/>
      <c r="BE1053" s="100"/>
      <c r="BF1053" s="100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100"/>
      <c r="BS1053" s="100"/>
    </row>
    <row r="1054" spans="1:71" s="411" customFormat="1" ht="34.5" customHeight="1" thickBot="1">
      <c r="A1054" s="530"/>
      <c r="B1054" s="184" t="s">
        <v>1056</v>
      </c>
      <c r="C1054" s="1218">
        <f>CEILING(230*$Z$1,0.1)</f>
        <v>287.5</v>
      </c>
      <c r="D1054" s="1219"/>
      <c r="E1054" s="1240">
        <f>CEILING(260*$Z$1,0.1)</f>
        <v>325</v>
      </c>
      <c r="F1054" s="1219"/>
      <c r="G1054" s="1218">
        <f>CEILING(270*$Z$1,0.1)</f>
        <v>337.5</v>
      </c>
      <c r="H1054" s="1219"/>
      <c r="I1054" s="1218">
        <f>CEILING(244*$Z$1,0.1)</f>
        <v>305</v>
      </c>
      <c r="J1054" s="1219"/>
      <c r="K1054" s="1218">
        <f>CEILING(250*$Z$1,0.1)</f>
        <v>312.5</v>
      </c>
      <c r="L1054" s="1219"/>
      <c r="M1054" s="1218">
        <f>CEILING(230*$Z$1,0.1)</f>
        <v>287.5</v>
      </c>
      <c r="N1054" s="1219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100"/>
      <c r="AV1054" s="100"/>
      <c r="AW1054" s="100"/>
      <c r="AX1054" s="100"/>
      <c r="AY1054" s="100"/>
      <c r="AZ1054" s="100"/>
      <c r="BA1054" s="100"/>
      <c r="BB1054" s="100"/>
      <c r="BC1054" s="100"/>
      <c r="BD1054" s="100"/>
      <c r="BE1054" s="100"/>
      <c r="BF1054" s="100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100"/>
      <c r="BS1054" s="100"/>
    </row>
    <row r="1055" spans="1:84" s="94" customFormat="1" ht="34.5" customHeight="1" thickTop="1">
      <c r="A1055" s="1222" t="s">
        <v>1057</v>
      </c>
      <c r="B1055" s="1222"/>
      <c r="C1055" s="1222"/>
      <c r="D1055" s="1222"/>
      <c r="E1055" s="1222"/>
      <c r="F1055" s="1222"/>
      <c r="G1055" s="1222"/>
      <c r="H1055" s="1222"/>
      <c r="I1055" s="1222"/>
      <c r="J1055" s="1222"/>
      <c r="K1055" s="119"/>
      <c r="L1055" s="119"/>
      <c r="M1055" s="106"/>
      <c r="N1055" s="106"/>
      <c r="O1055" s="136"/>
      <c r="P1055" s="136"/>
      <c r="Q1055" s="136"/>
      <c r="R1055" s="136"/>
      <c r="S1055" s="136"/>
      <c r="T1055" s="136"/>
      <c r="U1055" s="136"/>
      <c r="V1055" s="136"/>
      <c r="W1055" s="136"/>
      <c r="X1055" s="136"/>
      <c r="Y1055" s="136"/>
      <c r="Z1055" s="136"/>
      <c r="AA1055" s="136"/>
      <c r="AB1055" s="136"/>
      <c r="AC1055" s="136"/>
      <c r="AD1055" s="136"/>
      <c r="AE1055" s="136"/>
      <c r="AF1055" s="136"/>
      <c r="AG1055" s="136"/>
      <c r="AH1055" s="136"/>
      <c r="AI1055" s="136"/>
      <c r="AJ1055" s="136"/>
      <c r="AK1055" s="136"/>
      <c r="AL1055" s="136"/>
      <c r="AM1055" s="136"/>
      <c r="AN1055" s="136"/>
      <c r="AO1055" s="136"/>
      <c r="AP1055" s="136"/>
      <c r="AQ1055" s="136"/>
      <c r="AR1055" s="136"/>
      <c r="AS1055" s="136"/>
      <c r="AT1055" s="136"/>
      <c r="AU1055" s="136"/>
      <c r="AV1055" s="136"/>
      <c r="AW1055" s="136"/>
      <c r="AX1055" s="136"/>
      <c r="AY1055" s="136"/>
      <c r="AZ1055" s="136"/>
      <c r="BA1055" s="136"/>
      <c r="BB1055" s="136"/>
      <c r="BC1055" s="136"/>
      <c r="BD1055" s="136"/>
      <c r="BE1055" s="136"/>
      <c r="BF1055" s="136"/>
      <c r="BG1055" s="136"/>
      <c r="BH1055" s="136"/>
      <c r="BI1055" s="136"/>
      <c r="BJ1055" s="136"/>
      <c r="BK1055" s="136"/>
      <c r="BL1055" s="136"/>
      <c r="BM1055" s="136"/>
      <c r="BN1055" s="136"/>
      <c r="BO1055" s="136"/>
      <c r="BP1055" s="136"/>
      <c r="BQ1055" s="136"/>
      <c r="BR1055" s="136"/>
      <c r="BS1055" s="136"/>
      <c r="BT1055" s="136"/>
      <c r="BU1055" s="136"/>
      <c r="BV1055" s="136"/>
      <c r="BW1055" s="136"/>
      <c r="BX1055" s="136"/>
      <c r="BY1055" s="136"/>
      <c r="BZ1055" s="136"/>
      <c r="CA1055" s="136"/>
      <c r="CB1055" s="136"/>
      <c r="CC1055" s="136"/>
      <c r="CD1055" s="136"/>
      <c r="CE1055" s="136"/>
      <c r="CF1055" s="136"/>
    </row>
    <row r="1056" spans="1:59" s="121" customFormat="1" ht="34.5" customHeight="1">
      <c r="A1056" s="1222" t="s">
        <v>1058</v>
      </c>
      <c r="B1056" s="1222"/>
      <c r="C1056" s="1222"/>
      <c r="D1056" s="1222"/>
      <c r="E1056" s="1222"/>
      <c r="F1056" s="1222"/>
      <c r="G1056" s="1222"/>
      <c r="H1056" s="1222"/>
      <c r="I1056" s="1222"/>
      <c r="J1056" s="1222"/>
      <c r="K1056" s="99"/>
      <c r="L1056" s="99"/>
      <c r="M1056" s="106"/>
      <c r="N1056" s="106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100"/>
      <c r="AV1056" s="100"/>
      <c r="AW1056" s="100"/>
      <c r="AX1056" s="100"/>
      <c r="AY1056" s="100"/>
      <c r="AZ1056" s="100"/>
      <c r="BA1056" s="100"/>
      <c r="BB1056" s="100"/>
      <c r="BC1056" s="100"/>
      <c r="BD1056" s="100"/>
      <c r="BE1056" s="100"/>
      <c r="BF1056" s="100"/>
      <c r="BG1056" s="100"/>
    </row>
    <row r="1057" spans="1:14" s="136" customFormat="1" ht="34.5" customHeight="1">
      <c r="A1057" s="142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  <c r="M1057" s="106"/>
      <c r="N1057" s="106"/>
    </row>
    <row r="1058" spans="1:42" s="167" customFormat="1" ht="34.5" customHeight="1">
      <c r="A1058" s="837" t="s">
        <v>33</v>
      </c>
      <c r="B1058" s="838" t="s">
        <v>568</v>
      </c>
      <c r="C1058" s="839" t="s">
        <v>847</v>
      </c>
      <c r="D1058" s="840"/>
      <c r="E1058" s="841" t="s">
        <v>870</v>
      </c>
      <c r="F1058" s="842"/>
      <c r="G1058" s="841" t="s">
        <v>850</v>
      </c>
      <c r="H1058" s="842"/>
      <c r="I1058" s="841" t="s">
        <v>851</v>
      </c>
      <c r="J1058" s="842"/>
      <c r="K1058" s="841" t="s">
        <v>852</v>
      </c>
      <c r="L1058" s="842"/>
      <c r="M1058" s="151"/>
      <c r="N1058" s="151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</row>
    <row r="1059" spans="1:71" s="121" customFormat="1" ht="34.5" customHeight="1">
      <c r="A1059" s="249" t="s">
        <v>649</v>
      </c>
      <c r="B1059" s="213" t="s">
        <v>643</v>
      </c>
      <c r="C1059" s="1194">
        <f>CEILING(65*$Z$1,0.1)</f>
        <v>81.30000000000001</v>
      </c>
      <c r="D1059" s="1195"/>
      <c r="E1059" s="1194">
        <f>CEILING(80*$Z$1,0.1)</f>
        <v>100</v>
      </c>
      <c r="F1059" s="1195"/>
      <c r="G1059" s="1194">
        <f>CEILING(70*$Z$1,0.1)</f>
        <v>87.5</v>
      </c>
      <c r="H1059" s="1195"/>
      <c r="I1059" s="1194">
        <f>CEILING(75*$Z$1,0.1)</f>
        <v>93.80000000000001</v>
      </c>
      <c r="J1059" s="1195"/>
      <c r="K1059" s="1194">
        <f>CEILING(65*$Z$1,0.1)</f>
        <v>81.30000000000001</v>
      </c>
      <c r="L1059" s="1195"/>
      <c r="M1059" s="106"/>
      <c r="N1059" s="9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100"/>
      <c r="AV1059" s="100"/>
      <c r="AW1059" s="100"/>
      <c r="AX1059" s="100"/>
      <c r="AY1059" s="100"/>
      <c r="AZ1059" s="100"/>
      <c r="BA1059" s="100"/>
      <c r="BB1059" s="100"/>
      <c r="BC1059" s="100"/>
      <c r="BD1059" s="100"/>
      <c r="BE1059" s="100"/>
      <c r="BF1059" s="100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100"/>
      <c r="BS1059" s="100"/>
    </row>
    <row r="1060" spans="1:71" s="121" customFormat="1" ht="34.5" customHeight="1">
      <c r="A1060" s="266" t="s">
        <v>650</v>
      </c>
      <c r="B1060" s="270" t="s">
        <v>644</v>
      </c>
      <c r="C1060" s="1192">
        <f>CEILING((C1059+20*$Z$1),0.1)</f>
        <v>106.30000000000001</v>
      </c>
      <c r="D1060" s="1193"/>
      <c r="E1060" s="1192">
        <f>CEILING((E1059+20*$Z$1),0.1)</f>
        <v>125</v>
      </c>
      <c r="F1060" s="1193"/>
      <c r="G1060" s="1192">
        <f>CEILING((G1059+20*$Z$1),0.1)</f>
        <v>112.5</v>
      </c>
      <c r="H1060" s="1193"/>
      <c r="I1060" s="1192">
        <f>CEILING((I1059+20*$Z$1),0.1)</f>
        <v>118.80000000000001</v>
      </c>
      <c r="J1060" s="1193"/>
      <c r="K1060" s="1192">
        <f>CEILING((K1059+20*$Z$1),0.1)</f>
        <v>106.30000000000001</v>
      </c>
      <c r="L1060" s="1193"/>
      <c r="M1060" s="106"/>
      <c r="N1060" s="9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100"/>
      <c r="AV1060" s="100"/>
      <c r="AW1060" s="100"/>
      <c r="AX1060" s="100"/>
      <c r="AY1060" s="100"/>
      <c r="AZ1060" s="100"/>
      <c r="BA1060" s="100"/>
      <c r="BB1060" s="100"/>
      <c r="BC1060" s="100"/>
      <c r="BD1060" s="100"/>
      <c r="BE1060" s="100"/>
      <c r="BF1060" s="100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100"/>
      <c r="BS1060" s="100"/>
    </row>
    <row r="1061" spans="1:71" s="121" customFormat="1" ht="34.5" customHeight="1">
      <c r="A1061" s="190"/>
      <c r="B1061" s="192" t="s">
        <v>37</v>
      </c>
      <c r="C1061" s="1192">
        <f>CEILING((C1059*0.85),0.1)</f>
        <v>69.2</v>
      </c>
      <c r="D1061" s="1193"/>
      <c r="E1061" s="1192">
        <f>CEILING((E1059*0.85),0.1)</f>
        <v>85</v>
      </c>
      <c r="F1061" s="1193"/>
      <c r="G1061" s="1192">
        <f>CEILING((G1059*0.85),0.1)</f>
        <v>74.4</v>
      </c>
      <c r="H1061" s="1193"/>
      <c r="I1061" s="1192">
        <f>CEILING((I1059*0.85),0.1)</f>
        <v>79.80000000000001</v>
      </c>
      <c r="J1061" s="1193"/>
      <c r="K1061" s="1192">
        <f>CEILING((K1059*0.85),0.1)</f>
        <v>69.2</v>
      </c>
      <c r="L1061" s="1193"/>
      <c r="M1061" s="106"/>
      <c r="N1061" s="9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100"/>
      <c r="AV1061" s="100"/>
      <c r="AW1061" s="100"/>
      <c r="AX1061" s="100"/>
      <c r="AY1061" s="100"/>
      <c r="AZ1061" s="100"/>
      <c r="BA1061" s="100"/>
      <c r="BB1061" s="100"/>
      <c r="BC1061" s="100"/>
      <c r="BD1061" s="100"/>
      <c r="BE1061" s="100"/>
      <c r="BF1061" s="100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100"/>
      <c r="BS1061" s="100"/>
    </row>
    <row r="1062" spans="1:71" s="121" customFormat="1" ht="34.5" customHeight="1">
      <c r="A1062" s="190"/>
      <c r="B1062" s="192" t="s">
        <v>645</v>
      </c>
      <c r="C1062" s="1192">
        <f>CEILING((C1059*0.5),0.1)</f>
        <v>40.7</v>
      </c>
      <c r="D1062" s="1193"/>
      <c r="E1062" s="1192">
        <f>CEILING((E1059*0.5),0.1)</f>
        <v>50</v>
      </c>
      <c r="F1062" s="1193"/>
      <c r="G1062" s="1192">
        <f>CEILING((G1059*0.5),0.1)</f>
        <v>43.800000000000004</v>
      </c>
      <c r="H1062" s="1193"/>
      <c r="I1062" s="1192">
        <f>CEILING((I1059*0.5),0.1)</f>
        <v>46.900000000000006</v>
      </c>
      <c r="J1062" s="1193"/>
      <c r="K1062" s="1192">
        <f>CEILING((K1059*0.5),0.1)</f>
        <v>40.7</v>
      </c>
      <c r="L1062" s="1193"/>
      <c r="M1062" s="106"/>
      <c r="N1062" s="9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100"/>
      <c r="AV1062" s="100"/>
      <c r="AW1062" s="100"/>
      <c r="AX1062" s="100"/>
      <c r="AY1062" s="100"/>
      <c r="AZ1062" s="100"/>
      <c r="BA1062" s="100"/>
      <c r="BB1062" s="100"/>
      <c r="BC1062" s="100"/>
      <c r="BD1062" s="100"/>
      <c r="BE1062" s="100"/>
      <c r="BF1062" s="100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100"/>
      <c r="BS1062" s="100"/>
    </row>
    <row r="1063" spans="1:71" s="121" customFormat="1" ht="34.5" customHeight="1">
      <c r="A1063" s="559"/>
      <c r="B1063" s="192" t="s">
        <v>646</v>
      </c>
      <c r="C1063" s="1192">
        <f>CEILING(75*$Z$1,0.1)</f>
        <v>93.80000000000001</v>
      </c>
      <c r="D1063" s="1193"/>
      <c r="E1063" s="1192">
        <f>CEILING(90*$Z$1,0.1)</f>
        <v>112.5</v>
      </c>
      <c r="F1063" s="1193"/>
      <c r="G1063" s="1192">
        <f>CEILING(80*$Z$1,0.1)</f>
        <v>100</v>
      </c>
      <c r="H1063" s="1193"/>
      <c r="I1063" s="1192">
        <f>CEILING(85*$Z$1,0.1)</f>
        <v>106.30000000000001</v>
      </c>
      <c r="J1063" s="1193"/>
      <c r="K1063" s="1192">
        <f>CEILING(75*$Z$1,0.1)</f>
        <v>93.80000000000001</v>
      </c>
      <c r="L1063" s="1193"/>
      <c r="M1063" s="106"/>
      <c r="N1063" s="9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100"/>
      <c r="AV1063" s="100"/>
      <c r="AW1063" s="100"/>
      <c r="AX1063" s="100"/>
      <c r="AY1063" s="100"/>
      <c r="AZ1063" s="100"/>
      <c r="BA1063" s="100"/>
      <c r="BB1063" s="100"/>
      <c r="BC1063" s="100"/>
      <c r="BD1063" s="100"/>
      <c r="BE1063" s="100"/>
      <c r="BF1063" s="100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100"/>
      <c r="BS1063" s="100"/>
    </row>
    <row r="1064" spans="1:71" s="121" customFormat="1" ht="34.5" customHeight="1">
      <c r="A1064" s="190"/>
      <c r="B1064" s="190" t="s">
        <v>647</v>
      </c>
      <c r="C1064" s="1192">
        <f>CEILING((C1063+20*$Z$1),0.1)</f>
        <v>118.80000000000001</v>
      </c>
      <c r="D1064" s="1193"/>
      <c r="E1064" s="1192">
        <f>CEILING((E1063+20*$Z$1),0.1)</f>
        <v>137.5</v>
      </c>
      <c r="F1064" s="1193"/>
      <c r="G1064" s="1192">
        <f>CEILING((G1063+20*$Z$1),0.1)</f>
        <v>125</v>
      </c>
      <c r="H1064" s="1193"/>
      <c r="I1064" s="1192">
        <f>CEILING((I1063+20*$Z$1),0.1)</f>
        <v>131.3</v>
      </c>
      <c r="J1064" s="1193"/>
      <c r="K1064" s="1192">
        <f>CEILING((K1063+20*$Z$1),0.1)</f>
        <v>118.80000000000001</v>
      </c>
      <c r="L1064" s="1193"/>
      <c r="M1064" s="106"/>
      <c r="N1064" s="9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100"/>
      <c r="AV1064" s="100"/>
      <c r="AW1064" s="100"/>
      <c r="AX1064" s="100"/>
      <c r="AY1064" s="100"/>
      <c r="AZ1064" s="100"/>
      <c r="BA1064" s="100"/>
      <c r="BB1064" s="100"/>
      <c r="BC1064" s="100"/>
      <c r="BD1064" s="100"/>
      <c r="BE1064" s="100"/>
      <c r="BF1064" s="100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100"/>
      <c r="BS1064" s="100"/>
    </row>
    <row r="1065" spans="1:71" s="121" customFormat="1" ht="34.5" customHeight="1" thickBot="1">
      <c r="A1065" s="495" t="s">
        <v>613</v>
      </c>
      <c r="B1065" s="560" t="s">
        <v>46</v>
      </c>
      <c r="C1065" s="1248">
        <f>CEILING(85*$Z$1,0.1)</f>
        <v>106.30000000000001</v>
      </c>
      <c r="D1065" s="1249"/>
      <c r="E1065" s="1248">
        <f>CEILING(100*$Z$1,0.1)</f>
        <v>125</v>
      </c>
      <c r="F1065" s="1249"/>
      <c r="G1065" s="1248">
        <f>CEILING(90*$Z$1,0.1)</f>
        <v>112.5</v>
      </c>
      <c r="H1065" s="1249"/>
      <c r="I1065" s="1248">
        <f>CEILING(95*$Z$1,0.1)</f>
        <v>118.80000000000001</v>
      </c>
      <c r="J1065" s="1249"/>
      <c r="K1065" s="1248">
        <f>CEILING(85*$Z$1,0.1)</f>
        <v>106.30000000000001</v>
      </c>
      <c r="L1065" s="1249"/>
      <c r="M1065" s="106"/>
      <c r="N1065" s="9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100"/>
      <c r="AV1065" s="100"/>
      <c r="AW1065" s="100"/>
      <c r="AX1065" s="100"/>
      <c r="AY1065" s="100"/>
      <c r="AZ1065" s="100"/>
      <c r="BA1065" s="100"/>
      <c r="BB1065" s="100"/>
      <c r="BC1065" s="100"/>
      <c r="BD1065" s="100"/>
      <c r="BE1065" s="100"/>
      <c r="BF1065" s="100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100"/>
      <c r="BS1065" s="100"/>
    </row>
    <row r="1066" spans="1:84" s="94" customFormat="1" ht="34.5" customHeight="1" thickTop="1">
      <c r="A1066" s="1222" t="s">
        <v>648</v>
      </c>
      <c r="B1066" s="1222"/>
      <c r="C1066" s="1222"/>
      <c r="D1066" s="1222"/>
      <c r="E1066" s="1222"/>
      <c r="F1066" s="1222"/>
      <c r="G1066" s="1222"/>
      <c r="H1066" s="1222"/>
      <c r="I1066" s="1222"/>
      <c r="J1066" s="1222"/>
      <c r="K1066" s="119"/>
      <c r="L1066" s="119"/>
      <c r="M1066" s="106"/>
      <c r="N1066" s="106"/>
      <c r="O1066" s="136"/>
      <c r="P1066" s="136"/>
      <c r="Q1066" s="136"/>
      <c r="R1066" s="136"/>
      <c r="S1066" s="136"/>
      <c r="T1066" s="136"/>
      <c r="U1066" s="136"/>
      <c r="V1066" s="136"/>
      <c r="W1066" s="136"/>
      <c r="X1066" s="136"/>
      <c r="Y1066" s="136"/>
      <c r="Z1066" s="136"/>
      <c r="AA1066" s="136"/>
      <c r="AB1066" s="136"/>
      <c r="AC1066" s="136"/>
      <c r="AD1066" s="136"/>
      <c r="AE1066" s="136"/>
      <c r="AF1066" s="136"/>
      <c r="AG1066" s="136"/>
      <c r="AH1066" s="136"/>
      <c r="AI1066" s="136"/>
      <c r="AJ1066" s="136"/>
      <c r="AK1066" s="136"/>
      <c r="AL1066" s="136"/>
      <c r="AM1066" s="136"/>
      <c r="AN1066" s="136"/>
      <c r="AO1066" s="136"/>
      <c r="AP1066" s="136"/>
      <c r="AQ1066" s="136"/>
      <c r="AR1066" s="136"/>
      <c r="AS1066" s="136"/>
      <c r="AT1066" s="136"/>
      <c r="AU1066" s="136"/>
      <c r="AV1066" s="136"/>
      <c r="AW1066" s="136"/>
      <c r="AX1066" s="136"/>
      <c r="AY1066" s="136"/>
      <c r="AZ1066" s="136"/>
      <c r="BA1066" s="136"/>
      <c r="BB1066" s="136"/>
      <c r="BC1066" s="136"/>
      <c r="BD1066" s="136"/>
      <c r="BE1066" s="136"/>
      <c r="BF1066" s="136"/>
      <c r="BG1066" s="136"/>
      <c r="BH1066" s="136"/>
      <c r="BI1066" s="136"/>
      <c r="BJ1066" s="136"/>
      <c r="BK1066" s="136"/>
      <c r="BL1066" s="136"/>
      <c r="BM1066" s="136"/>
      <c r="BN1066" s="136"/>
      <c r="BO1066" s="136"/>
      <c r="BP1066" s="136"/>
      <c r="BQ1066" s="136"/>
      <c r="BR1066" s="136"/>
      <c r="BS1066" s="136"/>
      <c r="BT1066" s="136"/>
      <c r="BU1066" s="136"/>
      <c r="BV1066" s="136"/>
      <c r="BW1066" s="136"/>
      <c r="BX1066" s="136"/>
      <c r="BY1066" s="136"/>
      <c r="BZ1066" s="136"/>
      <c r="CA1066" s="136"/>
      <c r="CB1066" s="136"/>
      <c r="CC1066" s="136"/>
      <c r="CD1066" s="136"/>
      <c r="CE1066" s="136"/>
      <c r="CF1066" s="136"/>
    </row>
    <row r="1067" spans="1:56" s="313" customFormat="1" ht="34.5" customHeight="1">
      <c r="A1067" s="900" t="s">
        <v>810</v>
      </c>
      <c r="B1067" s="1036"/>
      <c r="C1067" s="1037"/>
      <c r="D1067" s="150"/>
      <c r="E1067" s="150"/>
      <c r="F1067" s="150"/>
      <c r="G1067" s="150"/>
      <c r="H1067" s="150"/>
      <c r="I1067" s="150"/>
      <c r="J1067" s="150"/>
      <c r="K1067" s="150"/>
      <c r="L1067" s="150"/>
      <c r="M1067" s="561"/>
      <c r="N1067" s="561"/>
      <c r="O1067" s="152"/>
      <c r="P1067" s="152"/>
      <c r="Q1067" s="152"/>
      <c r="R1067" s="152"/>
      <c r="S1067" s="152"/>
      <c r="T1067" s="152"/>
      <c r="U1067" s="152"/>
      <c r="V1067" s="152"/>
      <c r="W1067" s="152"/>
      <c r="X1067" s="152"/>
      <c r="Y1067" s="152"/>
      <c r="Z1067" s="152"/>
      <c r="AA1067" s="152"/>
      <c r="AB1067" s="152"/>
      <c r="AC1067" s="152"/>
      <c r="AD1067" s="152"/>
      <c r="AE1067" s="152"/>
      <c r="AF1067" s="152"/>
      <c r="AG1067" s="152"/>
      <c r="AH1067" s="152"/>
      <c r="AI1067" s="152"/>
      <c r="AJ1067" s="152"/>
      <c r="AK1067" s="152"/>
      <c r="AL1067" s="152"/>
      <c r="AM1067" s="152"/>
      <c r="AN1067" s="152"/>
      <c r="AO1067" s="152"/>
      <c r="AP1067" s="152"/>
      <c r="AQ1067" s="152"/>
      <c r="AR1067" s="152"/>
      <c r="AS1067" s="152"/>
      <c r="AT1067" s="152"/>
      <c r="AU1067" s="152"/>
      <c r="AV1067" s="152"/>
      <c r="AW1067" s="152"/>
      <c r="AX1067" s="152"/>
      <c r="AY1067" s="152"/>
      <c r="AZ1067" s="152"/>
      <c r="BA1067" s="152"/>
      <c r="BB1067" s="152"/>
      <c r="BC1067" s="152"/>
      <c r="BD1067" s="152"/>
    </row>
    <row r="1068" spans="1:25" s="94" customFormat="1" ht="34.5" customHeight="1">
      <c r="A1068" s="234"/>
      <c r="B1068" s="205"/>
      <c r="C1068" s="191"/>
      <c r="D1068" s="191"/>
      <c r="E1068" s="191"/>
      <c r="F1068" s="191"/>
      <c r="G1068" s="191"/>
      <c r="H1068" s="191"/>
      <c r="I1068" s="191"/>
      <c r="J1068" s="191"/>
      <c r="K1068" s="191"/>
      <c r="L1068" s="191"/>
      <c r="M1068" s="108"/>
      <c r="N1068" s="108"/>
      <c r="O1068" s="92"/>
      <c r="P1068" s="92"/>
      <c r="Q1068" s="92"/>
      <c r="R1068" s="92"/>
      <c r="S1068" s="92"/>
      <c r="T1068" s="92"/>
      <c r="U1068" s="92"/>
      <c r="V1068" s="92"/>
      <c r="W1068" s="92"/>
      <c r="X1068" s="92"/>
      <c r="Y1068" s="92"/>
    </row>
    <row r="1069" spans="1:42" s="167" customFormat="1" ht="34.5" customHeight="1">
      <c r="A1069" s="837" t="s">
        <v>33</v>
      </c>
      <c r="B1069" s="838" t="s">
        <v>568</v>
      </c>
      <c r="C1069" s="839" t="s">
        <v>847</v>
      </c>
      <c r="D1069" s="840"/>
      <c r="E1069" s="841" t="s">
        <v>870</v>
      </c>
      <c r="F1069" s="842"/>
      <c r="G1069" s="841" t="s">
        <v>850</v>
      </c>
      <c r="H1069" s="842"/>
      <c r="I1069" s="841" t="s">
        <v>851</v>
      </c>
      <c r="J1069" s="842"/>
      <c r="K1069" s="841" t="s">
        <v>852</v>
      </c>
      <c r="L1069" s="842"/>
      <c r="M1069" s="151"/>
      <c r="N1069" s="151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</row>
    <row r="1070" spans="1:25" s="94" customFormat="1" ht="34.5" customHeight="1">
      <c r="A1070" s="249" t="s">
        <v>651</v>
      </c>
      <c r="B1070" s="213" t="s">
        <v>643</v>
      </c>
      <c r="C1070" s="1194">
        <f>CEILING(56*$Z$1,0.1)</f>
        <v>70</v>
      </c>
      <c r="D1070" s="1195"/>
      <c r="E1070" s="1194">
        <f>CEILING(84*$Z$1,0.1)</f>
        <v>105</v>
      </c>
      <c r="F1070" s="1195"/>
      <c r="G1070" s="1194">
        <f>CEILING(65*$Z$1,0.1)</f>
        <v>81.30000000000001</v>
      </c>
      <c r="H1070" s="1195"/>
      <c r="I1070" s="1194">
        <f>CEILING(81*$Z$1,0.1)</f>
        <v>101.30000000000001</v>
      </c>
      <c r="J1070" s="1195"/>
      <c r="K1070" s="1194">
        <f>CEILING(56*$Z$1,0.1)</f>
        <v>70</v>
      </c>
      <c r="L1070" s="1195"/>
      <c r="M1070" s="108"/>
      <c r="N1070" s="108"/>
      <c r="O1070" s="92"/>
      <c r="P1070" s="92"/>
      <c r="Q1070" s="92"/>
      <c r="R1070" s="92"/>
      <c r="S1070" s="92"/>
      <c r="T1070" s="92"/>
      <c r="U1070" s="92"/>
      <c r="V1070" s="92"/>
      <c r="W1070" s="92"/>
      <c r="X1070" s="92"/>
      <c r="Y1070" s="92"/>
    </row>
    <row r="1071" spans="1:25" s="94" customFormat="1" ht="34.5" customHeight="1">
      <c r="A1071" s="266" t="s">
        <v>1060</v>
      </c>
      <c r="B1071" s="270" t="s">
        <v>644</v>
      </c>
      <c r="C1071" s="1192">
        <f>CEILING((C1070+29*$Z$1),0.1)</f>
        <v>106.30000000000001</v>
      </c>
      <c r="D1071" s="1193"/>
      <c r="E1071" s="1192">
        <f>CEILING((E1070+17*$Z$1),0.1)</f>
        <v>126.30000000000001</v>
      </c>
      <c r="F1071" s="1193"/>
      <c r="G1071" s="1192">
        <f>CEILING((G1070+30*$Z$1),0.1)</f>
        <v>118.80000000000001</v>
      </c>
      <c r="H1071" s="1193"/>
      <c r="I1071" s="1192">
        <f>CEILING((I1070+16*$Z$1),0.1)</f>
        <v>121.30000000000001</v>
      </c>
      <c r="J1071" s="1193"/>
      <c r="K1071" s="1192">
        <f>CEILING((K1070+19*$Z$1),0.1)</f>
        <v>93.80000000000001</v>
      </c>
      <c r="L1071" s="1193"/>
      <c r="M1071" s="108"/>
      <c r="N1071" s="108"/>
      <c r="O1071" s="92"/>
      <c r="P1071" s="92"/>
      <c r="Q1071" s="92"/>
      <c r="R1071" s="92"/>
      <c r="S1071" s="92"/>
      <c r="T1071" s="92"/>
      <c r="U1071" s="92"/>
      <c r="V1071" s="92"/>
      <c r="W1071" s="92"/>
      <c r="X1071" s="92"/>
      <c r="Y1071" s="92"/>
    </row>
    <row r="1072" spans="1:25" s="94" customFormat="1" ht="34.5" customHeight="1">
      <c r="A1072" s="190"/>
      <c r="B1072" s="192" t="s">
        <v>37</v>
      </c>
      <c r="C1072" s="1192">
        <f>CEILING((C1070*0.85),0.1)</f>
        <v>59.5</v>
      </c>
      <c r="D1072" s="1193"/>
      <c r="E1072" s="1192">
        <f>CEILING((E1070*0.85),0.1)</f>
        <v>89.30000000000001</v>
      </c>
      <c r="F1072" s="1193"/>
      <c r="G1072" s="1192">
        <f>CEILING((G1070*0.85),0.1)</f>
        <v>69.2</v>
      </c>
      <c r="H1072" s="1193"/>
      <c r="I1072" s="1192">
        <f>CEILING((I1070*0.85),0.1)</f>
        <v>86.2</v>
      </c>
      <c r="J1072" s="1193"/>
      <c r="K1072" s="1192">
        <f>CEILING((K1070*0.85),0.1)</f>
        <v>59.5</v>
      </c>
      <c r="L1072" s="1193"/>
      <c r="M1072" s="108"/>
      <c r="N1072" s="108"/>
      <c r="O1072" s="92"/>
      <c r="P1072" s="92"/>
      <c r="Q1072" s="92"/>
      <c r="R1072" s="92"/>
      <c r="S1072" s="92"/>
      <c r="T1072" s="92"/>
      <c r="U1072" s="92"/>
      <c r="V1072" s="92"/>
      <c r="W1072" s="92"/>
      <c r="X1072" s="92"/>
      <c r="Y1072" s="92"/>
    </row>
    <row r="1073" spans="1:25" s="94" customFormat="1" ht="34.5" customHeight="1">
      <c r="A1073" s="190"/>
      <c r="B1073" s="192" t="s">
        <v>645</v>
      </c>
      <c r="C1073" s="1192">
        <f>CEILING((C1070*0.5),0.1)</f>
        <v>35</v>
      </c>
      <c r="D1073" s="1193"/>
      <c r="E1073" s="1192">
        <f>CEILING((E1070*0.5),0.1)</f>
        <v>52.5</v>
      </c>
      <c r="F1073" s="1193"/>
      <c r="G1073" s="1192">
        <f>CEILING((G1070*0.5),0.1)</f>
        <v>40.7</v>
      </c>
      <c r="H1073" s="1193"/>
      <c r="I1073" s="1192">
        <f>CEILING((I1070*0.5),0.1)</f>
        <v>50.7</v>
      </c>
      <c r="J1073" s="1193"/>
      <c r="K1073" s="1192">
        <f>CEILING((K1070*0.5),0.1)</f>
        <v>35</v>
      </c>
      <c r="L1073" s="1193"/>
      <c r="M1073" s="108"/>
      <c r="N1073" s="108"/>
      <c r="O1073" s="92"/>
      <c r="P1073" s="92"/>
      <c r="Q1073" s="92"/>
      <c r="R1073" s="92"/>
      <c r="S1073" s="92"/>
      <c r="T1073" s="92"/>
      <c r="U1073" s="92"/>
      <c r="V1073" s="92"/>
      <c r="W1073" s="92"/>
      <c r="X1073" s="92"/>
      <c r="Y1073" s="92"/>
    </row>
    <row r="1074" spans="1:25" s="94" customFormat="1" ht="34.5" customHeight="1">
      <c r="A1074" s="559"/>
      <c r="B1074" s="192" t="s">
        <v>646</v>
      </c>
      <c r="C1074" s="1192">
        <f>CEILING(75*$Z$1,0.1)</f>
        <v>93.80000000000001</v>
      </c>
      <c r="D1074" s="1193"/>
      <c r="E1074" s="1192">
        <f>CEILING(91*$Z$1,0.1)</f>
        <v>113.80000000000001</v>
      </c>
      <c r="F1074" s="1193"/>
      <c r="G1074" s="1192">
        <f>CEILING(85*$Z$1,0.1)</f>
        <v>106.30000000000001</v>
      </c>
      <c r="H1074" s="1193"/>
      <c r="I1074" s="1192">
        <f>CEILING(87*$Z$1,0.1)</f>
        <v>108.80000000000001</v>
      </c>
      <c r="J1074" s="1193"/>
      <c r="K1074" s="1192">
        <f>CEILING(65*$Z$1,0.1)</f>
        <v>81.30000000000001</v>
      </c>
      <c r="L1074" s="1193"/>
      <c r="M1074" s="108"/>
      <c r="N1074" s="108"/>
      <c r="O1074" s="92"/>
      <c r="P1074" s="92"/>
      <c r="Q1074" s="92"/>
      <c r="R1074" s="92"/>
      <c r="S1074" s="92"/>
      <c r="T1074" s="92"/>
      <c r="U1074" s="92"/>
      <c r="V1074" s="92"/>
      <c r="W1074" s="92"/>
      <c r="X1074" s="92"/>
      <c r="Y1074" s="92"/>
    </row>
    <row r="1075" spans="1:25" s="94" customFormat="1" ht="34.5" customHeight="1">
      <c r="A1075" s="190"/>
      <c r="B1075" s="190" t="s">
        <v>647</v>
      </c>
      <c r="C1075" s="1192">
        <f>CEILING((C1074+20*$Z$1),0.1)</f>
        <v>118.80000000000001</v>
      </c>
      <c r="D1075" s="1193"/>
      <c r="E1075" s="1192">
        <f>CEILING((E1074+20*$Z$1),0.1)</f>
        <v>138.8</v>
      </c>
      <c r="F1075" s="1193"/>
      <c r="G1075" s="1192">
        <f>CEILING((G1074+20*$Z$1),0.1)</f>
        <v>131.3</v>
      </c>
      <c r="H1075" s="1193"/>
      <c r="I1075" s="1192">
        <f>CEILING((I1074+20*$Z$1),0.1)</f>
        <v>133.8</v>
      </c>
      <c r="J1075" s="1193"/>
      <c r="K1075" s="1192">
        <f>CEILING((K1074+20*$Z$1),0.1)</f>
        <v>106.30000000000001</v>
      </c>
      <c r="L1075" s="1193"/>
      <c r="M1075" s="108"/>
      <c r="N1075" s="108"/>
      <c r="O1075" s="92"/>
      <c r="P1075" s="92"/>
      <c r="Q1075" s="92"/>
      <c r="R1075" s="92"/>
      <c r="S1075" s="92"/>
      <c r="T1075" s="92"/>
      <c r="U1075" s="92"/>
      <c r="V1075" s="92"/>
      <c r="W1075" s="92"/>
      <c r="X1075" s="92"/>
      <c r="Y1075" s="92"/>
    </row>
    <row r="1076" spans="1:25" s="94" customFormat="1" ht="34.5" customHeight="1" thickBot="1">
      <c r="A1076" s="495" t="s">
        <v>613</v>
      </c>
      <c r="B1076" s="560" t="s">
        <v>46</v>
      </c>
      <c r="C1076" s="1248">
        <f>CEILING(85*$Z$1,0.1)</f>
        <v>106.30000000000001</v>
      </c>
      <c r="D1076" s="1249"/>
      <c r="E1076" s="1248">
        <f>CEILING(101*$Z$1,0.1)</f>
        <v>126.30000000000001</v>
      </c>
      <c r="F1076" s="1249"/>
      <c r="G1076" s="1248">
        <f>CEILING(95*$Z$1,0.1)</f>
        <v>118.80000000000001</v>
      </c>
      <c r="H1076" s="1249"/>
      <c r="I1076" s="1248">
        <f>CEILING(97*$Z$1,0.1)</f>
        <v>121.30000000000001</v>
      </c>
      <c r="J1076" s="1249"/>
      <c r="K1076" s="1248">
        <f>CEILING(75*$Z$1,0.1)</f>
        <v>93.80000000000001</v>
      </c>
      <c r="L1076" s="1249"/>
      <c r="M1076" s="108"/>
      <c r="N1076" s="108"/>
      <c r="O1076" s="92"/>
      <c r="P1076" s="92"/>
      <c r="Q1076" s="92"/>
      <c r="R1076" s="92"/>
      <c r="S1076" s="92"/>
      <c r="T1076" s="92"/>
      <c r="U1076" s="92"/>
      <c r="V1076" s="92"/>
      <c r="W1076" s="92"/>
      <c r="X1076" s="92"/>
      <c r="Y1076" s="92"/>
    </row>
    <row r="1077" spans="1:56" s="313" customFormat="1" ht="34.5" customHeight="1" thickTop="1">
      <c r="A1077" s="900" t="s">
        <v>810</v>
      </c>
      <c r="B1077" s="1036"/>
      <c r="C1077" s="1037"/>
      <c r="D1077" s="150"/>
      <c r="E1077" s="150"/>
      <c r="F1077" s="150"/>
      <c r="G1077" s="150"/>
      <c r="H1077" s="150"/>
      <c r="I1077" s="150"/>
      <c r="J1077" s="150"/>
      <c r="K1077" s="150"/>
      <c r="L1077" s="150"/>
      <c r="M1077" s="561"/>
      <c r="N1077" s="561"/>
      <c r="O1077" s="152"/>
      <c r="P1077" s="152"/>
      <c r="Q1077" s="152"/>
      <c r="R1077" s="152"/>
      <c r="S1077" s="152"/>
      <c r="T1077" s="152"/>
      <c r="U1077" s="152"/>
      <c r="V1077" s="152"/>
      <c r="W1077" s="152"/>
      <c r="X1077" s="152"/>
      <c r="Y1077" s="152"/>
      <c r="Z1077" s="152"/>
      <c r="AA1077" s="152"/>
      <c r="AB1077" s="152"/>
      <c r="AC1077" s="152"/>
      <c r="AD1077" s="152"/>
      <c r="AE1077" s="152"/>
      <c r="AF1077" s="152"/>
      <c r="AG1077" s="152"/>
      <c r="AH1077" s="152"/>
      <c r="AI1077" s="152"/>
      <c r="AJ1077" s="152"/>
      <c r="AK1077" s="152"/>
      <c r="AL1077" s="152"/>
      <c r="AM1077" s="152"/>
      <c r="AN1077" s="152"/>
      <c r="AO1077" s="152"/>
      <c r="AP1077" s="152"/>
      <c r="AQ1077" s="152"/>
      <c r="AR1077" s="152"/>
      <c r="AS1077" s="152"/>
      <c r="AT1077" s="152"/>
      <c r="AU1077" s="152"/>
      <c r="AV1077" s="152"/>
      <c r="AW1077" s="152"/>
      <c r="AX1077" s="152"/>
      <c r="AY1077" s="152"/>
      <c r="AZ1077" s="152"/>
      <c r="BA1077" s="152"/>
      <c r="BB1077" s="152"/>
      <c r="BC1077" s="152"/>
      <c r="BD1077" s="152"/>
    </row>
    <row r="1078" spans="1:14" s="152" customFormat="1" ht="34.5" customHeight="1">
      <c r="A1078" s="1022"/>
      <c r="B1078" s="149"/>
      <c r="C1078" s="150"/>
      <c r="D1078" s="150"/>
      <c r="E1078" s="150"/>
      <c r="F1078" s="150"/>
      <c r="G1078" s="150"/>
      <c r="H1078" s="150"/>
      <c r="I1078" s="150"/>
      <c r="J1078" s="150"/>
      <c r="K1078" s="150"/>
      <c r="L1078" s="150"/>
      <c r="M1078" s="561"/>
      <c r="N1078" s="561"/>
    </row>
    <row r="1079" spans="1:25" s="94" customFormat="1" ht="34.5" customHeight="1">
      <c r="A1079" s="1245" t="s">
        <v>811</v>
      </c>
      <c r="B1079" s="1245"/>
      <c r="C1079" s="1245"/>
      <c r="D1079" s="1245"/>
      <c r="E1079" s="1245"/>
      <c r="F1079" s="1245"/>
      <c r="G1079" s="1245"/>
      <c r="H1079" s="1245"/>
      <c r="I1079" s="108"/>
      <c r="J1079" s="108"/>
      <c r="K1079" s="108"/>
      <c r="L1079" s="108"/>
      <c r="M1079" s="106"/>
      <c r="N1079" s="90"/>
      <c r="O1079" s="101"/>
      <c r="P1079" s="92"/>
      <c r="Q1079" s="92"/>
      <c r="R1079" s="92"/>
      <c r="S1079" s="92"/>
      <c r="T1079" s="92"/>
      <c r="U1079" s="92"/>
      <c r="V1079" s="92"/>
      <c r="W1079" s="92"/>
      <c r="X1079" s="92"/>
      <c r="Y1079" s="92"/>
    </row>
    <row r="1080" spans="1:25" s="94" customFormat="1" ht="34.5" customHeight="1">
      <c r="A1080" s="1241" t="s">
        <v>1275</v>
      </c>
      <c r="B1080" s="1241"/>
      <c r="C1080" s="1241"/>
      <c r="D1080" s="1241"/>
      <c r="E1080" s="1241"/>
      <c r="F1080" s="1241"/>
      <c r="G1080" s="1241"/>
      <c r="H1080" s="1241"/>
      <c r="I1080" s="108"/>
      <c r="J1080" s="108"/>
      <c r="K1080" s="108"/>
      <c r="L1080" s="108"/>
      <c r="M1080" s="109"/>
      <c r="N1080" s="109"/>
      <c r="O1080" s="101"/>
      <c r="P1080" s="92"/>
      <c r="Q1080" s="92"/>
      <c r="R1080" s="92"/>
      <c r="S1080" s="92"/>
      <c r="T1080" s="92"/>
      <c r="U1080" s="92"/>
      <c r="V1080" s="92"/>
      <c r="W1080" s="92"/>
      <c r="X1080" s="92"/>
      <c r="Y1080" s="92"/>
    </row>
    <row r="1081" spans="1:25" s="94" customFormat="1" ht="34.5" customHeight="1">
      <c r="A1081" s="1241" t="s">
        <v>1276</v>
      </c>
      <c r="B1081" s="1241"/>
      <c r="C1081" s="1241"/>
      <c r="D1081" s="1241"/>
      <c r="E1081" s="1241"/>
      <c r="F1081" s="1241"/>
      <c r="G1081" s="1241"/>
      <c r="H1081" s="1241"/>
      <c r="I1081" s="108"/>
      <c r="J1081" s="108"/>
      <c r="K1081" s="108"/>
      <c r="L1081" s="108"/>
      <c r="M1081" s="106"/>
      <c r="N1081" s="90"/>
      <c r="O1081" s="101"/>
      <c r="P1081" s="92"/>
      <c r="Q1081" s="92"/>
      <c r="R1081" s="92"/>
      <c r="S1081" s="92"/>
      <c r="T1081" s="92"/>
      <c r="U1081" s="92"/>
      <c r="V1081" s="92"/>
      <c r="W1081" s="92"/>
      <c r="X1081" s="92"/>
      <c r="Y1081" s="92"/>
    </row>
    <row r="1082" spans="1:25" s="94" customFormat="1" ht="34.5" customHeight="1">
      <c r="A1082" s="1241" t="s">
        <v>1008</v>
      </c>
      <c r="B1082" s="1241"/>
      <c r="C1082" s="1241"/>
      <c r="D1082" s="1241"/>
      <c r="E1082" s="1241"/>
      <c r="F1082" s="1241"/>
      <c r="G1082" s="1241"/>
      <c r="H1082" s="1241"/>
      <c r="I1082" s="108"/>
      <c r="J1082" s="108"/>
      <c r="K1082" s="108"/>
      <c r="L1082" s="108"/>
      <c r="M1082" s="106"/>
      <c r="N1082" s="90"/>
      <c r="O1082" s="101"/>
      <c r="P1082" s="92"/>
      <c r="Q1082" s="92"/>
      <c r="R1082" s="92"/>
      <c r="S1082" s="92"/>
      <c r="T1082" s="92"/>
      <c r="U1082" s="92"/>
      <c r="V1082" s="92"/>
      <c r="W1082" s="92"/>
      <c r="X1082" s="92"/>
      <c r="Y1082" s="92"/>
    </row>
    <row r="1083" spans="1:25" s="31" customFormat="1" ht="34.5" customHeight="1">
      <c r="A1083" s="1271" t="s">
        <v>507</v>
      </c>
      <c r="B1083" s="1272"/>
      <c r="C1083" s="1272"/>
      <c r="D1083" s="1272"/>
      <c r="E1083" s="1272"/>
      <c r="F1083" s="1272"/>
      <c r="G1083" s="1272"/>
      <c r="H1083" s="1272"/>
      <c r="I1083" s="1272"/>
      <c r="J1083" s="1272"/>
      <c r="K1083" s="33"/>
      <c r="L1083" s="33"/>
      <c r="M1083" s="32"/>
      <c r="N1083" s="35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</row>
    <row r="1084" spans="1:25" s="31" customFormat="1" ht="34.5" customHeight="1">
      <c r="A1084" s="1272"/>
      <c r="B1084" s="1272"/>
      <c r="C1084" s="1272"/>
      <c r="D1084" s="1272"/>
      <c r="E1084" s="1272"/>
      <c r="F1084" s="1272"/>
      <c r="G1084" s="1272"/>
      <c r="H1084" s="1272"/>
      <c r="I1084" s="1272"/>
      <c r="J1084" s="1272"/>
      <c r="K1084" s="33"/>
      <c r="L1084" s="33"/>
      <c r="M1084" s="32"/>
      <c r="N1084" s="35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</row>
    <row r="1085" spans="1:42" s="167" customFormat="1" ht="34.5" customHeight="1">
      <c r="A1085" s="837" t="s">
        <v>33</v>
      </c>
      <c r="B1085" s="838" t="s">
        <v>568</v>
      </c>
      <c r="C1085" s="839" t="s">
        <v>847</v>
      </c>
      <c r="D1085" s="840"/>
      <c r="E1085" s="841" t="s">
        <v>870</v>
      </c>
      <c r="F1085" s="842"/>
      <c r="G1085" s="841" t="s">
        <v>850</v>
      </c>
      <c r="H1085" s="842"/>
      <c r="I1085" s="841" t="s">
        <v>851</v>
      </c>
      <c r="J1085" s="842"/>
      <c r="K1085" s="841" t="s">
        <v>852</v>
      </c>
      <c r="L1085" s="842"/>
      <c r="M1085" s="151"/>
      <c r="N1085" s="151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</row>
    <row r="1086" spans="1:25" s="121" customFormat="1" ht="34.5" customHeight="1">
      <c r="A1086" s="574"/>
      <c r="B1086" s="243" t="s">
        <v>509</v>
      </c>
      <c r="C1086" s="1216">
        <f>CEILING(70*$Z$1,0.1)</f>
        <v>87.5</v>
      </c>
      <c r="D1086" s="1217"/>
      <c r="E1086" s="1216">
        <f>CEILING(102*$Z$1,0.1)</f>
        <v>127.5</v>
      </c>
      <c r="F1086" s="1217"/>
      <c r="G1086" s="1216">
        <f>CEILING(84*$Z$1,0.1)</f>
        <v>105</v>
      </c>
      <c r="H1086" s="1217"/>
      <c r="I1086" s="1216">
        <f>CEILING(104*$Z$1,0.1)</f>
        <v>130</v>
      </c>
      <c r="J1086" s="1217"/>
      <c r="K1086" s="1216">
        <f>CEILING(80*$Z$1,0.1)</f>
        <v>100</v>
      </c>
      <c r="L1086" s="1217"/>
      <c r="M1086" s="106"/>
      <c r="N1086" s="90"/>
      <c r="O1086" s="101"/>
      <c r="P1086" s="101"/>
      <c r="Q1086" s="101"/>
      <c r="R1086" s="101"/>
      <c r="S1086" s="101"/>
      <c r="T1086" s="101"/>
      <c r="U1086" s="101"/>
      <c r="V1086" s="101"/>
      <c r="W1086" s="101"/>
      <c r="X1086" s="101"/>
      <c r="Y1086" s="101"/>
    </row>
    <row r="1087" spans="1:25" s="121" customFormat="1" ht="34.5" customHeight="1">
      <c r="A1087" s="244" t="s">
        <v>508</v>
      </c>
      <c r="B1087" s="245" t="s">
        <v>510</v>
      </c>
      <c r="C1087" s="1200">
        <f>CEILING((C1086+35*$Z$1),0.1)</f>
        <v>131.3</v>
      </c>
      <c r="D1087" s="1201"/>
      <c r="E1087" s="1200">
        <f>CEILING((E1086+51*$Z$1),0.1)</f>
        <v>191.3</v>
      </c>
      <c r="F1087" s="1201"/>
      <c r="G1087" s="1200">
        <f>CEILING((G1086+42*$Z$1),0.1)</f>
        <v>157.5</v>
      </c>
      <c r="H1087" s="1201"/>
      <c r="I1087" s="1200">
        <f>CEILING((I1086+52*$Z$1),0.1)</f>
        <v>195</v>
      </c>
      <c r="J1087" s="1201"/>
      <c r="K1087" s="1200">
        <f>CEILING((K1086+40*$Z$1),0.1)</f>
        <v>150</v>
      </c>
      <c r="L1087" s="1201"/>
      <c r="M1087" s="106"/>
      <c r="N1087" s="90"/>
      <c r="O1087" s="101"/>
      <c r="P1087" s="101"/>
      <c r="Q1087" s="101"/>
      <c r="R1087" s="101"/>
      <c r="S1087" s="101"/>
      <c r="T1087" s="101"/>
      <c r="U1087" s="101"/>
      <c r="V1087" s="101"/>
      <c r="W1087" s="101"/>
      <c r="X1087" s="101"/>
      <c r="Y1087" s="101"/>
    </row>
    <row r="1088" spans="1:25" s="121" customFormat="1" ht="34.5" customHeight="1">
      <c r="A1088" s="244" t="s">
        <v>35</v>
      </c>
      <c r="B1088" s="238"/>
      <c r="C1088" s="1092"/>
      <c r="D1088" s="1102"/>
      <c r="E1088" s="1105"/>
      <c r="F1088" s="1102"/>
      <c r="G1088" s="1092"/>
      <c r="H1088" s="1102"/>
      <c r="I1088" s="1092"/>
      <c r="J1088" s="1102"/>
      <c r="K1088" s="1092"/>
      <c r="L1088" s="1102"/>
      <c r="M1088" s="106"/>
      <c r="N1088" s="90"/>
      <c r="O1088" s="101"/>
      <c r="P1088" s="101"/>
      <c r="Q1088" s="101"/>
      <c r="R1088" s="101"/>
      <c r="S1088" s="101"/>
      <c r="T1088" s="101"/>
      <c r="U1088" s="101"/>
      <c r="V1088" s="101"/>
      <c r="W1088" s="101"/>
      <c r="X1088" s="101"/>
      <c r="Y1088" s="101"/>
    </row>
    <row r="1089" spans="1:25" s="121" customFormat="1" ht="34.5" customHeight="1">
      <c r="A1089" s="562" t="s">
        <v>512</v>
      </c>
      <c r="B1089" s="464" t="s">
        <v>511</v>
      </c>
      <c r="C1089" s="1200">
        <f>CEILING(77*$Z$1,0.1)</f>
        <v>96.30000000000001</v>
      </c>
      <c r="D1089" s="1201"/>
      <c r="E1089" s="1214">
        <f>CEILING(112*$Z$1,0.1)</f>
        <v>140</v>
      </c>
      <c r="F1089" s="1201"/>
      <c r="G1089" s="1200">
        <f>CEILING(106*$Z$1,0.1)</f>
        <v>132.5</v>
      </c>
      <c r="H1089" s="1201"/>
      <c r="I1089" s="1192">
        <f>CEILING(143*$Z$1,0.1)</f>
        <v>178.8</v>
      </c>
      <c r="J1089" s="1193"/>
      <c r="K1089" s="1192">
        <f>CEILING(110*$Z$1,0.1)</f>
        <v>137.5</v>
      </c>
      <c r="L1089" s="1193"/>
      <c r="M1089" s="106"/>
      <c r="N1089" s="90"/>
      <c r="O1089" s="101"/>
      <c r="P1089" s="101"/>
      <c r="Q1089" s="101"/>
      <c r="R1089" s="101"/>
      <c r="S1089" s="101"/>
      <c r="T1089" s="101"/>
      <c r="U1089" s="101"/>
      <c r="V1089" s="101"/>
      <c r="W1089" s="101"/>
      <c r="X1089" s="101"/>
      <c r="Y1089" s="101"/>
    </row>
    <row r="1090" spans="1:25" s="565" customFormat="1" ht="34.5" customHeight="1">
      <c r="A1090" s="562" t="s">
        <v>514</v>
      </c>
      <c r="B1090" s="464" t="s">
        <v>513</v>
      </c>
      <c r="C1090" s="1200">
        <f>CEILING((C1089+39*$Z$1),0.1)</f>
        <v>145.1</v>
      </c>
      <c r="D1090" s="1201"/>
      <c r="E1090" s="1200">
        <f>CEILING((E1089+56*$Z$1),0.1)</f>
        <v>210</v>
      </c>
      <c r="F1090" s="1201"/>
      <c r="G1090" s="1200">
        <f>CEILING((G1089+53*$Z$1),0.1)</f>
        <v>198.8</v>
      </c>
      <c r="H1090" s="1201"/>
      <c r="I1090" s="1192">
        <f>CEILING((I1089+72*$Z$1),0.1)</f>
        <v>268.8</v>
      </c>
      <c r="J1090" s="1193"/>
      <c r="K1090" s="1192">
        <f>CEILING((K1089+55*$Z$1),0.1)</f>
        <v>206.3</v>
      </c>
      <c r="L1090" s="1193"/>
      <c r="M1090" s="263"/>
      <c r="N1090" s="563"/>
      <c r="O1090" s="564"/>
      <c r="P1090" s="564"/>
      <c r="Q1090" s="564"/>
      <c r="R1090" s="564"/>
      <c r="S1090" s="564"/>
      <c r="T1090" s="564"/>
      <c r="U1090" s="564"/>
      <c r="V1090" s="564"/>
      <c r="W1090" s="564"/>
      <c r="X1090" s="564"/>
      <c r="Y1090" s="564"/>
    </row>
    <row r="1091" spans="1:53" s="411" customFormat="1" ht="34.5" customHeight="1">
      <c r="A1091" s="566" t="s">
        <v>429</v>
      </c>
      <c r="B1091" s="567" t="s">
        <v>812</v>
      </c>
      <c r="C1091" s="1202">
        <f>CEILING(120*$Z$1,0.1)</f>
        <v>150</v>
      </c>
      <c r="D1091" s="1203"/>
      <c r="E1091" s="1227">
        <f>CEILING(127*$Z$1,0.1)</f>
        <v>158.8</v>
      </c>
      <c r="F1091" s="1228"/>
      <c r="G1091" s="1227">
        <f>CEILING(94*$Z$1,0.1)</f>
        <v>117.5</v>
      </c>
      <c r="H1091" s="1228"/>
      <c r="I1091" s="1202">
        <f>CEILING(156*$Z$1,0.1)</f>
        <v>195</v>
      </c>
      <c r="J1091" s="1203"/>
      <c r="K1091" s="1202">
        <f>CEILING(120*$Z$1,0.1)</f>
        <v>150</v>
      </c>
      <c r="L1091" s="1203"/>
      <c r="M1091" s="106"/>
      <c r="N1091" s="90"/>
      <c r="O1091" s="101"/>
      <c r="P1091" s="101"/>
      <c r="Q1091" s="101"/>
      <c r="R1091" s="101"/>
      <c r="S1091" s="101"/>
      <c r="T1091" s="101"/>
      <c r="U1091" s="101"/>
      <c r="V1091" s="101"/>
      <c r="W1091" s="101"/>
      <c r="X1091" s="101"/>
      <c r="Y1091" s="10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21"/>
      <c r="AV1091" s="121"/>
      <c r="AW1091" s="121"/>
      <c r="AX1091" s="121"/>
      <c r="AY1091" s="121"/>
      <c r="AZ1091" s="121"/>
      <c r="BA1091" s="121"/>
    </row>
    <row r="1092" spans="1:53" s="571" customFormat="1" ht="35.25" customHeight="1">
      <c r="A1092" s="339" t="s">
        <v>813</v>
      </c>
      <c r="B1092" s="391"/>
      <c r="C1092" s="391"/>
      <c r="D1092" s="391"/>
      <c r="E1092" s="391"/>
      <c r="F1092" s="391"/>
      <c r="G1092" s="391"/>
      <c r="H1092" s="391"/>
      <c r="I1092" s="391"/>
      <c r="J1092" s="391"/>
      <c r="K1092" s="568"/>
      <c r="L1092" s="568"/>
      <c r="M1092" s="569"/>
      <c r="N1092" s="569"/>
      <c r="O1092" s="569"/>
      <c r="P1092" s="569"/>
      <c r="Q1092" s="569"/>
      <c r="R1092" s="569"/>
      <c r="S1092" s="569"/>
      <c r="T1092" s="569"/>
      <c r="U1092" s="569"/>
      <c r="V1092" s="569"/>
      <c r="W1092" s="569"/>
      <c r="X1092" s="569"/>
      <c r="Y1092" s="569"/>
      <c r="Z1092" s="570"/>
      <c r="AA1092" s="570"/>
      <c r="AB1092" s="570"/>
      <c r="AC1092" s="570"/>
      <c r="AD1092" s="570"/>
      <c r="AE1092" s="570"/>
      <c r="AF1092" s="570"/>
      <c r="AG1092" s="570"/>
      <c r="AH1092" s="570"/>
      <c r="AI1092" s="570"/>
      <c r="AJ1092" s="570"/>
      <c r="AK1092" s="570"/>
      <c r="AL1092" s="570"/>
      <c r="AM1092" s="570"/>
      <c r="AN1092" s="570"/>
      <c r="AO1092" s="570"/>
      <c r="AP1092" s="570"/>
      <c r="AQ1092" s="570"/>
      <c r="AR1092" s="570"/>
      <c r="AS1092" s="570"/>
      <c r="AT1092" s="570"/>
      <c r="AU1092" s="570"/>
      <c r="AV1092" s="570"/>
      <c r="AW1092" s="570"/>
      <c r="AX1092" s="570"/>
      <c r="AY1092" s="570"/>
      <c r="AZ1092" s="570"/>
      <c r="BA1092" s="570"/>
    </row>
    <row r="1093" spans="1:25" s="313" customFormat="1" ht="34.5" customHeight="1">
      <c r="A1093" s="141"/>
      <c r="B1093" s="142"/>
      <c r="C1093" s="142"/>
      <c r="D1093" s="142"/>
      <c r="E1093" s="142"/>
      <c r="F1093" s="142"/>
      <c r="G1093" s="142"/>
      <c r="H1093" s="142"/>
      <c r="I1093" s="142"/>
      <c r="J1093" s="142"/>
      <c r="K1093" s="312"/>
      <c r="L1093" s="312"/>
      <c r="M1093" s="144"/>
      <c r="N1093" s="330"/>
      <c r="O1093" s="330"/>
      <c r="P1093" s="330"/>
      <c r="Q1093" s="330"/>
      <c r="R1093" s="330"/>
      <c r="S1093" s="330"/>
      <c r="T1093" s="330"/>
      <c r="U1093" s="330"/>
      <c r="V1093" s="330"/>
      <c r="W1093" s="330"/>
      <c r="X1093" s="330"/>
      <c r="Y1093" s="330"/>
    </row>
    <row r="1094" spans="1:42" s="167" customFormat="1" ht="34.5" customHeight="1">
      <c r="A1094" s="837" t="s">
        <v>33</v>
      </c>
      <c r="B1094" s="838" t="s">
        <v>568</v>
      </c>
      <c r="C1094" s="839" t="s">
        <v>847</v>
      </c>
      <c r="D1094" s="840"/>
      <c r="E1094" s="841" t="s">
        <v>870</v>
      </c>
      <c r="F1094" s="842"/>
      <c r="G1094" s="841" t="s">
        <v>850</v>
      </c>
      <c r="H1094" s="842"/>
      <c r="I1094" s="841" t="s">
        <v>851</v>
      </c>
      <c r="J1094" s="842"/>
      <c r="K1094" s="841" t="s">
        <v>852</v>
      </c>
      <c r="L1094" s="842"/>
      <c r="M1094" s="151"/>
      <c r="N1094" s="151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</row>
    <row r="1095" spans="1:14" s="100" customFormat="1" ht="34.5" customHeight="1">
      <c r="A1095" s="572" t="s">
        <v>508</v>
      </c>
      <c r="B1095" s="468" t="s">
        <v>638</v>
      </c>
      <c r="C1095" s="1244">
        <f>CEILING(50*$Z$1,0.1)</f>
        <v>62.5</v>
      </c>
      <c r="D1095" s="1217"/>
      <c r="E1095" s="1244">
        <f>CEILING(75*$Z$1,0.1)</f>
        <v>93.80000000000001</v>
      </c>
      <c r="F1095" s="1217"/>
      <c r="G1095" s="1216">
        <f>CEILING(62*$Z$1,0.1)</f>
        <v>77.5</v>
      </c>
      <c r="H1095" s="1217"/>
      <c r="I1095" s="1216">
        <f>CEILING(68.25*$Z$1,0.1)</f>
        <v>85.4</v>
      </c>
      <c r="J1095" s="1217"/>
      <c r="K1095" s="1244">
        <f>CEILING(50*$Z$1,0.1)</f>
        <v>62.5</v>
      </c>
      <c r="L1095" s="1217"/>
      <c r="M1095" s="106"/>
      <c r="N1095" s="90"/>
    </row>
    <row r="1096" spans="1:14" s="100" customFormat="1" ht="46.5" customHeight="1">
      <c r="A1096" s="573" t="s">
        <v>35</v>
      </c>
      <c r="B1096" s="172" t="s">
        <v>639</v>
      </c>
      <c r="C1096" s="1214">
        <f>CEILING((C1095+18*$Z$1),0.1)</f>
        <v>85</v>
      </c>
      <c r="D1096" s="1201"/>
      <c r="E1096" s="1214">
        <f>CEILING((E1095+26.2*$Z$1),0.1)</f>
        <v>126.60000000000001</v>
      </c>
      <c r="F1096" s="1201"/>
      <c r="G1096" s="1200">
        <f>CEILING((G1095+22*$Z$1),0.1)</f>
        <v>105</v>
      </c>
      <c r="H1096" s="1201"/>
      <c r="I1096" s="1200">
        <f>CEILING((I1095+24*$Z$1),0.1)</f>
        <v>115.4</v>
      </c>
      <c r="J1096" s="1201"/>
      <c r="K1096" s="1214">
        <f>CEILING((K1095+18*$Z$1),0.1)</f>
        <v>85</v>
      </c>
      <c r="L1096" s="1201"/>
      <c r="M1096" s="106"/>
      <c r="N1096" s="90"/>
    </row>
    <row r="1097" spans="1:14" s="100" customFormat="1" ht="34.5" customHeight="1">
      <c r="A1097" s="574"/>
      <c r="B1097" s="171" t="s">
        <v>920</v>
      </c>
      <c r="C1097" s="1214">
        <f>CEILING(55.2*$Z$1,0.1)</f>
        <v>69</v>
      </c>
      <c r="D1097" s="1201"/>
      <c r="E1097" s="1214">
        <f>CEILING(83*$Z$1,0.1)</f>
        <v>103.80000000000001</v>
      </c>
      <c r="F1097" s="1201"/>
      <c r="G1097" s="1200">
        <f>CEILING(68.25*$Z$1,0.1)</f>
        <v>85.4</v>
      </c>
      <c r="H1097" s="1201"/>
      <c r="I1097" s="1200">
        <f>CEILING(75.4*$Z$1,0.1)</f>
        <v>94.30000000000001</v>
      </c>
      <c r="J1097" s="1201"/>
      <c r="K1097" s="1214">
        <f>CEILING(55.2*$Z$1,0.1)</f>
        <v>69</v>
      </c>
      <c r="L1097" s="1201"/>
      <c r="M1097" s="106"/>
      <c r="N1097" s="90"/>
    </row>
    <row r="1098" spans="1:14" s="100" customFormat="1" ht="34.5" customHeight="1">
      <c r="A1098" s="575"/>
      <c r="B1098" s="171" t="s">
        <v>921</v>
      </c>
      <c r="C1098" s="1214">
        <f>CEILING((C1097+19.3*$Z$1),0.1)</f>
        <v>93.2</v>
      </c>
      <c r="D1098" s="1201"/>
      <c r="E1098" s="1214">
        <f>CEILING((E1097+29*$Z$1),0.1)</f>
        <v>140.1</v>
      </c>
      <c r="F1098" s="1201"/>
      <c r="G1098" s="1200">
        <f>CEILING((G1097+24*$Z$1),0.1)</f>
        <v>115.4</v>
      </c>
      <c r="H1098" s="1201"/>
      <c r="I1098" s="1200">
        <f>CEILING((I1097+27*$Z$1),0.1)</f>
        <v>128.1</v>
      </c>
      <c r="J1098" s="1201"/>
      <c r="K1098" s="1214">
        <f>CEILING((K1097+19.3*$Z$1),0.1)</f>
        <v>93.2</v>
      </c>
      <c r="L1098" s="1201"/>
      <c r="M1098" s="106"/>
      <c r="N1098" s="90"/>
    </row>
    <row r="1099" spans="1:14" s="100" customFormat="1" ht="34.5" customHeight="1">
      <c r="A1099" s="574"/>
      <c r="B1099" s="172" t="s">
        <v>34</v>
      </c>
      <c r="C1099" s="1214">
        <f>CEILING(58*$Z$1,0.1)</f>
        <v>72.5</v>
      </c>
      <c r="D1099" s="1201"/>
      <c r="E1099" s="1214">
        <f>CEILING(86*$Z$1,0.1)</f>
        <v>107.5</v>
      </c>
      <c r="F1099" s="1201"/>
      <c r="G1099" s="1200">
        <f>CEILING(71*$Z$1,0.1)</f>
        <v>88.80000000000001</v>
      </c>
      <c r="H1099" s="1201"/>
      <c r="I1099" s="1200">
        <f>CEILING(78*$Z$1,0.1)</f>
        <v>97.5</v>
      </c>
      <c r="J1099" s="1201"/>
      <c r="K1099" s="1214">
        <f>CEILING(58*$Z$1,0.1)</f>
        <v>72.5</v>
      </c>
      <c r="L1099" s="1201"/>
      <c r="M1099" s="106"/>
      <c r="N1099" s="90"/>
    </row>
    <row r="1100" spans="1:14" s="100" customFormat="1" ht="34.5" customHeight="1">
      <c r="A1100" s="1120" t="s">
        <v>1198</v>
      </c>
      <c r="B1100" s="172" t="s">
        <v>170</v>
      </c>
      <c r="C1100" s="1214">
        <f>CEILING((C1099+20*$Z$1),0.1)</f>
        <v>97.5</v>
      </c>
      <c r="D1100" s="1201"/>
      <c r="E1100" s="1214">
        <f>CEILING((E1099+30*$Z$1),0.1)</f>
        <v>145</v>
      </c>
      <c r="F1100" s="1201"/>
      <c r="G1100" s="1200">
        <f>CEILING((G1099+25*$Z$1),0.1)</f>
        <v>120.10000000000001</v>
      </c>
      <c r="H1100" s="1201"/>
      <c r="I1100" s="1200">
        <f>CEILING((I1099+28*$Z$1),0.1)</f>
        <v>132.5</v>
      </c>
      <c r="J1100" s="1201"/>
      <c r="K1100" s="1214">
        <f>CEILING((K1099+20.2*$Z$1),0.1)</f>
        <v>97.80000000000001</v>
      </c>
      <c r="L1100" s="1201"/>
      <c r="M1100" s="106"/>
      <c r="N1100" s="90"/>
    </row>
    <row r="1101" spans="1:14" s="100" customFormat="1" ht="34.5" customHeight="1">
      <c r="A1101" s="1121" t="s">
        <v>1309</v>
      </c>
      <c r="B1101" s="171" t="s">
        <v>922</v>
      </c>
      <c r="C1101" s="1214">
        <f>CEILING(60*$Z$1,0.1)</f>
        <v>75</v>
      </c>
      <c r="D1101" s="1201"/>
      <c r="E1101" s="1214">
        <f>CEILING(90*$Z$1,0.1)</f>
        <v>112.5</v>
      </c>
      <c r="F1101" s="1201"/>
      <c r="G1101" s="1200">
        <f>CEILING(74.1*$Z$1,0.1)</f>
        <v>92.7</v>
      </c>
      <c r="H1101" s="1201"/>
      <c r="I1101" s="1200">
        <f>CEILING(82*$Z$1,0.1)</f>
        <v>102.5</v>
      </c>
      <c r="J1101" s="1201"/>
      <c r="K1101" s="1214">
        <f>CEILING(60*$Z$1,0.1)</f>
        <v>75</v>
      </c>
      <c r="L1101" s="1201"/>
      <c r="M1101" s="106"/>
      <c r="N1101" s="90"/>
    </row>
    <row r="1102" spans="1:59" s="532" customFormat="1" ht="34.5" customHeight="1" thickBot="1">
      <c r="A1102" s="566" t="s">
        <v>429</v>
      </c>
      <c r="B1102" s="184" t="s">
        <v>53</v>
      </c>
      <c r="C1102" s="1215">
        <f>CEILING((C1101+21*$Z$1),0.1)</f>
        <v>101.30000000000001</v>
      </c>
      <c r="D1102" s="1213"/>
      <c r="E1102" s="1215">
        <f>CEILING((E1101+32*$Z$1),0.1)</f>
        <v>152.5</v>
      </c>
      <c r="F1102" s="1213"/>
      <c r="G1102" s="1212">
        <f>CEILING((G1101+26*$Z$1),0.1)</f>
        <v>125.2</v>
      </c>
      <c r="H1102" s="1213"/>
      <c r="I1102" s="1212">
        <f>CEILING((I1101+29*$Z$1),0.1)</f>
        <v>138.8</v>
      </c>
      <c r="J1102" s="1213"/>
      <c r="K1102" s="1215">
        <f>CEILING((K1101+21*$Z$1),0.1)</f>
        <v>101.30000000000001</v>
      </c>
      <c r="L1102" s="1213"/>
      <c r="M1102" s="106"/>
      <c r="N1102" s="9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100"/>
      <c r="AV1102" s="100"/>
      <c r="AW1102" s="100"/>
      <c r="AX1102" s="100"/>
      <c r="AY1102" s="100"/>
      <c r="AZ1102" s="100"/>
      <c r="BA1102" s="100"/>
      <c r="BB1102" s="100"/>
      <c r="BC1102" s="100"/>
      <c r="BD1102" s="100"/>
      <c r="BE1102" s="100"/>
      <c r="BF1102" s="100"/>
      <c r="BG1102" s="100"/>
    </row>
    <row r="1103" spans="1:40" s="121" customFormat="1" ht="34.5" customHeight="1" thickTop="1">
      <c r="A1103" s="1222" t="s">
        <v>1202</v>
      </c>
      <c r="B1103" s="1222"/>
      <c r="C1103" s="1222"/>
      <c r="D1103" s="1222"/>
      <c r="E1103" s="1222"/>
      <c r="F1103" s="1222"/>
      <c r="G1103" s="1222"/>
      <c r="H1103" s="1222"/>
      <c r="I1103" s="1222"/>
      <c r="J1103" s="1222"/>
      <c r="K1103" s="95"/>
      <c r="L1103" s="95"/>
      <c r="M1103" s="576"/>
      <c r="N1103" s="576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</row>
    <row r="1104" spans="1:25" s="162" customFormat="1" ht="34.5" customHeight="1">
      <c r="A1104" s="139"/>
      <c r="B1104" s="1139"/>
      <c r="C1104" s="1139"/>
      <c r="D1104" s="1139"/>
      <c r="E1104" s="1139"/>
      <c r="F1104" s="1139"/>
      <c r="G1104" s="1139"/>
      <c r="H1104" s="1139"/>
      <c r="I1104" s="1139"/>
      <c r="J1104" s="1139"/>
      <c r="K1104" s="957"/>
      <c r="L1104" s="957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</row>
    <row r="1105" spans="1:25" s="162" customFormat="1" ht="34.5" customHeight="1">
      <c r="A1105" s="837" t="s">
        <v>33</v>
      </c>
      <c r="B1105" s="838" t="s">
        <v>568</v>
      </c>
      <c r="C1105" s="839" t="s">
        <v>847</v>
      </c>
      <c r="D1105" s="840"/>
      <c r="E1105" s="841" t="s">
        <v>870</v>
      </c>
      <c r="F1105" s="842"/>
      <c r="G1105" s="841" t="s">
        <v>850</v>
      </c>
      <c r="H1105" s="842"/>
      <c r="I1105" s="841" t="s">
        <v>851</v>
      </c>
      <c r="J1105" s="842"/>
      <c r="K1105" s="841" t="s">
        <v>852</v>
      </c>
      <c r="L1105" s="842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</row>
    <row r="1106" spans="1:25" s="162" customFormat="1" ht="34.5" customHeight="1">
      <c r="A1106" s="249" t="s">
        <v>1213</v>
      </c>
      <c r="B1106" s="213" t="s">
        <v>1215</v>
      </c>
      <c r="C1106" s="1216">
        <f>CEILING(40*$Z$1,0.1)</f>
        <v>50</v>
      </c>
      <c r="D1106" s="1217"/>
      <c r="E1106" s="1216">
        <f>CEILING(59*$Z$1,0.1)</f>
        <v>73.8</v>
      </c>
      <c r="F1106" s="1217"/>
      <c r="G1106" s="1216">
        <f>CEILING(49*$Z$1,0.1)</f>
        <v>61.300000000000004</v>
      </c>
      <c r="H1106" s="1217"/>
      <c r="I1106" s="1216">
        <f>CEILING(50*$Z$1,0.1)</f>
        <v>62.5</v>
      </c>
      <c r="J1106" s="1217"/>
      <c r="K1106" s="1216">
        <f>CEILING(43*$Z$1,0.1)</f>
        <v>53.800000000000004</v>
      </c>
      <c r="L1106" s="1217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</row>
    <row r="1107" spans="1:25" s="162" customFormat="1" ht="34.5" customHeight="1">
      <c r="A1107" s="266" t="s">
        <v>1214</v>
      </c>
      <c r="B1107" s="270" t="s">
        <v>1216</v>
      </c>
      <c r="C1107" s="1200">
        <f>CEILING((C1106+20*$Z$1),0.1)</f>
        <v>75</v>
      </c>
      <c r="D1107" s="1201"/>
      <c r="E1107" s="1200">
        <f>CEILING((E1106+29.5*$Z$1),0.1)</f>
        <v>110.7</v>
      </c>
      <c r="F1107" s="1201"/>
      <c r="G1107" s="1200">
        <f>CEILING((G1106+24.5*$Z$1),0.1)</f>
        <v>92</v>
      </c>
      <c r="H1107" s="1201"/>
      <c r="I1107" s="1200">
        <f>CEILING((I1106+25*$Z$1),0.1)</f>
        <v>93.80000000000001</v>
      </c>
      <c r="J1107" s="1201"/>
      <c r="K1107" s="1200">
        <f>CEILING((K1106+21.5*$Z$1),0.1)</f>
        <v>80.7</v>
      </c>
      <c r="L1107" s="120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</row>
    <row r="1108" spans="1:25" s="162" customFormat="1" ht="34.5" customHeight="1">
      <c r="A1108" s="559" t="s">
        <v>1219</v>
      </c>
      <c r="B1108" s="192" t="s">
        <v>37</v>
      </c>
      <c r="C1108" s="1200">
        <f>CEILING((C1106*0.95),0.1)</f>
        <v>47.5</v>
      </c>
      <c r="D1108" s="1201"/>
      <c r="E1108" s="1200">
        <f>CEILING((E1106*0.95),0.1)</f>
        <v>70.2</v>
      </c>
      <c r="F1108" s="1201"/>
      <c r="G1108" s="1200">
        <f>CEILING((G1106*0.95),0.1)</f>
        <v>58.300000000000004</v>
      </c>
      <c r="H1108" s="1201"/>
      <c r="I1108" s="1200">
        <f>CEILING((I1106*0.95),0.1)</f>
        <v>59.400000000000006</v>
      </c>
      <c r="J1108" s="1201"/>
      <c r="K1108" s="1200">
        <f>CEILING((K1106*0.95),0.1)</f>
        <v>51.2</v>
      </c>
      <c r="L1108" s="120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</row>
    <row r="1109" spans="1:25" s="1141" customFormat="1" ht="34.5" customHeight="1">
      <c r="A1109" s="115" t="s">
        <v>745</v>
      </c>
      <c r="B1109" s="270" t="s">
        <v>1217</v>
      </c>
      <c r="C1109" s="1200">
        <f>CEILING(58*$Z$1,0.1)</f>
        <v>72.5</v>
      </c>
      <c r="D1109" s="1201"/>
      <c r="E1109" s="1200">
        <f>CEILING(77*$Z$1,0.1)</f>
        <v>96.30000000000001</v>
      </c>
      <c r="F1109" s="1201"/>
      <c r="G1109" s="1200">
        <f>CEILING(67*$Z$1,0.1)</f>
        <v>83.80000000000001</v>
      </c>
      <c r="H1109" s="1201"/>
      <c r="I1109" s="1200">
        <f>CEILING(68*$Z$1,0.1)</f>
        <v>85</v>
      </c>
      <c r="J1109" s="1201"/>
      <c r="K1109" s="1200">
        <f>CEILING(61*$Z$1,0.1)</f>
        <v>76.3</v>
      </c>
      <c r="L1109" s="1201"/>
      <c r="M1109" s="1140"/>
      <c r="N1109" s="1140"/>
      <c r="O1109" s="1140"/>
      <c r="P1109" s="1140"/>
      <c r="Q1109" s="1140"/>
      <c r="R1109" s="1140"/>
      <c r="S1109" s="1140"/>
      <c r="T1109" s="1140"/>
      <c r="U1109" s="1140"/>
      <c r="V1109" s="1140"/>
      <c r="W1109" s="1140"/>
      <c r="X1109" s="1140"/>
      <c r="Y1109" s="1140"/>
    </row>
    <row r="1110" spans="1:25" s="162" customFormat="1" ht="34.5" customHeight="1">
      <c r="A1110" s="190"/>
      <c r="B1110" s="190" t="s">
        <v>1218</v>
      </c>
      <c r="C1110" s="1200">
        <f>CEILING((C1109+29*$Z$1),0.1)</f>
        <v>108.80000000000001</v>
      </c>
      <c r="D1110" s="1201"/>
      <c r="E1110" s="1200">
        <f>CEILING((E1109+38.5*$Z$1),0.1)</f>
        <v>144.5</v>
      </c>
      <c r="F1110" s="1201"/>
      <c r="G1110" s="1200">
        <f>CEILING((G1109+33.5*$Z$1),0.1)</f>
        <v>125.7</v>
      </c>
      <c r="H1110" s="1201"/>
      <c r="I1110" s="1200">
        <f>CEILING((I1109+34*$Z$1),0.1)</f>
        <v>127.5</v>
      </c>
      <c r="J1110" s="1201"/>
      <c r="K1110" s="1200">
        <f>CEILING((K1109+30.5*$Z$1),0.1)</f>
        <v>114.5</v>
      </c>
      <c r="L1110" s="120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</row>
    <row r="1111" spans="1:25" s="162" customFormat="1" ht="34.5" customHeight="1" thickBot="1">
      <c r="A1111" s="495" t="s">
        <v>783</v>
      </c>
      <c r="B1111" s="560" t="s">
        <v>34</v>
      </c>
      <c r="C1111" s="1267">
        <f>CEILING(141*$Z$1,0.1)</f>
        <v>176.3</v>
      </c>
      <c r="D1111" s="1268"/>
      <c r="E1111" s="1267">
        <f>CEILING(124*$Z$1,0.1)</f>
        <v>155</v>
      </c>
      <c r="F1111" s="1268"/>
      <c r="G1111" s="1267">
        <f>CEILING(132*$Z$1,0.1)</f>
        <v>165</v>
      </c>
      <c r="H1111" s="1268"/>
      <c r="I1111" s="1267">
        <f>CEILING(110*$Z$1,0.1)</f>
        <v>137.5</v>
      </c>
      <c r="J1111" s="1268"/>
      <c r="K1111" s="1267">
        <f>CEILING(108*$Z$1,0.1)</f>
        <v>135</v>
      </c>
      <c r="L1111" s="1268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</row>
    <row r="1112" spans="1:13" s="930" customFormat="1" ht="31.5" customHeight="1" thickTop="1">
      <c r="A1112" s="1039" t="s">
        <v>1220</v>
      </c>
      <c r="B1112" s="1039"/>
      <c r="C1112" s="908"/>
      <c r="D1112" s="908"/>
      <c r="E1112" s="908"/>
      <c r="F1112" s="908"/>
      <c r="G1112" s="908"/>
      <c r="H1112" s="908"/>
      <c r="I1112" s="908"/>
      <c r="J1112" s="908"/>
      <c r="K1112" s="928"/>
      <c r="L1112" s="928"/>
      <c r="M1112" s="929"/>
    </row>
    <row r="1113" spans="1:13" s="930" customFormat="1" ht="31.5" customHeight="1">
      <c r="A1113" s="1039" t="s">
        <v>1221</v>
      </c>
      <c r="B1113" s="1039"/>
      <c r="C1113" s="908"/>
      <c r="D1113" s="908"/>
      <c r="E1113" s="908"/>
      <c r="F1113" s="908"/>
      <c r="G1113" s="908"/>
      <c r="H1113" s="908"/>
      <c r="I1113" s="908"/>
      <c r="J1113" s="908"/>
      <c r="K1113" s="928"/>
      <c r="L1113" s="928"/>
      <c r="M1113" s="929"/>
    </row>
    <row r="1114" spans="1:13" s="930" customFormat="1" ht="31.5" customHeight="1">
      <c r="A1114" s="908"/>
      <c r="B1114" s="908"/>
      <c r="C1114" s="908"/>
      <c r="D1114" s="908"/>
      <c r="E1114" s="908"/>
      <c r="F1114" s="908"/>
      <c r="G1114" s="908"/>
      <c r="H1114" s="908"/>
      <c r="I1114" s="908"/>
      <c r="J1114" s="908"/>
      <c r="K1114" s="928"/>
      <c r="L1114" s="928"/>
      <c r="M1114" s="929"/>
    </row>
    <row r="1115" spans="1:13" s="930" customFormat="1" ht="31.5" customHeight="1">
      <c r="A1115" s="837" t="s">
        <v>33</v>
      </c>
      <c r="B1115" s="838" t="s">
        <v>568</v>
      </c>
      <c r="C1115" s="839" t="s">
        <v>847</v>
      </c>
      <c r="D1115" s="840"/>
      <c r="E1115" s="841" t="s">
        <v>870</v>
      </c>
      <c r="F1115" s="842"/>
      <c r="G1115" s="841" t="s">
        <v>850</v>
      </c>
      <c r="H1115" s="842"/>
      <c r="I1115" s="841" t="s">
        <v>851</v>
      </c>
      <c r="J1115" s="842"/>
      <c r="K1115" s="841" t="s">
        <v>852</v>
      </c>
      <c r="L1115" s="842"/>
      <c r="M1115" s="929"/>
    </row>
    <row r="1116" spans="1:13" s="930" customFormat="1" ht="31.5" customHeight="1">
      <c r="A1116" s="482" t="s">
        <v>1061</v>
      </c>
      <c r="B1116" s="213" t="s">
        <v>528</v>
      </c>
      <c r="C1116" s="1194">
        <f>CEILING(55*$Z$1,0.1)</f>
        <v>68.8</v>
      </c>
      <c r="D1116" s="1195"/>
      <c r="E1116" s="1194">
        <f>CEILING(60*$Z$1,0.1)</f>
        <v>75</v>
      </c>
      <c r="F1116" s="1195"/>
      <c r="G1116" s="1194">
        <f>CEILING(55*$Z$1,0.1)</f>
        <v>68.8</v>
      </c>
      <c r="H1116" s="1195"/>
      <c r="I1116" s="1194">
        <f>CEILING(50*$Z$1,0.1)</f>
        <v>62.5</v>
      </c>
      <c r="J1116" s="1195"/>
      <c r="K1116" s="1194">
        <f>CEILING(55*$Z$1,0.1)</f>
        <v>68.8</v>
      </c>
      <c r="L1116" s="1195"/>
      <c r="M1116" s="929"/>
    </row>
    <row r="1117" spans="1:13" s="930" customFormat="1" ht="31.5" customHeight="1">
      <c r="A1117" s="297" t="s">
        <v>49</v>
      </c>
      <c r="B1117" s="192" t="s">
        <v>466</v>
      </c>
      <c r="C1117" s="1192">
        <f>CEILING((C1116+15*$Z$1),0.1)</f>
        <v>87.60000000000001</v>
      </c>
      <c r="D1117" s="1193"/>
      <c r="E1117" s="1192">
        <f>CEILING((E1116+15*$Z$1),0.1)</f>
        <v>93.80000000000001</v>
      </c>
      <c r="F1117" s="1193"/>
      <c r="G1117" s="1192">
        <f>CEILING((G1116+15*$Z$1),0.1)</f>
        <v>87.60000000000001</v>
      </c>
      <c r="H1117" s="1193"/>
      <c r="I1117" s="1192">
        <f>CEILING((I1116+15*$Z$1),0.1)</f>
        <v>81.30000000000001</v>
      </c>
      <c r="J1117" s="1193"/>
      <c r="K1117" s="1192">
        <f>CEILING((K1116+15*$Z$1),0.1)</f>
        <v>87.60000000000001</v>
      </c>
      <c r="L1117" s="1193"/>
      <c r="M1117" s="929"/>
    </row>
    <row r="1118" spans="1:13" s="930" customFormat="1" ht="31.5" customHeight="1">
      <c r="A1118" s="114"/>
      <c r="B1118" s="192" t="s">
        <v>586</v>
      </c>
      <c r="C1118" s="1192">
        <f>CEILING((C1116*0.5),0.1)</f>
        <v>34.4</v>
      </c>
      <c r="D1118" s="1193"/>
      <c r="E1118" s="1192">
        <f>CEILING((E1116*0.5),0.1)</f>
        <v>37.5</v>
      </c>
      <c r="F1118" s="1193"/>
      <c r="G1118" s="1192">
        <f>CEILING((G1116*0.5),0.1)</f>
        <v>34.4</v>
      </c>
      <c r="H1118" s="1193"/>
      <c r="I1118" s="1192">
        <f>CEILING((I1116*0.5),0.1)</f>
        <v>31.3</v>
      </c>
      <c r="J1118" s="1193"/>
      <c r="K1118" s="1192">
        <f>CEILING((K1116*0.5),0.1)</f>
        <v>34.4</v>
      </c>
      <c r="L1118" s="1193"/>
      <c r="M1118" s="929"/>
    </row>
    <row r="1119" spans="1:13" s="930" customFormat="1" ht="31.5" customHeight="1">
      <c r="A1119" s="269"/>
      <c r="B1119" s="171" t="s">
        <v>973</v>
      </c>
      <c r="C1119" s="1192">
        <f>CEILING(65*$Z$1,0.1)</f>
        <v>81.30000000000001</v>
      </c>
      <c r="D1119" s="1193"/>
      <c r="E1119" s="1192">
        <f>CEILING(70*$Z$1,0.1)</f>
        <v>87.5</v>
      </c>
      <c r="F1119" s="1193"/>
      <c r="G1119" s="1192">
        <f>CEILING(65*$Z$1,0.1)</f>
        <v>81.30000000000001</v>
      </c>
      <c r="H1119" s="1193"/>
      <c r="I1119" s="1192">
        <f>CEILING(60*$Z$1,0.1)</f>
        <v>75</v>
      </c>
      <c r="J1119" s="1193"/>
      <c r="K1119" s="1192">
        <f>CEILING(65*$Z$1,0.1)</f>
        <v>81.30000000000001</v>
      </c>
      <c r="L1119" s="1193"/>
      <c r="M1119" s="929"/>
    </row>
    <row r="1120" spans="1:13" s="930" customFormat="1" ht="31.5" customHeight="1">
      <c r="A1120" s="1038" t="s">
        <v>613</v>
      </c>
      <c r="B1120" s="173" t="s">
        <v>969</v>
      </c>
      <c r="C1120" s="1202">
        <f>CEILING((C1119+15*$Z$1),0.1)</f>
        <v>100.10000000000001</v>
      </c>
      <c r="D1120" s="1203"/>
      <c r="E1120" s="1202">
        <f>CEILING((E1119+15*$Z$1),0.1)</f>
        <v>106.30000000000001</v>
      </c>
      <c r="F1120" s="1203"/>
      <c r="G1120" s="1202">
        <f>CEILING((G1119+15*$Z$1),0.1)</f>
        <v>100.10000000000001</v>
      </c>
      <c r="H1120" s="1203"/>
      <c r="I1120" s="1202">
        <f>CEILING((I1119+15*$Z$1),0.1)</f>
        <v>93.80000000000001</v>
      </c>
      <c r="J1120" s="1203"/>
      <c r="K1120" s="1202">
        <f>CEILING((K1119+15*$Z$1),0.1)</f>
        <v>100.10000000000001</v>
      </c>
      <c r="L1120" s="1203"/>
      <c r="M1120" s="929"/>
    </row>
    <row r="1121" spans="1:13" s="930" customFormat="1" ht="31.5" customHeight="1">
      <c r="A1121" s="1039" t="s">
        <v>1062</v>
      </c>
      <c r="B1121" s="1039"/>
      <c r="C1121" s="908"/>
      <c r="D1121" s="908"/>
      <c r="E1121" s="908"/>
      <c r="F1121" s="908"/>
      <c r="G1121" s="908"/>
      <c r="H1121" s="908"/>
      <c r="I1121" s="908"/>
      <c r="J1121" s="908"/>
      <c r="K1121" s="928"/>
      <c r="L1121" s="928"/>
      <c r="M1121" s="929"/>
    </row>
    <row r="1122" spans="1:25" s="313" customFormat="1" ht="34.5" customHeight="1">
      <c r="A1122" s="141"/>
      <c r="B1122" s="142"/>
      <c r="C1122" s="142"/>
      <c r="D1122" s="142"/>
      <c r="E1122" s="142"/>
      <c r="F1122" s="142"/>
      <c r="G1122" s="142"/>
      <c r="H1122" s="142"/>
      <c r="I1122" s="142"/>
      <c r="J1122" s="142"/>
      <c r="K1122" s="312"/>
      <c r="L1122" s="312"/>
      <c r="M1122" s="144"/>
      <c r="N1122" s="330"/>
      <c r="O1122" s="330"/>
      <c r="P1122" s="330"/>
      <c r="Q1122" s="330"/>
      <c r="R1122" s="330"/>
      <c r="S1122" s="330"/>
      <c r="T1122" s="330"/>
      <c r="U1122" s="330"/>
      <c r="V1122" s="330"/>
      <c r="W1122" s="330"/>
      <c r="X1122" s="330"/>
      <c r="Y1122" s="330"/>
    </row>
    <row r="1123" spans="1:25" s="94" customFormat="1" ht="34.5" customHeight="1">
      <c r="A1123" s="1241" t="s">
        <v>1277</v>
      </c>
      <c r="B1123" s="1241"/>
      <c r="C1123" s="1241"/>
      <c r="D1123" s="1241"/>
      <c r="E1123" s="1241"/>
      <c r="F1123" s="1241"/>
      <c r="G1123" s="1241"/>
      <c r="H1123" s="1241"/>
      <c r="I1123" s="1242"/>
      <c r="J1123" s="110"/>
      <c r="K1123" s="91"/>
      <c r="L1123" s="99"/>
      <c r="M1123" s="111"/>
      <c r="N1123" s="112"/>
      <c r="O1123" s="92"/>
      <c r="P1123" s="92"/>
      <c r="Q1123" s="92"/>
      <c r="R1123" s="92"/>
      <c r="S1123" s="92"/>
      <c r="T1123" s="92"/>
      <c r="U1123" s="92"/>
      <c r="V1123" s="92"/>
      <c r="W1123" s="92"/>
      <c r="X1123" s="92"/>
      <c r="Y1123" s="92"/>
    </row>
    <row r="1124" spans="1:25" s="94" customFormat="1" ht="34.5" customHeight="1">
      <c r="A1124" s="1241" t="s">
        <v>1278</v>
      </c>
      <c r="B1124" s="1241"/>
      <c r="C1124" s="1241"/>
      <c r="D1124" s="1241"/>
      <c r="E1124" s="1241"/>
      <c r="F1124" s="1241"/>
      <c r="G1124" s="1241"/>
      <c r="H1124" s="1241"/>
      <c r="I1124" s="1006"/>
      <c r="J1124" s="110"/>
      <c r="K1124" s="91"/>
      <c r="L1124" s="99"/>
      <c r="M1124" s="111"/>
      <c r="N1124" s="112"/>
      <c r="O1124" s="92"/>
      <c r="P1124" s="92"/>
      <c r="Q1124" s="92"/>
      <c r="R1124" s="92"/>
      <c r="S1124" s="92"/>
      <c r="T1124" s="92"/>
      <c r="U1124" s="92"/>
      <c r="V1124" s="92"/>
      <c r="W1124" s="92"/>
      <c r="X1124" s="92"/>
      <c r="Y1124" s="92"/>
    </row>
    <row r="1125" spans="1:25" s="94" customFormat="1" ht="34.5" customHeight="1">
      <c r="A1125" s="1241" t="s">
        <v>1009</v>
      </c>
      <c r="B1125" s="1241"/>
      <c r="C1125" s="1241"/>
      <c r="D1125" s="1241"/>
      <c r="E1125" s="1241"/>
      <c r="F1125" s="1241"/>
      <c r="G1125" s="1241"/>
      <c r="H1125" s="1241"/>
      <c r="I1125" s="1006"/>
      <c r="J1125" s="110"/>
      <c r="K1125" s="91"/>
      <c r="L1125" s="99"/>
      <c r="M1125" s="111"/>
      <c r="N1125" s="112"/>
      <c r="O1125" s="92"/>
      <c r="P1125" s="92"/>
      <c r="Q1125" s="92"/>
      <c r="R1125" s="92"/>
      <c r="S1125" s="92"/>
      <c r="T1125" s="92"/>
      <c r="U1125" s="92"/>
      <c r="V1125" s="92"/>
      <c r="W1125" s="92"/>
      <c r="X1125" s="92"/>
      <c r="Y1125" s="92"/>
    </row>
    <row r="1126" spans="1:14" s="136" customFormat="1" ht="34.5" customHeight="1">
      <c r="A1126" s="999"/>
      <c r="B1126" s="999"/>
      <c r="C1126" s="999"/>
      <c r="D1126" s="999"/>
      <c r="E1126" s="999"/>
      <c r="F1126" s="999"/>
      <c r="G1126" s="999"/>
      <c r="H1126" s="999"/>
      <c r="I1126" s="1000"/>
      <c r="J1126" s="1000"/>
      <c r="K1126" s="91"/>
      <c r="L1126" s="105"/>
      <c r="M1126" s="111"/>
      <c r="N1126" s="112"/>
    </row>
    <row r="1127" spans="1:25" s="15" customFormat="1" ht="34.5" customHeight="1">
      <c r="A1127" s="1269" t="s">
        <v>790</v>
      </c>
      <c r="B1127" s="1269"/>
      <c r="C1127" s="1269"/>
      <c r="D1127" s="1269"/>
      <c r="E1127" s="1269"/>
      <c r="F1127" s="1269"/>
      <c r="G1127" s="1269"/>
      <c r="H1127" s="1269"/>
      <c r="I1127" s="1269"/>
      <c r="J1127" s="1269"/>
      <c r="K1127" s="13"/>
      <c r="L1127" s="33"/>
      <c r="M1127" s="32"/>
      <c r="N1127" s="35"/>
      <c r="O1127" s="36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s="15" customFormat="1" ht="34.5" customHeight="1">
      <c r="A1128" s="69"/>
      <c r="B1128" s="69"/>
      <c r="C1128" s="69"/>
      <c r="D1128" s="69"/>
      <c r="E1128" s="69"/>
      <c r="F1128" s="69"/>
      <c r="G1128" s="69"/>
      <c r="H1128" s="69"/>
      <c r="I1128" s="69"/>
      <c r="J1128" s="69"/>
      <c r="K1128" s="13"/>
      <c r="L1128" s="33"/>
      <c r="M1128" s="32"/>
      <c r="N1128" s="8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42" s="167" customFormat="1" ht="34.5" customHeight="1">
      <c r="A1129" s="837" t="s">
        <v>33</v>
      </c>
      <c r="B1129" s="838" t="s">
        <v>874</v>
      </c>
      <c r="C1129" s="839" t="s">
        <v>931</v>
      </c>
      <c r="D1129" s="840"/>
      <c r="E1129" s="841" t="s">
        <v>932</v>
      </c>
      <c r="F1129" s="842"/>
      <c r="G1129" s="841" t="s">
        <v>933</v>
      </c>
      <c r="H1129" s="842"/>
      <c r="I1129" s="841" t="s">
        <v>1176</v>
      </c>
      <c r="J1129" s="842"/>
      <c r="K1129" s="841" t="s">
        <v>983</v>
      </c>
      <c r="L1129" s="842"/>
      <c r="M1129" s="151"/>
      <c r="N1129" s="151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</row>
    <row r="1130" spans="1:25" s="94" customFormat="1" ht="34.5" customHeight="1">
      <c r="A1130" s="249" t="s">
        <v>516</v>
      </c>
      <c r="B1130" s="213" t="s">
        <v>518</v>
      </c>
      <c r="C1130" s="1194">
        <f>CEILING(160*$Z$1,0.1)</f>
        <v>200</v>
      </c>
      <c r="D1130" s="1195"/>
      <c r="E1130" s="1192">
        <f>CEILING(175*$Z$1,0.1)</f>
        <v>218.8</v>
      </c>
      <c r="F1130" s="1220"/>
      <c r="G1130" s="1194">
        <f>CEILING(225*$Z$1,0.1)</f>
        <v>281.3</v>
      </c>
      <c r="H1130" s="1195"/>
      <c r="I1130" s="1194">
        <f>CEILING(210*$Z$1,0.1)</f>
        <v>262.5</v>
      </c>
      <c r="J1130" s="1195"/>
      <c r="K1130" s="1194">
        <f>CEILING(178*$Z$1,0.1)</f>
        <v>222.5</v>
      </c>
      <c r="L1130" s="1195"/>
      <c r="M1130" s="106"/>
      <c r="N1130" s="98"/>
      <c r="O1130" s="92"/>
      <c r="P1130" s="92"/>
      <c r="Q1130" s="92"/>
      <c r="R1130" s="92"/>
      <c r="S1130" s="92"/>
      <c r="T1130" s="92"/>
      <c r="U1130" s="92"/>
      <c r="V1130" s="92"/>
      <c r="W1130" s="92"/>
      <c r="X1130" s="92"/>
      <c r="Y1130" s="92"/>
    </row>
    <row r="1131" spans="1:25" s="94" customFormat="1" ht="34.5" customHeight="1">
      <c r="A1131" s="499" t="s">
        <v>517</v>
      </c>
      <c r="B1131" s="192" t="s">
        <v>519</v>
      </c>
      <c r="C1131" s="1192">
        <f>CEILING(320*$Z$1,0.1)</f>
        <v>400</v>
      </c>
      <c r="D1131" s="1193"/>
      <c r="E1131" s="1192">
        <f>CEILING(350*$Z$1,0.1)</f>
        <v>437.5</v>
      </c>
      <c r="F1131" s="1193"/>
      <c r="G1131" s="1192">
        <f>CEILING(450*$Z$1,0.1)</f>
        <v>562.5</v>
      </c>
      <c r="H1131" s="1193"/>
      <c r="I1131" s="1192">
        <f>CEILING(420*$Z$1,0.1)</f>
        <v>525</v>
      </c>
      <c r="J1131" s="1193"/>
      <c r="K1131" s="1192">
        <f>CEILING(355*$Z$1,0.1)</f>
        <v>443.8</v>
      </c>
      <c r="L1131" s="1193"/>
      <c r="M1131" s="106"/>
      <c r="N1131" s="98"/>
      <c r="O1131" s="92"/>
      <c r="P1131" s="92"/>
      <c r="Q1131" s="92"/>
      <c r="R1131" s="92"/>
      <c r="S1131" s="92"/>
      <c r="T1131" s="92"/>
      <c r="U1131" s="92"/>
      <c r="V1131" s="92"/>
      <c r="W1131" s="92"/>
      <c r="X1131" s="92"/>
      <c r="Y1131" s="92"/>
    </row>
    <row r="1132" spans="1:25" s="94" customFormat="1" ht="34.5" customHeight="1">
      <c r="A1132" s="499"/>
      <c r="B1132" s="192" t="s">
        <v>520</v>
      </c>
      <c r="C1132" s="1192">
        <f>CEILING(175*$Z$1,0.1)</f>
        <v>218.8</v>
      </c>
      <c r="D1132" s="1193"/>
      <c r="E1132" s="1192">
        <f>CEILING(195*$Z$1,0.1)</f>
        <v>243.8</v>
      </c>
      <c r="F1132" s="1220"/>
      <c r="G1132" s="1192">
        <f>CEILING(245*$Z$1,0.1)</f>
        <v>306.3</v>
      </c>
      <c r="H1132" s="1193"/>
      <c r="I1132" s="1192">
        <f>CEILING(230*$Z$1,0.1)</f>
        <v>287.5</v>
      </c>
      <c r="J1132" s="1193"/>
      <c r="K1132" s="1192">
        <f>CEILING(198*$Z$1,0.1)</f>
        <v>247.5</v>
      </c>
      <c r="L1132" s="1193"/>
      <c r="M1132" s="106"/>
      <c r="N1132" s="98"/>
      <c r="O1132" s="92"/>
      <c r="P1132" s="92"/>
      <c r="Q1132" s="92"/>
      <c r="R1132" s="92"/>
      <c r="S1132" s="92"/>
      <c r="T1132" s="92"/>
      <c r="U1132" s="92"/>
      <c r="V1132" s="92"/>
      <c r="W1132" s="92"/>
      <c r="X1132" s="92"/>
      <c r="Y1132" s="92"/>
    </row>
    <row r="1133" spans="1:25" s="94" customFormat="1" ht="34.5" customHeight="1">
      <c r="A1133" s="1115" t="s">
        <v>1185</v>
      </c>
      <c r="B1133" s="192" t="s">
        <v>521</v>
      </c>
      <c r="C1133" s="1192">
        <f>CEILING(350*$Z$1,0.1)</f>
        <v>437.5</v>
      </c>
      <c r="D1133" s="1193"/>
      <c r="E1133" s="1192">
        <f>CEILING(390*$Z$1,0.1)</f>
        <v>487.5</v>
      </c>
      <c r="F1133" s="1193"/>
      <c r="G1133" s="1192">
        <f>CEILING(490*$Z$1,0.1)</f>
        <v>612.5</v>
      </c>
      <c r="H1133" s="1193"/>
      <c r="I1133" s="1192">
        <f>CEILING(460*$Z$1,0.1)</f>
        <v>575</v>
      </c>
      <c r="J1133" s="1193"/>
      <c r="K1133" s="1192">
        <f>CEILING(395*$Z$1,0.1)</f>
        <v>493.8</v>
      </c>
      <c r="L1133" s="1193"/>
      <c r="M1133" s="106"/>
      <c r="N1133" s="98"/>
      <c r="O1133" s="92"/>
      <c r="P1133" s="92"/>
      <c r="Q1133" s="92"/>
      <c r="R1133" s="92"/>
      <c r="S1133" s="92"/>
      <c r="T1133" s="92"/>
      <c r="U1133" s="92"/>
      <c r="V1133" s="92"/>
      <c r="W1133" s="92"/>
      <c r="X1133" s="92"/>
      <c r="Y1133" s="92"/>
    </row>
    <row r="1134" spans="1:25" s="94" customFormat="1" ht="34.5" customHeight="1">
      <c r="A1134" s="1116" t="s">
        <v>1186</v>
      </c>
      <c r="B1134" s="192" t="s">
        <v>522</v>
      </c>
      <c r="C1134" s="1192">
        <f>CEILING(500*$Z$1,0.1)</f>
        <v>625</v>
      </c>
      <c r="D1134" s="1193"/>
      <c r="E1134" s="1192">
        <f>CEILING(600*$Z$1,0.1)</f>
        <v>750</v>
      </c>
      <c r="F1134" s="1220"/>
      <c r="G1134" s="1192">
        <f>CEILING(800*$Z$1,0.1)</f>
        <v>1000</v>
      </c>
      <c r="H1134" s="1193"/>
      <c r="I1134" s="1192">
        <f>CEILING(735*$Z$1,0.1)</f>
        <v>918.8000000000001</v>
      </c>
      <c r="J1134" s="1193"/>
      <c r="K1134" s="1192">
        <f>CEILING(618*$Z$1,0.1)</f>
        <v>772.5</v>
      </c>
      <c r="L1134" s="1193"/>
      <c r="M1134" s="106"/>
      <c r="N1134" s="98"/>
      <c r="O1134" s="92"/>
      <c r="P1134" s="92"/>
      <c r="Q1134" s="92"/>
      <c r="R1134" s="92"/>
      <c r="S1134" s="92"/>
      <c r="T1134" s="92"/>
      <c r="U1134" s="92"/>
      <c r="V1134" s="92"/>
      <c r="W1134" s="92"/>
      <c r="X1134" s="92"/>
      <c r="Y1134" s="92"/>
    </row>
    <row r="1135" spans="1:25" s="94" customFormat="1" ht="34.5" customHeight="1">
      <c r="A1135" s="1117" t="s">
        <v>1187</v>
      </c>
      <c r="B1135" s="192" t="s">
        <v>523</v>
      </c>
      <c r="C1135" s="1192">
        <f>CEILING(1000*$Z$1,0.1)</f>
        <v>1250</v>
      </c>
      <c r="D1135" s="1193"/>
      <c r="E1135" s="1192">
        <f>CEILING(1200*$Z$1,0.1)</f>
        <v>1500</v>
      </c>
      <c r="F1135" s="1193"/>
      <c r="G1135" s="1192">
        <f>CEILING(1600*$Z$1,0.1)</f>
        <v>2000</v>
      </c>
      <c r="H1135" s="1193"/>
      <c r="I1135" s="1192">
        <f>CEILING(1470*$Z$1,0.1)</f>
        <v>1837.5</v>
      </c>
      <c r="J1135" s="1193"/>
      <c r="K1135" s="1192">
        <f>CEILING(1235*$Z$1,0.1)</f>
        <v>1543.8000000000002</v>
      </c>
      <c r="L1135" s="1193"/>
      <c r="M1135" s="106"/>
      <c r="N1135" s="98"/>
      <c r="O1135" s="92"/>
      <c r="P1135" s="92"/>
      <c r="Q1135" s="92"/>
      <c r="R1135" s="92"/>
      <c r="S1135" s="92"/>
      <c r="T1135" s="92"/>
      <c r="U1135" s="92"/>
      <c r="V1135" s="92"/>
      <c r="W1135" s="92"/>
      <c r="X1135" s="92"/>
      <c r="Y1135" s="92"/>
    </row>
    <row r="1136" spans="1:25" s="94" customFormat="1" ht="38.25" customHeight="1">
      <c r="A1136" s="1117" t="s">
        <v>1190</v>
      </c>
      <c r="B1136" s="192" t="s">
        <v>524</v>
      </c>
      <c r="C1136" s="1192">
        <f>CEILING(700*$Z$1,0.1)</f>
        <v>875</v>
      </c>
      <c r="D1136" s="1193"/>
      <c r="E1136" s="1192">
        <f>CEILING(800*$Z$1,0.1)</f>
        <v>1000</v>
      </c>
      <c r="F1136" s="1220"/>
      <c r="G1136" s="1192">
        <f>CEILING(1100*$Z$1,0.1)</f>
        <v>1375</v>
      </c>
      <c r="H1136" s="1193"/>
      <c r="I1136" s="1192">
        <f>CEILING(1050*$Z$1,0.1)</f>
        <v>1312.5</v>
      </c>
      <c r="J1136" s="1193"/>
      <c r="K1136" s="1192">
        <f>CEILING(853*$Z$1,0.1)</f>
        <v>1066.3</v>
      </c>
      <c r="L1136" s="1193"/>
      <c r="M1136" s="106"/>
      <c r="N1136" s="98"/>
      <c r="O1136" s="92"/>
      <c r="P1136" s="92"/>
      <c r="Q1136" s="92"/>
      <c r="R1136" s="92"/>
      <c r="S1136" s="92"/>
      <c r="T1136" s="92"/>
      <c r="U1136" s="92"/>
      <c r="V1136" s="92"/>
      <c r="W1136" s="92"/>
      <c r="X1136" s="92"/>
      <c r="Y1136" s="92"/>
    </row>
    <row r="1137" spans="1:25" s="94" customFormat="1" ht="34.5" customHeight="1">
      <c r="A1137" s="1117" t="s">
        <v>1191</v>
      </c>
      <c r="B1137" s="192" t="s">
        <v>525</v>
      </c>
      <c r="C1137" s="1192">
        <f>CEILING(1400*$Z$1,0.1)</f>
        <v>1750</v>
      </c>
      <c r="D1137" s="1193"/>
      <c r="E1137" s="1192">
        <f>CEILING(1600*$Z$1,0.1)</f>
        <v>2000</v>
      </c>
      <c r="F1137" s="1193"/>
      <c r="G1137" s="1192">
        <f>CEILING(2200*$Z$1,0.1)</f>
        <v>2750</v>
      </c>
      <c r="H1137" s="1193"/>
      <c r="I1137" s="1192">
        <f>CEILING(2100*$Z$1,0.1)</f>
        <v>2625</v>
      </c>
      <c r="J1137" s="1193"/>
      <c r="K1137" s="1192">
        <f>CEILING(1705*$Z$1,0.1)</f>
        <v>2131.3</v>
      </c>
      <c r="L1137" s="1193"/>
      <c r="M1137" s="106"/>
      <c r="N1137" s="98"/>
      <c r="O1137" s="92"/>
      <c r="P1137" s="92"/>
      <c r="Q1137" s="92"/>
      <c r="R1137" s="92"/>
      <c r="S1137" s="92"/>
      <c r="T1137" s="92"/>
      <c r="U1137" s="92"/>
      <c r="V1137" s="92"/>
      <c r="W1137" s="92"/>
      <c r="X1137" s="92"/>
      <c r="Y1137" s="92"/>
    </row>
    <row r="1138" spans="1:25" s="94" customFormat="1" ht="34.5" customHeight="1">
      <c r="A1138" s="1117" t="s">
        <v>1188</v>
      </c>
      <c r="B1138" s="192" t="s">
        <v>526</v>
      </c>
      <c r="C1138" s="1192">
        <f>CEILING(950*$Z$1,0.1)</f>
        <v>1187.5</v>
      </c>
      <c r="D1138" s="1193"/>
      <c r="E1138" s="1192">
        <f>CEILING(1100*$Z$1,0.1)</f>
        <v>1375</v>
      </c>
      <c r="F1138" s="1220"/>
      <c r="G1138" s="1192">
        <f>CEILING(1500*$Z$1,0.1)</f>
        <v>1875</v>
      </c>
      <c r="H1138" s="1193"/>
      <c r="I1138" s="1192">
        <f>CEILING(1445*$Z$1,0.1)</f>
        <v>1806.3000000000002</v>
      </c>
      <c r="J1138" s="1193"/>
      <c r="K1138" s="1192">
        <f>CEILING(1208*$Z$1,0.1)</f>
        <v>1510</v>
      </c>
      <c r="L1138" s="1193"/>
      <c r="M1138" s="106"/>
      <c r="N1138" s="98"/>
      <c r="O1138" s="92"/>
      <c r="P1138" s="92"/>
      <c r="Q1138" s="92"/>
      <c r="R1138" s="92"/>
      <c r="S1138" s="92"/>
      <c r="T1138" s="92"/>
      <c r="U1138" s="92"/>
      <c r="V1138" s="92"/>
      <c r="W1138" s="92"/>
      <c r="X1138" s="92"/>
      <c r="Y1138" s="92"/>
    </row>
    <row r="1139" spans="1:25" s="94" customFormat="1" ht="34.5" customHeight="1">
      <c r="A1139" s="1117" t="s">
        <v>1189</v>
      </c>
      <c r="B1139" s="192" t="s">
        <v>527</v>
      </c>
      <c r="C1139" s="1192">
        <f>CEILING(1900*$Z$1,0.1)</f>
        <v>2375</v>
      </c>
      <c r="D1139" s="1193"/>
      <c r="E1139" s="1192">
        <f>CEILING(2200*$Z$1,0.1)</f>
        <v>2750</v>
      </c>
      <c r="F1139" s="1193"/>
      <c r="G1139" s="1192">
        <f>CEILING(3000*$Z$1,0.1)</f>
        <v>3750</v>
      </c>
      <c r="H1139" s="1193"/>
      <c r="I1139" s="1192">
        <f>CEILING(2890*$Z$1,0.1)</f>
        <v>3612.5</v>
      </c>
      <c r="J1139" s="1193"/>
      <c r="K1139" s="1192">
        <f>CEILING(2415*$Z$1,0.1)</f>
        <v>3018.8</v>
      </c>
      <c r="L1139" s="1193"/>
      <c r="M1139" s="106"/>
      <c r="N1139" s="98"/>
      <c r="O1139" s="92"/>
      <c r="P1139" s="92"/>
      <c r="Q1139" s="92"/>
      <c r="R1139" s="92"/>
      <c r="S1139" s="92"/>
      <c r="T1139" s="92"/>
      <c r="U1139" s="92"/>
      <c r="V1139" s="92"/>
      <c r="W1139" s="92"/>
      <c r="X1139" s="92"/>
      <c r="Y1139" s="92"/>
    </row>
    <row r="1140" spans="1:25" s="94" customFormat="1" ht="34.5" customHeight="1">
      <c r="A1140" s="337" t="s">
        <v>1192</v>
      </c>
      <c r="B1140" s="192" t="s">
        <v>830</v>
      </c>
      <c r="C1140" s="1192"/>
      <c r="D1140" s="1193"/>
      <c r="E1140" s="1192"/>
      <c r="F1140" s="1193"/>
      <c r="G1140" s="1192"/>
      <c r="H1140" s="1193"/>
      <c r="I1140" s="1192"/>
      <c r="J1140" s="1193"/>
      <c r="K1140" s="1192"/>
      <c r="L1140" s="1193"/>
      <c r="M1140" s="97"/>
      <c r="N1140" s="98"/>
      <c r="O1140" s="92"/>
      <c r="P1140" s="92"/>
      <c r="Q1140" s="92"/>
      <c r="R1140" s="92"/>
      <c r="S1140" s="92"/>
      <c r="T1140" s="92"/>
      <c r="U1140" s="92"/>
      <c r="V1140" s="92"/>
      <c r="W1140" s="92"/>
      <c r="X1140" s="92"/>
      <c r="Y1140" s="92"/>
    </row>
    <row r="1141" spans="1:25" s="94" customFormat="1" ht="34.5" customHeight="1" thickBot="1">
      <c r="A1141" s="1015" t="s">
        <v>515</v>
      </c>
      <c r="B1141" s="193"/>
      <c r="C1141" s="1352"/>
      <c r="D1141" s="1353"/>
      <c r="E1141" s="1352"/>
      <c r="F1141" s="1353"/>
      <c r="G1141" s="1352"/>
      <c r="H1141" s="1353"/>
      <c r="I1141" s="1352"/>
      <c r="J1141" s="1353"/>
      <c r="K1141" s="1352"/>
      <c r="L1141" s="1353"/>
      <c r="M1141" s="97"/>
      <c r="N1141" s="98"/>
      <c r="O1141" s="92"/>
      <c r="P1141" s="92"/>
      <c r="Q1141" s="92"/>
      <c r="R1141" s="92"/>
      <c r="S1141" s="92"/>
      <c r="T1141" s="92"/>
      <c r="U1141" s="92"/>
      <c r="V1141" s="92"/>
      <c r="W1141" s="92"/>
      <c r="X1141" s="92"/>
      <c r="Y1141" s="92"/>
    </row>
    <row r="1142" spans="1:43" s="578" customFormat="1" ht="34.5" customHeight="1" thickTop="1">
      <c r="A1142" s="459"/>
      <c r="B1142" s="459"/>
      <c r="C1142" s="459"/>
      <c r="D1142" s="459"/>
      <c r="E1142" s="459"/>
      <c r="F1142" s="459"/>
      <c r="G1142" s="459"/>
      <c r="H1142" s="459"/>
      <c r="I1142" s="459"/>
      <c r="J1142" s="459"/>
      <c r="K1142" s="577"/>
      <c r="L1142" s="577"/>
      <c r="M1142" s="939"/>
      <c r="N1142" s="940"/>
      <c r="O1142" s="941"/>
      <c r="P1142" s="941"/>
      <c r="Q1142" s="941"/>
      <c r="R1142" s="941"/>
      <c r="S1142" s="941"/>
      <c r="T1142" s="941"/>
      <c r="U1142" s="941"/>
      <c r="V1142" s="941"/>
      <c r="W1142" s="941"/>
      <c r="X1142" s="941"/>
      <c r="Y1142" s="941"/>
      <c r="Z1142" s="941"/>
      <c r="AA1142" s="941"/>
      <c r="AB1142" s="941"/>
      <c r="AC1142" s="941"/>
      <c r="AD1142" s="941"/>
      <c r="AE1142" s="941"/>
      <c r="AF1142" s="941"/>
      <c r="AG1142" s="941"/>
      <c r="AH1142" s="941"/>
      <c r="AI1142" s="941"/>
      <c r="AJ1142" s="941"/>
      <c r="AK1142" s="941"/>
      <c r="AL1142" s="941"/>
      <c r="AM1142" s="941"/>
      <c r="AN1142" s="941"/>
      <c r="AO1142" s="941"/>
      <c r="AP1142" s="941"/>
      <c r="AQ1142" s="941"/>
    </row>
    <row r="1143" spans="1:43" s="578" customFormat="1" ht="34.5" customHeight="1">
      <c r="A1143" s="837" t="s">
        <v>33</v>
      </c>
      <c r="B1143" s="838" t="s">
        <v>568</v>
      </c>
      <c r="C1143" s="839" t="s">
        <v>1163</v>
      </c>
      <c r="D1143" s="840"/>
      <c r="E1143" s="841" t="s">
        <v>870</v>
      </c>
      <c r="F1143" s="842"/>
      <c r="G1143" s="841" t="s">
        <v>850</v>
      </c>
      <c r="H1143" s="842"/>
      <c r="I1143" s="841" t="s">
        <v>851</v>
      </c>
      <c r="J1143" s="842"/>
      <c r="K1143" s="841" t="s">
        <v>852</v>
      </c>
      <c r="L1143" s="842"/>
      <c r="M1143" s="939"/>
      <c r="N1143" s="940"/>
      <c r="O1143" s="941"/>
      <c r="P1143" s="941"/>
      <c r="Q1143" s="941"/>
      <c r="R1143" s="941"/>
      <c r="S1143" s="941"/>
      <c r="T1143" s="941"/>
      <c r="U1143" s="941"/>
      <c r="V1143" s="941"/>
      <c r="W1143" s="941"/>
      <c r="X1143" s="941"/>
      <c r="Y1143" s="941"/>
      <c r="Z1143" s="941"/>
      <c r="AA1143" s="941"/>
      <c r="AB1143" s="941"/>
      <c r="AC1143" s="941"/>
      <c r="AD1143" s="941"/>
      <c r="AE1143" s="941"/>
      <c r="AF1143" s="941"/>
      <c r="AG1143" s="941"/>
      <c r="AH1143" s="941"/>
      <c r="AI1143" s="941"/>
      <c r="AJ1143" s="941"/>
      <c r="AK1143" s="941"/>
      <c r="AL1143" s="941"/>
      <c r="AM1143" s="941"/>
      <c r="AN1143" s="941"/>
      <c r="AO1143" s="941"/>
      <c r="AP1143" s="941"/>
      <c r="AQ1143" s="941"/>
    </row>
    <row r="1144" spans="1:43" s="578" customFormat="1" ht="34.5" customHeight="1">
      <c r="A1144" s="510" t="s">
        <v>935</v>
      </c>
      <c r="B1144" s="462" t="s">
        <v>41</v>
      </c>
      <c r="C1144" s="1194">
        <f>CEILING(55*$Z$1,0.1)</f>
        <v>68.8</v>
      </c>
      <c r="D1144" s="1195"/>
      <c r="E1144" s="1194">
        <f>CEILING(79*$Z$1,0.1)</f>
        <v>98.80000000000001</v>
      </c>
      <c r="F1144" s="1195"/>
      <c r="G1144" s="1194">
        <f>CEILING(71*$Z$1,0.1)</f>
        <v>88.80000000000001</v>
      </c>
      <c r="H1144" s="1195"/>
      <c r="I1144" s="1194">
        <f>CEILING(76*$Z$1,0.1)</f>
        <v>95</v>
      </c>
      <c r="J1144" s="1195"/>
      <c r="K1144" s="1194">
        <f>CEILING(55*$Z$1,0.1)</f>
        <v>68.8</v>
      </c>
      <c r="L1144" s="1195"/>
      <c r="M1144" s="939"/>
      <c r="N1144" s="940"/>
      <c r="O1144" s="941"/>
      <c r="P1144" s="941"/>
      <c r="Q1144" s="941"/>
      <c r="R1144" s="941"/>
      <c r="S1144" s="941"/>
      <c r="T1144" s="941"/>
      <c r="U1144" s="941"/>
      <c r="V1144" s="941"/>
      <c r="W1144" s="941"/>
      <c r="X1144" s="941"/>
      <c r="Y1144" s="941"/>
      <c r="Z1144" s="941"/>
      <c r="AA1144" s="941"/>
      <c r="AB1144" s="941"/>
      <c r="AC1144" s="941"/>
      <c r="AD1144" s="941"/>
      <c r="AE1144" s="941"/>
      <c r="AF1144" s="941"/>
      <c r="AG1144" s="941"/>
      <c r="AH1144" s="941"/>
      <c r="AI1144" s="941"/>
      <c r="AJ1144" s="941"/>
      <c r="AK1144" s="941"/>
      <c r="AL1144" s="941"/>
      <c r="AM1144" s="941"/>
      <c r="AN1144" s="941"/>
      <c r="AO1144" s="941"/>
      <c r="AP1144" s="941"/>
      <c r="AQ1144" s="941"/>
    </row>
    <row r="1145" spans="1:43" s="578" customFormat="1" ht="34.5" customHeight="1">
      <c r="A1145" s="943" t="s">
        <v>936</v>
      </c>
      <c r="B1145" s="464" t="s">
        <v>42</v>
      </c>
      <c r="C1145" s="1192">
        <f>CEILING((C1144+12*$Z$1),0.1)</f>
        <v>83.80000000000001</v>
      </c>
      <c r="D1145" s="1193"/>
      <c r="E1145" s="1192">
        <f>CEILING((E1144+15*$Z$1),0.1)</f>
        <v>117.60000000000001</v>
      </c>
      <c r="F1145" s="1193"/>
      <c r="G1145" s="1192">
        <f>CEILING((G1144+15*$Z$1),0.1)</f>
        <v>107.60000000000001</v>
      </c>
      <c r="H1145" s="1193"/>
      <c r="I1145" s="1192">
        <f>CEILING((I1144+15*$Z$1),0.1)</f>
        <v>113.80000000000001</v>
      </c>
      <c r="J1145" s="1193"/>
      <c r="K1145" s="1192">
        <f>CEILING((K1144+12*$Z$1),0.1)</f>
        <v>83.80000000000001</v>
      </c>
      <c r="L1145" s="1193"/>
      <c r="M1145" s="939"/>
      <c r="N1145" s="940"/>
      <c r="O1145" s="941"/>
      <c r="P1145" s="941"/>
      <c r="Q1145" s="941"/>
      <c r="R1145" s="941"/>
      <c r="S1145" s="941"/>
      <c r="T1145" s="941"/>
      <c r="U1145" s="941"/>
      <c r="V1145" s="941"/>
      <c r="W1145" s="941"/>
      <c r="X1145" s="941"/>
      <c r="Y1145" s="941"/>
      <c r="Z1145" s="941"/>
      <c r="AA1145" s="941"/>
      <c r="AB1145" s="941"/>
      <c r="AC1145" s="941"/>
      <c r="AD1145" s="941"/>
      <c r="AE1145" s="941"/>
      <c r="AF1145" s="941"/>
      <c r="AG1145" s="941"/>
      <c r="AH1145" s="941"/>
      <c r="AI1145" s="941"/>
      <c r="AJ1145" s="941"/>
      <c r="AK1145" s="941"/>
      <c r="AL1145" s="941"/>
      <c r="AM1145" s="941"/>
      <c r="AN1145" s="941"/>
      <c r="AO1145" s="941"/>
      <c r="AP1145" s="941"/>
      <c r="AQ1145" s="941"/>
    </row>
    <row r="1146" spans="1:43" s="578" customFormat="1" ht="34.5" customHeight="1">
      <c r="A1146" s="512" t="s">
        <v>35</v>
      </c>
      <c r="B1146" s="466" t="s">
        <v>37</v>
      </c>
      <c r="C1146" s="1192">
        <f>CEILING((C1144*0.85),0.1)</f>
        <v>58.5</v>
      </c>
      <c r="D1146" s="1193"/>
      <c r="E1146" s="1192">
        <f>CEILING((E1144*0.85),0.1)</f>
        <v>84</v>
      </c>
      <c r="F1146" s="1193"/>
      <c r="G1146" s="1192">
        <f>CEILING((G1144*0.85),0.1)</f>
        <v>75.5</v>
      </c>
      <c r="H1146" s="1193"/>
      <c r="I1146" s="1192">
        <f>CEILING((I1144*0.85),0.1)</f>
        <v>80.80000000000001</v>
      </c>
      <c r="J1146" s="1193"/>
      <c r="K1146" s="1192">
        <f>CEILING((K1144*0.85),0.1)</f>
        <v>58.5</v>
      </c>
      <c r="L1146" s="1193"/>
      <c r="M1146" s="939"/>
      <c r="N1146" s="940"/>
      <c r="O1146" s="941"/>
      <c r="P1146" s="941"/>
      <c r="Q1146" s="941"/>
      <c r="R1146" s="941"/>
      <c r="S1146" s="941"/>
      <c r="T1146" s="941"/>
      <c r="U1146" s="941"/>
      <c r="V1146" s="941"/>
      <c r="W1146" s="941"/>
      <c r="X1146" s="941"/>
      <c r="Y1146" s="941"/>
      <c r="Z1146" s="941"/>
      <c r="AA1146" s="941"/>
      <c r="AB1146" s="941"/>
      <c r="AC1146" s="941"/>
      <c r="AD1146" s="941"/>
      <c r="AE1146" s="941"/>
      <c r="AF1146" s="941"/>
      <c r="AG1146" s="941"/>
      <c r="AH1146" s="941"/>
      <c r="AI1146" s="941"/>
      <c r="AJ1146" s="941"/>
      <c r="AK1146" s="941"/>
      <c r="AL1146" s="941"/>
      <c r="AM1146" s="941"/>
      <c r="AN1146" s="941"/>
      <c r="AO1146" s="941"/>
      <c r="AP1146" s="941"/>
      <c r="AQ1146" s="941"/>
    </row>
    <row r="1147" spans="1:43" s="578" customFormat="1" ht="34.5" customHeight="1">
      <c r="A1147" s="514"/>
      <c r="B1147" s="238" t="s">
        <v>534</v>
      </c>
      <c r="C1147" s="1192">
        <f>CEILING((C1144*0),0.1)</f>
        <v>0</v>
      </c>
      <c r="D1147" s="1193"/>
      <c r="E1147" s="1192">
        <f>CEILING((E1144*0),0.1)</f>
        <v>0</v>
      </c>
      <c r="F1147" s="1193"/>
      <c r="G1147" s="1192">
        <f>CEILING((G1144*0),0.1)</f>
        <v>0</v>
      </c>
      <c r="H1147" s="1193"/>
      <c r="I1147" s="1192">
        <f>CEILING((I1144*0),0.1)</f>
        <v>0</v>
      </c>
      <c r="J1147" s="1193"/>
      <c r="K1147" s="1192">
        <f>CEILING((K1144*0),0.1)</f>
        <v>0</v>
      </c>
      <c r="L1147" s="1193"/>
      <c r="M1147" s="939"/>
      <c r="N1147" s="940"/>
      <c r="O1147" s="941"/>
      <c r="P1147" s="941"/>
      <c r="Q1147" s="941"/>
      <c r="R1147" s="941"/>
      <c r="S1147" s="941"/>
      <c r="T1147" s="941"/>
      <c r="U1147" s="941"/>
      <c r="V1147" s="941"/>
      <c r="W1147" s="941"/>
      <c r="X1147" s="941"/>
      <c r="Y1147" s="941"/>
      <c r="Z1147" s="941"/>
      <c r="AA1147" s="941"/>
      <c r="AB1147" s="941"/>
      <c r="AC1147" s="941"/>
      <c r="AD1147" s="941"/>
      <c r="AE1147" s="941"/>
      <c r="AF1147" s="941"/>
      <c r="AG1147" s="941"/>
      <c r="AH1147" s="941"/>
      <c r="AI1147" s="941"/>
      <c r="AJ1147" s="941"/>
      <c r="AK1147" s="941"/>
      <c r="AL1147" s="941"/>
      <c r="AM1147" s="941"/>
      <c r="AN1147" s="941"/>
      <c r="AO1147" s="941"/>
      <c r="AP1147" s="941"/>
      <c r="AQ1147" s="941"/>
    </row>
    <row r="1148" spans="1:43" s="578" customFormat="1" ht="34.5" customHeight="1">
      <c r="A1148" s="515"/>
      <c r="B1148" s="179" t="s">
        <v>5</v>
      </c>
      <c r="C1148" s="1192">
        <f>CEILING(60*$Z$1,0.1)</f>
        <v>75</v>
      </c>
      <c r="D1148" s="1193"/>
      <c r="E1148" s="1192">
        <f>CEILING(84*$Z$1,0.1)</f>
        <v>105</v>
      </c>
      <c r="F1148" s="1193"/>
      <c r="G1148" s="1192">
        <f>CEILING(76*$Z$1,0.1)</f>
        <v>95</v>
      </c>
      <c r="H1148" s="1193"/>
      <c r="I1148" s="1192">
        <f>CEILING(81*$Z$1,0.1)</f>
        <v>101.30000000000001</v>
      </c>
      <c r="J1148" s="1193"/>
      <c r="K1148" s="1192">
        <f>CEILING(60*$Z$1,0.1)</f>
        <v>75</v>
      </c>
      <c r="L1148" s="1193"/>
      <c r="M1148" s="939"/>
      <c r="N1148" s="940"/>
      <c r="O1148" s="941"/>
      <c r="P1148" s="941"/>
      <c r="Q1148" s="941"/>
      <c r="R1148" s="941"/>
      <c r="S1148" s="941"/>
      <c r="T1148" s="941"/>
      <c r="U1148" s="941"/>
      <c r="V1148" s="941"/>
      <c r="W1148" s="941"/>
      <c r="X1148" s="941"/>
      <c r="Y1148" s="941"/>
      <c r="Z1148" s="941"/>
      <c r="AA1148" s="941"/>
      <c r="AB1148" s="941"/>
      <c r="AC1148" s="941"/>
      <c r="AD1148" s="941"/>
      <c r="AE1148" s="941"/>
      <c r="AF1148" s="941"/>
      <c r="AG1148" s="941"/>
      <c r="AH1148" s="941"/>
      <c r="AI1148" s="941"/>
      <c r="AJ1148" s="941"/>
      <c r="AK1148" s="941"/>
      <c r="AL1148" s="941"/>
      <c r="AM1148" s="941"/>
      <c r="AN1148" s="941"/>
      <c r="AO1148" s="941"/>
      <c r="AP1148" s="941"/>
      <c r="AQ1148" s="941"/>
    </row>
    <row r="1149" spans="1:43" s="578" customFormat="1" ht="34.5" customHeight="1">
      <c r="A1149" s="268"/>
      <c r="B1149" s="179" t="s">
        <v>6</v>
      </c>
      <c r="C1149" s="1192">
        <f>CEILING((C1148+17*$Z$1),0.1)</f>
        <v>96.30000000000001</v>
      </c>
      <c r="D1149" s="1193"/>
      <c r="E1149" s="1192">
        <f>CEILING((E1148+20*$Z$1),0.1)</f>
        <v>130</v>
      </c>
      <c r="F1149" s="1193"/>
      <c r="G1149" s="1192">
        <f>CEILING((G1148+20*$Z$1),0.1)</f>
        <v>120</v>
      </c>
      <c r="H1149" s="1193"/>
      <c r="I1149" s="1192">
        <f>CEILING((I1148+20*$Z$1),0.1)</f>
        <v>126.30000000000001</v>
      </c>
      <c r="J1149" s="1193"/>
      <c r="K1149" s="1192">
        <f>CEILING((K1148+17*$Z$1),0.1)</f>
        <v>96.30000000000001</v>
      </c>
      <c r="L1149" s="1193"/>
      <c r="M1149" s="939"/>
      <c r="N1149" s="940"/>
      <c r="O1149" s="941"/>
      <c r="P1149" s="941"/>
      <c r="Q1149" s="941"/>
      <c r="R1149" s="941"/>
      <c r="S1149" s="941"/>
      <c r="T1149" s="941"/>
      <c r="U1149" s="941"/>
      <c r="V1149" s="941"/>
      <c r="W1149" s="941"/>
      <c r="X1149" s="941"/>
      <c r="Y1149" s="941"/>
      <c r="Z1149" s="941"/>
      <c r="AA1149" s="941"/>
      <c r="AB1149" s="941"/>
      <c r="AC1149" s="941"/>
      <c r="AD1149" s="941"/>
      <c r="AE1149" s="941"/>
      <c r="AF1149" s="941"/>
      <c r="AG1149" s="941"/>
      <c r="AH1149" s="941"/>
      <c r="AI1149" s="941"/>
      <c r="AJ1149" s="941"/>
      <c r="AK1149" s="941"/>
      <c r="AL1149" s="941"/>
      <c r="AM1149" s="941"/>
      <c r="AN1149" s="941"/>
      <c r="AO1149" s="941"/>
      <c r="AP1149" s="941"/>
      <c r="AQ1149" s="941"/>
    </row>
    <row r="1150" spans="1:43" s="578" customFormat="1" ht="34.5" customHeight="1">
      <c r="A1150" s="269"/>
      <c r="B1150" s="464" t="s">
        <v>614</v>
      </c>
      <c r="C1150" s="1192">
        <f>CEILING(65*$Z$1,0.1)</f>
        <v>81.30000000000001</v>
      </c>
      <c r="D1150" s="1193"/>
      <c r="E1150" s="1192">
        <f>CEILING(89*$Z$1,0.1)</f>
        <v>111.30000000000001</v>
      </c>
      <c r="F1150" s="1193"/>
      <c r="G1150" s="1192">
        <f>CEILING(81*$Z$1,0.1)</f>
        <v>101.30000000000001</v>
      </c>
      <c r="H1150" s="1193"/>
      <c r="I1150" s="1192">
        <f>CEILING(86*$Z$1,0.1)</f>
        <v>107.5</v>
      </c>
      <c r="J1150" s="1193"/>
      <c r="K1150" s="1192">
        <f>CEILING(65*$Z$1,0.1)</f>
        <v>81.30000000000001</v>
      </c>
      <c r="L1150" s="1193"/>
      <c r="M1150" s="939"/>
      <c r="N1150" s="940"/>
      <c r="O1150" s="941"/>
      <c r="P1150" s="941"/>
      <c r="Q1150" s="941"/>
      <c r="R1150" s="941"/>
      <c r="S1150" s="941"/>
      <c r="T1150" s="941"/>
      <c r="U1150" s="941"/>
      <c r="V1150" s="941"/>
      <c r="W1150" s="941"/>
      <c r="X1150" s="941"/>
      <c r="Y1150" s="941"/>
      <c r="Z1150" s="941"/>
      <c r="AA1150" s="941"/>
      <c r="AB1150" s="941"/>
      <c r="AC1150" s="941"/>
      <c r="AD1150" s="941"/>
      <c r="AE1150" s="941"/>
      <c r="AF1150" s="941"/>
      <c r="AG1150" s="941"/>
      <c r="AH1150" s="941"/>
      <c r="AI1150" s="941"/>
      <c r="AJ1150" s="941"/>
      <c r="AK1150" s="941"/>
      <c r="AL1150" s="941"/>
      <c r="AM1150" s="941"/>
      <c r="AN1150" s="941"/>
      <c r="AO1150" s="941"/>
      <c r="AP1150" s="941"/>
      <c r="AQ1150" s="941"/>
    </row>
    <row r="1151" spans="1:43" s="578" customFormat="1" ht="34.5" customHeight="1">
      <c r="A1151" s="515"/>
      <c r="B1151" s="464" t="s">
        <v>615</v>
      </c>
      <c r="C1151" s="1192">
        <f>CEILING((C1150+22*$Z$1),0.1)</f>
        <v>108.80000000000001</v>
      </c>
      <c r="D1151" s="1193"/>
      <c r="E1151" s="1192">
        <f>CEILING((E1150+25*$Z$1),0.1)</f>
        <v>142.6</v>
      </c>
      <c r="F1151" s="1193"/>
      <c r="G1151" s="1192">
        <f>CEILING((G1150+25*$Z$1),0.1)</f>
        <v>132.6</v>
      </c>
      <c r="H1151" s="1193"/>
      <c r="I1151" s="1192">
        <f>CEILING((I1150+25*$Z$1),0.1)</f>
        <v>138.8</v>
      </c>
      <c r="J1151" s="1193"/>
      <c r="K1151" s="1192">
        <f>CEILING((K1150+22*$Z$1),0.1)</f>
        <v>108.80000000000001</v>
      </c>
      <c r="L1151" s="1193"/>
      <c r="M1151" s="939"/>
      <c r="N1151" s="940"/>
      <c r="O1151" s="941"/>
      <c r="P1151" s="941"/>
      <c r="Q1151" s="941"/>
      <c r="R1151" s="941"/>
      <c r="S1151" s="941"/>
      <c r="T1151" s="941"/>
      <c r="U1151" s="941"/>
      <c r="V1151" s="941"/>
      <c r="W1151" s="941"/>
      <c r="X1151" s="941"/>
      <c r="Y1151" s="941"/>
      <c r="Z1151" s="941"/>
      <c r="AA1151" s="941"/>
      <c r="AB1151" s="941"/>
      <c r="AC1151" s="941"/>
      <c r="AD1151" s="941"/>
      <c r="AE1151" s="941"/>
      <c r="AF1151" s="941"/>
      <c r="AG1151" s="941"/>
      <c r="AH1151" s="941"/>
      <c r="AI1151" s="941"/>
      <c r="AJ1151" s="941"/>
      <c r="AK1151" s="941"/>
      <c r="AL1151" s="941"/>
      <c r="AM1151" s="941"/>
      <c r="AN1151" s="941"/>
      <c r="AO1151" s="941"/>
      <c r="AP1151" s="941"/>
      <c r="AQ1151" s="941"/>
    </row>
    <row r="1152" spans="1:43" s="578" customFormat="1" ht="34.5" customHeight="1">
      <c r="A1152" s="515"/>
      <c r="B1152" s="179" t="s">
        <v>169</v>
      </c>
      <c r="C1152" s="1192">
        <f>CEILING(70*$Z$1,0.1)</f>
        <v>87.5</v>
      </c>
      <c r="D1152" s="1193"/>
      <c r="E1152" s="1192">
        <f>CEILING(94*$Z$1,0.1)</f>
        <v>117.5</v>
      </c>
      <c r="F1152" s="1193"/>
      <c r="G1152" s="1192">
        <f>CEILING(86*$Z$1,0.1)</f>
        <v>107.5</v>
      </c>
      <c r="H1152" s="1193"/>
      <c r="I1152" s="1192">
        <f>CEILING(91*$Z$1,0.1)</f>
        <v>113.80000000000001</v>
      </c>
      <c r="J1152" s="1193"/>
      <c r="K1152" s="1192">
        <f>CEILING(70*$Z$1,0.1)</f>
        <v>87.5</v>
      </c>
      <c r="L1152" s="1193"/>
      <c r="M1152" s="939"/>
      <c r="N1152" s="940"/>
      <c r="O1152" s="941"/>
      <c r="P1152" s="941"/>
      <c r="Q1152" s="941"/>
      <c r="R1152" s="941"/>
      <c r="S1152" s="941"/>
      <c r="T1152" s="941"/>
      <c r="U1152" s="941"/>
      <c r="V1152" s="941"/>
      <c r="W1152" s="941"/>
      <c r="X1152" s="941"/>
      <c r="Y1152" s="941"/>
      <c r="Z1152" s="941"/>
      <c r="AA1152" s="941"/>
      <c r="AB1152" s="941"/>
      <c r="AC1152" s="941"/>
      <c r="AD1152" s="941"/>
      <c r="AE1152" s="941"/>
      <c r="AF1152" s="941"/>
      <c r="AG1152" s="941"/>
      <c r="AH1152" s="941"/>
      <c r="AI1152" s="941"/>
      <c r="AJ1152" s="941"/>
      <c r="AK1152" s="941"/>
      <c r="AL1152" s="941"/>
      <c r="AM1152" s="941"/>
      <c r="AN1152" s="941"/>
      <c r="AO1152" s="941"/>
      <c r="AP1152" s="941"/>
      <c r="AQ1152" s="941"/>
    </row>
    <row r="1153" spans="1:43" s="578" customFormat="1" ht="34.5" customHeight="1">
      <c r="A1153" s="944" t="s">
        <v>388</v>
      </c>
      <c r="B1153" s="181" t="s">
        <v>170</v>
      </c>
      <c r="C1153" s="1202">
        <f>CEILING((C1152+27*$Z$1),0.1)</f>
        <v>121.30000000000001</v>
      </c>
      <c r="D1153" s="1203"/>
      <c r="E1153" s="1202">
        <f>CEILING((E1152+30*$Z$1),0.1)</f>
        <v>155</v>
      </c>
      <c r="F1153" s="1203"/>
      <c r="G1153" s="1202">
        <f>CEILING((G1152+30*$Z$1),0.1)</f>
        <v>145</v>
      </c>
      <c r="H1153" s="1203"/>
      <c r="I1153" s="1202">
        <f>CEILING((I1152+30*$Z$1),0.1)</f>
        <v>151.3</v>
      </c>
      <c r="J1153" s="1203"/>
      <c r="K1153" s="1202">
        <f>CEILING((K1152+27*$Z$1),0.1)</f>
        <v>121.30000000000001</v>
      </c>
      <c r="L1153" s="1203"/>
      <c r="M1153" s="939"/>
      <c r="N1153" s="940"/>
      <c r="O1153" s="941"/>
      <c r="P1153" s="941"/>
      <c r="Q1153" s="941"/>
      <c r="R1153" s="941"/>
      <c r="S1153" s="941"/>
      <c r="T1153" s="941"/>
      <c r="U1153" s="941"/>
      <c r="V1153" s="941"/>
      <c r="W1153" s="941"/>
      <c r="X1153" s="941"/>
      <c r="Y1153" s="941"/>
      <c r="Z1153" s="941"/>
      <c r="AA1153" s="941"/>
      <c r="AB1153" s="941"/>
      <c r="AC1153" s="941"/>
      <c r="AD1153" s="941"/>
      <c r="AE1153" s="941"/>
      <c r="AF1153" s="941"/>
      <c r="AG1153" s="941"/>
      <c r="AH1153" s="941"/>
      <c r="AI1153" s="941"/>
      <c r="AJ1153" s="941"/>
      <c r="AK1153" s="941"/>
      <c r="AL1153" s="941"/>
      <c r="AM1153" s="941"/>
      <c r="AN1153" s="941"/>
      <c r="AO1153" s="941"/>
      <c r="AP1153" s="941"/>
      <c r="AQ1153" s="941"/>
    </row>
    <row r="1154" spans="1:43" s="578" customFormat="1" ht="34.5" customHeight="1">
      <c r="A1154" s="921" t="s">
        <v>937</v>
      </c>
      <c r="B1154" s="942"/>
      <c r="C1154" s="918"/>
      <c r="D1154" s="918"/>
      <c r="E1154" s="918"/>
      <c r="F1154" s="918"/>
      <c r="G1154" s="918"/>
      <c r="H1154" s="918"/>
      <c r="I1154" s="918"/>
      <c r="J1154" s="918"/>
      <c r="K1154" s="918"/>
      <c r="L1154" s="918"/>
      <c r="M1154" s="939"/>
      <c r="N1154" s="940"/>
      <c r="O1154" s="941"/>
      <c r="P1154" s="941"/>
      <c r="Q1154" s="941"/>
      <c r="R1154" s="941"/>
      <c r="S1154" s="941"/>
      <c r="T1154" s="941"/>
      <c r="U1154" s="941"/>
      <c r="V1154" s="941"/>
      <c r="W1154" s="941"/>
      <c r="X1154" s="941"/>
      <c r="Y1154" s="941"/>
      <c r="Z1154" s="941"/>
      <c r="AA1154" s="941"/>
      <c r="AB1154" s="941"/>
      <c r="AC1154" s="941"/>
      <c r="AD1154" s="941"/>
      <c r="AE1154" s="941"/>
      <c r="AF1154" s="941"/>
      <c r="AG1154" s="941"/>
      <c r="AH1154" s="941"/>
      <c r="AI1154" s="941"/>
      <c r="AJ1154" s="941"/>
      <c r="AK1154" s="941"/>
      <c r="AL1154" s="941"/>
      <c r="AM1154" s="941"/>
      <c r="AN1154" s="941"/>
      <c r="AO1154" s="941"/>
      <c r="AP1154" s="941"/>
      <c r="AQ1154" s="941"/>
    </row>
    <row r="1155" spans="1:43" s="578" customFormat="1" ht="34.5" customHeight="1">
      <c r="A1155" s="921" t="s">
        <v>938</v>
      </c>
      <c r="B1155" s="942"/>
      <c r="C1155" s="918"/>
      <c r="D1155" s="918"/>
      <c r="E1155" s="918"/>
      <c r="F1155" s="918"/>
      <c r="G1155" s="918"/>
      <c r="H1155" s="918"/>
      <c r="I1155" s="918"/>
      <c r="J1155" s="918"/>
      <c r="K1155" s="918"/>
      <c r="L1155" s="918"/>
      <c r="M1155" s="939"/>
      <c r="N1155" s="940"/>
      <c r="O1155" s="941"/>
      <c r="P1155" s="941"/>
      <c r="Q1155" s="941"/>
      <c r="R1155" s="941"/>
      <c r="S1155" s="941"/>
      <c r="T1155" s="941"/>
      <c r="U1155" s="941"/>
      <c r="V1155" s="941"/>
      <c r="W1155" s="941"/>
      <c r="X1155" s="941"/>
      <c r="Y1155" s="941"/>
      <c r="Z1155" s="941"/>
      <c r="AA1155" s="941"/>
      <c r="AB1155" s="941"/>
      <c r="AC1155" s="941"/>
      <c r="AD1155" s="941"/>
      <c r="AE1155" s="941"/>
      <c r="AF1155" s="941"/>
      <c r="AG1155" s="941"/>
      <c r="AH1155" s="941"/>
      <c r="AI1155" s="941"/>
      <c r="AJ1155" s="941"/>
      <c r="AK1155" s="941"/>
      <c r="AL1155" s="941"/>
      <c r="AM1155" s="941"/>
      <c r="AN1155" s="941"/>
      <c r="AO1155" s="941"/>
      <c r="AP1155" s="941"/>
      <c r="AQ1155" s="941"/>
    </row>
    <row r="1156" spans="1:59" s="121" customFormat="1" ht="34.5" customHeight="1">
      <c r="A1156" s="186"/>
      <c r="B1156" s="186"/>
      <c r="C1156" s="919"/>
      <c r="D1156" s="919"/>
      <c r="E1156" s="919"/>
      <c r="F1156" s="919"/>
      <c r="G1156" s="919"/>
      <c r="H1156" s="919"/>
      <c r="I1156" s="187"/>
      <c r="J1156" s="187"/>
      <c r="K1156" s="99"/>
      <c r="L1156" s="99"/>
      <c r="M1156" s="106"/>
      <c r="N1156" s="106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100"/>
      <c r="AV1156" s="100"/>
      <c r="AW1156" s="100"/>
      <c r="AX1156" s="100"/>
      <c r="AY1156" s="100"/>
      <c r="AZ1156" s="100"/>
      <c r="BA1156" s="100"/>
      <c r="BB1156" s="100"/>
      <c r="BC1156" s="100"/>
      <c r="BD1156" s="100"/>
      <c r="BE1156" s="100"/>
      <c r="BF1156" s="100"/>
      <c r="BG1156" s="100"/>
    </row>
    <row r="1157" spans="1:59" s="121" customFormat="1" ht="34.5" customHeight="1">
      <c r="A1157" s="837" t="s">
        <v>33</v>
      </c>
      <c r="B1157" s="838" t="s">
        <v>568</v>
      </c>
      <c r="C1157" s="839" t="s">
        <v>847</v>
      </c>
      <c r="D1157" s="840"/>
      <c r="E1157" s="841" t="s">
        <v>870</v>
      </c>
      <c r="F1157" s="842"/>
      <c r="G1157" s="841" t="s">
        <v>850</v>
      </c>
      <c r="H1157" s="842"/>
      <c r="I1157" s="841" t="s">
        <v>851</v>
      </c>
      <c r="J1157" s="842"/>
      <c r="K1157" s="841" t="s">
        <v>852</v>
      </c>
      <c r="L1157" s="842"/>
      <c r="M1157" s="106"/>
      <c r="N1157" s="106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100"/>
      <c r="AV1157" s="100"/>
      <c r="AW1157" s="100"/>
      <c r="AX1157" s="100"/>
      <c r="AY1157" s="100"/>
      <c r="AZ1157" s="100"/>
      <c r="BA1157" s="100"/>
      <c r="BB1157" s="100"/>
      <c r="BC1157" s="100"/>
      <c r="BD1157" s="100"/>
      <c r="BE1157" s="100"/>
      <c r="BF1157" s="100"/>
      <c r="BG1157" s="100"/>
    </row>
    <row r="1158" spans="1:59" s="121" customFormat="1" ht="34.5" customHeight="1">
      <c r="A1158" s="510" t="s">
        <v>939</v>
      </c>
      <c r="B1158" s="462" t="s">
        <v>41</v>
      </c>
      <c r="C1158" s="1194">
        <f>CEILING(48*$Z$1,0.1)</f>
        <v>60</v>
      </c>
      <c r="D1158" s="1195"/>
      <c r="E1158" s="1194">
        <f>CEILING(72*$Z$1,0.1)</f>
        <v>90</v>
      </c>
      <c r="F1158" s="1195"/>
      <c r="G1158" s="1216">
        <f>CEILING(25*$Z$1,0.1)</f>
        <v>31.3</v>
      </c>
      <c r="H1158" s="1217"/>
      <c r="I1158" s="1216">
        <f>CEILING(25*$Z$1,0.1)</f>
        <v>31.3</v>
      </c>
      <c r="J1158" s="1217"/>
      <c r="K1158" s="1216">
        <f>CEILING(25*$Z$1,0.1)</f>
        <v>31.3</v>
      </c>
      <c r="L1158" s="1217"/>
      <c r="M1158" s="106"/>
      <c r="N1158" s="106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100"/>
      <c r="AV1158" s="100"/>
      <c r="AW1158" s="100"/>
      <c r="AX1158" s="100"/>
      <c r="AY1158" s="100"/>
      <c r="AZ1158" s="100"/>
      <c r="BA1158" s="100"/>
      <c r="BB1158" s="100"/>
      <c r="BC1158" s="100"/>
      <c r="BD1158" s="100"/>
      <c r="BE1158" s="100"/>
      <c r="BF1158" s="100"/>
      <c r="BG1158" s="100"/>
    </row>
    <row r="1159" spans="1:59" s="121" customFormat="1" ht="34.5" customHeight="1">
      <c r="A1159" s="943" t="s">
        <v>940</v>
      </c>
      <c r="B1159" s="464" t="s">
        <v>42</v>
      </c>
      <c r="C1159" s="1192">
        <f>CEILING((C1158+12*$Z$1),0.1)</f>
        <v>75</v>
      </c>
      <c r="D1159" s="1193"/>
      <c r="E1159" s="1192">
        <f>CEILING((E1158+15*$Z$1),0.1)</f>
        <v>108.80000000000001</v>
      </c>
      <c r="F1159" s="1193"/>
      <c r="G1159" s="1200">
        <f>CEILING((G1158+13*$Z$1),0.1)</f>
        <v>47.6</v>
      </c>
      <c r="H1159" s="1201"/>
      <c r="I1159" s="1200">
        <f>CEILING((I1158+13*$Z$1),0.1)</f>
        <v>47.6</v>
      </c>
      <c r="J1159" s="1201"/>
      <c r="K1159" s="1200">
        <f>CEILING((K1158+13*$Z$1),0.1)</f>
        <v>47.6</v>
      </c>
      <c r="L1159" s="1201"/>
      <c r="M1159" s="106"/>
      <c r="N1159" s="106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100"/>
      <c r="AV1159" s="100"/>
      <c r="AW1159" s="100"/>
      <c r="AX1159" s="100"/>
      <c r="AY1159" s="100"/>
      <c r="AZ1159" s="100"/>
      <c r="BA1159" s="100"/>
      <c r="BB1159" s="100"/>
      <c r="BC1159" s="100"/>
      <c r="BD1159" s="100"/>
      <c r="BE1159" s="100"/>
      <c r="BF1159" s="100"/>
      <c r="BG1159" s="100"/>
    </row>
    <row r="1160" spans="1:59" s="121" customFormat="1" ht="34.5" customHeight="1">
      <c r="A1160" s="512" t="s">
        <v>49</v>
      </c>
      <c r="B1160" s="466" t="s">
        <v>37</v>
      </c>
      <c r="C1160" s="1192">
        <f>CEILING((C1158*0.85),0.1)</f>
        <v>51</v>
      </c>
      <c r="D1160" s="1193"/>
      <c r="E1160" s="1192">
        <f>CEILING((E1158*0.85),0.1)</f>
        <v>76.5</v>
      </c>
      <c r="F1160" s="1193"/>
      <c r="G1160" s="1200">
        <f>CEILING((G1158*0.85),0.1)</f>
        <v>26.700000000000003</v>
      </c>
      <c r="H1160" s="1201"/>
      <c r="I1160" s="1200">
        <f>CEILING((I1158*0.85),0.1)</f>
        <v>26.700000000000003</v>
      </c>
      <c r="J1160" s="1201"/>
      <c r="K1160" s="1200">
        <f>CEILING((K1158*0.85),0.1)</f>
        <v>26.700000000000003</v>
      </c>
      <c r="L1160" s="1201"/>
      <c r="M1160" s="106"/>
      <c r="N1160" s="106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100"/>
      <c r="AV1160" s="100"/>
      <c r="AW1160" s="100"/>
      <c r="AX1160" s="100"/>
      <c r="AY1160" s="100"/>
      <c r="AZ1160" s="100"/>
      <c r="BA1160" s="100"/>
      <c r="BB1160" s="100"/>
      <c r="BC1160" s="100"/>
      <c r="BD1160" s="100"/>
      <c r="BE1160" s="100"/>
      <c r="BF1160" s="100"/>
      <c r="BG1160" s="100"/>
    </row>
    <row r="1161" spans="1:59" s="121" customFormat="1" ht="34.5" customHeight="1">
      <c r="A1161" s="514"/>
      <c r="B1161" s="238" t="s">
        <v>534</v>
      </c>
      <c r="C1161" s="1192">
        <f>CEILING((C1158*0),0.1)</f>
        <v>0</v>
      </c>
      <c r="D1161" s="1193"/>
      <c r="E1161" s="1192">
        <f>CEILING((E1158*0),0.1)</f>
        <v>0</v>
      </c>
      <c r="F1161" s="1193"/>
      <c r="G1161" s="1200">
        <f>CEILING((G1158*0),0.1)</f>
        <v>0</v>
      </c>
      <c r="H1161" s="1201"/>
      <c r="I1161" s="1200">
        <f>CEILING((I1158*0),0.1)</f>
        <v>0</v>
      </c>
      <c r="J1161" s="1201"/>
      <c r="K1161" s="1200">
        <f>CEILING((K1158*0),0.1)</f>
        <v>0</v>
      </c>
      <c r="L1161" s="1201"/>
      <c r="M1161" s="106"/>
      <c r="N1161" s="106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100"/>
      <c r="AV1161" s="100"/>
      <c r="AW1161" s="100"/>
      <c r="AX1161" s="100"/>
      <c r="AY1161" s="100"/>
      <c r="AZ1161" s="100"/>
      <c r="BA1161" s="100"/>
      <c r="BB1161" s="100"/>
      <c r="BC1161" s="100"/>
      <c r="BD1161" s="100"/>
      <c r="BE1161" s="100"/>
      <c r="BF1161" s="100"/>
      <c r="BG1161" s="100"/>
    </row>
    <row r="1162" spans="1:59" s="121" customFormat="1" ht="34.5" customHeight="1">
      <c r="A1162" s="515" t="s">
        <v>1249</v>
      </c>
      <c r="B1162" s="179" t="s">
        <v>5</v>
      </c>
      <c r="C1162" s="1192">
        <f>CEILING(53*$Z$1,0.1)</f>
        <v>66.3</v>
      </c>
      <c r="D1162" s="1193"/>
      <c r="E1162" s="1192">
        <f>CEILING(77*$Z$1,0.1)</f>
        <v>96.30000000000001</v>
      </c>
      <c r="F1162" s="1193"/>
      <c r="G1162" s="1200">
        <f>CEILING(35*$Z$1,0.1)</f>
        <v>43.800000000000004</v>
      </c>
      <c r="H1162" s="1201"/>
      <c r="I1162" s="1200">
        <f>CEILING(35*$Z$1,0.1)</f>
        <v>43.800000000000004</v>
      </c>
      <c r="J1162" s="1201"/>
      <c r="K1162" s="1200">
        <f>CEILING(35*$Z$1,0.1)</f>
        <v>43.800000000000004</v>
      </c>
      <c r="L1162" s="1201"/>
      <c r="M1162" s="106"/>
      <c r="N1162" s="106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100"/>
      <c r="AV1162" s="100"/>
      <c r="AW1162" s="100"/>
      <c r="AX1162" s="100"/>
      <c r="AY1162" s="100"/>
      <c r="AZ1162" s="100"/>
      <c r="BA1162" s="100"/>
      <c r="BB1162" s="100"/>
      <c r="BC1162" s="100"/>
      <c r="BD1162" s="100"/>
      <c r="BE1162" s="100"/>
      <c r="BF1162" s="100"/>
      <c r="BG1162" s="100"/>
    </row>
    <row r="1163" spans="1:59" s="121" customFormat="1" ht="34.5" customHeight="1">
      <c r="A1163" s="268"/>
      <c r="B1163" s="179" t="s">
        <v>6</v>
      </c>
      <c r="C1163" s="1192">
        <f>CEILING((C1162+17*$Z$1),0.1)</f>
        <v>87.60000000000001</v>
      </c>
      <c r="D1163" s="1193"/>
      <c r="E1163" s="1192">
        <f>CEILING((E1162+20*$Z$1),0.1)</f>
        <v>121.30000000000001</v>
      </c>
      <c r="F1163" s="1193"/>
      <c r="G1163" s="1200">
        <f>CEILING((G1162+18*$Z$1),0.1)</f>
        <v>66.3</v>
      </c>
      <c r="H1163" s="1201"/>
      <c r="I1163" s="1200">
        <f>CEILING((I1162+18*$Z$1),0.1)</f>
        <v>66.3</v>
      </c>
      <c r="J1163" s="1201"/>
      <c r="K1163" s="1200">
        <f>CEILING((K1162+18*$Z$1),0.1)</f>
        <v>66.3</v>
      </c>
      <c r="L1163" s="1201"/>
      <c r="M1163" s="106"/>
      <c r="N1163" s="106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100"/>
      <c r="AV1163" s="100"/>
      <c r="AW1163" s="100"/>
      <c r="AX1163" s="100"/>
      <c r="AY1163" s="100"/>
      <c r="AZ1163" s="100"/>
      <c r="BA1163" s="100"/>
      <c r="BB1163" s="100"/>
      <c r="BC1163" s="100"/>
      <c r="BD1163" s="100"/>
      <c r="BE1163" s="100"/>
      <c r="BF1163" s="100"/>
      <c r="BG1163" s="100"/>
    </row>
    <row r="1164" spans="1:59" s="121" customFormat="1" ht="34.5" customHeight="1">
      <c r="A1164" s="1040" t="s">
        <v>388</v>
      </c>
      <c r="B1164" s="945" t="s">
        <v>283</v>
      </c>
      <c r="C1164" s="1202">
        <f>CEILING(58*$Z$1,0.1)</f>
        <v>72.5</v>
      </c>
      <c r="D1164" s="1203"/>
      <c r="E1164" s="1202">
        <f>CEILING(82*$Z$1,0.1)</f>
        <v>102.5</v>
      </c>
      <c r="F1164" s="1203"/>
      <c r="G1164" s="1227">
        <f>CEILING(40*$Z$1,0.1)</f>
        <v>50</v>
      </c>
      <c r="H1164" s="1228"/>
      <c r="I1164" s="1227">
        <f>CEILING(40*$Z$1,0.1)</f>
        <v>50</v>
      </c>
      <c r="J1164" s="1228"/>
      <c r="K1164" s="1227">
        <f>CEILING(40*$Z$1,0.1)</f>
        <v>50</v>
      </c>
      <c r="L1164" s="1228"/>
      <c r="M1164" s="106"/>
      <c r="N1164" s="106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100"/>
      <c r="AV1164" s="100"/>
      <c r="AW1164" s="100"/>
      <c r="AX1164" s="100"/>
      <c r="AY1164" s="100"/>
      <c r="AZ1164" s="100"/>
      <c r="BA1164" s="100"/>
      <c r="BB1164" s="100"/>
      <c r="BC1164" s="100"/>
      <c r="BD1164" s="100"/>
      <c r="BE1164" s="100"/>
      <c r="BF1164" s="100"/>
      <c r="BG1164" s="100"/>
    </row>
    <row r="1165" spans="1:43" s="578" customFormat="1" ht="34.5" customHeight="1">
      <c r="A1165" s="921" t="s">
        <v>937</v>
      </c>
      <c r="B1165" s="942"/>
      <c r="C1165" s="918"/>
      <c r="D1165" s="918"/>
      <c r="E1165" s="918"/>
      <c r="F1165" s="918"/>
      <c r="G1165" s="918"/>
      <c r="H1165" s="918"/>
      <c r="I1165" s="918"/>
      <c r="J1165" s="918"/>
      <c r="K1165" s="918"/>
      <c r="L1165" s="918"/>
      <c r="M1165" s="939"/>
      <c r="N1165" s="940"/>
      <c r="O1165" s="941"/>
      <c r="P1165" s="941"/>
      <c r="Q1165" s="941"/>
      <c r="R1165" s="941"/>
      <c r="S1165" s="941"/>
      <c r="T1165" s="941"/>
      <c r="U1165" s="941"/>
      <c r="V1165" s="941"/>
      <c r="W1165" s="941"/>
      <c r="X1165" s="941"/>
      <c r="Y1165" s="941"/>
      <c r="Z1165" s="941"/>
      <c r="AA1165" s="941"/>
      <c r="AB1165" s="941"/>
      <c r="AC1165" s="941"/>
      <c r="AD1165" s="941"/>
      <c r="AE1165" s="941"/>
      <c r="AF1165" s="941"/>
      <c r="AG1165" s="941"/>
      <c r="AH1165" s="941"/>
      <c r="AI1165" s="941"/>
      <c r="AJ1165" s="941"/>
      <c r="AK1165" s="941"/>
      <c r="AL1165" s="941"/>
      <c r="AM1165" s="941"/>
      <c r="AN1165" s="941"/>
      <c r="AO1165" s="941"/>
      <c r="AP1165" s="941"/>
      <c r="AQ1165" s="941"/>
    </row>
    <row r="1166" spans="1:43" s="578" customFormat="1" ht="34.5" customHeight="1">
      <c r="A1166" s="921" t="s">
        <v>938</v>
      </c>
      <c r="B1166" s="942"/>
      <c r="C1166" s="918"/>
      <c r="D1166" s="918"/>
      <c r="E1166" s="918"/>
      <c r="F1166" s="918"/>
      <c r="G1166" s="918"/>
      <c r="H1166" s="918"/>
      <c r="I1166" s="918"/>
      <c r="J1166" s="918"/>
      <c r="K1166" s="918"/>
      <c r="L1166" s="918"/>
      <c r="M1166" s="939"/>
      <c r="N1166" s="940"/>
      <c r="O1166" s="941"/>
      <c r="P1166" s="941"/>
      <c r="Q1166" s="941"/>
      <c r="R1166" s="941"/>
      <c r="S1166" s="941"/>
      <c r="T1166" s="941"/>
      <c r="U1166" s="941"/>
      <c r="V1166" s="941"/>
      <c r="W1166" s="941"/>
      <c r="X1166" s="941"/>
      <c r="Y1166" s="941"/>
      <c r="Z1166" s="941"/>
      <c r="AA1166" s="941"/>
      <c r="AB1166" s="941"/>
      <c r="AC1166" s="941"/>
      <c r="AD1166" s="941"/>
      <c r="AE1166" s="941"/>
      <c r="AF1166" s="941"/>
      <c r="AG1166" s="941"/>
      <c r="AH1166" s="941"/>
      <c r="AI1166" s="941"/>
      <c r="AJ1166" s="941"/>
      <c r="AK1166" s="941"/>
      <c r="AL1166" s="941"/>
      <c r="AM1166" s="941"/>
      <c r="AN1166" s="941"/>
      <c r="AO1166" s="941"/>
      <c r="AP1166" s="941"/>
      <c r="AQ1166" s="941"/>
    </row>
    <row r="1167" spans="1:43" s="121" customFormat="1" ht="34.5" customHeight="1">
      <c r="A1167" s="921"/>
      <c r="B1167" s="942"/>
      <c r="C1167" s="918"/>
      <c r="D1167" s="918"/>
      <c r="E1167" s="918"/>
      <c r="F1167" s="918"/>
      <c r="G1167" s="918"/>
      <c r="H1167" s="918"/>
      <c r="I1167" s="918"/>
      <c r="J1167" s="918"/>
      <c r="K1167" s="918"/>
      <c r="L1167" s="918"/>
      <c r="M1167" s="106"/>
      <c r="N1167" s="9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</row>
    <row r="1168" spans="1:43" s="167" customFormat="1" ht="34.5" customHeight="1">
      <c r="A1168" s="837" t="s">
        <v>33</v>
      </c>
      <c r="B1168" s="838" t="s">
        <v>568</v>
      </c>
      <c r="C1168" s="839" t="s">
        <v>847</v>
      </c>
      <c r="D1168" s="840"/>
      <c r="E1168" s="841" t="s">
        <v>870</v>
      </c>
      <c r="F1168" s="842"/>
      <c r="G1168" s="841" t="s">
        <v>850</v>
      </c>
      <c r="H1168" s="842"/>
      <c r="I1168" s="841" t="s">
        <v>851</v>
      </c>
      <c r="J1168" s="842"/>
      <c r="K1168" s="841" t="s">
        <v>852</v>
      </c>
      <c r="L1168" s="842"/>
      <c r="M1168" s="151"/>
      <c r="N1168" s="151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</row>
    <row r="1169" spans="1:25" s="94" customFormat="1" ht="34.5" customHeight="1">
      <c r="A1169" s="303" t="s">
        <v>640</v>
      </c>
      <c r="B1169" s="349" t="s">
        <v>555</v>
      </c>
      <c r="C1169" s="1194">
        <f>CEILING(38*$Z$1,0.1)</f>
        <v>47.5</v>
      </c>
      <c r="D1169" s="1195"/>
      <c r="E1169" s="1194">
        <f>CEILING(65*$Z$1,0.1)</f>
        <v>81.30000000000001</v>
      </c>
      <c r="F1169" s="1195"/>
      <c r="G1169" s="1194">
        <f>CEILING(45*$Z$1,0.1)</f>
        <v>56.300000000000004</v>
      </c>
      <c r="H1169" s="1195"/>
      <c r="I1169" s="1194">
        <f>CEILING(49*$Z$1,0.1)</f>
        <v>61.300000000000004</v>
      </c>
      <c r="J1169" s="1195"/>
      <c r="K1169" s="1194">
        <f>CEILING(41*$Z$1,0.1)</f>
        <v>51.300000000000004</v>
      </c>
      <c r="L1169" s="1195"/>
      <c r="M1169" s="106"/>
      <c r="N1169" s="98"/>
      <c r="O1169" s="92"/>
      <c r="P1169" s="92"/>
      <c r="Q1169" s="92"/>
      <c r="R1169" s="92"/>
      <c r="S1169" s="92"/>
      <c r="T1169" s="92"/>
      <c r="U1169" s="92"/>
      <c r="V1169" s="92"/>
      <c r="W1169" s="92"/>
      <c r="X1169" s="92"/>
      <c r="Y1169" s="92"/>
    </row>
    <row r="1170" spans="1:25" s="94" customFormat="1" ht="34.5" customHeight="1">
      <c r="A1170" s="304" t="s">
        <v>76</v>
      </c>
      <c r="B1170" s="172" t="s">
        <v>556</v>
      </c>
      <c r="C1170" s="1192">
        <f>CEILING((C1169+15*$Z$1),0.1)</f>
        <v>66.3</v>
      </c>
      <c r="D1170" s="1193"/>
      <c r="E1170" s="1192">
        <f>CEILING((E1169+15*$Z$1),0.1)</f>
        <v>100.10000000000001</v>
      </c>
      <c r="F1170" s="1193"/>
      <c r="G1170" s="1192">
        <f>CEILING((G1169+15*$Z$1),0.1)</f>
        <v>75.10000000000001</v>
      </c>
      <c r="H1170" s="1193"/>
      <c r="I1170" s="1192">
        <f>CEILING((I1169+15*$Z$1),0.1)</f>
        <v>80.10000000000001</v>
      </c>
      <c r="J1170" s="1193"/>
      <c r="K1170" s="1192">
        <f>CEILING((K1169+15*$Z$1),0.1)</f>
        <v>70.10000000000001</v>
      </c>
      <c r="L1170" s="1193"/>
      <c r="M1170" s="106"/>
      <c r="N1170" s="98"/>
      <c r="O1170" s="92"/>
      <c r="P1170" s="92"/>
      <c r="Q1170" s="92"/>
      <c r="R1170" s="92"/>
      <c r="S1170" s="92"/>
      <c r="T1170" s="92"/>
      <c r="U1170" s="92"/>
      <c r="V1170" s="92"/>
      <c r="W1170" s="92"/>
      <c r="X1170" s="92"/>
      <c r="Y1170" s="92"/>
    </row>
    <row r="1171" spans="1:25" s="94" customFormat="1" ht="34.5" customHeight="1">
      <c r="A1171" s="305"/>
      <c r="B1171" s="306" t="s">
        <v>37</v>
      </c>
      <c r="C1171" s="1192">
        <f>CEILING((C1169*0.85),0.1)</f>
        <v>40.400000000000006</v>
      </c>
      <c r="D1171" s="1193"/>
      <c r="E1171" s="1192">
        <f>CEILING((E1169*0.85),0.1)</f>
        <v>69.2</v>
      </c>
      <c r="F1171" s="1193"/>
      <c r="G1171" s="1192">
        <f>CEILING((G1169*0.85),0.1)</f>
        <v>47.900000000000006</v>
      </c>
      <c r="H1171" s="1193"/>
      <c r="I1171" s="1192">
        <f>CEILING((I1169*0.85),0.1)</f>
        <v>52.2</v>
      </c>
      <c r="J1171" s="1193"/>
      <c r="K1171" s="1192">
        <f>CEILING((K1169*0.85),0.1)</f>
        <v>43.7</v>
      </c>
      <c r="L1171" s="1193"/>
      <c r="M1171" s="106"/>
      <c r="N1171" s="98"/>
      <c r="O1171" s="92"/>
      <c r="P1171" s="92"/>
      <c r="Q1171" s="92"/>
      <c r="R1171" s="92"/>
      <c r="S1171" s="92"/>
      <c r="T1171" s="92"/>
      <c r="U1171" s="92"/>
      <c r="V1171" s="92"/>
      <c r="W1171" s="92"/>
      <c r="X1171" s="92"/>
      <c r="Y1171" s="92"/>
    </row>
    <row r="1172" spans="1:25" s="94" customFormat="1" ht="34.5" customHeight="1">
      <c r="A1172" s="508"/>
      <c r="B1172" s="192" t="s">
        <v>77</v>
      </c>
      <c r="C1172" s="1192">
        <f>CEILING((C1169*0),0.1)</f>
        <v>0</v>
      </c>
      <c r="D1172" s="1193"/>
      <c r="E1172" s="1192">
        <f>CEILING((E1169*0),0.1)</f>
        <v>0</v>
      </c>
      <c r="F1172" s="1193"/>
      <c r="G1172" s="1192">
        <f>CEILING((G1169*0),0.1)</f>
        <v>0</v>
      </c>
      <c r="H1172" s="1193"/>
      <c r="I1172" s="1192">
        <f>CEILING((I1169*0),0.1)</f>
        <v>0</v>
      </c>
      <c r="J1172" s="1193"/>
      <c r="K1172" s="1192">
        <f>CEILING((K1169*0),0.1)</f>
        <v>0</v>
      </c>
      <c r="L1172" s="1193"/>
      <c r="M1172" s="106"/>
      <c r="N1172" s="98"/>
      <c r="O1172" s="92"/>
      <c r="P1172" s="92"/>
      <c r="Q1172" s="92"/>
      <c r="R1172" s="92"/>
      <c r="S1172" s="92"/>
      <c r="T1172" s="92"/>
      <c r="U1172" s="92"/>
      <c r="V1172" s="92"/>
      <c r="W1172" s="92"/>
      <c r="X1172" s="92"/>
      <c r="Y1172" s="92"/>
    </row>
    <row r="1173" spans="1:25" s="94" customFormat="1" ht="34.5" customHeight="1">
      <c r="A1173" s="305"/>
      <c r="B1173" s="171" t="s">
        <v>641</v>
      </c>
      <c r="C1173" s="1192">
        <f>CEILING(46*$Z$1,0.1)</f>
        <v>57.5</v>
      </c>
      <c r="D1173" s="1193"/>
      <c r="E1173" s="1192">
        <f>CEILING(73*$Z$1,0.1)</f>
        <v>91.30000000000001</v>
      </c>
      <c r="F1173" s="1193"/>
      <c r="G1173" s="1192">
        <f>CEILING(53*$Z$1,0.1)</f>
        <v>66.3</v>
      </c>
      <c r="H1173" s="1193"/>
      <c r="I1173" s="1192">
        <f>CEILING(57*$Z$1,0.1)</f>
        <v>71.3</v>
      </c>
      <c r="J1173" s="1193"/>
      <c r="K1173" s="1192">
        <f>CEILING(49*$Z$1,0.1)</f>
        <v>61.300000000000004</v>
      </c>
      <c r="L1173" s="1193"/>
      <c r="M1173" s="106"/>
      <c r="N1173" s="98"/>
      <c r="O1173" s="92"/>
      <c r="P1173" s="92"/>
      <c r="Q1173" s="92"/>
      <c r="R1173" s="92"/>
      <c r="S1173" s="92"/>
      <c r="T1173" s="92"/>
      <c r="U1173" s="92"/>
      <c r="V1173" s="92"/>
      <c r="W1173" s="92"/>
      <c r="X1173" s="92"/>
      <c r="Y1173" s="92"/>
    </row>
    <row r="1174" spans="1:25" s="94" customFormat="1" ht="34.5" customHeight="1">
      <c r="A1174" s="341"/>
      <c r="B1174" s="171" t="s">
        <v>597</v>
      </c>
      <c r="C1174" s="1192">
        <f>CEILING((C1173+15*$Z$1),0.1)</f>
        <v>76.3</v>
      </c>
      <c r="D1174" s="1193"/>
      <c r="E1174" s="1192">
        <f>CEILING((E1173+15*$Z$1),0.1)</f>
        <v>110.10000000000001</v>
      </c>
      <c r="F1174" s="1193"/>
      <c r="G1174" s="1192">
        <f>CEILING((G1173+15*$Z$1),0.1)</f>
        <v>85.10000000000001</v>
      </c>
      <c r="H1174" s="1193"/>
      <c r="I1174" s="1192">
        <f>CEILING((I1173+15*$Z$1),0.1)</f>
        <v>90.10000000000001</v>
      </c>
      <c r="J1174" s="1193"/>
      <c r="K1174" s="1192">
        <f>CEILING((K1173+15*$Z$1),0.1)</f>
        <v>80.10000000000001</v>
      </c>
      <c r="L1174" s="1193"/>
      <c r="M1174" s="106"/>
      <c r="N1174" s="98"/>
      <c r="O1174" s="92"/>
      <c r="P1174" s="92"/>
      <c r="Q1174" s="92"/>
      <c r="R1174" s="92"/>
      <c r="S1174" s="92"/>
      <c r="T1174" s="92"/>
      <c r="U1174" s="92"/>
      <c r="V1174" s="92"/>
      <c r="W1174" s="92"/>
      <c r="X1174" s="92"/>
      <c r="Y1174" s="92"/>
    </row>
    <row r="1175" spans="1:25" s="94" customFormat="1" ht="34.5" customHeight="1">
      <c r="A1175" s="341"/>
      <c r="B1175" s="171" t="s">
        <v>760</v>
      </c>
      <c r="C1175" s="1192">
        <f>CEILING(40*$Z$1,0.1)</f>
        <v>50</v>
      </c>
      <c r="D1175" s="1193"/>
      <c r="E1175" s="1192">
        <f>CEILING(67*$Z$1,0.1)</f>
        <v>83.80000000000001</v>
      </c>
      <c r="F1175" s="1193"/>
      <c r="G1175" s="1192">
        <f>CEILING(47*$Z$1,0.1)</f>
        <v>58.800000000000004</v>
      </c>
      <c r="H1175" s="1193"/>
      <c r="I1175" s="1192">
        <f>CEILING(51*$Z$1,0.1)</f>
        <v>63.800000000000004</v>
      </c>
      <c r="J1175" s="1193"/>
      <c r="K1175" s="1192">
        <f>CEILING(43*$Z$1,0.1)</f>
        <v>53.800000000000004</v>
      </c>
      <c r="L1175" s="1193"/>
      <c r="M1175" s="106"/>
      <c r="N1175" s="98"/>
      <c r="O1175" s="92"/>
      <c r="P1175" s="92"/>
      <c r="Q1175" s="92"/>
      <c r="R1175" s="92"/>
      <c r="S1175" s="92"/>
      <c r="T1175" s="92"/>
      <c r="U1175" s="92"/>
      <c r="V1175" s="92"/>
      <c r="W1175" s="92"/>
      <c r="X1175" s="92"/>
      <c r="Y1175" s="92"/>
    </row>
    <row r="1176" spans="1:25" s="94" customFormat="1" ht="34.5" customHeight="1" thickBot="1">
      <c r="A1176" s="495" t="s">
        <v>409</v>
      </c>
      <c r="B1176" s="184" t="s">
        <v>761</v>
      </c>
      <c r="C1176" s="1218">
        <f>CEILING((C1175+15*$Z$1),0.1)</f>
        <v>68.8</v>
      </c>
      <c r="D1176" s="1219"/>
      <c r="E1176" s="1218">
        <f>CEILING((E1175+15*$Z$1),0.1)</f>
        <v>102.60000000000001</v>
      </c>
      <c r="F1176" s="1219"/>
      <c r="G1176" s="1218">
        <f>CEILING((G1175+15*$Z$1),0.1)</f>
        <v>77.60000000000001</v>
      </c>
      <c r="H1176" s="1219"/>
      <c r="I1176" s="1218">
        <f>CEILING((I1175+15*$Z$1),0.1)</f>
        <v>82.60000000000001</v>
      </c>
      <c r="J1176" s="1219"/>
      <c r="K1176" s="1218">
        <f>CEILING((K1175+15*$Z$1),0.1)</f>
        <v>72.60000000000001</v>
      </c>
      <c r="L1176" s="1219"/>
      <c r="M1176" s="106"/>
      <c r="N1176" s="98"/>
      <c r="O1176" s="92"/>
      <c r="P1176" s="92"/>
      <c r="Q1176" s="92"/>
      <c r="R1176" s="92"/>
      <c r="S1176" s="92"/>
      <c r="T1176" s="92"/>
      <c r="U1176" s="92"/>
      <c r="V1176" s="92"/>
      <c r="W1176" s="92"/>
      <c r="X1176" s="92"/>
      <c r="Y1176" s="92"/>
    </row>
    <row r="1177" spans="1:25" s="94" customFormat="1" ht="34.5" customHeight="1" thickTop="1">
      <c r="A1177" s="1221" t="s">
        <v>642</v>
      </c>
      <c r="B1177" s="1221"/>
      <c r="C1177" s="1221"/>
      <c r="D1177" s="1221"/>
      <c r="E1177" s="1221"/>
      <c r="F1177" s="1221"/>
      <c r="G1177" s="1221"/>
      <c r="H1177" s="1221"/>
      <c r="I1177" s="423"/>
      <c r="J1177" s="423"/>
      <c r="K1177" s="91"/>
      <c r="L1177" s="91"/>
      <c r="M1177" s="97"/>
      <c r="N1177" s="98"/>
      <c r="O1177" s="92"/>
      <c r="P1177" s="92"/>
      <c r="Q1177" s="92"/>
      <c r="R1177" s="92"/>
      <c r="S1177" s="92"/>
      <c r="T1177" s="92"/>
      <c r="U1177" s="92"/>
      <c r="V1177" s="92"/>
      <c r="W1177" s="92"/>
      <c r="X1177" s="92"/>
      <c r="Y1177" s="92"/>
    </row>
    <row r="1178" spans="1:59" s="121" customFormat="1" ht="34.5" customHeight="1">
      <c r="A1178" s="832" t="s">
        <v>1170</v>
      </c>
      <c r="B1178" s="833"/>
      <c r="C1178" s="917"/>
      <c r="D1178" s="917"/>
      <c r="E1178" s="917"/>
      <c r="F1178" s="917"/>
      <c r="G1178" s="917"/>
      <c r="H1178" s="917"/>
      <c r="I1178" s="187"/>
      <c r="J1178" s="187"/>
      <c r="K1178" s="99"/>
      <c r="L1178" s="99"/>
      <c r="M1178" s="106"/>
      <c r="N1178" s="106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100"/>
      <c r="AV1178" s="100"/>
      <c r="AW1178" s="100"/>
      <c r="AX1178" s="100"/>
      <c r="AY1178" s="100"/>
      <c r="AZ1178" s="100"/>
      <c r="BA1178" s="100"/>
      <c r="BB1178" s="100"/>
      <c r="BC1178" s="100"/>
      <c r="BD1178" s="100"/>
      <c r="BE1178" s="100"/>
      <c r="BF1178" s="100"/>
      <c r="BG1178" s="100"/>
    </row>
    <row r="1179" spans="1:72" s="94" customFormat="1" ht="34.5" customHeight="1">
      <c r="A1179" s="234"/>
      <c r="B1179" s="140"/>
      <c r="C1179" s="140"/>
      <c r="D1179" s="140"/>
      <c r="E1179" s="140"/>
      <c r="F1179" s="140"/>
      <c r="G1179" s="140"/>
      <c r="H1179" s="140"/>
      <c r="I1179" s="140"/>
      <c r="J1179" s="140"/>
      <c r="K1179" s="95"/>
      <c r="L1179" s="95"/>
      <c r="M1179" s="127"/>
      <c r="N1179" s="127"/>
      <c r="O1179" s="136"/>
      <c r="P1179" s="136"/>
      <c r="Q1179" s="136"/>
      <c r="R1179" s="136"/>
      <c r="S1179" s="136"/>
      <c r="T1179" s="136"/>
      <c r="U1179" s="136"/>
      <c r="V1179" s="136"/>
      <c r="W1179" s="136"/>
      <c r="X1179" s="136"/>
      <c r="Y1179" s="136"/>
      <c r="Z1179" s="136"/>
      <c r="AA1179" s="136"/>
      <c r="AB1179" s="136"/>
      <c r="AC1179" s="136"/>
      <c r="AD1179" s="136"/>
      <c r="AE1179" s="136"/>
      <c r="AF1179" s="136"/>
      <c r="AG1179" s="136"/>
      <c r="AH1179" s="136"/>
      <c r="AI1179" s="136"/>
      <c r="AJ1179" s="136"/>
      <c r="AK1179" s="136"/>
      <c r="AL1179" s="136"/>
      <c r="AM1179" s="136"/>
      <c r="AN1179" s="136"/>
      <c r="AO1179" s="136"/>
      <c r="AP1179" s="136"/>
      <c r="AQ1179" s="136"/>
      <c r="AR1179" s="136"/>
      <c r="AS1179" s="136"/>
      <c r="AT1179" s="136"/>
      <c r="AU1179" s="136"/>
      <c r="AV1179" s="136"/>
      <c r="AW1179" s="136"/>
      <c r="AX1179" s="136"/>
      <c r="AY1179" s="136"/>
      <c r="AZ1179" s="136"/>
      <c r="BA1179" s="136"/>
      <c r="BB1179" s="136"/>
      <c r="BC1179" s="136"/>
      <c r="BD1179" s="136"/>
      <c r="BE1179" s="136"/>
      <c r="BF1179" s="136"/>
      <c r="BG1179" s="136"/>
      <c r="BH1179" s="136"/>
      <c r="BI1179" s="136"/>
      <c r="BJ1179" s="136"/>
      <c r="BK1179" s="136"/>
      <c r="BL1179" s="136"/>
      <c r="BM1179" s="136"/>
      <c r="BN1179" s="136"/>
      <c r="BO1179" s="136"/>
      <c r="BP1179" s="136"/>
      <c r="BQ1179" s="136"/>
      <c r="BR1179" s="136"/>
      <c r="BS1179" s="136"/>
      <c r="BT1179" s="136"/>
    </row>
    <row r="1180" spans="1:42" s="167" customFormat="1" ht="34.5" customHeight="1">
      <c r="A1180" s="837" t="s">
        <v>33</v>
      </c>
      <c r="B1180" s="838" t="s">
        <v>568</v>
      </c>
      <c r="C1180" s="839" t="s">
        <v>847</v>
      </c>
      <c r="D1180" s="840"/>
      <c r="E1180" s="841" t="s">
        <v>870</v>
      </c>
      <c r="F1180" s="842"/>
      <c r="G1180" s="841" t="s">
        <v>850</v>
      </c>
      <c r="H1180" s="842"/>
      <c r="I1180" s="841" t="s">
        <v>851</v>
      </c>
      <c r="J1180" s="842"/>
      <c r="K1180" s="841" t="s">
        <v>852</v>
      </c>
      <c r="L1180" s="842"/>
      <c r="M1180" s="151"/>
      <c r="N1180" s="151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</row>
    <row r="1181" spans="1:17" s="100" customFormat="1" ht="34.5" customHeight="1">
      <c r="A1181" s="510" t="s">
        <v>428</v>
      </c>
      <c r="B1181" s="462" t="s">
        <v>41</v>
      </c>
      <c r="C1181" s="1216">
        <f>CEILING(45.5*$Z$1,0.1)</f>
        <v>56.900000000000006</v>
      </c>
      <c r="D1181" s="1217"/>
      <c r="E1181" s="1216">
        <f>CEILING(65*$Z$1,0.1)</f>
        <v>81.30000000000001</v>
      </c>
      <c r="F1181" s="1217"/>
      <c r="G1181" s="1216">
        <f>CEILING(63*$Z$1,0.1)</f>
        <v>78.80000000000001</v>
      </c>
      <c r="H1181" s="1217"/>
      <c r="I1181" s="1216">
        <f>CEILING(62*$Z$1,0.1)</f>
        <v>77.5</v>
      </c>
      <c r="J1181" s="1217"/>
      <c r="K1181" s="1216">
        <f>CEILING(45.5*$Z$1,0.1)</f>
        <v>56.900000000000006</v>
      </c>
      <c r="L1181" s="1217"/>
      <c r="M1181" s="106"/>
      <c r="N1181" s="90"/>
      <c r="P1181" s="1308"/>
      <c r="Q1181" s="1308"/>
    </row>
    <row r="1182" spans="1:17" s="100" customFormat="1" ht="34.5" customHeight="1">
      <c r="A1182" s="511" t="s">
        <v>35</v>
      </c>
      <c r="B1182" s="464" t="s">
        <v>42</v>
      </c>
      <c r="C1182" s="1200">
        <f>CEILING((C1181+16*$Z$1),0.1)</f>
        <v>76.9</v>
      </c>
      <c r="D1182" s="1201"/>
      <c r="E1182" s="1200">
        <f>CEILING((E1181+23*$Z$1),0.1)</f>
        <v>110.10000000000001</v>
      </c>
      <c r="F1182" s="1201"/>
      <c r="G1182" s="1200">
        <f>CEILING((G1181+22*$Z$1),0.1)</f>
        <v>106.30000000000001</v>
      </c>
      <c r="H1182" s="1201"/>
      <c r="I1182" s="1200">
        <f>CEILING((I1181+22*$Z$1),0.1)</f>
        <v>105</v>
      </c>
      <c r="J1182" s="1201"/>
      <c r="K1182" s="1200">
        <f>CEILING((K1181+16*$Z$1),0.1)</f>
        <v>76.9</v>
      </c>
      <c r="L1182" s="1201"/>
      <c r="M1182" s="106"/>
      <c r="N1182" s="90"/>
      <c r="P1182" s="1270"/>
      <c r="Q1182" s="1270"/>
    </row>
    <row r="1183" spans="1:17" s="100" customFormat="1" ht="34.5" customHeight="1">
      <c r="A1183" s="515"/>
      <c r="B1183" s="466" t="s">
        <v>37</v>
      </c>
      <c r="C1183" s="1200">
        <f>CEILING((C1181*0.75),0.1)</f>
        <v>42.7</v>
      </c>
      <c r="D1183" s="1201"/>
      <c r="E1183" s="1200">
        <f>CEILING((E1181*0.75),0.1)</f>
        <v>61</v>
      </c>
      <c r="F1183" s="1201"/>
      <c r="G1183" s="1200">
        <f>CEILING((G1181*0.75),0.1)</f>
        <v>59.1</v>
      </c>
      <c r="H1183" s="1201"/>
      <c r="I1183" s="1200">
        <f>CEILING((I1181*0.75),0.1)</f>
        <v>58.2</v>
      </c>
      <c r="J1183" s="1201"/>
      <c r="K1183" s="1200">
        <f>CEILING((K1181*0.75),0.1)</f>
        <v>42.7</v>
      </c>
      <c r="L1183" s="1201"/>
      <c r="M1183" s="106"/>
      <c r="N1183" s="90"/>
      <c r="P1183" s="1270"/>
      <c r="Q1183" s="1270"/>
    </row>
    <row r="1184" spans="1:256" s="100" customFormat="1" ht="34.5" customHeight="1">
      <c r="A1184" s="514"/>
      <c r="B1184" s="238" t="s">
        <v>534</v>
      </c>
      <c r="C1184" s="1200">
        <f>CEILING((C1181*0),0.1)</f>
        <v>0</v>
      </c>
      <c r="D1184" s="1201"/>
      <c r="E1184" s="1200">
        <f>CEILING((E1181*0.5),0.1)</f>
        <v>40.7</v>
      </c>
      <c r="F1184" s="1201"/>
      <c r="G1184" s="1200">
        <f>CEILING((G1181*0.5),0.1)</f>
        <v>39.400000000000006</v>
      </c>
      <c r="H1184" s="1201"/>
      <c r="I1184" s="1200">
        <f>CEILING((I1181*0.5),0.1)</f>
        <v>38.800000000000004</v>
      </c>
      <c r="J1184" s="1201"/>
      <c r="K1184" s="1200">
        <f>CEILING((K1181*0),0.1)</f>
        <v>0</v>
      </c>
      <c r="L1184" s="1201"/>
      <c r="M1184" s="106"/>
      <c r="N1184" s="90"/>
      <c r="P1184" s="448"/>
      <c r="Q1184" s="448"/>
      <c r="R1184" s="448"/>
      <c r="S1184" s="448"/>
      <c r="T1184" s="448"/>
      <c r="U1184" s="448"/>
      <c r="V1184" s="448"/>
      <c r="W1184" s="448"/>
      <c r="X1184" s="448"/>
      <c r="Y1184" s="448"/>
      <c r="Z1184" s="448"/>
      <c r="AA1184" s="448"/>
      <c r="AB1184" s="448"/>
      <c r="AC1184" s="448"/>
      <c r="AD1184" s="448"/>
      <c r="AE1184" s="448"/>
      <c r="AF1184" s="448"/>
      <c r="AG1184" s="448"/>
      <c r="AH1184" s="448"/>
      <c r="AI1184" s="448"/>
      <c r="AJ1184" s="448"/>
      <c r="AK1184" s="448"/>
      <c r="AL1184" s="448"/>
      <c r="AM1184" s="448"/>
      <c r="AN1184" s="448"/>
      <c r="AO1184" s="448"/>
      <c r="AP1184" s="448"/>
      <c r="AQ1184" s="448"/>
      <c r="AR1184" s="448"/>
      <c r="AS1184" s="448"/>
      <c r="AT1184" s="448"/>
      <c r="AU1184" s="448"/>
      <c r="AV1184" s="448"/>
      <c r="AW1184" s="448"/>
      <c r="AX1184" s="448"/>
      <c r="AY1184" s="448"/>
      <c r="AZ1184" s="448"/>
      <c r="BA1184" s="448"/>
      <c r="BB1184" s="448"/>
      <c r="BC1184" s="448"/>
      <c r="BD1184" s="448"/>
      <c r="BE1184" s="448"/>
      <c r="BF1184" s="448"/>
      <c r="BG1184" s="448"/>
      <c r="BH1184" s="448"/>
      <c r="BI1184" s="448"/>
      <c r="BJ1184" s="448"/>
      <c r="BK1184" s="448"/>
      <c r="BL1184" s="448"/>
      <c r="BM1184" s="448"/>
      <c r="BN1184" s="448"/>
      <c r="BO1184" s="448"/>
      <c r="BP1184" s="448"/>
      <c r="BQ1184" s="448"/>
      <c r="BR1184" s="448"/>
      <c r="BS1184" s="448"/>
      <c r="BT1184" s="448"/>
      <c r="BU1184" s="448"/>
      <c r="BV1184" s="448"/>
      <c r="BW1184" s="448"/>
      <c r="BX1184" s="448"/>
      <c r="BY1184" s="448"/>
      <c r="BZ1184" s="448"/>
      <c r="CA1184" s="448"/>
      <c r="CB1184" s="448"/>
      <c r="CC1184" s="448"/>
      <c r="CD1184" s="448"/>
      <c r="CE1184" s="448"/>
      <c r="CF1184" s="448"/>
      <c r="CG1184" s="448"/>
      <c r="CH1184" s="448"/>
      <c r="CI1184" s="448"/>
      <c r="CJ1184" s="448"/>
      <c r="CK1184" s="448"/>
      <c r="CL1184" s="448"/>
      <c r="CM1184" s="448"/>
      <c r="CN1184" s="448"/>
      <c r="CO1184" s="448"/>
      <c r="CP1184" s="448"/>
      <c r="CQ1184" s="448"/>
      <c r="CR1184" s="448"/>
      <c r="CS1184" s="448"/>
      <c r="CT1184" s="448"/>
      <c r="CU1184" s="448"/>
      <c r="CV1184" s="448"/>
      <c r="CW1184" s="448"/>
      <c r="CX1184" s="448"/>
      <c r="CY1184" s="448"/>
      <c r="CZ1184" s="448"/>
      <c r="DA1184" s="448"/>
      <c r="DB1184" s="448"/>
      <c r="DC1184" s="448"/>
      <c r="DD1184" s="448"/>
      <c r="DE1184" s="448"/>
      <c r="DF1184" s="448"/>
      <c r="DG1184" s="448"/>
      <c r="DH1184" s="448"/>
      <c r="DI1184" s="448"/>
      <c r="DJ1184" s="448"/>
      <c r="DK1184" s="448"/>
      <c r="DL1184" s="448"/>
      <c r="DM1184" s="448"/>
      <c r="DN1184" s="448"/>
      <c r="DO1184" s="448"/>
      <c r="DP1184" s="448"/>
      <c r="DQ1184" s="448"/>
      <c r="DR1184" s="448"/>
      <c r="DS1184" s="448"/>
      <c r="DT1184" s="448"/>
      <c r="DU1184" s="448"/>
      <c r="DV1184" s="448"/>
      <c r="DW1184" s="448"/>
      <c r="DX1184" s="448"/>
      <c r="DY1184" s="448"/>
      <c r="DZ1184" s="448"/>
      <c r="EA1184" s="448"/>
      <c r="EB1184" s="448"/>
      <c r="EC1184" s="448"/>
      <c r="ED1184" s="448"/>
      <c r="EE1184" s="448"/>
      <c r="EF1184" s="448"/>
      <c r="EG1184" s="448"/>
      <c r="EH1184" s="448"/>
      <c r="EI1184" s="448"/>
      <c r="EJ1184" s="448"/>
      <c r="EK1184" s="448"/>
      <c r="EL1184" s="448"/>
      <c r="EM1184" s="448"/>
      <c r="EN1184" s="448"/>
      <c r="EO1184" s="448"/>
      <c r="EP1184" s="448"/>
      <c r="EQ1184" s="448"/>
      <c r="ER1184" s="448"/>
      <c r="ES1184" s="448"/>
      <c r="ET1184" s="448"/>
      <c r="EU1184" s="448"/>
      <c r="EV1184" s="448"/>
      <c r="EW1184" s="448"/>
      <c r="EX1184" s="448"/>
      <c r="EY1184" s="448"/>
      <c r="EZ1184" s="448"/>
      <c r="FA1184" s="448"/>
      <c r="FB1184" s="448"/>
      <c r="FC1184" s="448"/>
      <c r="FD1184" s="448"/>
      <c r="FE1184" s="448"/>
      <c r="FF1184" s="448"/>
      <c r="FG1184" s="448"/>
      <c r="FH1184" s="448"/>
      <c r="FI1184" s="448"/>
      <c r="FJ1184" s="448"/>
      <c r="FK1184" s="448"/>
      <c r="FL1184" s="448"/>
      <c r="FM1184" s="448"/>
      <c r="FN1184" s="448"/>
      <c r="FO1184" s="448"/>
      <c r="FP1184" s="448"/>
      <c r="FQ1184" s="448"/>
      <c r="FR1184" s="448"/>
      <c r="FS1184" s="448"/>
      <c r="FT1184" s="448"/>
      <c r="FU1184" s="448"/>
      <c r="FV1184" s="448"/>
      <c r="FW1184" s="448"/>
      <c r="FX1184" s="448"/>
      <c r="FY1184" s="448"/>
      <c r="FZ1184" s="448"/>
      <c r="GA1184" s="448"/>
      <c r="GB1184" s="448"/>
      <c r="GC1184" s="448"/>
      <c r="GD1184" s="448"/>
      <c r="GE1184" s="448"/>
      <c r="GF1184" s="448"/>
      <c r="GG1184" s="448"/>
      <c r="GH1184" s="448"/>
      <c r="GI1184" s="448"/>
      <c r="GJ1184" s="448"/>
      <c r="GK1184" s="448"/>
      <c r="GL1184" s="448"/>
      <c r="GM1184" s="448"/>
      <c r="GN1184" s="448"/>
      <c r="GO1184" s="448"/>
      <c r="GP1184" s="448"/>
      <c r="GQ1184" s="448"/>
      <c r="GR1184" s="448"/>
      <c r="GS1184" s="448"/>
      <c r="GT1184" s="448"/>
      <c r="GU1184" s="448"/>
      <c r="GV1184" s="448"/>
      <c r="GW1184" s="448"/>
      <c r="GX1184" s="448"/>
      <c r="GY1184" s="448"/>
      <c r="GZ1184" s="448"/>
      <c r="HA1184" s="448"/>
      <c r="HB1184" s="448"/>
      <c r="HC1184" s="448"/>
      <c r="HD1184" s="448"/>
      <c r="HE1184" s="448"/>
      <c r="HF1184" s="448"/>
      <c r="HG1184" s="448"/>
      <c r="HH1184" s="448"/>
      <c r="HI1184" s="448"/>
      <c r="HJ1184" s="448"/>
      <c r="HK1184" s="448"/>
      <c r="HL1184" s="448"/>
      <c r="HM1184" s="448"/>
      <c r="HN1184" s="448"/>
      <c r="HO1184" s="448"/>
      <c r="HP1184" s="448"/>
      <c r="HQ1184" s="448"/>
      <c r="HR1184" s="448"/>
      <c r="HS1184" s="448"/>
      <c r="HT1184" s="448"/>
      <c r="HU1184" s="448"/>
      <c r="HV1184" s="448"/>
      <c r="HW1184" s="448"/>
      <c r="HX1184" s="448"/>
      <c r="HY1184" s="448"/>
      <c r="HZ1184" s="448"/>
      <c r="IA1184" s="448"/>
      <c r="IB1184" s="448"/>
      <c r="IC1184" s="448"/>
      <c r="ID1184" s="448"/>
      <c r="IE1184" s="448"/>
      <c r="IF1184" s="448"/>
      <c r="IG1184" s="448"/>
      <c r="IH1184" s="448"/>
      <c r="II1184" s="448"/>
      <c r="IJ1184" s="448"/>
      <c r="IK1184" s="448"/>
      <c r="IL1184" s="448"/>
      <c r="IM1184" s="448"/>
      <c r="IN1184" s="448"/>
      <c r="IO1184" s="448"/>
      <c r="IP1184" s="448"/>
      <c r="IQ1184" s="448"/>
      <c r="IR1184" s="448"/>
      <c r="IS1184" s="448"/>
      <c r="IT1184" s="448"/>
      <c r="IU1184" s="448"/>
      <c r="IV1184" s="448"/>
    </row>
    <row r="1185" spans="1:17" s="100" customFormat="1" ht="34.5" customHeight="1">
      <c r="A1185" s="515"/>
      <c r="B1185" s="179" t="s">
        <v>5</v>
      </c>
      <c r="C1185" s="1200">
        <f>CEILING(48*$Z$1,0.1)</f>
        <v>60</v>
      </c>
      <c r="D1185" s="1201"/>
      <c r="E1185" s="1200">
        <f>CEILING(68.25*$Z$1,0.1)</f>
        <v>85.4</v>
      </c>
      <c r="F1185" s="1201"/>
      <c r="G1185" s="1200">
        <f>CEILING(66.5*$Z$1,0.1)</f>
        <v>83.2</v>
      </c>
      <c r="H1185" s="1201"/>
      <c r="I1185" s="1200">
        <f>CEILING(65*$Z$1,0.1)</f>
        <v>81.30000000000001</v>
      </c>
      <c r="J1185" s="1201"/>
      <c r="K1185" s="1200">
        <f>CEILING(48.1*$Z$1,0.1)</f>
        <v>60.2</v>
      </c>
      <c r="L1185" s="1201"/>
      <c r="M1185" s="579"/>
      <c r="N1185" s="579"/>
      <c r="P1185" s="1270"/>
      <c r="Q1185" s="1270"/>
    </row>
    <row r="1186" spans="1:17" s="100" customFormat="1" ht="34.5" customHeight="1">
      <c r="A1186" s="268"/>
      <c r="B1186" s="179" t="s">
        <v>6</v>
      </c>
      <c r="C1186" s="1200">
        <f>CEILING((C1185+17*$Z$1),0.1)</f>
        <v>81.30000000000001</v>
      </c>
      <c r="D1186" s="1201"/>
      <c r="E1186" s="1200">
        <f>CEILING((E1185+24*$Z$1),0.1)</f>
        <v>115.4</v>
      </c>
      <c r="F1186" s="1201"/>
      <c r="G1186" s="1200">
        <f>CEILING((G1185+23.2*$Z$1),0.1)</f>
        <v>112.2</v>
      </c>
      <c r="H1186" s="1201"/>
      <c r="I1186" s="1200">
        <f>CEILING((I1185+23*$Z$1),0.1)</f>
        <v>110.10000000000001</v>
      </c>
      <c r="J1186" s="1201"/>
      <c r="K1186" s="1200">
        <f>CEILING((K1185+17*$Z$1),0.1)</f>
        <v>81.5</v>
      </c>
      <c r="L1186" s="1201"/>
      <c r="M1186" s="579"/>
      <c r="N1186" s="579"/>
      <c r="P1186" s="127"/>
      <c r="Q1186" s="127"/>
    </row>
    <row r="1187" spans="1:17" s="100" customFormat="1" ht="34.5" customHeight="1">
      <c r="A1187" s="269"/>
      <c r="B1187" s="464" t="s">
        <v>34</v>
      </c>
      <c r="C1187" s="1200">
        <f>CEILING(50.4*$Z$1,0.1)</f>
        <v>63</v>
      </c>
      <c r="D1187" s="1201"/>
      <c r="E1187" s="1200">
        <f>CEILING(74.5*$Z$1,0.1)</f>
        <v>93.2</v>
      </c>
      <c r="F1187" s="1201"/>
      <c r="G1187" s="1200">
        <f>CEILING(69.3*$Z$1,0.1)</f>
        <v>86.7</v>
      </c>
      <c r="H1187" s="1201"/>
      <c r="I1187" s="1200">
        <f>CEILING(68.3*$Z$1,0.1)</f>
        <v>85.4</v>
      </c>
      <c r="J1187" s="1201"/>
      <c r="K1187" s="1200">
        <f>CEILING(50*$Z$1,0.1)</f>
        <v>62.5</v>
      </c>
      <c r="L1187" s="1201"/>
      <c r="M1187" s="579"/>
      <c r="N1187" s="579"/>
      <c r="P1187" s="127"/>
      <c r="Q1187" s="127"/>
    </row>
    <row r="1188" spans="1:17" s="100" customFormat="1" ht="34.5" customHeight="1">
      <c r="A1188" s="515"/>
      <c r="B1188" s="464" t="s">
        <v>36</v>
      </c>
      <c r="C1188" s="1200">
        <f>CEILING((C1187+18*$Z$1),0.1)</f>
        <v>85.5</v>
      </c>
      <c r="D1188" s="1201"/>
      <c r="E1188" s="1200">
        <f>CEILING((E1187+25*$Z$1),0.1)</f>
        <v>124.5</v>
      </c>
      <c r="F1188" s="1201"/>
      <c r="G1188" s="1200">
        <f>CEILING((G1187+24.2*$Z$1),0.1)</f>
        <v>117</v>
      </c>
      <c r="H1188" s="1201"/>
      <c r="I1188" s="1200">
        <f>CEILING((I1187+24*$Z$1),0.1)</f>
        <v>115.4</v>
      </c>
      <c r="J1188" s="1201"/>
      <c r="K1188" s="1200">
        <f>CEILING((K1187+17.5*$Z$1),0.1)</f>
        <v>84.4</v>
      </c>
      <c r="L1188" s="1201"/>
      <c r="M1188" s="106"/>
      <c r="N1188" s="90"/>
      <c r="P1188" s="1270"/>
      <c r="Q1188" s="1270"/>
    </row>
    <row r="1189" spans="1:17" s="100" customFormat="1" ht="34.5" customHeight="1">
      <c r="A1189" s="515"/>
      <c r="B1189" s="179" t="s">
        <v>52</v>
      </c>
      <c r="C1189" s="1200">
        <f>CEILING(55*$Z$1,0.1)</f>
        <v>68.8</v>
      </c>
      <c r="D1189" s="1201"/>
      <c r="E1189" s="1200">
        <f>CEILING(78*$Z$1,0.1)</f>
        <v>97.5</v>
      </c>
      <c r="F1189" s="1201"/>
      <c r="G1189" s="1200">
        <f>CEILING(76*$Z$1,0.1)</f>
        <v>95</v>
      </c>
      <c r="H1189" s="1201"/>
      <c r="I1189" s="1200">
        <f>CEILING(74.1*$Z$1,0.1)</f>
        <v>92.7</v>
      </c>
      <c r="J1189" s="1201"/>
      <c r="K1189" s="1200">
        <f>CEILING(55*$Z$1,0.1)</f>
        <v>68.8</v>
      </c>
      <c r="L1189" s="1201"/>
      <c r="M1189" s="106"/>
      <c r="N1189" s="90"/>
      <c r="P1189" s="1270"/>
      <c r="Q1189" s="1270"/>
    </row>
    <row r="1190" spans="1:14" s="100" customFormat="1" ht="34.5" customHeight="1">
      <c r="A1190" s="1120" t="s">
        <v>1198</v>
      </c>
      <c r="B1190" s="179" t="s">
        <v>53</v>
      </c>
      <c r="C1190" s="1200">
        <f>CEILING((C1189+19.1*$Z$1),0.1)</f>
        <v>92.7</v>
      </c>
      <c r="D1190" s="1201"/>
      <c r="E1190" s="1200">
        <f>CEILING((E1189+27.3*$Z$1),0.1)</f>
        <v>131.70000000000002</v>
      </c>
      <c r="F1190" s="1201"/>
      <c r="G1190" s="1200">
        <f>CEILING((G1189+26.4*$Z$1),0.1)</f>
        <v>128</v>
      </c>
      <c r="H1190" s="1201"/>
      <c r="I1190" s="1200">
        <f>CEILING((I1189+26*$Z$1),0.1)</f>
        <v>125.2</v>
      </c>
      <c r="J1190" s="1201"/>
      <c r="K1190" s="1200">
        <f>CEILING((K1189+19.2*$Z$1),0.1)</f>
        <v>92.80000000000001</v>
      </c>
      <c r="L1190" s="1201"/>
      <c r="M1190" s="106"/>
      <c r="N1190" s="90"/>
    </row>
    <row r="1191" spans="1:14" s="100" customFormat="1" ht="34.5" customHeight="1">
      <c r="A1191" s="1121" t="s">
        <v>1309</v>
      </c>
      <c r="B1191" s="179" t="s">
        <v>7</v>
      </c>
      <c r="C1191" s="1200">
        <f>CEILING(60*$Z$1,0.1)</f>
        <v>75</v>
      </c>
      <c r="D1191" s="1201"/>
      <c r="E1191" s="1200">
        <f>CEILING(84.5*$Z$1,0.1)</f>
        <v>105.7</v>
      </c>
      <c r="F1191" s="1201"/>
      <c r="G1191" s="1200">
        <f>CEILING(82*$Z$1,0.1)</f>
        <v>102.5</v>
      </c>
      <c r="H1191" s="1201"/>
      <c r="I1191" s="1200">
        <f>CEILING(81*$Z$1,0.1)</f>
        <v>101.30000000000001</v>
      </c>
      <c r="J1191" s="1201"/>
      <c r="K1191" s="1200">
        <f>CEILING(59.1*$Z$1,0.1)</f>
        <v>73.9</v>
      </c>
      <c r="L1191" s="1201"/>
      <c r="M1191" s="106"/>
      <c r="N1191" s="90"/>
    </row>
    <row r="1192" spans="1:14" s="100" customFormat="1" ht="34.5" customHeight="1">
      <c r="A1192" s="580"/>
      <c r="B1192" s="179" t="s">
        <v>267</v>
      </c>
      <c r="C1192" s="1200">
        <f>CEILING((C1191+21*$Z$1),0.1)</f>
        <v>101.30000000000001</v>
      </c>
      <c r="D1192" s="1201"/>
      <c r="E1192" s="1200">
        <f>CEILING((E1191+30*$Z$1),0.1)</f>
        <v>143.20000000000002</v>
      </c>
      <c r="F1192" s="1201"/>
      <c r="G1192" s="1200">
        <f>CEILING((G1191+29*$Z$1),0.1)</f>
        <v>138.8</v>
      </c>
      <c r="H1192" s="1201"/>
      <c r="I1192" s="1200">
        <f>CEILING((I1191+28.4*$Z$1),0.1)</f>
        <v>136.8</v>
      </c>
      <c r="J1192" s="1201"/>
      <c r="K1192" s="1200">
        <f>CEILING((K1191+21*$Z$1),0.1)</f>
        <v>100.2</v>
      </c>
      <c r="L1192" s="1201"/>
      <c r="M1192" s="106"/>
      <c r="N1192" s="106"/>
    </row>
    <row r="1193" spans="1:14" s="100" customFormat="1" ht="34.5" customHeight="1">
      <c r="A1193" s="581"/>
      <c r="B1193" s="582" t="s">
        <v>430</v>
      </c>
      <c r="C1193" s="1200">
        <f>CEILING(68*$Z$1,0.1)</f>
        <v>85</v>
      </c>
      <c r="D1193" s="1201"/>
      <c r="E1193" s="1200">
        <f>CEILING(93*$Z$1,0.1)</f>
        <v>116.30000000000001</v>
      </c>
      <c r="F1193" s="1201"/>
      <c r="G1193" s="1200">
        <f>CEILING(91*$Z$1,0.1)</f>
        <v>113.80000000000001</v>
      </c>
      <c r="H1193" s="1201"/>
      <c r="I1193" s="1200">
        <f>CEILING(89*$Z$1,0.1)</f>
        <v>111.30000000000001</v>
      </c>
      <c r="J1193" s="1201"/>
      <c r="K1193" s="1200">
        <f>CEILING(67*$Z$1,0.1)</f>
        <v>83.80000000000001</v>
      </c>
      <c r="L1193" s="1201"/>
      <c r="M1193" s="106"/>
      <c r="N1193" s="106"/>
    </row>
    <row r="1194" spans="1:61" s="247" customFormat="1" ht="34.5" customHeight="1" thickBot="1">
      <c r="A1194" s="583" t="s">
        <v>429</v>
      </c>
      <c r="B1194" s="584" t="s">
        <v>397</v>
      </c>
      <c r="C1194" s="1212">
        <f>CEILING(34*$Z$1,0.1)</f>
        <v>42.5</v>
      </c>
      <c r="D1194" s="1213"/>
      <c r="E1194" s="1212">
        <f>CEILING(46.5*$Z$1,0.1)</f>
        <v>58.2</v>
      </c>
      <c r="F1194" s="1213"/>
      <c r="G1194" s="1212">
        <f>CEILING(45.5*$Z$1,0.1)</f>
        <v>56.900000000000006</v>
      </c>
      <c r="H1194" s="1213"/>
      <c r="I1194" s="1212">
        <f>CEILING(44.5*$Z$1,0.1)</f>
        <v>55.7</v>
      </c>
      <c r="J1194" s="1213"/>
      <c r="K1194" s="1212">
        <f>CEILING(33.5*$Z$1,0.1)</f>
        <v>41.900000000000006</v>
      </c>
      <c r="L1194" s="1213"/>
      <c r="M1194" s="106"/>
      <c r="N1194" s="106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100"/>
      <c r="AV1194" s="100"/>
      <c r="AW1194" s="100"/>
      <c r="AX1194" s="100"/>
      <c r="AY1194" s="100"/>
      <c r="AZ1194" s="100"/>
      <c r="BA1194" s="100"/>
      <c r="BB1194" s="100"/>
      <c r="BC1194" s="100"/>
      <c r="BD1194" s="100"/>
      <c r="BE1194" s="100"/>
      <c r="BF1194" s="100"/>
      <c r="BG1194" s="100"/>
      <c r="BH1194" s="100"/>
      <c r="BI1194" s="100"/>
    </row>
    <row r="1195" spans="1:61" s="132" customFormat="1" ht="34.5" customHeight="1" thickTop="1">
      <c r="A1195" s="580" t="s">
        <v>431</v>
      </c>
      <c r="B1195" s="585"/>
      <c r="C1195" s="585"/>
      <c r="D1195" s="585"/>
      <c r="E1195" s="585"/>
      <c r="F1195" s="585"/>
      <c r="G1195" s="585"/>
      <c r="H1195" s="585"/>
      <c r="I1195" s="585"/>
      <c r="J1195" s="585"/>
      <c r="K1195" s="585"/>
      <c r="L1195" s="585"/>
      <c r="M1195" s="106"/>
      <c r="N1195" s="106"/>
      <c r="O1195" s="131"/>
      <c r="P1195" s="131"/>
      <c r="Q1195" s="131"/>
      <c r="R1195" s="131"/>
      <c r="S1195" s="131"/>
      <c r="T1195" s="131"/>
      <c r="U1195" s="131"/>
      <c r="V1195" s="131"/>
      <c r="W1195" s="131"/>
      <c r="X1195" s="131"/>
      <c r="Y1195" s="131"/>
      <c r="Z1195" s="131"/>
      <c r="AA1195" s="131"/>
      <c r="AB1195" s="131"/>
      <c r="AC1195" s="131"/>
      <c r="AD1195" s="131"/>
      <c r="AE1195" s="131"/>
      <c r="AF1195" s="131"/>
      <c r="AG1195" s="131"/>
      <c r="AH1195" s="131"/>
      <c r="AI1195" s="131"/>
      <c r="AJ1195" s="131"/>
      <c r="AK1195" s="131"/>
      <c r="AL1195" s="131"/>
      <c r="AM1195" s="131"/>
      <c r="AN1195" s="131"/>
      <c r="AO1195" s="131"/>
      <c r="AP1195" s="131"/>
      <c r="AQ1195" s="131"/>
      <c r="AR1195" s="131"/>
      <c r="AS1195" s="131"/>
      <c r="AT1195" s="131"/>
      <c r="AU1195" s="131"/>
      <c r="AV1195" s="131"/>
      <c r="AW1195" s="131"/>
      <c r="AX1195" s="131"/>
      <c r="AY1195" s="131"/>
      <c r="AZ1195" s="131"/>
      <c r="BA1195" s="131"/>
      <c r="BB1195" s="131"/>
      <c r="BC1195" s="131"/>
      <c r="BD1195" s="131"/>
      <c r="BE1195" s="131"/>
      <c r="BF1195" s="131"/>
      <c r="BG1195" s="131"/>
      <c r="BH1195" s="131"/>
      <c r="BI1195" s="131"/>
    </row>
    <row r="1196" spans="1:13" s="930" customFormat="1" ht="31.5" customHeight="1">
      <c r="A1196" s="908"/>
      <c r="B1196" s="908"/>
      <c r="C1196" s="908"/>
      <c r="D1196" s="908"/>
      <c r="E1196" s="908"/>
      <c r="F1196" s="908"/>
      <c r="G1196" s="908"/>
      <c r="H1196" s="908"/>
      <c r="I1196" s="908"/>
      <c r="J1196" s="908"/>
      <c r="K1196" s="928"/>
      <c r="L1196" s="928"/>
      <c r="M1196" s="929"/>
    </row>
    <row r="1197" spans="1:42" s="167" customFormat="1" ht="34.5" customHeight="1">
      <c r="A1197" s="837" t="s">
        <v>33</v>
      </c>
      <c r="B1197" s="838" t="s">
        <v>568</v>
      </c>
      <c r="C1197" s="839" t="s">
        <v>847</v>
      </c>
      <c r="D1197" s="840"/>
      <c r="E1197" s="841" t="s">
        <v>870</v>
      </c>
      <c r="F1197" s="842"/>
      <c r="G1197" s="841" t="s">
        <v>850</v>
      </c>
      <c r="H1197" s="842"/>
      <c r="I1197" s="841" t="s">
        <v>851</v>
      </c>
      <c r="J1197" s="842"/>
      <c r="K1197" s="841" t="s">
        <v>852</v>
      </c>
      <c r="L1197" s="842"/>
      <c r="M1197" s="151"/>
      <c r="N1197" s="151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</row>
    <row r="1198" spans="1:50" s="94" customFormat="1" ht="34.5" customHeight="1">
      <c r="A1198" s="482" t="s">
        <v>102</v>
      </c>
      <c r="B1198" s="213" t="s">
        <v>41</v>
      </c>
      <c r="C1198" s="1216">
        <f>CEILING(35*$Z$1,0.1)</f>
        <v>43.800000000000004</v>
      </c>
      <c r="D1198" s="1217"/>
      <c r="E1198" s="1216">
        <f>CEILING(58.5*$Z$1,0.1)</f>
        <v>73.2</v>
      </c>
      <c r="F1198" s="1217"/>
      <c r="G1198" s="1216">
        <f>CEILING(49*$Z$1,0.1)</f>
        <v>61.300000000000004</v>
      </c>
      <c r="H1198" s="1217"/>
      <c r="I1198" s="1216">
        <f>CEILING(52*$Z$1,0.1)</f>
        <v>65</v>
      </c>
      <c r="J1198" s="1217"/>
      <c r="K1198" s="1216">
        <f>CEILING(36*$Z$1,0.1)</f>
        <v>45</v>
      </c>
      <c r="L1198" s="1217"/>
      <c r="M1198" s="97"/>
      <c r="N1198" s="98"/>
      <c r="O1198" s="136"/>
      <c r="P1198" s="136"/>
      <c r="Q1198" s="136"/>
      <c r="R1198" s="136"/>
      <c r="S1198" s="136"/>
      <c r="T1198" s="136"/>
      <c r="U1198" s="136"/>
      <c r="V1198" s="136"/>
      <c r="W1198" s="136"/>
      <c r="X1198" s="136"/>
      <c r="Y1198" s="136"/>
      <c r="Z1198" s="136"/>
      <c r="AA1198" s="136"/>
      <c r="AB1198" s="136"/>
      <c r="AC1198" s="136"/>
      <c r="AD1198" s="136"/>
      <c r="AE1198" s="136"/>
      <c r="AF1198" s="136"/>
      <c r="AG1198" s="136"/>
      <c r="AH1198" s="136"/>
      <c r="AI1198" s="136"/>
      <c r="AJ1198" s="136"/>
      <c r="AK1198" s="136"/>
      <c r="AL1198" s="136"/>
      <c r="AM1198" s="136"/>
      <c r="AN1198" s="136"/>
      <c r="AO1198" s="136"/>
      <c r="AP1198" s="136"/>
      <c r="AQ1198" s="136"/>
      <c r="AR1198" s="136"/>
      <c r="AS1198" s="136"/>
      <c r="AT1198" s="136"/>
      <c r="AU1198" s="136"/>
      <c r="AV1198" s="136"/>
      <c r="AW1198" s="136"/>
      <c r="AX1198" s="136"/>
    </row>
    <row r="1199" spans="1:50" s="94" customFormat="1" ht="34.5" customHeight="1">
      <c r="A1199" s="297" t="s">
        <v>49</v>
      </c>
      <c r="B1199" s="192" t="s">
        <v>42</v>
      </c>
      <c r="C1199" s="1200">
        <f>CEILING((C1198+11*$Z$1),0.1)</f>
        <v>57.6</v>
      </c>
      <c r="D1199" s="1201"/>
      <c r="E1199" s="1200">
        <f>CEILING((E1198+18*$Z$1),0.1)</f>
        <v>95.7</v>
      </c>
      <c r="F1199" s="1201"/>
      <c r="G1199" s="1200">
        <f>CEILING((G1198+15*$Z$1),0.1)</f>
        <v>80.10000000000001</v>
      </c>
      <c r="H1199" s="1201"/>
      <c r="I1199" s="1200">
        <f>CEILING((I1198+16*$Z$1),0.1)</f>
        <v>85</v>
      </c>
      <c r="J1199" s="1201"/>
      <c r="K1199" s="1200">
        <f>CEILING((K1198+11*$Z$1),0.1)</f>
        <v>58.800000000000004</v>
      </c>
      <c r="L1199" s="1201"/>
      <c r="M1199" s="97"/>
      <c r="N1199" s="98"/>
      <c r="O1199" s="136"/>
      <c r="P1199" s="136"/>
      <c r="Q1199" s="136"/>
      <c r="R1199" s="136"/>
      <c r="S1199" s="136"/>
      <c r="T1199" s="136"/>
      <c r="U1199" s="136"/>
      <c r="V1199" s="136"/>
      <c r="W1199" s="136"/>
      <c r="X1199" s="136"/>
      <c r="Y1199" s="136"/>
      <c r="Z1199" s="136"/>
      <c r="AA1199" s="136"/>
      <c r="AB1199" s="136"/>
      <c r="AC1199" s="136"/>
      <c r="AD1199" s="136"/>
      <c r="AE1199" s="136"/>
      <c r="AF1199" s="136"/>
      <c r="AG1199" s="136"/>
      <c r="AH1199" s="136"/>
      <c r="AI1199" s="136"/>
      <c r="AJ1199" s="136"/>
      <c r="AK1199" s="136"/>
      <c r="AL1199" s="136"/>
      <c r="AM1199" s="136"/>
      <c r="AN1199" s="136"/>
      <c r="AO1199" s="136"/>
      <c r="AP1199" s="136"/>
      <c r="AQ1199" s="136"/>
      <c r="AR1199" s="136"/>
      <c r="AS1199" s="136"/>
      <c r="AT1199" s="136"/>
      <c r="AU1199" s="136"/>
      <c r="AV1199" s="136"/>
      <c r="AW1199" s="136"/>
      <c r="AX1199" s="136"/>
    </row>
    <row r="1200" spans="1:50" s="94" customFormat="1" ht="34.5" customHeight="1">
      <c r="A1200" s="268"/>
      <c r="B1200" s="192" t="s">
        <v>67</v>
      </c>
      <c r="C1200" s="1200">
        <f>CEILING((C1198*0.75),0.1)</f>
        <v>32.9</v>
      </c>
      <c r="D1200" s="1201"/>
      <c r="E1200" s="1200">
        <f>CEILING((E1198*0.75),0.1)</f>
        <v>54.900000000000006</v>
      </c>
      <c r="F1200" s="1201"/>
      <c r="G1200" s="1200">
        <f>CEILING((G1198*0.75),0.1)</f>
        <v>46</v>
      </c>
      <c r="H1200" s="1201"/>
      <c r="I1200" s="1200">
        <f>CEILING((I1198*0.75),0.1)</f>
        <v>48.800000000000004</v>
      </c>
      <c r="J1200" s="1201"/>
      <c r="K1200" s="1200">
        <f>CEILING((K1198*0.75),0.1)</f>
        <v>33.800000000000004</v>
      </c>
      <c r="L1200" s="1201"/>
      <c r="M1200" s="97"/>
      <c r="N1200" s="98"/>
      <c r="O1200" s="136"/>
      <c r="P1200" s="136"/>
      <c r="Q1200" s="136"/>
      <c r="R1200" s="136"/>
      <c r="S1200" s="136"/>
      <c r="T1200" s="136"/>
      <c r="U1200" s="136"/>
      <c r="V1200" s="136"/>
      <c r="W1200" s="136"/>
      <c r="X1200" s="136"/>
      <c r="Y1200" s="136"/>
      <c r="Z1200" s="136"/>
      <c r="AA1200" s="136"/>
      <c r="AB1200" s="136"/>
      <c r="AC1200" s="136"/>
      <c r="AD1200" s="136"/>
      <c r="AE1200" s="136"/>
      <c r="AF1200" s="136"/>
      <c r="AG1200" s="136"/>
      <c r="AH1200" s="136"/>
      <c r="AI1200" s="136"/>
      <c r="AJ1200" s="136"/>
      <c r="AK1200" s="136"/>
      <c r="AL1200" s="136"/>
      <c r="AM1200" s="136"/>
      <c r="AN1200" s="136"/>
      <c r="AO1200" s="136"/>
      <c r="AP1200" s="136"/>
      <c r="AQ1200" s="136"/>
      <c r="AR1200" s="136"/>
      <c r="AS1200" s="136"/>
      <c r="AT1200" s="136"/>
      <c r="AU1200" s="136"/>
      <c r="AV1200" s="136"/>
      <c r="AW1200" s="136"/>
      <c r="AX1200" s="136"/>
    </row>
    <row r="1201" spans="1:50" s="94" customFormat="1" ht="34.5" customHeight="1">
      <c r="A1201" s="268"/>
      <c r="B1201" s="192" t="s">
        <v>586</v>
      </c>
      <c r="C1201" s="1200">
        <f>CEILING((C1198*0.5),0.1)</f>
        <v>21.900000000000002</v>
      </c>
      <c r="D1201" s="1201"/>
      <c r="E1201" s="1200">
        <f>CEILING((E1198*0.5),0.1)</f>
        <v>36.6</v>
      </c>
      <c r="F1201" s="1201"/>
      <c r="G1201" s="1200">
        <f>CEILING((G1198*0.5),0.1)</f>
        <v>30.700000000000003</v>
      </c>
      <c r="H1201" s="1201"/>
      <c r="I1201" s="1200">
        <f>CEILING((I1198*0.5),0.1)</f>
        <v>32.5</v>
      </c>
      <c r="J1201" s="1201"/>
      <c r="K1201" s="1200">
        <f>CEILING((K1198*0.5),0.1)</f>
        <v>22.5</v>
      </c>
      <c r="L1201" s="1201"/>
      <c r="M1201" s="97"/>
      <c r="N1201" s="98"/>
      <c r="O1201" s="136"/>
      <c r="P1201" s="136"/>
      <c r="Q1201" s="136"/>
      <c r="R1201" s="136"/>
      <c r="S1201" s="136"/>
      <c r="T1201" s="136"/>
      <c r="U1201" s="136"/>
      <c r="V1201" s="136"/>
      <c r="W1201" s="136"/>
      <c r="X1201" s="136"/>
      <c r="Y1201" s="136"/>
      <c r="Z1201" s="136"/>
      <c r="AA1201" s="136"/>
      <c r="AB1201" s="136"/>
      <c r="AC1201" s="136"/>
      <c r="AD1201" s="136"/>
      <c r="AE1201" s="136"/>
      <c r="AF1201" s="136"/>
      <c r="AG1201" s="136"/>
      <c r="AH1201" s="136"/>
      <c r="AI1201" s="136"/>
      <c r="AJ1201" s="136"/>
      <c r="AK1201" s="136"/>
      <c r="AL1201" s="136"/>
      <c r="AM1201" s="136"/>
      <c r="AN1201" s="136"/>
      <c r="AO1201" s="136"/>
      <c r="AP1201" s="136"/>
      <c r="AQ1201" s="136"/>
      <c r="AR1201" s="136"/>
      <c r="AS1201" s="136"/>
      <c r="AT1201" s="136"/>
      <c r="AU1201" s="136"/>
      <c r="AV1201" s="136"/>
      <c r="AW1201" s="136"/>
      <c r="AX1201" s="136"/>
    </row>
    <row r="1202" spans="1:50" s="94" customFormat="1" ht="34.5" customHeight="1">
      <c r="A1202" s="515"/>
      <c r="B1202" s="171" t="s">
        <v>424</v>
      </c>
      <c r="C1202" s="1200">
        <f>CEILING(37.1*$Z$1,0.1)</f>
        <v>46.400000000000006</v>
      </c>
      <c r="D1202" s="1201"/>
      <c r="E1202" s="1200">
        <f>CEILING(62*$Z$1,0.1)</f>
        <v>77.5</v>
      </c>
      <c r="F1202" s="1201"/>
      <c r="G1202" s="1200">
        <f>CEILING(52*$Z$1,0.1)</f>
        <v>65</v>
      </c>
      <c r="H1202" s="1201"/>
      <c r="I1202" s="1200">
        <f>CEILING(55*$Z$1,0.1)</f>
        <v>68.8</v>
      </c>
      <c r="J1202" s="1201"/>
      <c r="K1202" s="1200">
        <f>CEILING(38*$Z$1,0.1)</f>
        <v>47.5</v>
      </c>
      <c r="L1202" s="1201"/>
      <c r="M1202" s="97"/>
      <c r="N1202" s="98"/>
      <c r="O1202" s="136"/>
      <c r="P1202" s="136"/>
      <c r="Q1202" s="136"/>
      <c r="R1202" s="136"/>
      <c r="S1202" s="136"/>
      <c r="T1202" s="136"/>
      <c r="U1202" s="136"/>
      <c r="V1202" s="136"/>
      <c r="W1202" s="136"/>
      <c r="X1202" s="136"/>
      <c r="Y1202" s="136"/>
      <c r="Z1202" s="136"/>
      <c r="AA1202" s="136"/>
      <c r="AB1202" s="136"/>
      <c r="AC1202" s="136"/>
      <c r="AD1202" s="136"/>
      <c r="AE1202" s="136"/>
      <c r="AF1202" s="136"/>
      <c r="AG1202" s="136"/>
      <c r="AH1202" s="136"/>
      <c r="AI1202" s="136"/>
      <c r="AJ1202" s="136"/>
      <c r="AK1202" s="136"/>
      <c r="AL1202" s="136"/>
      <c r="AM1202" s="136"/>
      <c r="AN1202" s="136"/>
      <c r="AO1202" s="136"/>
      <c r="AP1202" s="136"/>
      <c r="AQ1202" s="136"/>
      <c r="AR1202" s="136"/>
      <c r="AS1202" s="136"/>
      <c r="AT1202" s="136"/>
      <c r="AU1202" s="136"/>
      <c r="AV1202" s="136"/>
      <c r="AW1202" s="136"/>
      <c r="AX1202" s="136"/>
    </row>
    <row r="1203" spans="1:50" s="94" customFormat="1" ht="34.5" customHeight="1">
      <c r="A1203" s="1120" t="s">
        <v>1198</v>
      </c>
      <c r="B1203" s="171" t="s">
        <v>425</v>
      </c>
      <c r="C1203" s="1200">
        <f>CEILING((C1202+11.1*$Z$1),0.1)</f>
        <v>60.300000000000004</v>
      </c>
      <c r="D1203" s="1201"/>
      <c r="E1203" s="1200">
        <f>CEILING((E1202+19*$Z$1),0.1)</f>
        <v>101.30000000000001</v>
      </c>
      <c r="F1203" s="1201"/>
      <c r="G1203" s="1200">
        <f>CEILING((G1202+15.5*$Z$1),0.1)</f>
        <v>84.4</v>
      </c>
      <c r="H1203" s="1201"/>
      <c r="I1203" s="1200">
        <f>CEILING((I1202+16.5*$Z$1),0.1)</f>
        <v>89.5</v>
      </c>
      <c r="J1203" s="1201"/>
      <c r="K1203" s="1200">
        <f>CEILING((K1202+11.4*$Z$1),0.1)</f>
        <v>61.800000000000004</v>
      </c>
      <c r="L1203" s="1201"/>
      <c r="M1203" s="97"/>
      <c r="N1203" s="98"/>
      <c r="O1203" s="136"/>
      <c r="P1203" s="136"/>
      <c r="Q1203" s="136"/>
      <c r="R1203" s="136"/>
      <c r="S1203" s="136"/>
      <c r="T1203" s="136"/>
      <c r="U1203" s="136"/>
      <c r="V1203" s="136"/>
      <c r="W1203" s="136"/>
      <c r="X1203" s="136"/>
      <c r="Y1203" s="136"/>
      <c r="Z1203" s="136"/>
      <c r="AA1203" s="136"/>
      <c r="AB1203" s="136"/>
      <c r="AC1203" s="136"/>
      <c r="AD1203" s="136"/>
      <c r="AE1203" s="136"/>
      <c r="AF1203" s="136"/>
      <c r="AG1203" s="136"/>
      <c r="AH1203" s="136"/>
      <c r="AI1203" s="136"/>
      <c r="AJ1203" s="136"/>
      <c r="AK1203" s="136"/>
      <c r="AL1203" s="136"/>
      <c r="AM1203" s="136"/>
      <c r="AN1203" s="136"/>
      <c r="AO1203" s="136"/>
      <c r="AP1203" s="136"/>
      <c r="AQ1203" s="136"/>
      <c r="AR1203" s="136"/>
      <c r="AS1203" s="136"/>
      <c r="AT1203" s="136"/>
      <c r="AU1203" s="136"/>
      <c r="AV1203" s="136"/>
      <c r="AW1203" s="136"/>
      <c r="AX1203" s="136"/>
    </row>
    <row r="1204" spans="1:50" s="94" customFormat="1" ht="34.5" customHeight="1">
      <c r="A1204" s="1121" t="s">
        <v>1309</v>
      </c>
      <c r="B1204" s="171" t="s">
        <v>426</v>
      </c>
      <c r="C1204" s="1200">
        <f>CEILING(38.5*$Z$1,0.1)</f>
        <v>48.2</v>
      </c>
      <c r="D1204" s="1201"/>
      <c r="E1204" s="1200">
        <f>CEILING(64.3*$Z$1,0.1)</f>
        <v>80.4</v>
      </c>
      <c r="F1204" s="1201"/>
      <c r="G1204" s="1200">
        <f>CEILING(54*$Z$1,0.1)</f>
        <v>67.5</v>
      </c>
      <c r="H1204" s="1201"/>
      <c r="I1204" s="1200">
        <f>CEILING(57.2*$Z$1,0.1)</f>
        <v>71.5</v>
      </c>
      <c r="J1204" s="1201"/>
      <c r="K1204" s="1200">
        <f>CEILING(40*$Z$1,0.1)</f>
        <v>50</v>
      </c>
      <c r="L1204" s="1201"/>
      <c r="M1204" s="97"/>
      <c r="N1204" s="98"/>
      <c r="O1204" s="136"/>
      <c r="P1204" s="136"/>
      <c r="Q1204" s="136"/>
      <c r="R1204" s="136"/>
      <c r="S1204" s="136"/>
      <c r="T1204" s="136"/>
      <c r="U1204" s="136"/>
      <c r="V1204" s="136"/>
      <c r="W1204" s="136"/>
      <c r="X1204" s="136"/>
      <c r="Y1204" s="136"/>
      <c r="Z1204" s="136"/>
      <c r="AA1204" s="136"/>
      <c r="AB1204" s="136"/>
      <c r="AC1204" s="136"/>
      <c r="AD1204" s="136"/>
      <c r="AE1204" s="136"/>
      <c r="AF1204" s="136"/>
      <c r="AG1204" s="136"/>
      <c r="AH1204" s="136"/>
      <c r="AI1204" s="136"/>
      <c r="AJ1204" s="136"/>
      <c r="AK1204" s="136"/>
      <c r="AL1204" s="136"/>
      <c r="AM1204" s="136"/>
      <c r="AN1204" s="136"/>
      <c r="AO1204" s="136"/>
      <c r="AP1204" s="136"/>
      <c r="AQ1204" s="136"/>
      <c r="AR1204" s="136"/>
      <c r="AS1204" s="136"/>
      <c r="AT1204" s="136"/>
      <c r="AU1204" s="136"/>
      <c r="AV1204" s="136"/>
      <c r="AW1204" s="136"/>
      <c r="AX1204" s="136"/>
    </row>
    <row r="1205" spans="1:50" s="94" customFormat="1" ht="34.5" customHeight="1" thickBot="1">
      <c r="A1205" s="586" t="s">
        <v>300</v>
      </c>
      <c r="B1205" s="184" t="s">
        <v>427</v>
      </c>
      <c r="C1205" s="1212">
        <f>CEILING((C1204+12*$Z$1),0.1)</f>
        <v>63.2</v>
      </c>
      <c r="D1205" s="1213"/>
      <c r="E1205" s="1212">
        <f>CEILING((E1204+19.3*$Z$1),0.1)</f>
        <v>104.60000000000001</v>
      </c>
      <c r="F1205" s="1213"/>
      <c r="G1205" s="1212">
        <f>CEILING((G1204+16.2*$Z$1),0.1)</f>
        <v>87.80000000000001</v>
      </c>
      <c r="H1205" s="1213"/>
      <c r="I1205" s="1212">
        <f>CEILING((I1204+17.2*$Z$1),0.1)</f>
        <v>93</v>
      </c>
      <c r="J1205" s="1213"/>
      <c r="K1205" s="1212">
        <f>CEILING((K1204+12*$Z$1),0.1)</f>
        <v>65</v>
      </c>
      <c r="L1205" s="1213"/>
      <c r="M1205" s="97"/>
      <c r="N1205" s="98"/>
      <c r="O1205" s="136"/>
      <c r="P1205" s="136"/>
      <c r="Q1205" s="136"/>
      <c r="R1205" s="136"/>
      <c r="S1205" s="136"/>
      <c r="T1205" s="136"/>
      <c r="U1205" s="136"/>
      <c r="V1205" s="136"/>
      <c r="W1205" s="136"/>
      <c r="X1205" s="136"/>
      <c r="Y1205" s="136"/>
      <c r="Z1205" s="136"/>
      <c r="AA1205" s="136"/>
      <c r="AB1205" s="136"/>
      <c r="AC1205" s="136"/>
      <c r="AD1205" s="136"/>
      <c r="AE1205" s="136"/>
      <c r="AF1205" s="136"/>
      <c r="AG1205" s="136"/>
      <c r="AH1205" s="136"/>
      <c r="AI1205" s="136"/>
      <c r="AJ1205" s="136"/>
      <c r="AK1205" s="136"/>
      <c r="AL1205" s="136"/>
      <c r="AM1205" s="136"/>
      <c r="AN1205" s="136"/>
      <c r="AO1205" s="136"/>
      <c r="AP1205" s="136"/>
      <c r="AQ1205" s="136"/>
      <c r="AR1205" s="136"/>
      <c r="AS1205" s="136"/>
      <c r="AT1205" s="136"/>
      <c r="AU1205" s="136"/>
      <c r="AV1205" s="136"/>
      <c r="AW1205" s="136"/>
      <c r="AX1205" s="136"/>
    </row>
    <row r="1206" spans="1:50" s="133" customFormat="1" ht="34.5" customHeight="1" thickTop="1">
      <c r="A1206" s="580" t="s">
        <v>934</v>
      </c>
      <c r="B1206" s="498"/>
      <c r="C1206" s="498"/>
      <c r="D1206" s="498"/>
      <c r="E1206" s="498"/>
      <c r="F1206" s="498"/>
      <c r="G1206" s="498"/>
      <c r="H1206" s="498"/>
      <c r="I1206" s="498"/>
      <c r="J1206" s="498"/>
      <c r="K1206" s="498"/>
      <c r="L1206" s="498"/>
      <c r="M1206" s="106"/>
      <c r="N1206" s="106"/>
      <c r="O1206" s="132"/>
      <c r="P1206" s="132"/>
      <c r="Q1206" s="132"/>
      <c r="R1206" s="132"/>
      <c r="S1206" s="132"/>
      <c r="T1206" s="132"/>
      <c r="U1206" s="132"/>
      <c r="V1206" s="132"/>
      <c r="W1206" s="132"/>
      <c r="X1206" s="132"/>
      <c r="Y1206" s="132"/>
      <c r="Z1206" s="132"/>
      <c r="AA1206" s="132"/>
      <c r="AB1206" s="132"/>
      <c r="AC1206" s="132"/>
      <c r="AD1206" s="132"/>
      <c r="AE1206" s="132"/>
      <c r="AF1206" s="132"/>
      <c r="AG1206" s="132"/>
      <c r="AH1206" s="132"/>
      <c r="AI1206" s="132"/>
      <c r="AJ1206" s="132"/>
      <c r="AK1206" s="132"/>
      <c r="AL1206" s="132"/>
      <c r="AM1206" s="132"/>
      <c r="AN1206" s="132"/>
      <c r="AO1206" s="132"/>
      <c r="AP1206" s="132"/>
      <c r="AQ1206" s="132"/>
      <c r="AR1206" s="132"/>
      <c r="AS1206" s="132"/>
      <c r="AT1206" s="132"/>
      <c r="AU1206" s="132"/>
      <c r="AV1206" s="132"/>
      <c r="AW1206" s="132"/>
      <c r="AX1206" s="132"/>
    </row>
    <row r="1207" spans="1:13" s="930" customFormat="1" ht="31.5" customHeight="1">
      <c r="A1207" s="908"/>
      <c r="B1207" s="908"/>
      <c r="C1207" s="908"/>
      <c r="D1207" s="908"/>
      <c r="E1207" s="908"/>
      <c r="F1207" s="908"/>
      <c r="G1207" s="908"/>
      <c r="H1207" s="908"/>
      <c r="I1207" s="908"/>
      <c r="J1207" s="908"/>
      <c r="K1207" s="928"/>
      <c r="L1207" s="928"/>
      <c r="M1207" s="929"/>
    </row>
    <row r="1208" spans="1:42" s="167" customFormat="1" ht="34.5" customHeight="1">
      <c r="A1208" s="837" t="s">
        <v>33</v>
      </c>
      <c r="B1208" s="838" t="s">
        <v>568</v>
      </c>
      <c r="C1208" s="839" t="s">
        <v>847</v>
      </c>
      <c r="D1208" s="840"/>
      <c r="E1208" s="841" t="s">
        <v>870</v>
      </c>
      <c r="F1208" s="842"/>
      <c r="G1208" s="841" t="s">
        <v>850</v>
      </c>
      <c r="H1208" s="842"/>
      <c r="I1208" s="841" t="s">
        <v>851</v>
      </c>
      <c r="J1208" s="842"/>
      <c r="K1208" s="841" t="s">
        <v>852</v>
      </c>
      <c r="L1208" s="842"/>
      <c r="M1208" s="151"/>
      <c r="N1208" s="151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</row>
    <row r="1209" spans="1:13" s="930" customFormat="1" ht="31.5" customHeight="1">
      <c r="A1209" s="303" t="s">
        <v>1100</v>
      </c>
      <c r="B1209" s="349" t="s">
        <v>41</v>
      </c>
      <c r="C1209" s="1216">
        <f>CEILING(41*$Z$1,0.1)</f>
        <v>51.300000000000004</v>
      </c>
      <c r="D1209" s="1217"/>
      <c r="E1209" s="1216">
        <f>CEILING(63*$Z$1,0.1)</f>
        <v>78.80000000000001</v>
      </c>
      <c r="F1209" s="1217"/>
      <c r="G1209" s="1216">
        <f>CEILING(52*$Z$1,0.1)</f>
        <v>65</v>
      </c>
      <c r="H1209" s="1217"/>
      <c r="I1209" s="1216">
        <f>CEILING(54*$Z$1,0.1)</f>
        <v>67.5</v>
      </c>
      <c r="J1209" s="1217"/>
      <c r="K1209" s="1216">
        <f>CEILING(43*$Z$1,0.1)</f>
        <v>53.800000000000004</v>
      </c>
      <c r="L1209" s="1217"/>
      <c r="M1209" s="929"/>
    </row>
    <row r="1210" spans="1:13" s="930" customFormat="1" ht="31.5" customHeight="1">
      <c r="A1210" s="304" t="s">
        <v>35</v>
      </c>
      <c r="B1210" s="172" t="s">
        <v>42</v>
      </c>
      <c r="C1210" s="1200">
        <f>CEILING((C1209+25*$Z$1),0.1)</f>
        <v>82.60000000000001</v>
      </c>
      <c r="D1210" s="1201"/>
      <c r="E1210" s="1200">
        <f>CEILING((E1209+25*$Z$1),0.1)</f>
        <v>110.10000000000001</v>
      </c>
      <c r="F1210" s="1201"/>
      <c r="G1210" s="1200">
        <f>CEILING((G1209+25*$Z$1),0.1)</f>
        <v>96.30000000000001</v>
      </c>
      <c r="H1210" s="1201"/>
      <c r="I1210" s="1200">
        <f>CEILING((I1209+25*$Z$1),0.1)</f>
        <v>98.80000000000001</v>
      </c>
      <c r="J1210" s="1201"/>
      <c r="K1210" s="1200">
        <f>CEILING((K1209+25*$Z$1),0.1)</f>
        <v>85.10000000000001</v>
      </c>
      <c r="L1210" s="1201"/>
      <c r="M1210" s="929"/>
    </row>
    <row r="1211" spans="1:13" s="930" customFormat="1" ht="31.5" customHeight="1">
      <c r="A1211" s="305"/>
      <c r="B1211" s="306" t="s">
        <v>37</v>
      </c>
      <c r="C1211" s="1200">
        <f>CEILING((C1209*0.85),0.1)</f>
        <v>43.7</v>
      </c>
      <c r="D1211" s="1201"/>
      <c r="E1211" s="1200">
        <f>CEILING((E1209*0.85),0.1)</f>
        <v>67</v>
      </c>
      <c r="F1211" s="1201"/>
      <c r="G1211" s="1200">
        <f>CEILING((G1209*0.85),0.1)</f>
        <v>55.300000000000004</v>
      </c>
      <c r="H1211" s="1201"/>
      <c r="I1211" s="1200">
        <f>CEILING((I1209*0.85),0.1)</f>
        <v>57.400000000000006</v>
      </c>
      <c r="J1211" s="1201"/>
      <c r="K1211" s="1200">
        <f>CEILING((K1209*0.85),0.1)</f>
        <v>45.800000000000004</v>
      </c>
      <c r="L1211" s="1201"/>
      <c r="M1211" s="929"/>
    </row>
    <row r="1212" spans="1:13" s="930" customFormat="1" ht="31.5" customHeight="1">
      <c r="A1212" s="508"/>
      <c r="B1212" s="192" t="s">
        <v>1087</v>
      </c>
      <c r="C1212" s="1200">
        <f>CEILING((C1209*0),0.1)</f>
        <v>0</v>
      </c>
      <c r="D1212" s="1201"/>
      <c r="E1212" s="1200">
        <f>CEILING((E1209*0.5),0.1)</f>
        <v>39.400000000000006</v>
      </c>
      <c r="F1212" s="1201"/>
      <c r="G1212" s="1200">
        <f>CEILING((G1209*0.5),0.1)</f>
        <v>32.5</v>
      </c>
      <c r="H1212" s="1201"/>
      <c r="I1212" s="1200">
        <f>CEILING((I1209*0.5),0.1)</f>
        <v>33.800000000000004</v>
      </c>
      <c r="J1212" s="1201"/>
      <c r="K1212" s="1200">
        <f>CEILING((K1209*0),0.1)</f>
        <v>0</v>
      </c>
      <c r="L1212" s="1201"/>
      <c r="M1212" s="929"/>
    </row>
    <row r="1213" spans="1:13" s="930" customFormat="1" ht="31.5" customHeight="1">
      <c r="A1213" s="305" t="s">
        <v>1225</v>
      </c>
      <c r="B1213" s="179" t="s">
        <v>1101</v>
      </c>
      <c r="C1213" s="1200">
        <f>CEILING(56*$Z$1,0.1)</f>
        <v>70</v>
      </c>
      <c r="D1213" s="1201"/>
      <c r="E1213" s="1200">
        <f>CEILING(78*$Z$1,0.1)</f>
        <v>97.5</v>
      </c>
      <c r="F1213" s="1201"/>
      <c r="G1213" s="1200">
        <f>CEILING(67*$Z$1,0.1)</f>
        <v>83.80000000000001</v>
      </c>
      <c r="H1213" s="1201"/>
      <c r="I1213" s="1200">
        <f>CEILING(69*$Z$1,0.1)</f>
        <v>86.30000000000001</v>
      </c>
      <c r="J1213" s="1201"/>
      <c r="K1213" s="1200">
        <f>CEILING(58*$Z$1,0.1)</f>
        <v>72.5</v>
      </c>
      <c r="L1213" s="1201"/>
      <c r="M1213" s="929"/>
    </row>
    <row r="1214" spans="1:13" s="930" customFormat="1" ht="31.5" customHeight="1">
      <c r="A1214" s="114" t="s">
        <v>1226</v>
      </c>
      <c r="B1214" s="179" t="s">
        <v>1102</v>
      </c>
      <c r="C1214" s="1200">
        <f>CEILING((C1213+25*$Z$1),0.1)</f>
        <v>101.30000000000001</v>
      </c>
      <c r="D1214" s="1201"/>
      <c r="E1214" s="1200">
        <f>CEILING((E1213+25*$Z$1),0.1)</f>
        <v>128.8</v>
      </c>
      <c r="F1214" s="1201"/>
      <c r="G1214" s="1200">
        <f>CEILING((G1213+25*$Z$1),0.1)</f>
        <v>115.10000000000001</v>
      </c>
      <c r="H1214" s="1201"/>
      <c r="I1214" s="1200">
        <f>CEILING((I1213+25*$Z$1),0.1)</f>
        <v>117.60000000000001</v>
      </c>
      <c r="J1214" s="1201"/>
      <c r="K1214" s="1200">
        <f>CEILING((K1213+25*$Z$1),0.1)</f>
        <v>103.80000000000001</v>
      </c>
      <c r="L1214" s="1201"/>
      <c r="M1214" s="929"/>
    </row>
    <row r="1215" spans="1:13" s="930" customFormat="1" ht="31.5" customHeight="1">
      <c r="A1215" s="305"/>
      <c r="B1215" s="340" t="s">
        <v>34</v>
      </c>
      <c r="C1215" s="1200">
        <f>CEILING(81*$Z$1,0.1)</f>
        <v>101.30000000000001</v>
      </c>
      <c r="D1215" s="1201"/>
      <c r="E1215" s="1200">
        <f>CEILING(103*$Z$1,0.1)</f>
        <v>128.8</v>
      </c>
      <c r="F1215" s="1201"/>
      <c r="G1215" s="1200">
        <f>CEILING(92*$Z$1,0.1)</f>
        <v>115</v>
      </c>
      <c r="H1215" s="1201"/>
      <c r="I1215" s="1200">
        <f>CEILING(94*$Z$1,0.1)</f>
        <v>117.5</v>
      </c>
      <c r="J1215" s="1201"/>
      <c r="K1215" s="1200">
        <f>CEILING(83*$Z$1,0.1)</f>
        <v>103.80000000000001</v>
      </c>
      <c r="L1215" s="1201"/>
      <c r="M1215" s="929"/>
    </row>
    <row r="1216" spans="1:13" s="930" customFormat="1" ht="31.5" customHeight="1" thickBot="1">
      <c r="A1216" s="1060" t="s">
        <v>1095</v>
      </c>
      <c r="B1216" s="407" t="s">
        <v>36</v>
      </c>
      <c r="C1216" s="1212">
        <f>CEILING((C1215+28*$Z$1),0.1)</f>
        <v>136.3</v>
      </c>
      <c r="D1216" s="1213"/>
      <c r="E1216" s="1212">
        <f>CEILING((E1215+28*$Z$1),0.1)</f>
        <v>163.8</v>
      </c>
      <c r="F1216" s="1213"/>
      <c r="G1216" s="1212">
        <f>CEILING((G1215+28*$Z$1),0.1)</f>
        <v>150</v>
      </c>
      <c r="H1216" s="1213"/>
      <c r="I1216" s="1212">
        <f>CEILING((I1215+28*$Z$1),0.1)</f>
        <v>152.5</v>
      </c>
      <c r="J1216" s="1213"/>
      <c r="K1216" s="1212">
        <f>CEILING((K1215+28*$Z$1),0.1)</f>
        <v>138.8</v>
      </c>
      <c r="L1216" s="1213"/>
      <c r="M1216" s="929"/>
    </row>
    <row r="1217" spans="1:13" s="930" customFormat="1" ht="31.5" customHeight="1" thickTop="1">
      <c r="A1217" s="1039" t="s">
        <v>1103</v>
      </c>
      <c r="B1217" s="908"/>
      <c r="C1217" s="908"/>
      <c r="D1217" s="908"/>
      <c r="E1217" s="908"/>
      <c r="F1217" s="908"/>
      <c r="G1217" s="908"/>
      <c r="H1217" s="908"/>
      <c r="I1217" s="908"/>
      <c r="J1217" s="908"/>
      <c r="K1217" s="928"/>
      <c r="L1217" s="928"/>
      <c r="M1217" s="929"/>
    </row>
    <row r="1218" spans="1:13" s="930" customFormat="1" ht="31.5" customHeight="1">
      <c r="A1218" s="908"/>
      <c r="B1218" s="908"/>
      <c r="C1218" s="908"/>
      <c r="D1218" s="908"/>
      <c r="E1218" s="908"/>
      <c r="F1218" s="908"/>
      <c r="G1218" s="908"/>
      <c r="H1218" s="908"/>
      <c r="I1218" s="908"/>
      <c r="J1218" s="908"/>
      <c r="K1218" s="928"/>
      <c r="L1218" s="928"/>
      <c r="M1218" s="929"/>
    </row>
    <row r="1219" spans="1:42" s="167" customFormat="1" ht="34.5" customHeight="1">
      <c r="A1219" s="837" t="s">
        <v>33</v>
      </c>
      <c r="B1219" s="838" t="s">
        <v>568</v>
      </c>
      <c r="C1219" s="839" t="s">
        <v>847</v>
      </c>
      <c r="D1219" s="840"/>
      <c r="E1219" s="841" t="s">
        <v>870</v>
      </c>
      <c r="F1219" s="842"/>
      <c r="G1219" s="841" t="s">
        <v>850</v>
      </c>
      <c r="H1219" s="842"/>
      <c r="I1219" s="841" t="s">
        <v>851</v>
      </c>
      <c r="J1219" s="842"/>
      <c r="K1219" s="841" t="s">
        <v>852</v>
      </c>
      <c r="L1219" s="842"/>
      <c r="M1219" s="151"/>
      <c r="N1219" s="151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</row>
    <row r="1220" spans="1:25" s="94" customFormat="1" ht="34.5" customHeight="1">
      <c r="A1220" s="303" t="s">
        <v>1094</v>
      </c>
      <c r="B1220" s="349" t="s">
        <v>41</v>
      </c>
      <c r="C1220" s="1216">
        <f>CEILING(32*$Z$1,0.1)</f>
        <v>40</v>
      </c>
      <c r="D1220" s="1217"/>
      <c r="E1220" s="1216">
        <f>CEILING(45*$Z$1,0.1)</f>
        <v>56.300000000000004</v>
      </c>
      <c r="F1220" s="1217"/>
      <c r="G1220" s="1216">
        <f>CEILING(41*$Z$1,0.1)</f>
        <v>51.300000000000004</v>
      </c>
      <c r="H1220" s="1217"/>
      <c r="I1220" s="1216">
        <f>CEILING(45*$Z$1,0.1)</f>
        <v>56.300000000000004</v>
      </c>
      <c r="J1220" s="1217"/>
      <c r="K1220" s="1216">
        <f>CEILING(39*$Z$1,0.1)</f>
        <v>48.800000000000004</v>
      </c>
      <c r="L1220" s="1217"/>
      <c r="M1220" s="97"/>
      <c r="N1220" s="98"/>
      <c r="O1220" s="92"/>
      <c r="P1220" s="92"/>
      <c r="Q1220" s="92"/>
      <c r="R1220" s="92"/>
      <c r="S1220" s="92"/>
      <c r="T1220" s="92"/>
      <c r="U1220" s="92"/>
      <c r="V1220" s="92"/>
      <c r="W1220" s="92"/>
      <c r="X1220" s="92"/>
      <c r="Y1220" s="92"/>
    </row>
    <row r="1221" spans="1:25" s="94" customFormat="1" ht="34.5" customHeight="1">
      <c r="A1221" s="304" t="s">
        <v>35</v>
      </c>
      <c r="B1221" s="172" t="s">
        <v>42</v>
      </c>
      <c r="C1221" s="1200">
        <f>CEILING((C1220+25*$Z$1),0.1)</f>
        <v>71.3</v>
      </c>
      <c r="D1221" s="1201"/>
      <c r="E1221" s="1200">
        <f>CEILING((E1220+25*$Z$1),0.1)</f>
        <v>87.60000000000001</v>
      </c>
      <c r="F1221" s="1201"/>
      <c r="G1221" s="1200">
        <f>CEILING((G1220+25*$Z$1),0.1)</f>
        <v>82.60000000000001</v>
      </c>
      <c r="H1221" s="1201"/>
      <c r="I1221" s="1200">
        <f>CEILING((I1220+25*$Z$1),0.1)</f>
        <v>87.60000000000001</v>
      </c>
      <c r="J1221" s="1201"/>
      <c r="K1221" s="1200">
        <f>CEILING((K1220+25*$Z$1),0.1)</f>
        <v>80.10000000000001</v>
      </c>
      <c r="L1221" s="1201"/>
      <c r="M1221" s="97"/>
      <c r="N1221" s="98"/>
      <c r="O1221" s="92"/>
      <c r="P1221" s="92"/>
      <c r="Q1221" s="92"/>
      <c r="R1221" s="92"/>
      <c r="S1221" s="92"/>
      <c r="T1221" s="92"/>
      <c r="U1221" s="92"/>
      <c r="V1221" s="92"/>
      <c r="W1221" s="92"/>
      <c r="X1221" s="92"/>
      <c r="Y1221" s="92"/>
    </row>
    <row r="1222" spans="1:25" s="94" customFormat="1" ht="34.5" customHeight="1">
      <c r="A1222" s="305"/>
      <c r="B1222" s="306" t="s">
        <v>37</v>
      </c>
      <c r="C1222" s="1200">
        <f>CEILING((C1220*0.85),0.1)</f>
        <v>34</v>
      </c>
      <c r="D1222" s="1201"/>
      <c r="E1222" s="1200">
        <f>CEILING((E1220*0.85),0.1)</f>
        <v>47.900000000000006</v>
      </c>
      <c r="F1222" s="1201"/>
      <c r="G1222" s="1200">
        <f>CEILING((G1220*0.85),0.1)</f>
        <v>43.7</v>
      </c>
      <c r="H1222" s="1201"/>
      <c r="I1222" s="1200">
        <f>CEILING((I1220*0.85),0.1)</f>
        <v>47.900000000000006</v>
      </c>
      <c r="J1222" s="1201"/>
      <c r="K1222" s="1200">
        <f>CEILING((K1220*0.85),0.1)</f>
        <v>41.5</v>
      </c>
      <c r="L1222" s="1201"/>
      <c r="M1222" s="106"/>
      <c r="N1222" s="98"/>
      <c r="O1222" s="92"/>
      <c r="P1222" s="92"/>
      <c r="Q1222" s="92"/>
      <c r="R1222" s="92"/>
      <c r="S1222" s="92"/>
      <c r="T1222" s="92"/>
      <c r="U1222" s="92"/>
      <c r="V1222" s="92"/>
      <c r="W1222" s="92"/>
      <c r="X1222" s="92"/>
      <c r="Y1222" s="92"/>
    </row>
    <row r="1223" spans="1:25" s="94" customFormat="1" ht="34.5" customHeight="1">
      <c r="A1223" s="508"/>
      <c r="B1223" s="192" t="s">
        <v>1087</v>
      </c>
      <c r="C1223" s="1200">
        <f>CEILING((C1220*0),0.1)</f>
        <v>0</v>
      </c>
      <c r="D1223" s="1201"/>
      <c r="E1223" s="1200">
        <f>CEILING((E1220*0.5),0.1)</f>
        <v>28.200000000000003</v>
      </c>
      <c r="F1223" s="1201"/>
      <c r="G1223" s="1200">
        <f>CEILING((G1220*0.5),0.1)</f>
        <v>25.700000000000003</v>
      </c>
      <c r="H1223" s="1201"/>
      <c r="I1223" s="1200">
        <f>CEILING((I1220*0.5),0.1)</f>
        <v>28.200000000000003</v>
      </c>
      <c r="J1223" s="1201"/>
      <c r="K1223" s="1200">
        <f>CEILING((K1220*0),0.1)</f>
        <v>0</v>
      </c>
      <c r="L1223" s="1201"/>
      <c r="M1223" s="106"/>
      <c r="N1223" s="98"/>
      <c r="O1223" s="92"/>
      <c r="P1223" s="92"/>
      <c r="Q1223" s="92"/>
      <c r="R1223" s="92"/>
      <c r="S1223" s="92"/>
      <c r="T1223" s="92"/>
      <c r="U1223" s="92"/>
      <c r="V1223" s="92"/>
      <c r="W1223" s="92"/>
      <c r="X1223" s="92"/>
      <c r="Y1223" s="92"/>
    </row>
    <row r="1224" spans="1:25" s="94" customFormat="1" ht="34.5" customHeight="1">
      <c r="A1224" s="305" t="s">
        <v>1225</v>
      </c>
      <c r="B1224" s="179" t="s">
        <v>34</v>
      </c>
      <c r="C1224" s="1200">
        <f>CEILING(57*$Z$1,0.1)</f>
        <v>71.3</v>
      </c>
      <c r="D1224" s="1201"/>
      <c r="E1224" s="1200">
        <f>CEILING(70*$Z$1,0.1)</f>
        <v>87.5</v>
      </c>
      <c r="F1224" s="1201"/>
      <c r="G1224" s="1200">
        <f>CEILING(66*$Z$1,0.1)</f>
        <v>82.5</v>
      </c>
      <c r="H1224" s="1201"/>
      <c r="I1224" s="1200">
        <f>CEILING(70*$Z$1,0.1)</f>
        <v>87.5</v>
      </c>
      <c r="J1224" s="1201"/>
      <c r="K1224" s="1200">
        <f>CEILING(64*$Z$1,0.1)</f>
        <v>80</v>
      </c>
      <c r="L1224" s="1201"/>
      <c r="M1224" s="106"/>
      <c r="N1224" s="98"/>
      <c r="O1224" s="92"/>
      <c r="P1224" s="92"/>
      <c r="Q1224" s="92"/>
      <c r="R1224" s="92"/>
      <c r="S1224" s="92"/>
      <c r="T1224" s="92"/>
      <c r="U1224" s="92"/>
      <c r="V1224" s="92"/>
      <c r="W1224" s="92"/>
      <c r="X1224" s="92"/>
      <c r="Y1224" s="92"/>
    </row>
    <row r="1225" spans="1:25" s="94" customFormat="1" ht="34.5" customHeight="1">
      <c r="A1225" s="114" t="s">
        <v>1227</v>
      </c>
      <c r="B1225" s="179" t="s">
        <v>36</v>
      </c>
      <c r="C1225" s="1200">
        <f>CEILING((C1224+28*$Z$1),0.1)</f>
        <v>106.30000000000001</v>
      </c>
      <c r="D1225" s="1201"/>
      <c r="E1225" s="1200">
        <f>CEILING((E1224+28*$Z$1),0.1)</f>
        <v>122.5</v>
      </c>
      <c r="F1225" s="1201"/>
      <c r="G1225" s="1200">
        <f>CEILING((G1224+28*$Z$1),0.1)</f>
        <v>117.5</v>
      </c>
      <c r="H1225" s="1201"/>
      <c r="I1225" s="1200">
        <f>CEILING((I1224+28*$Z$1),0.1)</f>
        <v>122.5</v>
      </c>
      <c r="J1225" s="1201"/>
      <c r="K1225" s="1200">
        <f>CEILING((K1224+28*$Z$1),0.1)</f>
        <v>115</v>
      </c>
      <c r="L1225" s="1201"/>
      <c r="M1225" s="106"/>
      <c r="N1225" s="98"/>
      <c r="O1225" s="92"/>
      <c r="P1225" s="92"/>
      <c r="Q1225" s="92"/>
      <c r="R1225" s="92"/>
      <c r="S1225" s="92"/>
      <c r="T1225" s="92"/>
      <c r="U1225" s="92"/>
      <c r="V1225" s="92"/>
      <c r="W1225" s="92"/>
      <c r="X1225" s="92"/>
      <c r="Y1225" s="92"/>
    </row>
    <row r="1226" spans="1:25" s="94" customFormat="1" ht="34.5" customHeight="1">
      <c r="A1226" s="305"/>
      <c r="B1226" s="340" t="s">
        <v>46</v>
      </c>
      <c r="C1226" s="1200">
        <f>CEILING(72*$Z$1,0.1)</f>
        <v>90</v>
      </c>
      <c r="D1226" s="1201"/>
      <c r="E1226" s="1200">
        <f>CEILING(85*$Z$1,0.1)</f>
        <v>106.30000000000001</v>
      </c>
      <c r="F1226" s="1201"/>
      <c r="G1226" s="1200">
        <f>CEILING(81*$Z$1,0.1)</f>
        <v>101.30000000000001</v>
      </c>
      <c r="H1226" s="1201"/>
      <c r="I1226" s="1200">
        <f>CEILING(85*$Z$1,0.1)</f>
        <v>106.30000000000001</v>
      </c>
      <c r="J1226" s="1201"/>
      <c r="K1226" s="1200">
        <f>CEILING(79*$Z$1,0.1)</f>
        <v>98.80000000000001</v>
      </c>
      <c r="L1226" s="1201"/>
      <c r="M1226" s="106"/>
      <c r="N1226" s="98"/>
      <c r="O1226" s="92"/>
      <c r="P1226" s="92"/>
      <c r="Q1226" s="92"/>
      <c r="R1226" s="92"/>
      <c r="S1226" s="92"/>
      <c r="T1226" s="92"/>
      <c r="U1226" s="92"/>
      <c r="V1226" s="92"/>
      <c r="W1226" s="92"/>
      <c r="X1226" s="92"/>
      <c r="Y1226" s="92"/>
    </row>
    <row r="1227" spans="1:25" s="94" customFormat="1" ht="34.5" customHeight="1" thickBot="1">
      <c r="A1227" s="1060" t="s">
        <v>1095</v>
      </c>
      <c r="B1227" s="407" t="s">
        <v>47</v>
      </c>
      <c r="C1227" s="1212">
        <f>CEILING((C1226+35*$Z$1),0.1)</f>
        <v>133.8</v>
      </c>
      <c r="D1227" s="1213"/>
      <c r="E1227" s="1212">
        <f>CEILING((E1226+35*$Z$1),0.1)</f>
        <v>150.1</v>
      </c>
      <c r="F1227" s="1213"/>
      <c r="G1227" s="1212">
        <f>CEILING((G1226+35*$Z$1),0.1)</f>
        <v>145.1</v>
      </c>
      <c r="H1227" s="1213"/>
      <c r="I1227" s="1212">
        <f>CEILING((I1226+35*$Z$1),0.1)</f>
        <v>150.1</v>
      </c>
      <c r="J1227" s="1213"/>
      <c r="K1227" s="1212">
        <f>CEILING((K1226+35*$Z$1),0.1)</f>
        <v>142.6</v>
      </c>
      <c r="L1227" s="1213"/>
      <c r="M1227" s="106"/>
      <c r="N1227" s="98"/>
      <c r="O1227" s="92"/>
      <c r="P1227" s="92"/>
      <c r="Q1227" s="92"/>
      <c r="R1227" s="92"/>
      <c r="S1227" s="92"/>
      <c r="T1227" s="92"/>
      <c r="U1227" s="92"/>
      <c r="V1227" s="92"/>
      <c r="W1227" s="92"/>
      <c r="X1227" s="92"/>
      <c r="Y1227" s="92"/>
    </row>
    <row r="1228" spans="1:13" s="930" customFormat="1" ht="31.5" customHeight="1" thickTop="1">
      <c r="A1228" s="1039" t="s">
        <v>1104</v>
      </c>
      <c r="B1228" s="908"/>
      <c r="C1228" s="908"/>
      <c r="D1228" s="908"/>
      <c r="E1228" s="908"/>
      <c r="F1228" s="908"/>
      <c r="G1228" s="908"/>
      <c r="H1228" s="908"/>
      <c r="I1228" s="908"/>
      <c r="J1228" s="908"/>
      <c r="K1228" s="928"/>
      <c r="L1228" s="928"/>
      <c r="M1228" s="929"/>
    </row>
    <row r="1229" spans="1:72" s="94" customFormat="1" ht="34.5" customHeight="1">
      <c r="A1229" s="234"/>
      <c r="B1229" s="1053"/>
      <c r="C1229" s="1053"/>
      <c r="D1229" s="1053"/>
      <c r="E1229" s="1053"/>
      <c r="F1229" s="1053"/>
      <c r="G1229" s="1053"/>
      <c r="H1229" s="1053"/>
      <c r="I1229" s="1053"/>
      <c r="J1229" s="1053"/>
      <c r="K1229" s="95"/>
      <c r="L1229" s="95"/>
      <c r="M1229" s="1052"/>
      <c r="N1229" s="1052"/>
      <c r="O1229" s="136"/>
      <c r="P1229" s="136"/>
      <c r="Q1229" s="136"/>
      <c r="R1229" s="136"/>
      <c r="S1229" s="136"/>
      <c r="T1229" s="136"/>
      <c r="U1229" s="136"/>
      <c r="V1229" s="136"/>
      <c r="W1229" s="136"/>
      <c r="X1229" s="136"/>
      <c r="Y1229" s="136"/>
      <c r="Z1229" s="136"/>
      <c r="AA1229" s="136"/>
      <c r="AB1229" s="136"/>
      <c r="AC1229" s="136"/>
      <c r="AD1229" s="136"/>
      <c r="AE1229" s="136"/>
      <c r="AF1229" s="136"/>
      <c r="AG1229" s="136"/>
      <c r="AH1229" s="136"/>
      <c r="AI1229" s="136"/>
      <c r="AJ1229" s="136"/>
      <c r="AK1229" s="136"/>
      <c r="AL1229" s="136"/>
      <c r="AM1229" s="136"/>
      <c r="AN1229" s="136"/>
      <c r="AO1229" s="136"/>
      <c r="AP1229" s="136"/>
      <c r="AQ1229" s="136"/>
      <c r="AR1229" s="136"/>
      <c r="AS1229" s="136"/>
      <c r="AT1229" s="136"/>
      <c r="AU1229" s="136"/>
      <c r="AV1229" s="136"/>
      <c r="AW1229" s="136"/>
      <c r="AX1229" s="136"/>
      <c r="AY1229" s="136"/>
      <c r="AZ1229" s="136"/>
      <c r="BA1229" s="136"/>
      <c r="BB1229" s="136"/>
      <c r="BC1229" s="136"/>
      <c r="BD1229" s="136"/>
      <c r="BE1229" s="136"/>
      <c r="BF1229" s="136"/>
      <c r="BG1229" s="136"/>
      <c r="BH1229" s="136"/>
      <c r="BI1229" s="136"/>
      <c r="BJ1229" s="136"/>
      <c r="BK1229" s="136"/>
      <c r="BL1229" s="136"/>
      <c r="BM1229" s="136"/>
      <c r="BN1229" s="136"/>
      <c r="BO1229" s="136"/>
      <c r="BP1229" s="136"/>
      <c r="BQ1229" s="136"/>
      <c r="BR1229" s="136"/>
      <c r="BS1229" s="136"/>
      <c r="BT1229" s="136"/>
    </row>
    <row r="1230" spans="1:42" s="167" customFormat="1" ht="34.5" customHeight="1">
      <c r="A1230" s="837" t="s">
        <v>33</v>
      </c>
      <c r="B1230" s="838" t="s">
        <v>568</v>
      </c>
      <c r="C1230" s="839" t="s">
        <v>847</v>
      </c>
      <c r="D1230" s="840"/>
      <c r="E1230" s="841" t="s">
        <v>870</v>
      </c>
      <c r="F1230" s="842"/>
      <c r="G1230" s="841" t="s">
        <v>850</v>
      </c>
      <c r="H1230" s="842"/>
      <c r="I1230" s="841" t="s">
        <v>851</v>
      </c>
      <c r="J1230" s="842"/>
      <c r="K1230" s="841" t="s">
        <v>852</v>
      </c>
      <c r="L1230" s="842"/>
      <c r="M1230" s="151"/>
      <c r="N1230" s="151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</row>
    <row r="1231" spans="1:25" s="94" customFormat="1" ht="34.5" customHeight="1">
      <c r="A1231" s="303" t="s">
        <v>1096</v>
      </c>
      <c r="B1231" s="349" t="s">
        <v>41</v>
      </c>
      <c r="C1231" s="1216">
        <f>CEILING(32*$Z$1,0.1)</f>
        <v>40</v>
      </c>
      <c r="D1231" s="1217"/>
      <c r="E1231" s="1200">
        <f>CEILING(45*$Z$1,0.1)</f>
        <v>56.300000000000004</v>
      </c>
      <c r="F1231" s="1214"/>
      <c r="G1231" s="1216">
        <f>CEILING(41*$Z$1,0.1)</f>
        <v>51.300000000000004</v>
      </c>
      <c r="H1231" s="1217"/>
      <c r="I1231" s="1216">
        <f>CEILING(45*$Z$1,0.1)</f>
        <v>56.300000000000004</v>
      </c>
      <c r="J1231" s="1217"/>
      <c r="K1231" s="1216">
        <f>CEILING(39*$Z$1,0.1)</f>
        <v>48.800000000000004</v>
      </c>
      <c r="L1231" s="1217"/>
      <c r="M1231" s="97"/>
      <c r="N1231" s="98"/>
      <c r="O1231" s="92"/>
      <c r="P1231" s="92"/>
      <c r="Q1231" s="92"/>
      <c r="R1231" s="92"/>
      <c r="S1231" s="92"/>
      <c r="T1231" s="92"/>
      <c r="U1231" s="92"/>
      <c r="V1231" s="92"/>
      <c r="W1231" s="92"/>
      <c r="X1231" s="92"/>
      <c r="Y1231" s="92"/>
    </row>
    <row r="1232" spans="1:25" s="94" customFormat="1" ht="34.5" customHeight="1">
      <c r="A1232" s="304" t="s">
        <v>35</v>
      </c>
      <c r="B1232" s="172" t="s">
        <v>42</v>
      </c>
      <c r="C1232" s="1200">
        <f>CEILING((C1231+25*$Z$1),0.1)</f>
        <v>71.3</v>
      </c>
      <c r="D1232" s="1201"/>
      <c r="E1232" s="1200">
        <f>CEILING((E1231+25*$Z$1),0.1)</f>
        <v>87.60000000000001</v>
      </c>
      <c r="F1232" s="1201"/>
      <c r="G1232" s="1200">
        <f>CEILING((G1231+25*$Z$1),0.1)</f>
        <v>82.60000000000001</v>
      </c>
      <c r="H1232" s="1201"/>
      <c r="I1232" s="1200">
        <f>CEILING((I1231+25*$Z$1),0.1)</f>
        <v>87.60000000000001</v>
      </c>
      <c r="J1232" s="1201"/>
      <c r="K1232" s="1200">
        <f>CEILING((K1231+25*$Z$1),0.1)</f>
        <v>80.10000000000001</v>
      </c>
      <c r="L1232" s="1201"/>
      <c r="M1232" s="97"/>
      <c r="N1232" s="98"/>
      <c r="O1232" s="92"/>
      <c r="P1232" s="92"/>
      <c r="Q1232" s="92"/>
      <c r="R1232" s="92"/>
      <c r="S1232" s="92"/>
      <c r="T1232" s="92"/>
      <c r="U1232" s="92"/>
      <c r="V1232" s="92"/>
      <c r="W1232" s="92"/>
      <c r="X1232" s="92"/>
      <c r="Y1232" s="92"/>
    </row>
    <row r="1233" spans="1:25" s="94" customFormat="1" ht="34.5" customHeight="1">
      <c r="A1233" s="305" t="s">
        <v>1225</v>
      </c>
      <c r="B1233" s="306" t="s">
        <v>37</v>
      </c>
      <c r="C1233" s="1200">
        <f>CEILING((C1231*0.85),0.1)</f>
        <v>34</v>
      </c>
      <c r="D1233" s="1201"/>
      <c r="E1233" s="1200">
        <f>CEILING((E1231*0.85),0.1)</f>
        <v>47.900000000000006</v>
      </c>
      <c r="F1233" s="1201"/>
      <c r="G1233" s="1200">
        <f>CEILING((G1231*0.85),0.1)</f>
        <v>43.7</v>
      </c>
      <c r="H1233" s="1201"/>
      <c r="I1233" s="1200">
        <f>CEILING((I1231*0.85),0.1)</f>
        <v>47.900000000000006</v>
      </c>
      <c r="J1233" s="1201"/>
      <c r="K1233" s="1200">
        <f>CEILING((K1231*0.85),0.1)</f>
        <v>41.5</v>
      </c>
      <c r="L1233" s="1201"/>
      <c r="M1233" s="106"/>
      <c r="N1233" s="98"/>
      <c r="O1233" s="92"/>
      <c r="P1233" s="92"/>
      <c r="Q1233" s="92"/>
      <c r="R1233" s="92"/>
      <c r="S1233" s="92"/>
      <c r="T1233" s="92"/>
      <c r="U1233" s="92"/>
      <c r="V1233" s="92"/>
      <c r="W1233" s="92"/>
      <c r="X1233" s="92"/>
      <c r="Y1233" s="92"/>
    </row>
    <row r="1234" spans="1:25" s="94" customFormat="1" ht="34.5" customHeight="1">
      <c r="A1234" s="114" t="s">
        <v>1227</v>
      </c>
      <c r="B1234" s="179" t="s">
        <v>34</v>
      </c>
      <c r="C1234" s="1200">
        <f>CEILING(57*$Z$1,0.1)</f>
        <v>71.3</v>
      </c>
      <c r="D1234" s="1201"/>
      <c r="E1234" s="1200">
        <f>CEILING(70*$Z$1,0.1)</f>
        <v>87.5</v>
      </c>
      <c r="F1234" s="1214"/>
      <c r="G1234" s="1200">
        <f>CEILING(66*$Z$1,0.1)</f>
        <v>82.5</v>
      </c>
      <c r="H1234" s="1201"/>
      <c r="I1234" s="1200">
        <f>CEILING(70*$Z$1,0.1)</f>
        <v>87.5</v>
      </c>
      <c r="J1234" s="1201"/>
      <c r="K1234" s="1200">
        <f>CEILING(64*$Z$1,0.1)</f>
        <v>80</v>
      </c>
      <c r="L1234" s="1201"/>
      <c r="M1234" s="106"/>
      <c r="N1234" s="98"/>
      <c r="O1234" s="92"/>
      <c r="P1234" s="92"/>
      <c r="Q1234" s="92"/>
      <c r="R1234" s="92"/>
      <c r="S1234" s="92"/>
      <c r="T1234" s="92"/>
      <c r="U1234" s="92"/>
      <c r="V1234" s="92"/>
      <c r="W1234" s="92"/>
      <c r="X1234" s="92"/>
      <c r="Y1234" s="92"/>
    </row>
    <row r="1235" spans="1:25" s="94" customFormat="1" ht="34.5" customHeight="1">
      <c r="A1235" s="201" t="s">
        <v>745</v>
      </c>
      <c r="B1235" s="179" t="s">
        <v>36</v>
      </c>
      <c r="C1235" s="1200">
        <f>CEILING((C1234+28*$Z$1),0.1)</f>
        <v>106.30000000000001</v>
      </c>
      <c r="D1235" s="1201"/>
      <c r="E1235" s="1200">
        <f>CEILING((E1234+28*$Z$1),0.1)</f>
        <v>122.5</v>
      </c>
      <c r="F1235" s="1214"/>
      <c r="G1235" s="1200">
        <f>CEILING((G1234+28*$Z$1),0.1)</f>
        <v>117.5</v>
      </c>
      <c r="H1235" s="1201"/>
      <c r="I1235" s="1200">
        <f>CEILING((I1234+28*$Z$1),0.1)</f>
        <v>122.5</v>
      </c>
      <c r="J1235" s="1201"/>
      <c r="K1235" s="1200">
        <f>CEILING((K1234+28*$Z$1),0.1)</f>
        <v>115</v>
      </c>
      <c r="L1235" s="1201"/>
      <c r="M1235" s="106"/>
      <c r="N1235" s="98"/>
      <c r="O1235" s="92"/>
      <c r="P1235" s="92"/>
      <c r="Q1235" s="92"/>
      <c r="R1235" s="92"/>
      <c r="S1235" s="92"/>
      <c r="T1235" s="92"/>
      <c r="U1235" s="92"/>
      <c r="V1235" s="92"/>
      <c r="W1235" s="92"/>
      <c r="X1235" s="92"/>
      <c r="Y1235" s="92"/>
    </row>
    <row r="1236" spans="1:25" s="94" customFormat="1" ht="34.5" customHeight="1">
      <c r="A1236" s="305"/>
      <c r="B1236" s="340" t="s">
        <v>46</v>
      </c>
      <c r="C1236" s="1200">
        <f>CEILING(72*$Z$1,0.1)</f>
        <v>90</v>
      </c>
      <c r="D1236" s="1201"/>
      <c r="E1236" s="1200">
        <f>CEILING(85*$Z$1,0.1)</f>
        <v>106.30000000000001</v>
      </c>
      <c r="F1236" s="1214"/>
      <c r="G1236" s="1200">
        <f>CEILING(81*$Z$1,0.1)</f>
        <v>101.30000000000001</v>
      </c>
      <c r="H1236" s="1201"/>
      <c r="I1236" s="1200">
        <f>CEILING(85*$Z$1,0.1)</f>
        <v>106.30000000000001</v>
      </c>
      <c r="J1236" s="1201"/>
      <c r="K1236" s="1200">
        <f>CEILING(79*$Z$1,0.1)</f>
        <v>98.80000000000001</v>
      </c>
      <c r="L1236" s="1201"/>
      <c r="M1236" s="106"/>
      <c r="N1236" s="98"/>
      <c r="O1236" s="92"/>
      <c r="P1236" s="92"/>
      <c r="Q1236" s="92"/>
      <c r="R1236" s="92"/>
      <c r="S1236" s="92"/>
      <c r="T1236" s="92"/>
      <c r="U1236" s="92"/>
      <c r="V1236" s="92"/>
      <c r="W1236" s="92"/>
      <c r="X1236" s="92"/>
      <c r="Y1236" s="92"/>
    </row>
    <row r="1237" spans="1:25" s="94" customFormat="1" ht="34.5" customHeight="1" thickBot="1">
      <c r="A1237" s="1060" t="s">
        <v>1095</v>
      </c>
      <c r="B1237" s="407" t="s">
        <v>47</v>
      </c>
      <c r="C1237" s="1212">
        <f>CEILING((C1236+35*$Z$1),0.1)</f>
        <v>133.8</v>
      </c>
      <c r="D1237" s="1213"/>
      <c r="E1237" s="1212">
        <f>CEILING((E1236+35*$Z$1),0.1)</f>
        <v>150.1</v>
      </c>
      <c r="F1237" s="1215"/>
      <c r="G1237" s="1212">
        <f>CEILING((G1236+35*$Z$1),0.1)</f>
        <v>145.1</v>
      </c>
      <c r="H1237" s="1213"/>
      <c r="I1237" s="1212">
        <f>CEILING((I1236+35*$Z$1),0.1)</f>
        <v>150.1</v>
      </c>
      <c r="J1237" s="1213"/>
      <c r="K1237" s="1212">
        <f>CEILING((K1236+35*$Z$1),0.1)</f>
        <v>142.6</v>
      </c>
      <c r="L1237" s="1213"/>
      <c r="M1237" s="106"/>
      <c r="N1237" s="98"/>
      <c r="O1237" s="92"/>
      <c r="P1237" s="92"/>
      <c r="Q1237" s="92"/>
      <c r="R1237" s="92"/>
      <c r="S1237" s="92"/>
      <c r="T1237" s="92"/>
      <c r="U1237" s="92"/>
      <c r="V1237" s="92"/>
      <c r="W1237" s="92"/>
      <c r="X1237" s="92"/>
      <c r="Y1237" s="92"/>
    </row>
    <row r="1238" spans="1:13" s="930" customFormat="1" ht="31.5" customHeight="1" thickTop="1">
      <c r="A1238" s="1039" t="s">
        <v>1105</v>
      </c>
      <c r="B1238" s="908"/>
      <c r="C1238" s="908"/>
      <c r="D1238" s="908"/>
      <c r="E1238" s="908"/>
      <c r="F1238" s="908"/>
      <c r="G1238" s="908"/>
      <c r="H1238" s="908"/>
      <c r="I1238" s="908"/>
      <c r="J1238" s="908"/>
      <c r="K1238" s="928"/>
      <c r="L1238" s="928"/>
      <c r="M1238" s="929"/>
    </row>
    <row r="1239" spans="1:25" s="313" customFormat="1" ht="34.5" customHeight="1">
      <c r="A1239" s="141"/>
      <c r="B1239" s="1051"/>
      <c r="C1239" s="1051"/>
      <c r="D1239" s="1051"/>
      <c r="E1239" s="1051"/>
      <c r="F1239" s="1051"/>
      <c r="G1239" s="1051"/>
      <c r="H1239" s="1051"/>
      <c r="I1239" s="1051"/>
      <c r="J1239" s="1051"/>
      <c r="K1239" s="312"/>
      <c r="L1239" s="312"/>
      <c r="M1239" s="144"/>
      <c r="N1239" s="330"/>
      <c r="O1239" s="330"/>
      <c r="P1239" s="330"/>
      <c r="Q1239" s="330"/>
      <c r="R1239" s="330"/>
      <c r="S1239" s="330"/>
      <c r="T1239" s="330"/>
      <c r="U1239" s="330"/>
      <c r="V1239" s="330"/>
      <c r="W1239" s="330"/>
      <c r="X1239" s="330"/>
      <c r="Y1239" s="330"/>
    </row>
    <row r="1240" spans="1:42" s="167" customFormat="1" ht="34.5" customHeight="1">
      <c r="A1240" s="837" t="s">
        <v>33</v>
      </c>
      <c r="B1240" s="838" t="s">
        <v>568</v>
      </c>
      <c r="C1240" s="839" t="s">
        <v>847</v>
      </c>
      <c r="D1240" s="840"/>
      <c r="E1240" s="841" t="s">
        <v>870</v>
      </c>
      <c r="F1240" s="842"/>
      <c r="G1240" s="841" t="s">
        <v>850</v>
      </c>
      <c r="H1240" s="842"/>
      <c r="I1240" s="841" t="s">
        <v>851</v>
      </c>
      <c r="J1240" s="842"/>
      <c r="K1240" s="841" t="s">
        <v>852</v>
      </c>
      <c r="L1240" s="842"/>
      <c r="M1240" s="151"/>
      <c r="N1240" s="151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</row>
    <row r="1241" spans="1:25" s="94" customFormat="1" ht="34.5" customHeight="1">
      <c r="A1241" s="303" t="s">
        <v>1097</v>
      </c>
      <c r="B1241" s="349" t="s">
        <v>34</v>
      </c>
      <c r="C1241" s="1216">
        <f>CEILING(42*$Z$1,0.1)</f>
        <v>52.5</v>
      </c>
      <c r="D1241" s="1217"/>
      <c r="E1241" s="1200">
        <f>CEILING(67*$Z$1,0.1)</f>
        <v>83.80000000000001</v>
      </c>
      <c r="F1241" s="1214"/>
      <c r="G1241" s="1216">
        <f>CEILING(62*$Z$1,0.1)</f>
        <v>77.5</v>
      </c>
      <c r="H1241" s="1217"/>
      <c r="I1241" s="1216">
        <f>CEILING(67*$Z$1,0.1)</f>
        <v>83.80000000000001</v>
      </c>
      <c r="J1241" s="1217"/>
      <c r="K1241" s="1216">
        <f>CEILING(61*$Z$1,0.1)</f>
        <v>76.3</v>
      </c>
      <c r="L1241" s="1217"/>
      <c r="M1241" s="97"/>
      <c r="N1241" s="98"/>
      <c r="O1241" s="92"/>
      <c r="P1241" s="92"/>
      <c r="Q1241" s="92"/>
      <c r="R1241" s="92"/>
      <c r="S1241" s="92"/>
      <c r="T1241" s="92"/>
      <c r="U1241" s="92"/>
      <c r="V1241" s="92"/>
      <c r="W1241" s="92"/>
      <c r="X1241" s="92"/>
      <c r="Y1241" s="92"/>
    </row>
    <row r="1242" spans="1:25" s="94" customFormat="1" ht="34.5" customHeight="1">
      <c r="A1242" s="304" t="s">
        <v>35</v>
      </c>
      <c r="B1242" s="172" t="s">
        <v>36</v>
      </c>
      <c r="C1242" s="1200">
        <f>CEILING((C1241+28*$Z$1),0.1)</f>
        <v>87.5</v>
      </c>
      <c r="D1242" s="1201"/>
      <c r="E1242" s="1200">
        <f>CEILING((E1241+28*$Z$1),0.1)</f>
        <v>118.80000000000001</v>
      </c>
      <c r="F1242" s="1201"/>
      <c r="G1242" s="1200">
        <f>CEILING((G1241+28*$Z$1),0.1)</f>
        <v>112.5</v>
      </c>
      <c r="H1242" s="1201"/>
      <c r="I1242" s="1200">
        <f>CEILING((I1241+28*$Z$1),0.1)</f>
        <v>118.80000000000001</v>
      </c>
      <c r="J1242" s="1201"/>
      <c r="K1242" s="1200">
        <f>CEILING((K1241+28*$Z$1),0.1)</f>
        <v>111.30000000000001</v>
      </c>
      <c r="L1242" s="1201"/>
      <c r="M1242" s="97"/>
      <c r="N1242" s="98"/>
      <c r="O1242" s="92"/>
      <c r="P1242" s="92"/>
      <c r="Q1242" s="92"/>
      <c r="R1242" s="92"/>
      <c r="S1242" s="92"/>
      <c r="T1242" s="92"/>
      <c r="U1242" s="92"/>
      <c r="V1242" s="92"/>
      <c r="W1242" s="92"/>
      <c r="X1242" s="92"/>
      <c r="Y1242" s="92"/>
    </row>
    <row r="1243" spans="1:25" s="94" customFormat="1" ht="34.5" customHeight="1">
      <c r="A1243" s="1061" t="s">
        <v>1106</v>
      </c>
      <c r="B1243" s="306" t="s">
        <v>37</v>
      </c>
      <c r="C1243" s="1200">
        <f>CEILING((C1241*0.85),0.1)</f>
        <v>44.7</v>
      </c>
      <c r="D1243" s="1201"/>
      <c r="E1243" s="1200">
        <f>CEILING((E1241*0.85),0.1)</f>
        <v>71.3</v>
      </c>
      <c r="F1243" s="1201"/>
      <c r="G1243" s="1200">
        <f>CEILING((G1241*0.85),0.1)</f>
        <v>65.9</v>
      </c>
      <c r="H1243" s="1201"/>
      <c r="I1243" s="1200">
        <f>CEILING((I1241*0.85),0.1)</f>
        <v>71.3</v>
      </c>
      <c r="J1243" s="1201"/>
      <c r="K1243" s="1200">
        <f>CEILING((K1241*0.85),0.1)</f>
        <v>64.9</v>
      </c>
      <c r="L1243" s="1201"/>
      <c r="M1243" s="106"/>
      <c r="N1243" s="98"/>
      <c r="O1243" s="92"/>
      <c r="P1243" s="92"/>
      <c r="Q1243" s="92"/>
      <c r="R1243" s="92"/>
      <c r="S1243" s="92"/>
      <c r="T1243" s="92"/>
      <c r="U1243" s="92"/>
      <c r="V1243" s="92"/>
      <c r="W1243" s="92"/>
      <c r="X1243" s="92"/>
      <c r="Y1243" s="92"/>
    </row>
    <row r="1244" spans="1:25" s="94" customFormat="1" ht="34.5" customHeight="1">
      <c r="A1244" s="305" t="s">
        <v>1225</v>
      </c>
      <c r="B1244" s="179" t="s">
        <v>1098</v>
      </c>
      <c r="C1244" s="1200">
        <f>CEILING(57*$Z$1,0.1)</f>
        <v>71.3</v>
      </c>
      <c r="D1244" s="1201"/>
      <c r="E1244" s="1200">
        <f>CEILING(82*$Z$1,0.1)</f>
        <v>102.5</v>
      </c>
      <c r="F1244" s="1214"/>
      <c r="G1244" s="1200">
        <f>CEILING(77*$Z$1,0.1)</f>
        <v>96.30000000000001</v>
      </c>
      <c r="H1244" s="1201"/>
      <c r="I1244" s="1200">
        <f>CEILING(82*$Z$1,0.1)</f>
        <v>102.5</v>
      </c>
      <c r="J1244" s="1201"/>
      <c r="K1244" s="1200">
        <f>CEILING(76*$Z$1,0.1)</f>
        <v>95</v>
      </c>
      <c r="L1244" s="1201"/>
      <c r="M1244" s="106"/>
      <c r="N1244" s="98"/>
      <c r="O1244" s="92"/>
      <c r="P1244" s="92"/>
      <c r="Q1244" s="92"/>
      <c r="R1244" s="92"/>
      <c r="S1244" s="92"/>
      <c r="T1244" s="92"/>
      <c r="U1244" s="92"/>
      <c r="V1244" s="92"/>
      <c r="W1244" s="92"/>
      <c r="X1244" s="92"/>
      <c r="Y1244" s="92"/>
    </row>
    <row r="1245" spans="1:25" s="94" customFormat="1" ht="34.5" customHeight="1">
      <c r="A1245" s="114" t="s">
        <v>1227</v>
      </c>
      <c r="B1245" s="179" t="s">
        <v>1099</v>
      </c>
      <c r="C1245" s="1200">
        <f>CEILING((C1244+28*$Z$1),0.1)</f>
        <v>106.30000000000001</v>
      </c>
      <c r="D1245" s="1201"/>
      <c r="E1245" s="1200">
        <f>CEILING((E1244+28*$Z$1),0.1)</f>
        <v>137.5</v>
      </c>
      <c r="F1245" s="1214"/>
      <c r="G1245" s="1200">
        <f>CEILING((G1244+28*$Z$1),0.1)</f>
        <v>131.3</v>
      </c>
      <c r="H1245" s="1201"/>
      <c r="I1245" s="1200">
        <f>CEILING((I1244+28*$Z$1),0.1)</f>
        <v>137.5</v>
      </c>
      <c r="J1245" s="1201"/>
      <c r="K1245" s="1200">
        <f>CEILING((K1244+28*$Z$1),0.1)</f>
        <v>130</v>
      </c>
      <c r="L1245" s="1201"/>
      <c r="M1245" s="106"/>
      <c r="N1245" s="98"/>
      <c r="O1245" s="92"/>
      <c r="P1245" s="92"/>
      <c r="Q1245" s="92"/>
      <c r="R1245" s="92"/>
      <c r="S1245" s="92"/>
      <c r="T1245" s="92"/>
      <c r="U1245" s="92"/>
      <c r="V1245" s="92"/>
      <c r="W1245" s="92"/>
      <c r="X1245" s="92"/>
      <c r="Y1245" s="92"/>
    </row>
    <row r="1246" spans="1:25" s="94" customFormat="1" ht="34.5" customHeight="1">
      <c r="A1246" s="305"/>
      <c r="B1246" s="340" t="s">
        <v>46</v>
      </c>
      <c r="C1246" s="1200">
        <f>CEILING(67*$Z$1,0.1)</f>
        <v>83.80000000000001</v>
      </c>
      <c r="D1246" s="1201"/>
      <c r="E1246" s="1200">
        <f>CEILING(92*$Z$1,0.1)</f>
        <v>115</v>
      </c>
      <c r="F1246" s="1214"/>
      <c r="G1246" s="1200">
        <f>CEILING(87*$Z$1,0.1)</f>
        <v>108.80000000000001</v>
      </c>
      <c r="H1246" s="1201"/>
      <c r="I1246" s="1200">
        <f>CEILING(92*$Z$1,0.1)</f>
        <v>115</v>
      </c>
      <c r="J1246" s="1201"/>
      <c r="K1246" s="1200">
        <f>CEILING(86*$Z$1,0.1)</f>
        <v>107.5</v>
      </c>
      <c r="L1246" s="1201"/>
      <c r="M1246" s="106"/>
      <c r="N1246" s="98"/>
      <c r="O1246" s="92"/>
      <c r="P1246" s="92"/>
      <c r="Q1246" s="92"/>
      <c r="R1246" s="92"/>
      <c r="S1246" s="92"/>
      <c r="T1246" s="92"/>
      <c r="U1246" s="92"/>
      <c r="V1246" s="92"/>
      <c r="W1246" s="92"/>
      <c r="X1246" s="92"/>
      <c r="Y1246" s="92"/>
    </row>
    <row r="1247" spans="1:25" s="94" customFormat="1" ht="34.5" customHeight="1" thickBot="1">
      <c r="A1247" s="1060" t="s">
        <v>1095</v>
      </c>
      <c r="B1247" s="407" t="s">
        <v>47</v>
      </c>
      <c r="C1247" s="1212">
        <f>CEILING((C1246+35*$Z$1),0.1)</f>
        <v>127.60000000000001</v>
      </c>
      <c r="D1247" s="1213"/>
      <c r="E1247" s="1212">
        <f>CEILING((E1246+35*$Z$1),0.1)</f>
        <v>158.8</v>
      </c>
      <c r="F1247" s="1215"/>
      <c r="G1247" s="1212">
        <f>CEILING((G1246+35*$Z$1),0.1)</f>
        <v>152.6</v>
      </c>
      <c r="H1247" s="1213"/>
      <c r="I1247" s="1212">
        <f>CEILING((I1246+35*$Z$1),0.1)</f>
        <v>158.8</v>
      </c>
      <c r="J1247" s="1213"/>
      <c r="K1247" s="1212">
        <f>CEILING((K1246+35*$Z$1),0.1)</f>
        <v>151.3</v>
      </c>
      <c r="L1247" s="1213"/>
      <c r="M1247" s="106"/>
      <c r="N1247" s="98"/>
      <c r="O1247" s="92"/>
      <c r="P1247" s="92"/>
      <c r="Q1247" s="92"/>
      <c r="R1247" s="92"/>
      <c r="S1247" s="92"/>
      <c r="T1247" s="92"/>
      <c r="U1247" s="92"/>
      <c r="V1247" s="92"/>
      <c r="W1247" s="92"/>
      <c r="X1247" s="92"/>
      <c r="Y1247" s="92"/>
    </row>
    <row r="1248" spans="1:13" s="930" customFormat="1" ht="31.5" customHeight="1" thickTop="1">
      <c r="A1248" s="1039" t="s">
        <v>1105</v>
      </c>
      <c r="B1248" s="908"/>
      <c r="C1248" s="908"/>
      <c r="D1248" s="908"/>
      <c r="E1248" s="908"/>
      <c r="F1248" s="908"/>
      <c r="G1248" s="908"/>
      <c r="H1248" s="908"/>
      <c r="I1248" s="908"/>
      <c r="J1248" s="908"/>
      <c r="K1248" s="928"/>
      <c r="L1248" s="928"/>
      <c r="M1248" s="929"/>
    </row>
    <row r="1249" spans="1:72" s="94" customFormat="1" ht="34.5" customHeight="1">
      <c r="A1249" s="234"/>
      <c r="B1249" s="1053"/>
      <c r="C1249" s="1053"/>
      <c r="D1249" s="1053"/>
      <c r="E1249" s="1053"/>
      <c r="F1249" s="1053"/>
      <c r="G1249" s="1053"/>
      <c r="H1249" s="1053"/>
      <c r="I1249" s="1053"/>
      <c r="J1249" s="1053"/>
      <c r="K1249" s="95"/>
      <c r="L1249" s="95"/>
      <c r="M1249" s="1052"/>
      <c r="N1249" s="1052"/>
      <c r="O1249" s="136"/>
      <c r="P1249" s="136"/>
      <c r="Q1249" s="136"/>
      <c r="R1249" s="136"/>
      <c r="S1249" s="136"/>
      <c r="T1249" s="136"/>
      <c r="U1249" s="136"/>
      <c r="V1249" s="136"/>
      <c r="W1249" s="136"/>
      <c r="X1249" s="136"/>
      <c r="Y1249" s="136"/>
      <c r="Z1249" s="136"/>
      <c r="AA1249" s="136"/>
      <c r="AB1249" s="136"/>
      <c r="AC1249" s="136"/>
      <c r="AD1249" s="136"/>
      <c r="AE1249" s="136"/>
      <c r="AF1249" s="136"/>
      <c r="AG1249" s="136"/>
      <c r="AH1249" s="136"/>
      <c r="AI1249" s="136"/>
      <c r="AJ1249" s="136"/>
      <c r="AK1249" s="136"/>
      <c r="AL1249" s="136"/>
      <c r="AM1249" s="136"/>
      <c r="AN1249" s="136"/>
      <c r="AO1249" s="136"/>
      <c r="AP1249" s="136"/>
      <c r="AQ1249" s="136"/>
      <c r="AR1249" s="136"/>
      <c r="AS1249" s="136"/>
      <c r="AT1249" s="136"/>
      <c r="AU1249" s="136"/>
      <c r="AV1249" s="136"/>
      <c r="AW1249" s="136"/>
      <c r="AX1249" s="136"/>
      <c r="AY1249" s="136"/>
      <c r="AZ1249" s="136"/>
      <c r="BA1249" s="136"/>
      <c r="BB1249" s="136"/>
      <c r="BC1249" s="136"/>
      <c r="BD1249" s="136"/>
      <c r="BE1249" s="136"/>
      <c r="BF1249" s="136"/>
      <c r="BG1249" s="136"/>
      <c r="BH1249" s="136"/>
      <c r="BI1249" s="136"/>
      <c r="BJ1249" s="136"/>
      <c r="BK1249" s="136"/>
      <c r="BL1249" s="136"/>
      <c r="BM1249" s="136"/>
      <c r="BN1249" s="136"/>
      <c r="BO1249" s="136"/>
      <c r="BP1249" s="136"/>
      <c r="BQ1249" s="136"/>
      <c r="BR1249" s="136"/>
      <c r="BS1249" s="136"/>
      <c r="BT1249" s="136"/>
    </row>
    <row r="1250" spans="1:25" s="94" customFormat="1" ht="34.5" customHeight="1">
      <c r="A1250" s="1241" t="s">
        <v>1279</v>
      </c>
      <c r="B1250" s="1241"/>
      <c r="C1250" s="1241"/>
      <c r="D1250" s="1241"/>
      <c r="E1250" s="1241"/>
      <c r="F1250" s="1241"/>
      <c r="G1250" s="1241"/>
      <c r="H1250" s="1241"/>
      <c r="I1250" s="1241"/>
      <c r="J1250" s="110"/>
      <c r="K1250" s="91"/>
      <c r="L1250" s="99"/>
      <c r="M1250" s="111"/>
      <c r="N1250" s="112"/>
      <c r="O1250" s="92"/>
      <c r="P1250" s="92"/>
      <c r="Q1250" s="92"/>
      <c r="R1250" s="92"/>
      <c r="S1250" s="92"/>
      <c r="T1250" s="92"/>
      <c r="U1250" s="92"/>
      <c r="V1250" s="92"/>
      <c r="W1250" s="92"/>
      <c r="X1250" s="92"/>
      <c r="Y1250" s="92"/>
    </row>
    <row r="1251" spans="1:25" s="94" customFormat="1" ht="34.5" customHeight="1">
      <c r="A1251" s="1241" t="s">
        <v>1280</v>
      </c>
      <c r="B1251" s="1241"/>
      <c r="C1251" s="1241"/>
      <c r="D1251" s="1241"/>
      <c r="E1251" s="1241"/>
      <c r="F1251" s="1241"/>
      <c r="G1251" s="1241"/>
      <c r="H1251" s="1241"/>
      <c r="I1251" s="1006"/>
      <c r="J1251" s="110"/>
      <c r="K1251" s="91"/>
      <c r="L1251" s="99"/>
      <c r="M1251" s="111"/>
      <c r="N1251" s="112"/>
      <c r="O1251" s="92"/>
      <c r="P1251" s="92"/>
      <c r="Q1251" s="92"/>
      <c r="R1251" s="92"/>
      <c r="S1251" s="92"/>
      <c r="T1251" s="92"/>
      <c r="U1251" s="92"/>
      <c r="V1251" s="92"/>
      <c r="W1251" s="92"/>
      <c r="X1251" s="92"/>
      <c r="Y1251" s="92"/>
    </row>
    <row r="1252" spans="1:25" s="94" customFormat="1" ht="34.5" customHeight="1">
      <c r="A1252" s="587"/>
      <c r="B1252" s="587"/>
      <c r="C1252" s="587"/>
      <c r="D1252" s="587"/>
      <c r="E1252" s="587"/>
      <c r="F1252" s="587"/>
      <c r="G1252" s="587"/>
      <c r="H1252" s="587"/>
      <c r="I1252" s="587"/>
      <c r="J1252" s="587"/>
      <c r="K1252" s="91"/>
      <c r="L1252" s="99"/>
      <c r="M1252" s="106"/>
      <c r="N1252" s="98"/>
      <c r="O1252" s="92"/>
      <c r="P1252" s="92"/>
      <c r="Q1252" s="92"/>
      <c r="R1252" s="92"/>
      <c r="S1252" s="92"/>
      <c r="T1252" s="92"/>
      <c r="U1252" s="92"/>
      <c r="V1252" s="92"/>
      <c r="W1252" s="92"/>
      <c r="X1252" s="92"/>
      <c r="Y1252" s="92"/>
    </row>
    <row r="1253" spans="1:25" s="15" customFormat="1" ht="34.5" customHeight="1">
      <c r="A1253" s="1269" t="s">
        <v>207</v>
      </c>
      <c r="B1253" s="1269"/>
      <c r="C1253" s="1269"/>
      <c r="D1253" s="1269"/>
      <c r="E1253" s="1269"/>
      <c r="F1253" s="1269"/>
      <c r="G1253" s="1269"/>
      <c r="H1253" s="1269"/>
      <c r="I1253" s="1269"/>
      <c r="J1253" s="1269"/>
      <c r="K1253" s="13"/>
      <c r="L1253" s="13"/>
      <c r="M1253" s="32"/>
      <c r="N1253" s="8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s="15" customFormat="1" ht="34.5" customHeight="1" thickBot="1">
      <c r="A1254" s="1250" t="s">
        <v>103</v>
      </c>
      <c r="B1254" s="1250"/>
      <c r="C1254" s="1250"/>
      <c r="D1254" s="1250"/>
      <c r="E1254" s="1250"/>
      <c r="F1254" s="1250"/>
      <c r="G1254" s="1250"/>
      <c r="H1254" s="1250"/>
      <c r="I1254" s="1251"/>
      <c r="J1254" s="1251"/>
      <c r="K1254" s="33"/>
      <c r="L1254" s="13"/>
      <c r="M1254" s="32"/>
      <c r="N1254" s="8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42" s="167" customFormat="1" ht="34.5" customHeight="1" thickTop="1">
      <c r="A1255" s="826" t="s">
        <v>33</v>
      </c>
      <c r="B1255" s="827" t="s">
        <v>568</v>
      </c>
      <c r="C1255" s="828" t="s">
        <v>847</v>
      </c>
      <c r="D1255" s="829"/>
      <c r="E1255" s="830" t="s">
        <v>848</v>
      </c>
      <c r="F1255" s="831"/>
      <c r="G1255" s="830" t="s">
        <v>849</v>
      </c>
      <c r="H1255" s="831"/>
      <c r="I1255" s="830" t="s">
        <v>850</v>
      </c>
      <c r="J1255" s="831"/>
      <c r="K1255" s="830" t="s">
        <v>851</v>
      </c>
      <c r="L1255" s="831"/>
      <c r="M1255" s="830" t="s">
        <v>852</v>
      </c>
      <c r="N1255" s="831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</row>
    <row r="1256" spans="1:25" s="94" customFormat="1" ht="34.5" customHeight="1">
      <c r="A1256" s="212" t="s">
        <v>104</v>
      </c>
      <c r="B1256" s="189" t="s">
        <v>34</v>
      </c>
      <c r="C1256" s="1194">
        <f>CEILING(90*$Z$1,0.1)</f>
        <v>112.5</v>
      </c>
      <c r="D1256" s="1195"/>
      <c r="E1256" s="1194">
        <f>CEILING(115*$Z$1,0.1)</f>
        <v>143.8</v>
      </c>
      <c r="F1256" s="1195"/>
      <c r="G1256" s="1194">
        <f>CEILING(140*$Z$1,0.1)</f>
        <v>175</v>
      </c>
      <c r="H1256" s="1195"/>
      <c r="I1256" s="1194">
        <f>CEILING(110*$Z$1,0.1)</f>
        <v>137.5</v>
      </c>
      <c r="J1256" s="1195"/>
      <c r="K1256" s="1194">
        <f>CEILING(110*$Z$1,0.1)</f>
        <v>137.5</v>
      </c>
      <c r="L1256" s="1195"/>
      <c r="M1256" s="1194">
        <f>CEILING(90*$Z$1,0.1)</f>
        <v>112.5</v>
      </c>
      <c r="N1256" s="1195"/>
      <c r="O1256" s="92"/>
      <c r="P1256" s="92"/>
      <c r="Q1256" s="92"/>
      <c r="R1256" s="92"/>
      <c r="S1256" s="92"/>
      <c r="T1256" s="92"/>
      <c r="U1256" s="92"/>
      <c r="V1256" s="92"/>
      <c r="W1256" s="92"/>
      <c r="X1256" s="92"/>
      <c r="Y1256" s="92"/>
    </row>
    <row r="1257" spans="1:25" s="94" customFormat="1" ht="34.5" customHeight="1">
      <c r="A1257" s="214" t="s">
        <v>35</v>
      </c>
      <c r="B1257" s="190" t="s">
        <v>36</v>
      </c>
      <c r="C1257" s="1192">
        <f>CEILING((C1256+0*$Z$1),0.1)</f>
        <v>112.5</v>
      </c>
      <c r="D1257" s="1193"/>
      <c r="E1257" s="1192">
        <f>CEILING((E1256+66*$Z$1),0.1)</f>
        <v>226.3</v>
      </c>
      <c r="F1257" s="1193"/>
      <c r="G1257" s="1192">
        <f>CEILING((G1256+66*$Z$1),0.1)</f>
        <v>257.5</v>
      </c>
      <c r="H1257" s="1193"/>
      <c r="I1257" s="1192">
        <f>CEILING((I1256+66*$Z$1),0.1)</f>
        <v>220</v>
      </c>
      <c r="J1257" s="1193"/>
      <c r="K1257" s="1192">
        <f>CEILING((K1256+66*$Z$1),0.1)</f>
        <v>220</v>
      </c>
      <c r="L1257" s="1193"/>
      <c r="M1257" s="1192">
        <f>CEILING((M1256+0*$Z$1),0.1)</f>
        <v>112.5</v>
      </c>
      <c r="N1257" s="1193"/>
      <c r="O1257" s="92"/>
      <c r="P1257" s="92"/>
      <c r="Q1257" s="92"/>
      <c r="R1257" s="92"/>
      <c r="S1257" s="92"/>
      <c r="T1257" s="92"/>
      <c r="U1257" s="92"/>
      <c r="V1257" s="92"/>
      <c r="W1257" s="92"/>
      <c r="X1257" s="92"/>
      <c r="Y1257" s="92"/>
    </row>
    <row r="1258" spans="1:25" s="94" customFormat="1" ht="34.5" customHeight="1">
      <c r="A1258" s="214"/>
      <c r="B1258" s="192" t="s">
        <v>67</v>
      </c>
      <c r="C1258" s="1192">
        <f>CEILING((C1256*0.85),0.1)</f>
        <v>95.7</v>
      </c>
      <c r="D1258" s="1193"/>
      <c r="E1258" s="1192">
        <f>CEILING((E1256*0.85),0.1)</f>
        <v>122.30000000000001</v>
      </c>
      <c r="F1258" s="1193"/>
      <c r="G1258" s="1192">
        <f>CEILING((G1256*0.85),0.1)</f>
        <v>148.8</v>
      </c>
      <c r="H1258" s="1193"/>
      <c r="I1258" s="1192">
        <f>CEILING((I1256*0.85),0.1)</f>
        <v>116.9</v>
      </c>
      <c r="J1258" s="1193"/>
      <c r="K1258" s="1192">
        <f>CEILING((K1256*0.85),0.1)</f>
        <v>116.9</v>
      </c>
      <c r="L1258" s="1193"/>
      <c r="M1258" s="1192">
        <f>CEILING((M1256*0.85),0.1)</f>
        <v>95.7</v>
      </c>
      <c r="N1258" s="1193"/>
      <c r="O1258" s="92"/>
      <c r="P1258" s="92"/>
      <c r="Q1258" s="92"/>
      <c r="R1258" s="92"/>
      <c r="S1258" s="92"/>
      <c r="T1258" s="92"/>
      <c r="U1258" s="92"/>
      <c r="V1258" s="92"/>
      <c r="W1258" s="92"/>
      <c r="X1258" s="92"/>
      <c r="Y1258" s="92"/>
    </row>
    <row r="1259" spans="1:25" s="94" customFormat="1" ht="34.5" customHeight="1">
      <c r="A1259" s="214"/>
      <c r="B1259" s="190" t="s">
        <v>11</v>
      </c>
      <c r="C1259" s="1192">
        <f>CEILING(115*$Z$1,0.1)</f>
        <v>143.8</v>
      </c>
      <c r="D1259" s="1193"/>
      <c r="E1259" s="1192">
        <f>CEILING(140*$Z$1,0.1)</f>
        <v>175</v>
      </c>
      <c r="F1259" s="1193"/>
      <c r="G1259" s="1192">
        <f>CEILING(165*$Z$1,0.1)</f>
        <v>206.3</v>
      </c>
      <c r="H1259" s="1193"/>
      <c r="I1259" s="1192">
        <f>CEILING(135*$Z$1,0.1)</f>
        <v>168.8</v>
      </c>
      <c r="J1259" s="1193"/>
      <c r="K1259" s="1192">
        <f>CEILING(135*$Z$1,0.1)</f>
        <v>168.8</v>
      </c>
      <c r="L1259" s="1193"/>
      <c r="M1259" s="1192">
        <f>CEILING(115*$Z$1,0.1)</f>
        <v>143.8</v>
      </c>
      <c r="N1259" s="1193"/>
      <c r="O1259" s="92"/>
      <c r="P1259" s="92"/>
      <c r="Q1259" s="92"/>
      <c r="R1259" s="92"/>
      <c r="S1259" s="92"/>
      <c r="T1259" s="92"/>
      <c r="U1259" s="92"/>
      <c r="V1259" s="92"/>
      <c r="W1259" s="92"/>
      <c r="X1259" s="92"/>
      <c r="Y1259" s="92"/>
    </row>
    <row r="1260" spans="1:25" s="94" customFormat="1" ht="34.5" customHeight="1">
      <c r="A1260" s="214"/>
      <c r="B1260" s="190" t="s">
        <v>12</v>
      </c>
      <c r="C1260" s="1192">
        <f>CEILING((C1259+0*$Z$1),0.1)</f>
        <v>143.8</v>
      </c>
      <c r="D1260" s="1193"/>
      <c r="E1260" s="1192">
        <f>CEILING((E1259+66*$Z$1),0.1)</f>
        <v>257.5</v>
      </c>
      <c r="F1260" s="1193"/>
      <c r="G1260" s="1192">
        <f>CEILING((G1259+66*$Z$1),0.1)</f>
        <v>288.8</v>
      </c>
      <c r="H1260" s="1193"/>
      <c r="I1260" s="1192">
        <f>CEILING((I1259+66*$Z$1),0.1)</f>
        <v>251.3</v>
      </c>
      <c r="J1260" s="1193"/>
      <c r="K1260" s="1192">
        <f>CEILING((K1259+66*$Z$1),0.1)</f>
        <v>251.3</v>
      </c>
      <c r="L1260" s="1193"/>
      <c r="M1260" s="1192">
        <f>CEILING((M1259+0*$Z$1),0.1)</f>
        <v>143.8</v>
      </c>
      <c r="N1260" s="1193"/>
      <c r="O1260" s="92"/>
      <c r="P1260" s="92"/>
      <c r="Q1260" s="92"/>
      <c r="R1260" s="92"/>
      <c r="S1260" s="92"/>
      <c r="T1260" s="92"/>
      <c r="U1260" s="92"/>
      <c r="V1260" s="92"/>
      <c r="W1260" s="92"/>
      <c r="X1260" s="92"/>
      <c r="Y1260" s="92"/>
    </row>
    <row r="1261" spans="1:25" s="94" customFormat="1" ht="34.5" customHeight="1">
      <c r="A1261" s="818" t="s">
        <v>745</v>
      </c>
      <c r="B1261" s="190" t="s">
        <v>255</v>
      </c>
      <c r="C1261" s="1192">
        <f>CEILING(120*$Z$1,0.1)</f>
        <v>150</v>
      </c>
      <c r="D1261" s="1193"/>
      <c r="E1261" s="1192">
        <f>CEILING(145*$Z$1,0.1)</f>
        <v>181.3</v>
      </c>
      <c r="F1261" s="1193"/>
      <c r="G1261" s="1192">
        <f>CEILING(170*$Z$1,0.1)</f>
        <v>212.5</v>
      </c>
      <c r="H1261" s="1193"/>
      <c r="I1261" s="1192">
        <f>CEILING(140*$Z$1,0.1)</f>
        <v>175</v>
      </c>
      <c r="J1261" s="1193"/>
      <c r="K1261" s="1192">
        <f>CEILING(140*$Z$1,0.1)</f>
        <v>175</v>
      </c>
      <c r="L1261" s="1193"/>
      <c r="M1261" s="1192">
        <f>CEILING(120*$Z$1,0.1)</f>
        <v>150</v>
      </c>
      <c r="N1261" s="1193"/>
      <c r="O1261" s="92"/>
      <c r="P1261" s="92"/>
      <c r="Q1261" s="92"/>
      <c r="R1261" s="92"/>
      <c r="S1261" s="92"/>
      <c r="T1261" s="92"/>
      <c r="U1261" s="92"/>
      <c r="V1261" s="92"/>
      <c r="W1261" s="92"/>
      <c r="X1261" s="92"/>
      <c r="Y1261" s="92"/>
    </row>
    <row r="1262" spans="1:25" s="94" customFormat="1" ht="34.5" customHeight="1">
      <c r="A1262" s="214"/>
      <c r="B1262" s="281" t="s">
        <v>256</v>
      </c>
      <c r="C1262" s="1202">
        <f>CEILING((C1261+0*$Z$1),0.1)</f>
        <v>150</v>
      </c>
      <c r="D1262" s="1203"/>
      <c r="E1262" s="1202">
        <f>CEILING((E1261+66*$Z$1),0.1)</f>
        <v>263.8</v>
      </c>
      <c r="F1262" s="1203"/>
      <c r="G1262" s="1202">
        <f>CEILING((G1261+66*$Z$1),0.1)</f>
        <v>295</v>
      </c>
      <c r="H1262" s="1203"/>
      <c r="I1262" s="1202">
        <f>CEILING((I1261+66*$Z$1),0.1)</f>
        <v>257.5</v>
      </c>
      <c r="J1262" s="1203"/>
      <c r="K1262" s="1202">
        <f>CEILING((K1261+66*$Z$1),0.1)</f>
        <v>257.5</v>
      </c>
      <c r="L1262" s="1203"/>
      <c r="M1262" s="1202">
        <f>CEILING((M1261+0*$Z$1),0.1)</f>
        <v>150</v>
      </c>
      <c r="N1262" s="1203"/>
      <c r="O1262" s="92"/>
      <c r="P1262" s="92"/>
      <c r="Q1262" s="92"/>
      <c r="R1262" s="92"/>
      <c r="S1262" s="92"/>
      <c r="T1262" s="92"/>
      <c r="U1262" s="92"/>
      <c r="V1262" s="92"/>
      <c r="W1262" s="92"/>
      <c r="X1262" s="92"/>
      <c r="Y1262" s="92"/>
    </row>
    <row r="1263" spans="1:25" s="94" customFormat="1" ht="34.5" customHeight="1">
      <c r="A1263" s="588"/>
      <c r="B1263" s="219" t="s">
        <v>223</v>
      </c>
      <c r="C1263" s="1194">
        <f>CEILING(130*$Z$1,0.1)</f>
        <v>162.5</v>
      </c>
      <c r="D1263" s="1195"/>
      <c r="E1263" s="1194">
        <f>CEILING(155*$Z$1,0.1)</f>
        <v>193.8</v>
      </c>
      <c r="F1263" s="1195"/>
      <c r="G1263" s="1194">
        <f>CEILING(180*$Z$1,0.1)</f>
        <v>225</v>
      </c>
      <c r="H1263" s="1195"/>
      <c r="I1263" s="1194">
        <f>CEILING(150*$Z$1,0.1)</f>
        <v>187.5</v>
      </c>
      <c r="J1263" s="1195"/>
      <c r="K1263" s="1194">
        <f>CEILING(150*$Z$1,0.1)</f>
        <v>187.5</v>
      </c>
      <c r="L1263" s="1195"/>
      <c r="M1263" s="1194">
        <f>CEILING(130*$Z$1,0.1)</f>
        <v>162.5</v>
      </c>
      <c r="N1263" s="1195"/>
      <c r="O1263" s="92"/>
      <c r="P1263" s="92"/>
      <c r="Q1263" s="92"/>
      <c r="R1263" s="92"/>
      <c r="S1263" s="92"/>
      <c r="T1263" s="92"/>
      <c r="U1263" s="92"/>
      <c r="V1263" s="92"/>
      <c r="W1263" s="92"/>
      <c r="X1263" s="92"/>
      <c r="Y1263" s="92"/>
    </row>
    <row r="1264" spans="1:25" s="94" customFormat="1" ht="34.5" customHeight="1">
      <c r="A1264" s="373"/>
      <c r="B1264" s="215" t="s">
        <v>224</v>
      </c>
      <c r="C1264" s="1192">
        <f>CEILING((C1263+0*$Z$1),0.1)</f>
        <v>162.5</v>
      </c>
      <c r="D1264" s="1193"/>
      <c r="E1264" s="1192">
        <f>CEILING((E1263+90*$Z$1),0.1)</f>
        <v>306.3</v>
      </c>
      <c r="F1264" s="1193"/>
      <c r="G1264" s="1192">
        <f>CEILING((G1263+90*$Z$1),0.1)</f>
        <v>337.5</v>
      </c>
      <c r="H1264" s="1193"/>
      <c r="I1264" s="1192">
        <f>CEILING((I1263+90*$Z$1),0.1)</f>
        <v>300</v>
      </c>
      <c r="J1264" s="1193"/>
      <c r="K1264" s="1192">
        <f>CEILING((K1263+90*$Z$1),0.1)</f>
        <v>300</v>
      </c>
      <c r="L1264" s="1193"/>
      <c r="M1264" s="1192">
        <f>CEILING((M1263+0*$Z$1),0.1)</f>
        <v>162.5</v>
      </c>
      <c r="N1264" s="1193"/>
      <c r="O1264" s="92"/>
      <c r="P1264" s="92"/>
      <c r="Q1264" s="92"/>
      <c r="R1264" s="92"/>
      <c r="S1264" s="92"/>
      <c r="T1264" s="92"/>
      <c r="U1264" s="92"/>
      <c r="V1264" s="92"/>
      <c r="W1264" s="92"/>
      <c r="X1264" s="92"/>
      <c r="Y1264" s="92"/>
    </row>
    <row r="1265" spans="1:25" s="94" customFormat="1" ht="34.5" customHeight="1">
      <c r="A1265" s="589"/>
      <c r="B1265" s="215" t="s">
        <v>225</v>
      </c>
      <c r="C1265" s="1192">
        <f>CEILING(190*$Z$1,0.1)</f>
        <v>237.5</v>
      </c>
      <c r="D1265" s="1193"/>
      <c r="E1265" s="1192">
        <f>CEILING(215*$Z$1,0.1)</f>
        <v>268.8</v>
      </c>
      <c r="F1265" s="1193"/>
      <c r="G1265" s="1192">
        <f>CEILING(240*$Z$1,0.1)</f>
        <v>300</v>
      </c>
      <c r="H1265" s="1193"/>
      <c r="I1265" s="1192">
        <f>CEILING(210*$Z$1,0.1)</f>
        <v>262.5</v>
      </c>
      <c r="J1265" s="1193"/>
      <c r="K1265" s="1192">
        <f>CEILING(210*$Z$1,0.1)</f>
        <v>262.5</v>
      </c>
      <c r="L1265" s="1193"/>
      <c r="M1265" s="1192">
        <f>CEILING(190*$Z$1,0.1)</f>
        <v>237.5</v>
      </c>
      <c r="N1265" s="1193"/>
      <c r="O1265" s="92"/>
      <c r="P1265" s="92"/>
      <c r="Q1265" s="92"/>
      <c r="R1265" s="92"/>
      <c r="S1265" s="92"/>
      <c r="T1265" s="92"/>
      <c r="U1265" s="92"/>
      <c r="V1265" s="92"/>
      <c r="W1265" s="92"/>
      <c r="X1265" s="92"/>
      <c r="Y1265" s="92"/>
    </row>
    <row r="1266" spans="1:25" s="94" customFormat="1" ht="34.5" customHeight="1" thickBot="1">
      <c r="A1266" s="1082" t="s">
        <v>1153</v>
      </c>
      <c r="B1266" s="453" t="s">
        <v>418</v>
      </c>
      <c r="C1266" s="1218">
        <f>CEILING((C1265+0*$Z$1),0.1)</f>
        <v>237.5</v>
      </c>
      <c r="D1266" s="1219"/>
      <c r="E1266" s="1218">
        <f>CEILING((E1265+90*$Z$1),0.1)</f>
        <v>381.3</v>
      </c>
      <c r="F1266" s="1219"/>
      <c r="G1266" s="1218">
        <f>CEILING((G1265+90*$Z$1),0.1)</f>
        <v>412.5</v>
      </c>
      <c r="H1266" s="1219"/>
      <c r="I1266" s="1218">
        <f>CEILING((I1265+90*$Z$1),0.1)</f>
        <v>375</v>
      </c>
      <c r="J1266" s="1219"/>
      <c r="K1266" s="1218">
        <f>CEILING((K1265+90*$Z$1),0.1)</f>
        <v>375</v>
      </c>
      <c r="L1266" s="1219"/>
      <c r="M1266" s="1218">
        <f>CEILING((M1265+0*$Z$1),0.1)</f>
        <v>237.5</v>
      </c>
      <c r="N1266" s="1219"/>
      <c r="O1266" s="92"/>
      <c r="P1266" s="92"/>
      <c r="Q1266" s="92"/>
      <c r="R1266" s="92"/>
      <c r="S1266" s="92"/>
      <c r="T1266" s="92"/>
      <c r="U1266" s="92"/>
      <c r="V1266" s="92"/>
      <c r="W1266" s="92"/>
      <c r="X1266" s="92"/>
      <c r="Y1266" s="92"/>
    </row>
    <row r="1267" spans="1:25" s="920" customFormat="1" ht="34.5" customHeight="1" thickTop="1">
      <c r="A1267" s="1388" t="s">
        <v>941</v>
      </c>
      <c r="B1267" s="1388"/>
      <c r="C1267" s="1388"/>
      <c r="D1267" s="1388"/>
      <c r="E1267" s="1388"/>
      <c r="F1267" s="1388"/>
      <c r="G1267" s="1388"/>
      <c r="H1267" s="1388"/>
      <c r="I1267" s="1388"/>
      <c r="J1267" s="1388"/>
      <c r="K1267" s="99"/>
      <c r="L1267" s="91"/>
      <c r="M1267" s="91"/>
      <c r="N1267" s="444"/>
      <c r="O1267" s="119"/>
      <c r="P1267" s="119"/>
      <c r="Q1267" s="119"/>
      <c r="R1267" s="119"/>
      <c r="S1267" s="119"/>
      <c r="T1267" s="119"/>
      <c r="U1267" s="119"/>
      <c r="V1267" s="119"/>
      <c r="W1267" s="119"/>
      <c r="X1267" s="119"/>
      <c r="Y1267" s="119"/>
    </row>
    <row r="1268" spans="1:25" s="94" customFormat="1" ht="34.5" customHeight="1" thickBot="1">
      <c r="A1268" s="590"/>
      <c r="B1268" s="591"/>
      <c r="C1268" s="592"/>
      <c r="D1268" s="592"/>
      <c r="E1268" s="592"/>
      <c r="F1268" s="592"/>
      <c r="G1268" s="592"/>
      <c r="H1268" s="592"/>
      <c r="I1268" s="1340"/>
      <c r="J1268" s="1340"/>
      <c r="K1268" s="99"/>
      <c r="L1268" s="91"/>
      <c r="M1268" s="106"/>
      <c r="N1268" s="106"/>
      <c r="O1268" s="92"/>
      <c r="P1268" s="92"/>
      <c r="Q1268" s="92"/>
      <c r="R1268" s="92"/>
      <c r="S1268" s="92"/>
      <c r="T1268" s="92"/>
      <c r="U1268" s="92"/>
      <c r="V1268" s="92"/>
      <c r="W1268" s="92"/>
      <c r="X1268" s="92"/>
      <c r="Y1268" s="92"/>
    </row>
    <row r="1269" spans="1:42" s="167" customFormat="1" ht="34.5" customHeight="1" thickTop="1">
      <c r="A1269" s="826" t="s">
        <v>33</v>
      </c>
      <c r="B1269" s="827" t="s">
        <v>568</v>
      </c>
      <c r="C1269" s="828" t="s">
        <v>847</v>
      </c>
      <c r="D1269" s="829"/>
      <c r="E1269" s="830" t="s">
        <v>848</v>
      </c>
      <c r="F1269" s="831"/>
      <c r="G1269" s="830" t="s">
        <v>849</v>
      </c>
      <c r="H1269" s="831"/>
      <c r="I1269" s="830" t="s">
        <v>850</v>
      </c>
      <c r="J1269" s="831"/>
      <c r="K1269" s="830" t="s">
        <v>851</v>
      </c>
      <c r="L1269" s="831"/>
      <c r="M1269" s="830" t="s">
        <v>852</v>
      </c>
      <c r="N1269" s="831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</row>
    <row r="1270" spans="1:25" s="121" customFormat="1" ht="34.5" customHeight="1">
      <c r="A1270" s="593" t="s">
        <v>105</v>
      </c>
      <c r="B1270" s="594" t="s">
        <v>41</v>
      </c>
      <c r="C1270" s="1194">
        <f>CEILING(45*$Z$1,0.1)</f>
        <v>56.300000000000004</v>
      </c>
      <c r="D1270" s="1195"/>
      <c r="E1270" s="1194">
        <f>CEILING(65*$Z$1,0.1)</f>
        <v>81.30000000000001</v>
      </c>
      <c r="F1270" s="1195"/>
      <c r="G1270" s="1194">
        <f>CEILING(65*$Z$1,0.1)</f>
        <v>81.30000000000001</v>
      </c>
      <c r="H1270" s="1195"/>
      <c r="I1270" s="1194">
        <f>CEILING(50*$Z$1,0.1)</f>
        <v>62.5</v>
      </c>
      <c r="J1270" s="1195"/>
      <c r="K1270" s="1194">
        <f>CEILING(55*$Z$1,0.1)</f>
        <v>68.8</v>
      </c>
      <c r="L1270" s="1195"/>
      <c r="M1270" s="1194">
        <f>CEILING(45*$Z$1,0.1)</f>
        <v>56.300000000000004</v>
      </c>
      <c r="N1270" s="1195"/>
      <c r="O1270" s="101"/>
      <c r="P1270" s="101"/>
      <c r="Q1270" s="101"/>
      <c r="R1270" s="101"/>
      <c r="S1270" s="101"/>
      <c r="T1270" s="101"/>
      <c r="U1270" s="101"/>
      <c r="V1270" s="101"/>
      <c r="W1270" s="101"/>
      <c r="X1270" s="101"/>
      <c r="Y1270" s="101"/>
    </row>
    <row r="1271" spans="1:25" s="121" customFormat="1" ht="34.5" customHeight="1">
      <c r="A1271" s="595" t="s">
        <v>49</v>
      </c>
      <c r="B1271" s="596" t="s">
        <v>42</v>
      </c>
      <c r="C1271" s="1192">
        <f>CEILING((C1270+18*$Z$1),0.1)</f>
        <v>78.80000000000001</v>
      </c>
      <c r="D1271" s="1193"/>
      <c r="E1271" s="1192">
        <f>CEILING((E1270+30*$Z$1),0.1)</f>
        <v>118.80000000000001</v>
      </c>
      <c r="F1271" s="1193"/>
      <c r="G1271" s="1192">
        <f>CEILING((G1270+30*$Z$1),0.1)</f>
        <v>118.80000000000001</v>
      </c>
      <c r="H1271" s="1193"/>
      <c r="I1271" s="1192">
        <f>CEILING((I1270+30*$Z$1),0.1)</f>
        <v>100</v>
      </c>
      <c r="J1271" s="1193"/>
      <c r="K1271" s="1192">
        <f>CEILING((K1270+30*$Z$1),0.1)</f>
        <v>106.30000000000001</v>
      </c>
      <c r="L1271" s="1193"/>
      <c r="M1271" s="1192">
        <f>CEILING((M1270+18*$Z$1),0.1)</f>
        <v>78.80000000000001</v>
      </c>
      <c r="N1271" s="1193"/>
      <c r="O1271" s="101"/>
      <c r="P1271" s="101"/>
      <c r="Q1271" s="101"/>
      <c r="R1271" s="101"/>
      <c r="S1271" s="101"/>
      <c r="T1271" s="101"/>
      <c r="U1271" s="101"/>
      <c r="V1271" s="101"/>
      <c r="W1271" s="101"/>
      <c r="X1271" s="101"/>
      <c r="Y1271" s="101"/>
    </row>
    <row r="1272" spans="1:25" s="121" customFormat="1" ht="34.5" customHeight="1">
      <c r="A1272" s="597"/>
      <c r="B1272" s="596" t="s">
        <v>67</v>
      </c>
      <c r="C1272" s="1192">
        <f>CEILING((C1270*0.85),0.1)</f>
        <v>47.900000000000006</v>
      </c>
      <c r="D1272" s="1193"/>
      <c r="E1272" s="1192">
        <f>CEILING((E1270*0.85),0.1)</f>
        <v>69.2</v>
      </c>
      <c r="F1272" s="1193"/>
      <c r="G1272" s="1192">
        <f>CEILING((G1270*0.85),0.1)</f>
        <v>69.2</v>
      </c>
      <c r="H1272" s="1193"/>
      <c r="I1272" s="1192">
        <f>CEILING((I1270*0.85),0.1)</f>
        <v>53.2</v>
      </c>
      <c r="J1272" s="1193"/>
      <c r="K1272" s="1192">
        <f>CEILING((K1270*0.85),0.1)</f>
        <v>58.5</v>
      </c>
      <c r="L1272" s="1193"/>
      <c r="M1272" s="1192">
        <f>CEILING((M1270*0.85),0.1)</f>
        <v>47.900000000000006</v>
      </c>
      <c r="N1272" s="1193"/>
      <c r="O1272" s="101"/>
      <c r="P1272" s="101"/>
      <c r="Q1272" s="101"/>
      <c r="R1272" s="101"/>
      <c r="S1272" s="101"/>
      <c r="T1272" s="101"/>
      <c r="U1272" s="101"/>
      <c r="V1272" s="101"/>
      <c r="W1272" s="101"/>
      <c r="X1272" s="101"/>
      <c r="Y1272" s="101"/>
    </row>
    <row r="1273" spans="1:25" s="121" customFormat="1" ht="34.5" customHeight="1">
      <c r="A1273" s="597"/>
      <c r="B1273" s="598" t="s">
        <v>673</v>
      </c>
      <c r="C1273" s="1192">
        <f>CEILING((C1270*0.5),0.1)</f>
        <v>28.200000000000003</v>
      </c>
      <c r="D1273" s="1193"/>
      <c r="E1273" s="1192">
        <f>CEILING((E1270*0.5),0.1)</f>
        <v>40.7</v>
      </c>
      <c r="F1273" s="1193"/>
      <c r="G1273" s="1192">
        <f>CEILING((G1270*0.5),0.1)</f>
        <v>40.7</v>
      </c>
      <c r="H1273" s="1193"/>
      <c r="I1273" s="1192">
        <f>CEILING((I1270*0.5),0.1)</f>
        <v>31.3</v>
      </c>
      <c r="J1273" s="1193"/>
      <c r="K1273" s="1192">
        <f>CEILING((K1270*0.5),0.1)</f>
        <v>34.4</v>
      </c>
      <c r="L1273" s="1193"/>
      <c r="M1273" s="1192">
        <f>CEILING((M1270*0.5),0.1)</f>
        <v>28.200000000000003</v>
      </c>
      <c r="N1273" s="1193"/>
      <c r="O1273" s="101"/>
      <c r="P1273" s="101"/>
      <c r="Q1273" s="101"/>
      <c r="R1273" s="101"/>
      <c r="S1273" s="101"/>
      <c r="T1273" s="101"/>
      <c r="U1273" s="101"/>
      <c r="V1273" s="101"/>
      <c r="W1273" s="101"/>
      <c r="X1273" s="101"/>
      <c r="Y1273" s="101"/>
    </row>
    <row r="1274" spans="1:25" s="121" customFormat="1" ht="34.5" customHeight="1">
      <c r="A1274" s="597"/>
      <c r="B1274" s="596" t="s">
        <v>348</v>
      </c>
      <c r="C1274" s="1192">
        <f>CEILING(55*$Z$1,0.1)</f>
        <v>68.8</v>
      </c>
      <c r="D1274" s="1193"/>
      <c r="E1274" s="1192">
        <f>CEILING(75*$Z$1,0.1)</f>
        <v>93.80000000000001</v>
      </c>
      <c r="F1274" s="1193"/>
      <c r="G1274" s="1192">
        <f>CEILING(75*$Z$1,0.1)</f>
        <v>93.80000000000001</v>
      </c>
      <c r="H1274" s="1193"/>
      <c r="I1274" s="1192">
        <f>CEILING(60*$Z$1,0.1)</f>
        <v>75</v>
      </c>
      <c r="J1274" s="1193"/>
      <c r="K1274" s="1192">
        <f>CEILING(65*$Z$1,0.1)</f>
        <v>81.30000000000001</v>
      </c>
      <c r="L1274" s="1193"/>
      <c r="M1274" s="1192">
        <f>CEILING(55*$Z$1,0.1)</f>
        <v>68.8</v>
      </c>
      <c r="N1274" s="1193"/>
      <c r="O1274" s="101"/>
      <c r="P1274" s="101"/>
      <c r="Q1274" s="101"/>
      <c r="R1274" s="101"/>
      <c r="S1274" s="101"/>
      <c r="T1274" s="101"/>
      <c r="U1274" s="101"/>
      <c r="V1274" s="101"/>
      <c r="W1274" s="101"/>
      <c r="X1274" s="101"/>
      <c r="Y1274" s="101"/>
    </row>
    <row r="1275" spans="1:25" s="121" customFormat="1" ht="34.5" customHeight="1">
      <c r="A1275" s="599"/>
      <c r="B1275" s="596" t="s">
        <v>349</v>
      </c>
      <c r="C1275" s="1192">
        <f>CEILING((C1274+18*$Z$1),0.1)</f>
        <v>91.30000000000001</v>
      </c>
      <c r="D1275" s="1193"/>
      <c r="E1275" s="1192">
        <f>CEILING((E1274+30*$Z$1),0.1)</f>
        <v>131.3</v>
      </c>
      <c r="F1275" s="1193"/>
      <c r="G1275" s="1192">
        <f>CEILING((G1274+30*$Z$1),0.1)</f>
        <v>131.3</v>
      </c>
      <c r="H1275" s="1193"/>
      <c r="I1275" s="1192">
        <f>CEILING((I1274+30*$Z$1),0.1)</f>
        <v>112.5</v>
      </c>
      <c r="J1275" s="1193"/>
      <c r="K1275" s="1192">
        <f>CEILING((K1274+30*$Z$1),0.1)</f>
        <v>118.80000000000001</v>
      </c>
      <c r="L1275" s="1193"/>
      <c r="M1275" s="1192">
        <f>CEILING((M1274+18*$Z$1),0.1)</f>
        <v>91.30000000000001</v>
      </c>
      <c r="N1275" s="1193"/>
      <c r="O1275" s="101"/>
      <c r="P1275" s="101"/>
      <c r="Q1275" s="101"/>
      <c r="R1275" s="101"/>
      <c r="S1275" s="101"/>
      <c r="T1275" s="101"/>
      <c r="U1275" s="101"/>
      <c r="V1275" s="101"/>
      <c r="W1275" s="101"/>
      <c r="X1275" s="101"/>
      <c r="Y1275" s="101"/>
    </row>
    <row r="1276" spans="1:25" s="121" customFormat="1" ht="34.5" customHeight="1">
      <c r="A1276" s="597"/>
      <c r="B1276" s="596" t="s">
        <v>350</v>
      </c>
      <c r="C1276" s="1192">
        <f>CEILING(65*$Z$1,0.1)</f>
        <v>81.30000000000001</v>
      </c>
      <c r="D1276" s="1193"/>
      <c r="E1276" s="1192">
        <f>CEILING(85*$Z$1,0.1)</f>
        <v>106.30000000000001</v>
      </c>
      <c r="F1276" s="1193"/>
      <c r="G1276" s="1192">
        <f>CEILING(85*$Z$1,0.1)</f>
        <v>106.30000000000001</v>
      </c>
      <c r="H1276" s="1193"/>
      <c r="I1276" s="1192">
        <f>CEILING(70*$Z$1,0.1)</f>
        <v>87.5</v>
      </c>
      <c r="J1276" s="1193"/>
      <c r="K1276" s="1192">
        <f>CEILING(75*$Z$1,0.1)</f>
        <v>93.80000000000001</v>
      </c>
      <c r="L1276" s="1193"/>
      <c r="M1276" s="1192">
        <f>CEILING(65*$Z$1,0.1)</f>
        <v>81.30000000000001</v>
      </c>
      <c r="N1276" s="1193"/>
      <c r="O1276" s="101"/>
      <c r="P1276" s="101"/>
      <c r="Q1276" s="101"/>
      <c r="R1276" s="101"/>
      <c r="S1276" s="101"/>
      <c r="T1276" s="101"/>
      <c r="U1276" s="101"/>
      <c r="V1276" s="101"/>
      <c r="W1276" s="101"/>
      <c r="X1276" s="101"/>
      <c r="Y1276" s="101"/>
    </row>
    <row r="1277" spans="1:48" s="185" customFormat="1" ht="34.5" customHeight="1" thickBot="1">
      <c r="A1277" s="1082" t="s">
        <v>1153</v>
      </c>
      <c r="B1277" s="600" t="s">
        <v>351</v>
      </c>
      <c r="C1277" s="1218">
        <f>CEILING((C1276+18*$Z$1),0.1)</f>
        <v>103.80000000000001</v>
      </c>
      <c r="D1277" s="1219"/>
      <c r="E1277" s="1218">
        <f>CEILING((E1276+30*$Z$1),0.1)</f>
        <v>143.8</v>
      </c>
      <c r="F1277" s="1219"/>
      <c r="G1277" s="1218">
        <f>CEILING((G1276+30*$Z$1),0.1)</f>
        <v>143.8</v>
      </c>
      <c r="H1277" s="1219"/>
      <c r="I1277" s="1218">
        <f>CEILING((I1276+30*$Z$1),0.1)</f>
        <v>125</v>
      </c>
      <c r="J1277" s="1219"/>
      <c r="K1277" s="1218">
        <f>CEILING((K1276+30*$Z$1),0.1)</f>
        <v>131.3</v>
      </c>
      <c r="L1277" s="1219"/>
      <c r="M1277" s="1218">
        <f>CEILING((M1276+18*$Z$1),0.1)</f>
        <v>103.80000000000001</v>
      </c>
      <c r="N1277" s="1219"/>
      <c r="O1277" s="101"/>
      <c r="P1277" s="101"/>
      <c r="Q1277" s="101"/>
      <c r="R1277" s="101"/>
      <c r="S1277" s="101"/>
      <c r="T1277" s="101"/>
      <c r="U1277" s="101"/>
      <c r="V1277" s="101"/>
      <c r="W1277" s="101"/>
      <c r="X1277" s="101"/>
      <c r="Y1277" s="10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21"/>
      <c r="AV1277" s="121"/>
    </row>
    <row r="1278" spans="1:25" s="121" customFormat="1" ht="34.5" customHeight="1" thickTop="1">
      <c r="A1278" s="832" t="s">
        <v>1294</v>
      </c>
      <c r="B1278" s="832"/>
      <c r="C1278" s="1168"/>
      <c r="D1278" s="1168"/>
      <c r="E1278" s="1168"/>
      <c r="F1278" s="1168"/>
      <c r="G1278" s="1168"/>
      <c r="H1278" s="1168"/>
      <c r="I1278" s="1168"/>
      <c r="J1278" s="1168"/>
      <c r="K1278" s="1168"/>
      <c r="L1278" s="1168"/>
      <c r="M1278" s="1168"/>
      <c r="N1278" s="1168"/>
      <c r="O1278" s="101"/>
      <c r="P1278" s="101"/>
      <c r="Q1278" s="101"/>
      <c r="R1278" s="101"/>
      <c r="S1278" s="101"/>
      <c r="T1278" s="101"/>
      <c r="U1278" s="101"/>
      <c r="V1278" s="101"/>
      <c r="W1278" s="101"/>
      <c r="X1278" s="101"/>
      <c r="Y1278" s="101"/>
    </row>
    <row r="1279" spans="1:14" s="100" customFormat="1" ht="34.5" customHeight="1">
      <c r="A1279" s="142"/>
      <c r="B1279" s="142"/>
      <c r="C1279" s="142"/>
      <c r="D1279" s="142"/>
      <c r="E1279" s="142"/>
      <c r="F1279" s="142"/>
      <c r="G1279" s="142"/>
      <c r="H1279" s="142"/>
      <c r="I1279" s="142"/>
      <c r="J1279" s="142"/>
      <c r="K1279" s="142"/>
      <c r="L1279" s="142"/>
      <c r="M1279" s="106"/>
      <c r="N1279" s="106"/>
    </row>
    <row r="1280" spans="1:42" s="167" customFormat="1" ht="34.5" customHeight="1">
      <c r="A1280" s="837" t="s">
        <v>33</v>
      </c>
      <c r="B1280" s="838" t="s">
        <v>568</v>
      </c>
      <c r="C1280" s="839" t="s">
        <v>847</v>
      </c>
      <c r="D1280" s="840"/>
      <c r="E1280" s="841" t="s">
        <v>870</v>
      </c>
      <c r="F1280" s="842"/>
      <c r="G1280" s="841" t="s">
        <v>850</v>
      </c>
      <c r="H1280" s="842"/>
      <c r="I1280" s="841" t="s">
        <v>851</v>
      </c>
      <c r="J1280" s="842"/>
      <c r="K1280" s="841" t="s">
        <v>852</v>
      </c>
      <c r="L1280" s="842"/>
      <c r="M1280" s="151"/>
      <c r="N1280" s="151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</row>
    <row r="1281" spans="1:25" s="121" customFormat="1" ht="34.5" customHeight="1">
      <c r="A1281" s="249" t="s">
        <v>700</v>
      </c>
      <c r="B1281" s="213" t="s">
        <v>702</v>
      </c>
      <c r="C1281" s="1194">
        <f>CEILING(42*$Z$1,0.1)</f>
        <v>52.5</v>
      </c>
      <c r="D1281" s="1195"/>
      <c r="E1281" s="1194">
        <f>CEILING(65*$Z$1,0.1)</f>
        <v>81.30000000000001</v>
      </c>
      <c r="F1281" s="1195"/>
      <c r="G1281" s="1194">
        <f>CEILING(45*$Z$1,0.1)</f>
        <v>56.300000000000004</v>
      </c>
      <c r="H1281" s="1195"/>
      <c r="I1281" s="1194">
        <f>CEILING(54*$Z$1,0.1)</f>
        <v>67.5</v>
      </c>
      <c r="J1281" s="1195"/>
      <c r="K1281" s="1194">
        <f>CEILING(45*$Z$1,0.1)</f>
        <v>56.300000000000004</v>
      </c>
      <c r="L1281" s="1195"/>
      <c r="M1281" s="106"/>
      <c r="N1281" s="106"/>
      <c r="O1281" s="101"/>
      <c r="P1281" s="101"/>
      <c r="Q1281" s="101"/>
      <c r="R1281" s="101"/>
      <c r="S1281" s="101"/>
      <c r="T1281" s="101"/>
      <c r="U1281" s="101"/>
      <c r="V1281" s="101"/>
      <c r="W1281" s="101"/>
      <c r="X1281" s="101"/>
      <c r="Y1281" s="101"/>
    </row>
    <row r="1282" spans="1:25" s="121" customFormat="1" ht="34.5" customHeight="1">
      <c r="A1282" s="244" t="s">
        <v>49</v>
      </c>
      <c r="B1282" s="192" t="s">
        <v>703</v>
      </c>
      <c r="C1282" s="1192">
        <f>CEILING((C1281+20*$Z$1),0.1)</f>
        <v>77.5</v>
      </c>
      <c r="D1282" s="1193"/>
      <c r="E1282" s="1192">
        <f>CEILING((E1281+20*$Z$1),0.1)</f>
        <v>106.30000000000001</v>
      </c>
      <c r="F1282" s="1193"/>
      <c r="G1282" s="1192">
        <f>CEILING((G1281+20*$Z$1),0.1)</f>
        <v>81.30000000000001</v>
      </c>
      <c r="H1282" s="1193"/>
      <c r="I1282" s="1192">
        <f>CEILING((I1281+20*$Z$1),0.1)</f>
        <v>92.5</v>
      </c>
      <c r="J1282" s="1193"/>
      <c r="K1282" s="1192">
        <f>CEILING((K1281+20*$Z$1),0.1)</f>
        <v>81.30000000000001</v>
      </c>
      <c r="L1282" s="1193"/>
      <c r="M1282" s="106"/>
      <c r="N1282" s="106"/>
      <c r="O1282" s="101"/>
      <c r="P1282" s="101"/>
      <c r="Q1282" s="101"/>
      <c r="R1282" s="101"/>
      <c r="S1282" s="101"/>
      <c r="T1282" s="101"/>
      <c r="U1282" s="101"/>
      <c r="V1282" s="101"/>
      <c r="W1282" s="101"/>
      <c r="X1282" s="101"/>
      <c r="Y1282" s="101"/>
    </row>
    <row r="1283" spans="1:25" s="121" customFormat="1" ht="34.5" customHeight="1">
      <c r="A1283" s="499"/>
      <c r="B1283" s="192" t="s">
        <v>67</v>
      </c>
      <c r="C1283" s="1192">
        <f>CEILING((C1281*0.85),0.1)</f>
        <v>44.7</v>
      </c>
      <c r="D1283" s="1193"/>
      <c r="E1283" s="1192">
        <f>CEILING((E1281*0.85),0.1)</f>
        <v>69.2</v>
      </c>
      <c r="F1283" s="1193"/>
      <c r="G1283" s="1192">
        <f>CEILING((G1281*0.85),0.1)</f>
        <v>47.900000000000006</v>
      </c>
      <c r="H1283" s="1193"/>
      <c r="I1283" s="1192">
        <f>CEILING((I1281*0.85),0.1)</f>
        <v>57.400000000000006</v>
      </c>
      <c r="J1283" s="1193"/>
      <c r="K1283" s="1192">
        <f>CEILING((K1281*0.85),0.1)</f>
        <v>47.900000000000006</v>
      </c>
      <c r="L1283" s="1193"/>
      <c r="M1283" s="106"/>
      <c r="N1283" s="106"/>
      <c r="O1283" s="101"/>
      <c r="P1283" s="101"/>
      <c r="Q1283" s="101"/>
      <c r="R1283" s="101"/>
      <c r="S1283" s="101"/>
      <c r="T1283" s="101"/>
      <c r="U1283" s="101"/>
      <c r="V1283" s="101"/>
      <c r="W1283" s="101"/>
      <c r="X1283" s="101"/>
      <c r="Y1283" s="101"/>
    </row>
    <row r="1284" spans="1:25" s="121" customFormat="1" ht="34.5" customHeight="1">
      <c r="A1284" s="499" t="s">
        <v>709</v>
      </c>
      <c r="B1284" s="172" t="s">
        <v>673</v>
      </c>
      <c r="C1284" s="1192">
        <f>CEILING((C1319*0),0.1)</f>
        <v>0</v>
      </c>
      <c r="D1284" s="1193"/>
      <c r="E1284" s="1192">
        <f>CEILING((E1319*0),0.1)</f>
        <v>0</v>
      </c>
      <c r="F1284" s="1193"/>
      <c r="G1284" s="1192">
        <f>CEILING((G1319*0),0.1)</f>
        <v>0</v>
      </c>
      <c r="H1284" s="1193"/>
      <c r="I1284" s="1192">
        <f>CEILING((I1319*0),0.1)</f>
        <v>0</v>
      </c>
      <c r="J1284" s="1193"/>
      <c r="K1284" s="1192">
        <f>CEILING((K1319*0),0.1)</f>
        <v>0</v>
      </c>
      <c r="L1284" s="1193"/>
      <c r="M1284" s="106"/>
      <c r="N1284" s="106"/>
      <c r="O1284" s="101"/>
      <c r="P1284" s="101"/>
      <c r="Q1284" s="101"/>
      <c r="R1284" s="101"/>
      <c r="S1284" s="101"/>
      <c r="T1284" s="101"/>
      <c r="U1284" s="101"/>
      <c r="V1284" s="101"/>
      <c r="W1284" s="101"/>
      <c r="X1284" s="101"/>
      <c r="Y1284" s="101"/>
    </row>
    <row r="1285" spans="1:25" s="121" customFormat="1" ht="34.5" customHeight="1">
      <c r="A1285" s="499"/>
      <c r="B1285" s="215" t="s">
        <v>704</v>
      </c>
      <c r="C1285" s="1192">
        <f>CEILING(49*$Z$1,0.1)</f>
        <v>61.300000000000004</v>
      </c>
      <c r="D1285" s="1193"/>
      <c r="E1285" s="1192">
        <f>CEILING(72*$Z$1,0.1)</f>
        <v>90</v>
      </c>
      <c r="F1285" s="1193"/>
      <c r="G1285" s="1192">
        <f>CEILING(52*$Z$1,0.1)</f>
        <v>65</v>
      </c>
      <c r="H1285" s="1193"/>
      <c r="I1285" s="1192">
        <f>CEILING(61*$Z$1,0.1)</f>
        <v>76.3</v>
      </c>
      <c r="J1285" s="1193"/>
      <c r="K1285" s="1192">
        <f>CEILING(52*$Z$1,0.1)</f>
        <v>65</v>
      </c>
      <c r="L1285" s="1193"/>
      <c r="M1285" s="421"/>
      <c r="N1285" s="421"/>
      <c r="O1285" s="101"/>
      <c r="P1285" s="101"/>
      <c r="Q1285" s="101"/>
      <c r="R1285" s="101"/>
      <c r="S1285" s="101"/>
      <c r="T1285" s="101"/>
      <c r="U1285" s="101"/>
      <c r="V1285" s="101"/>
      <c r="W1285" s="101"/>
      <c r="X1285" s="101"/>
      <c r="Y1285" s="101"/>
    </row>
    <row r="1286" spans="1:25" s="121" customFormat="1" ht="34.5" customHeight="1">
      <c r="A1286" s="499"/>
      <c r="B1286" s="215" t="s">
        <v>351</v>
      </c>
      <c r="C1286" s="1192">
        <f>CEILING((C1285+20*$Z$1),0.1)</f>
        <v>86.30000000000001</v>
      </c>
      <c r="D1286" s="1193"/>
      <c r="E1286" s="1192">
        <f>CEILING((E1285+20*$Z$1),0.1)</f>
        <v>115</v>
      </c>
      <c r="F1286" s="1193"/>
      <c r="G1286" s="1192">
        <f>CEILING((G1285+20*$Z$1),0.1)</f>
        <v>90</v>
      </c>
      <c r="H1286" s="1193"/>
      <c r="I1286" s="1192">
        <f>CEILING((I1285+20*$Z$1),0.1)</f>
        <v>101.30000000000001</v>
      </c>
      <c r="J1286" s="1193"/>
      <c r="K1286" s="1192">
        <f>CEILING((K1285+20*$Z$1),0.1)</f>
        <v>90</v>
      </c>
      <c r="L1286" s="1193"/>
      <c r="M1286" s="421"/>
      <c r="N1286" s="421"/>
      <c r="O1286" s="101"/>
      <c r="P1286" s="101"/>
      <c r="Q1286" s="101"/>
      <c r="R1286" s="101"/>
      <c r="S1286" s="101"/>
      <c r="T1286" s="101"/>
      <c r="U1286" s="101"/>
      <c r="V1286" s="101"/>
      <c r="W1286" s="101"/>
      <c r="X1286" s="101"/>
      <c r="Y1286" s="101"/>
    </row>
    <row r="1287" spans="1:25" s="121" customFormat="1" ht="34.5" customHeight="1">
      <c r="A1287" s="499"/>
      <c r="B1287" s="215" t="s">
        <v>705</v>
      </c>
      <c r="C1287" s="1192">
        <f>CEILING(59*$Z$1,0.1)</f>
        <v>73.8</v>
      </c>
      <c r="D1287" s="1193"/>
      <c r="E1287" s="1192">
        <f>CEILING(82*$Z$1,0.1)</f>
        <v>102.5</v>
      </c>
      <c r="F1287" s="1193"/>
      <c r="G1287" s="1192">
        <f>CEILING(62*$Z$1,0.1)</f>
        <v>77.5</v>
      </c>
      <c r="H1287" s="1193"/>
      <c r="I1287" s="1192">
        <f>CEILING(71*$Z$1,0.1)</f>
        <v>88.80000000000001</v>
      </c>
      <c r="J1287" s="1193"/>
      <c r="K1287" s="1192">
        <f>CEILING(62*$Z$1,0.1)</f>
        <v>77.5</v>
      </c>
      <c r="L1287" s="1193"/>
      <c r="M1287" s="421"/>
      <c r="N1287" s="421"/>
      <c r="O1287" s="101"/>
      <c r="P1287" s="101"/>
      <c r="Q1287" s="101"/>
      <c r="R1287" s="101"/>
      <c r="S1287" s="101"/>
      <c r="T1287" s="101"/>
      <c r="U1287" s="101"/>
      <c r="V1287" s="101"/>
      <c r="W1287" s="101"/>
      <c r="X1287" s="101"/>
      <c r="Y1287" s="101"/>
    </row>
    <row r="1288" spans="1:25" s="121" customFormat="1" ht="34.5" customHeight="1">
      <c r="A1288" s="499"/>
      <c r="B1288" s="215" t="s">
        <v>706</v>
      </c>
      <c r="C1288" s="1192">
        <f>CEILING((C1287+20*$Z$1),0.1)</f>
        <v>98.80000000000001</v>
      </c>
      <c r="D1288" s="1193"/>
      <c r="E1288" s="1192">
        <f>CEILING((E1287+20*$Z$1),0.1)</f>
        <v>127.5</v>
      </c>
      <c r="F1288" s="1193"/>
      <c r="G1288" s="1192">
        <f>CEILING((G1287+20*$Z$1),0.1)</f>
        <v>102.5</v>
      </c>
      <c r="H1288" s="1193"/>
      <c r="I1288" s="1192">
        <f>CEILING((I1287+20*$Z$1),0.1)</f>
        <v>113.80000000000001</v>
      </c>
      <c r="J1288" s="1193"/>
      <c r="K1288" s="1192">
        <f>CEILING((K1287+20*$Z$1),0.1)</f>
        <v>102.5</v>
      </c>
      <c r="L1288" s="1193"/>
      <c r="M1288" s="421"/>
      <c r="N1288" s="421"/>
      <c r="O1288" s="101"/>
      <c r="P1288" s="101"/>
      <c r="Q1288" s="101"/>
      <c r="R1288" s="101"/>
      <c r="S1288" s="101"/>
      <c r="T1288" s="101"/>
      <c r="U1288" s="101"/>
      <c r="V1288" s="101"/>
      <c r="W1288" s="101"/>
      <c r="X1288" s="101"/>
      <c r="Y1288" s="101"/>
    </row>
    <row r="1289" spans="1:80" s="411" customFormat="1" ht="34.5" customHeight="1">
      <c r="A1289" s="601" t="s">
        <v>701</v>
      </c>
      <c r="B1289" s="419" t="s">
        <v>707</v>
      </c>
      <c r="C1289" s="1202">
        <f>CEILING(119*$Z$1,0.1)</f>
        <v>148.8</v>
      </c>
      <c r="D1289" s="1203"/>
      <c r="E1289" s="1202">
        <f>CEILING(142*$Z$1,0.1)</f>
        <v>177.5</v>
      </c>
      <c r="F1289" s="1203"/>
      <c r="G1289" s="1202">
        <f>CEILING(122*$Z$1,0.1)</f>
        <v>152.5</v>
      </c>
      <c r="H1289" s="1203"/>
      <c r="I1289" s="1202">
        <f>CEILING(91*$Z$1,0.1)</f>
        <v>113.80000000000001</v>
      </c>
      <c r="J1289" s="1203"/>
      <c r="K1289" s="1202">
        <f>CEILING(122*$Z$1,0.1)</f>
        <v>152.5</v>
      </c>
      <c r="L1289" s="1203"/>
      <c r="M1289" s="421"/>
      <c r="N1289" s="421"/>
      <c r="O1289" s="101"/>
      <c r="P1289" s="101"/>
      <c r="Q1289" s="101"/>
      <c r="R1289" s="101"/>
      <c r="S1289" s="101"/>
      <c r="T1289" s="101"/>
      <c r="U1289" s="101"/>
      <c r="V1289" s="101"/>
      <c r="W1289" s="101"/>
      <c r="X1289" s="101"/>
      <c r="Y1289" s="10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21"/>
      <c r="AV1289" s="121"/>
      <c r="AW1289" s="121"/>
      <c r="AX1289" s="121"/>
      <c r="AY1289" s="121"/>
      <c r="AZ1289" s="121"/>
      <c r="BA1289" s="121"/>
      <c r="BB1289" s="121"/>
      <c r="BC1289" s="121"/>
      <c r="BD1289" s="121"/>
      <c r="BE1289" s="121"/>
      <c r="BF1289" s="121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21"/>
      <c r="BS1289" s="121"/>
      <c r="BT1289" s="121"/>
      <c r="BU1289" s="121"/>
      <c r="BV1289" s="121"/>
      <c r="BW1289" s="121"/>
      <c r="BX1289" s="121"/>
      <c r="BY1289" s="121"/>
      <c r="BZ1289" s="121"/>
      <c r="CA1289" s="121"/>
      <c r="CB1289" s="121"/>
    </row>
    <row r="1290" spans="1:25" s="94" customFormat="1" ht="34.5" customHeight="1">
      <c r="A1290" s="1327" t="s">
        <v>708</v>
      </c>
      <c r="B1290" s="1327"/>
      <c r="C1290" s="1327"/>
      <c r="D1290" s="1327"/>
      <c r="E1290" s="1327"/>
      <c r="F1290" s="1327"/>
      <c r="G1290" s="1327"/>
      <c r="H1290" s="1327"/>
      <c r="I1290" s="1328"/>
      <c r="J1290" s="1328"/>
      <c r="K1290" s="423"/>
      <c r="L1290" s="423"/>
      <c r="M1290" s="421"/>
      <c r="N1290" s="421"/>
      <c r="O1290" s="92"/>
      <c r="P1290" s="92"/>
      <c r="Q1290" s="92"/>
      <c r="R1290" s="92"/>
      <c r="S1290" s="92"/>
      <c r="T1290" s="92"/>
      <c r="U1290" s="92"/>
      <c r="V1290" s="92"/>
      <c r="W1290" s="92"/>
      <c r="X1290" s="92"/>
      <c r="Y1290" s="92"/>
    </row>
    <row r="1291" spans="1:25" s="94" customFormat="1" ht="34.5" customHeight="1">
      <c r="A1291" s="339"/>
      <c r="B1291" s="339"/>
      <c r="C1291" s="339"/>
      <c r="D1291" s="339"/>
      <c r="E1291" s="339"/>
      <c r="F1291" s="339"/>
      <c r="G1291" s="339"/>
      <c r="H1291" s="339"/>
      <c r="I1291" s="339"/>
      <c r="J1291" s="339"/>
      <c r="K1291" s="99"/>
      <c r="L1291" s="99"/>
      <c r="M1291" s="421"/>
      <c r="N1291" s="421"/>
      <c r="O1291" s="92"/>
      <c r="P1291" s="92"/>
      <c r="Q1291" s="92"/>
      <c r="R1291" s="92"/>
      <c r="S1291" s="92"/>
      <c r="T1291" s="92"/>
      <c r="U1291" s="92"/>
      <c r="V1291" s="92"/>
      <c r="W1291" s="92"/>
      <c r="X1291" s="92"/>
      <c r="Y1291" s="92"/>
    </row>
    <row r="1292" spans="1:42" s="167" customFormat="1" ht="34.5" customHeight="1">
      <c r="A1292" s="837" t="s">
        <v>33</v>
      </c>
      <c r="B1292" s="838" t="s">
        <v>568</v>
      </c>
      <c r="C1292" s="839" t="s">
        <v>847</v>
      </c>
      <c r="D1292" s="840"/>
      <c r="E1292" s="841" t="s">
        <v>870</v>
      </c>
      <c r="F1292" s="842"/>
      <c r="G1292" s="841" t="s">
        <v>850</v>
      </c>
      <c r="H1292" s="842"/>
      <c r="I1292" s="841" t="s">
        <v>851</v>
      </c>
      <c r="J1292" s="842"/>
      <c r="K1292" s="841" t="s">
        <v>852</v>
      </c>
      <c r="L1292" s="842"/>
      <c r="M1292" s="151"/>
      <c r="N1292" s="151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</row>
    <row r="1293" spans="1:25" s="94" customFormat="1" ht="34.5" customHeight="1">
      <c r="A1293" s="602" t="s">
        <v>442</v>
      </c>
      <c r="B1293" s="215" t="s">
        <v>41</v>
      </c>
      <c r="C1293" s="1279">
        <f>CEILING(45.5*$Z$1,0.1)</f>
        <v>56.900000000000006</v>
      </c>
      <c r="D1293" s="1280"/>
      <c r="E1293" s="1279">
        <f>CEILING(75*$Z$1,0.1)</f>
        <v>93.80000000000001</v>
      </c>
      <c r="F1293" s="1280"/>
      <c r="G1293" s="1279">
        <f>CEILING(66.5*$Z$1,0.1)</f>
        <v>83.2</v>
      </c>
      <c r="H1293" s="1280"/>
      <c r="I1293" s="1279">
        <f>CEILING(68.25*$Z$1,0.1)</f>
        <v>85.4</v>
      </c>
      <c r="J1293" s="1280"/>
      <c r="K1293" s="1279">
        <f>CEILING(46*$Z$1,0.1)</f>
        <v>57.5</v>
      </c>
      <c r="L1293" s="1280"/>
      <c r="M1293" s="421"/>
      <c r="N1293" s="421"/>
      <c r="O1293" s="92"/>
      <c r="P1293" s="92"/>
      <c r="Q1293" s="92"/>
      <c r="R1293" s="92"/>
      <c r="S1293" s="92"/>
      <c r="T1293" s="92"/>
      <c r="U1293" s="92"/>
      <c r="V1293" s="92"/>
      <c r="W1293" s="92"/>
      <c r="X1293" s="92"/>
      <c r="Y1293" s="92"/>
    </row>
    <row r="1294" spans="1:25" s="94" customFormat="1" ht="34.5" customHeight="1">
      <c r="A1294" s="603" t="s">
        <v>35</v>
      </c>
      <c r="B1294" s="245" t="s">
        <v>42</v>
      </c>
      <c r="C1294" s="1273">
        <f>CEILING((C1293+16*$Z$1),0.1)</f>
        <v>76.9</v>
      </c>
      <c r="D1294" s="1274"/>
      <c r="E1294" s="1273">
        <f>CEILING((E1293+26.2*$Z$1),0.1)</f>
        <v>126.60000000000001</v>
      </c>
      <c r="F1294" s="1274"/>
      <c r="G1294" s="1273">
        <f>CEILING((G1293+23.2*$Z$1),0.1)</f>
        <v>112.2</v>
      </c>
      <c r="H1294" s="1274"/>
      <c r="I1294" s="1273">
        <f>CEILING((I1293+24*$Z$1),0.1)</f>
        <v>115.4</v>
      </c>
      <c r="J1294" s="1274"/>
      <c r="K1294" s="1273">
        <f>CEILING((K1293+16.1*$Z$1),0.1)</f>
        <v>77.7</v>
      </c>
      <c r="L1294" s="1274"/>
      <c r="M1294" s="421"/>
      <c r="N1294" s="421"/>
      <c r="O1294" s="92"/>
      <c r="P1294" s="92"/>
      <c r="Q1294" s="92"/>
      <c r="R1294" s="92"/>
      <c r="S1294" s="92"/>
      <c r="T1294" s="92"/>
      <c r="U1294" s="92"/>
      <c r="V1294" s="92"/>
      <c r="W1294" s="92"/>
      <c r="X1294" s="92"/>
      <c r="Y1294" s="92"/>
    </row>
    <row r="1295" spans="1:25" s="94" customFormat="1" ht="34.5" customHeight="1">
      <c r="A1295" s="604"/>
      <c r="B1295" s="245" t="s">
        <v>534</v>
      </c>
      <c r="C1295" s="1200">
        <f>CEILING((C1293*0.5),0.1)</f>
        <v>28.5</v>
      </c>
      <c r="D1295" s="1201"/>
      <c r="E1295" s="1200">
        <f>CEILING((E1293*0.5),0.1)</f>
        <v>46.900000000000006</v>
      </c>
      <c r="F1295" s="1201"/>
      <c r="G1295" s="1200">
        <f>CEILING((G1293*0.5),0.1)</f>
        <v>41.6</v>
      </c>
      <c r="H1295" s="1201"/>
      <c r="I1295" s="1200">
        <f>CEILING((I1293*0.5),0.1)</f>
        <v>42.7</v>
      </c>
      <c r="J1295" s="1201"/>
      <c r="K1295" s="1200">
        <f>CEILING((K1293*0.5),0.1)</f>
        <v>28.8</v>
      </c>
      <c r="L1295" s="1201"/>
      <c r="M1295" s="421"/>
      <c r="N1295" s="421"/>
      <c r="O1295" s="92"/>
      <c r="P1295" s="92"/>
      <c r="Q1295" s="92"/>
      <c r="R1295" s="92"/>
      <c r="S1295" s="92"/>
      <c r="T1295" s="92"/>
      <c r="U1295" s="92"/>
      <c r="V1295" s="92"/>
      <c r="W1295" s="92"/>
      <c r="X1295" s="92"/>
      <c r="Y1295" s="92"/>
    </row>
    <row r="1296" spans="1:25" s="94" customFormat="1" ht="34.5" customHeight="1">
      <c r="A1296" s="605" t="s">
        <v>1309</v>
      </c>
      <c r="B1296" s="237" t="s">
        <v>51</v>
      </c>
      <c r="C1296" s="1277">
        <f>CEILING(74*$Z$1,0.1)</f>
        <v>92.5</v>
      </c>
      <c r="D1296" s="1278"/>
      <c r="E1296" s="1277">
        <f>CEILING(79*$Z$1,0.1)</f>
        <v>98.80000000000001</v>
      </c>
      <c r="F1296" s="1278"/>
      <c r="G1296" s="1277">
        <f>CEILING(70*$Z$1,0.1)</f>
        <v>87.5</v>
      </c>
      <c r="H1296" s="1278"/>
      <c r="I1296" s="1277">
        <f>CEILING(72*$Z$1,0.1)</f>
        <v>90</v>
      </c>
      <c r="J1296" s="1278"/>
      <c r="K1296" s="1277">
        <f>CEILING(48.1*$Z$1,0.1)</f>
        <v>60.2</v>
      </c>
      <c r="L1296" s="1278"/>
      <c r="M1296" s="421"/>
      <c r="N1296" s="421"/>
      <c r="O1296" s="92"/>
      <c r="P1296" s="92"/>
      <c r="Q1296" s="92"/>
      <c r="R1296" s="92"/>
      <c r="S1296" s="92"/>
      <c r="T1296" s="92"/>
      <c r="U1296" s="92"/>
      <c r="V1296" s="92"/>
      <c r="W1296" s="92"/>
      <c r="X1296" s="92"/>
      <c r="Y1296" s="92"/>
    </row>
    <row r="1297" spans="1:25" s="94" customFormat="1" ht="34.5" customHeight="1">
      <c r="A1297" s="606"/>
      <c r="B1297" s="245" t="s">
        <v>652</v>
      </c>
      <c r="C1297" s="1279">
        <f>CEILING(72*$Z$1,0.1)</f>
        <v>90</v>
      </c>
      <c r="D1297" s="1280"/>
      <c r="E1297" s="1279">
        <f>CEILING(101.2*$Z$1,0.1)</f>
        <v>126.5</v>
      </c>
      <c r="F1297" s="1280"/>
      <c r="G1297" s="1284">
        <f>CEILING(110*$Z$1,0.1)</f>
        <v>137.5</v>
      </c>
      <c r="H1297" s="1285"/>
      <c r="I1297" s="1279">
        <f>CEILING(108*$Z$1,0.1)</f>
        <v>135</v>
      </c>
      <c r="J1297" s="1280"/>
      <c r="K1297" s="1279">
        <f>CEILING(71*$Z$1,0.1)</f>
        <v>88.80000000000001</v>
      </c>
      <c r="L1297" s="1280"/>
      <c r="M1297" s="421"/>
      <c r="N1297" s="421"/>
      <c r="O1297" s="92"/>
      <c r="P1297" s="92"/>
      <c r="Q1297" s="92"/>
      <c r="R1297" s="92"/>
      <c r="S1297" s="92"/>
      <c r="T1297" s="92"/>
      <c r="U1297" s="92"/>
      <c r="V1297" s="92"/>
      <c r="W1297" s="92"/>
      <c r="X1297" s="92"/>
      <c r="Y1297" s="92"/>
    </row>
    <row r="1298" spans="1:25" s="94" customFormat="1" ht="34.5" customHeight="1">
      <c r="A1298" s="607"/>
      <c r="B1298" s="396" t="s">
        <v>653</v>
      </c>
      <c r="C1298" s="1277">
        <f>CEILING(79.2*$Z$1,0.1)</f>
        <v>99</v>
      </c>
      <c r="D1298" s="1278"/>
      <c r="E1298" s="1277">
        <f>CEILING(112*$Z$1,0.1)</f>
        <v>140</v>
      </c>
      <c r="F1298" s="1278"/>
      <c r="G1298" s="1275">
        <f>CEILING(121*$Z$1,0.1)</f>
        <v>151.3</v>
      </c>
      <c r="H1298" s="1276"/>
      <c r="I1298" s="1275">
        <f>CEILING(132*$Z$1,0.1)</f>
        <v>165</v>
      </c>
      <c r="J1298" s="1276"/>
      <c r="K1298" s="1275">
        <f>CEILING(99*$Z$1,0.1)</f>
        <v>123.80000000000001</v>
      </c>
      <c r="L1298" s="1276"/>
      <c r="M1298" s="421"/>
      <c r="N1298" s="421"/>
      <c r="O1298" s="92"/>
      <c r="P1298" s="92"/>
      <c r="Q1298" s="92"/>
      <c r="R1298" s="92"/>
      <c r="S1298" s="92"/>
      <c r="T1298" s="92"/>
      <c r="U1298" s="92"/>
      <c r="V1298" s="92"/>
      <c r="W1298" s="92"/>
      <c r="X1298" s="92"/>
      <c r="Y1298" s="92"/>
    </row>
    <row r="1299" spans="1:25" s="94" customFormat="1" ht="34.5" customHeight="1">
      <c r="A1299" s="606"/>
      <c r="B1299" s="245" t="s">
        <v>443</v>
      </c>
      <c r="C1299" s="1279">
        <f>CEILING(67*$Z$1,0.1)</f>
        <v>83.80000000000001</v>
      </c>
      <c r="D1299" s="1280"/>
      <c r="E1299" s="1279">
        <f>CEILING(106*$Z$1,0.1)</f>
        <v>132.5</v>
      </c>
      <c r="F1299" s="1280"/>
      <c r="G1299" s="1284">
        <f>CEILING(137*$Z$1,0.1)</f>
        <v>171.3</v>
      </c>
      <c r="H1299" s="1285"/>
      <c r="I1299" s="1284">
        <f>CEILING(150*$Z$1,0.1)</f>
        <v>187.5</v>
      </c>
      <c r="J1299" s="1285"/>
      <c r="K1299" s="1284">
        <f>CEILING(103*$Z$1,0.1)</f>
        <v>128.8</v>
      </c>
      <c r="L1299" s="1285"/>
      <c r="M1299" s="421"/>
      <c r="N1299" s="421"/>
      <c r="O1299" s="92"/>
      <c r="P1299" s="92"/>
      <c r="Q1299" s="92"/>
      <c r="R1299" s="92"/>
      <c r="S1299" s="92"/>
      <c r="T1299" s="92"/>
      <c r="U1299" s="92"/>
      <c r="V1299" s="92"/>
      <c r="W1299" s="92"/>
      <c r="X1299" s="92"/>
      <c r="Y1299" s="92"/>
    </row>
    <row r="1300" spans="1:25" s="94" customFormat="1" ht="34.5" customHeight="1">
      <c r="A1300" s="608" t="s">
        <v>655</v>
      </c>
      <c r="B1300" s="396" t="s">
        <v>444</v>
      </c>
      <c r="C1300" s="1277">
        <f>CEILING((C1299*0.5),0.1)</f>
        <v>41.900000000000006</v>
      </c>
      <c r="D1300" s="1278"/>
      <c r="E1300" s="1277">
        <f>CEILING((E1299*0.5),0.1)</f>
        <v>66.3</v>
      </c>
      <c r="F1300" s="1278"/>
      <c r="G1300" s="1275">
        <f>CEILING((G1299*0.5),0.1)</f>
        <v>85.7</v>
      </c>
      <c r="H1300" s="1276"/>
      <c r="I1300" s="1275">
        <f>CEILING((I1299*0.5),0.1)</f>
        <v>93.80000000000001</v>
      </c>
      <c r="J1300" s="1276"/>
      <c r="K1300" s="1275">
        <f>CEILING((K1299*0.5),0.1)</f>
        <v>64.4</v>
      </c>
      <c r="L1300" s="1276"/>
      <c r="M1300" s="421"/>
      <c r="N1300" s="421"/>
      <c r="O1300" s="92"/>
      <c r="P1300" s="92"/>
      <c r="Q1300" s="92"/>
      <c r="R1300" s="92"/>
      <c r="S1300" s="92"/>
      <c r="T1300" s="92"/>
      <c r="U1300" s="92"/>
      <c r="V1300" s="92"/>
      <c r="W1300" s="92"/>
      <c r="X1300" s="92"/>
      <c r="Y1300" s="92"/>
    </row>
    <row r="1301" spans="1:25" s="94" customFormat="1" ht="33.75" customHeight="1">
      <c r="A1301" s="1327" t="s">
        <v>654</v>
      </c>
      <c r="B1301" s="1327"/>
      <c r="C1301" s="1327"/>
      <c r="D1301" s="1327"/>
      <c r="E1301" s="1327"/>
      <c r="F1301" s="1327"/>
      <c r="G1301" s="1327"/>
      <c r="H1301" s="1327"/>
      <c r="I1301" s="1328"/>
      <c r="J1301" s="1328"/>
      <c r="K1301" s="423"/>
      <c r="L1301" s="423"/>
      <c r="M1301" s="421"/>
      <c r="N1301" s="421"/>
      <c r="O1301" s="92"/>
      <c r="P1301" s="92"/>
      <c r="Q1301" s="92"/>
      <c r="R1301" s="92"/>
      <c r="S1301" s="92"/>
      <c r="T1301" s="92"/>
      <c r="U1301" s="92"/>
      <c r="V1301" s="92"/>
      <c r="W1301" s="92"/>
      <c r="X1301" s="92"/>
      <c r="Y1301" s="92"/>
    </row>
    <row r="1302" spans="1:13" s="930" customFormat="1" ht="31.5" customHeight="1">
      <c r="A1302" s="908"/>
      <c r="B1302" s="908"/>
      <c r="C1302" s="908"/>
      <c r="D1302" s="908"/>
      <c r="E1302" s="908"/>
      <c r="F1302" s="908"/>
      <c r="G1302" s="908"/>
      <c r="H1302" s="908"/>
      <c r="I1302" s="908"/>
      <c r="J1302" s="908"/>
      <c r="K1302" s="928"/>
      <c r="L1302" s="928"/>
      <c r="M1302" s="929"/>
    </row>
    <row r="1303" spans="1:13" s="930" customFormat="1" ht="31.5" customHeight="1">
      <c r="A1303" s="837" t="s">
        <v>33</v>
      </c>
      <c r="B1303" s="838" t="s">
        <v>568</v>
      </c>
      <c r="C1303" s="839" t="s">
        <v>847</v>
      </c>
      <c r="D1303" s="840"/>
      <c r="E1303" s="841" t="s">
        <v>870</v>
      </c>
      <c r="F1303" s="842"/>
      <c r="G1303" s="841" t="s">
        <v>850</v>
      </c>
      <c r="H1303" s="842"/>
      <c r="I1303" s="841" t="s">
        <v>851</v>
      </c>
      <c r="J1303" s="842"/>
      <c r="K1303" s="841" t="s">
        <v>852</v>
      </c>
      <c r="L1303" s="842"/>
      <c r="M1303" s="929"/>
    </row>
    <row r="1304" spans="1:13" s="930" customFormat="1" ht="31.5" customHeight="1">
      <c r="A1304" s="249" t="s">
        <v>1063</v>
      </c>
      <c r="B1304" s="213" t="s">
        <v>528</v>
      </c>
      <c r="C1304" s="1194">
        <f>CEILING(80*$Z$1,0.1)</f>
        <v>100</v>
      </c>
      <c r="D1304" s="1195"/>
      <c r="E1304" s="1194">
        <f>CEILING(94*$Z$1,0.1)</f>
        <v>117.5</v>
      </c>
      <c r="F1304" s="1195"/>
      <c r="G1304" s="1194">
        <f>CEILING(85*$Z$1,0.1)</f>
        <v>106.30000000000001</v>
      </c>
      <c r="H1304" s="1195"/>
      <c r="I1304" s="1194">
        <f>CEILING(88*$Z$1,0.1)</f>
        <v>110</v>
      </c>
      <c r="J1304" s="1195"/>
      <c r="K1304" s="1194">
        <f>CEILING(70*$Z$1,0.1)</f>
        <v>87.5</v>
      </c>
      <c r="L1304" s="1195"/>
      <c r="M1304" s="929"/>
    </row>
    <row r="1305" spans="1:13" s="930" customFormat="1" ht="31.5" customHeight="1">
      <c r="A1305" s="244" t="s">
        <v>35</v>
      </c>
      <c r="B1305" s="192" t="s">
        <v>466</v>
      </c>
      <c r="C1305" s="1192">
        <f>CEILING((C1304+25*$Z$1),0.1)</f>
        <v>131.3</v>
      </c>
      <c r="D1305" s="1193"/>
      <c r="E1305" s="1192">
        <f>CEILING((E1304+25*$Z$1),0.1)</f>
        <v>148.8</v>
      </c>
      <c r="F1305" s="1193"/>
      <c r="G1305" s="1192">
        <f>CEILING((G1304+25*$Z$1),0.1)</f>
        <v>137.6</v>
      </c>
      <c r="H1305" s="1193"/>
      <c r="I1305" s="1192">
        <f>CEILING((I1304+25*$Z$1),0.1)</f>
        <v>141.3</v>
      </c>
      <c r="J1305" s="1193"/>
      <c r="K1305" s="1192">
        <f>CEILING((K1304+25*$Z$1),0.1)</f>
        <v>118.80000000000001</v>
      </c>
      <c r="L1305" s="1193"/>
      <c r="M1305" s="929"/>
    </row>
    <row r="1306" spans="1:13" s="930" customFormat="1" ht="31.5" customHeight="1">
      <c r="A1306" s="499"/>
      <c r="B1306" s="192" t="s">
        <v>67</v>
      </c>
      <c r="C1306" s="1192">
        <f>CEILING((C1304*0.85),0.1)</f>
        <v>85</v>
      </c>
      <c r="D1306" s="1193"/>
      <c r="E1306" s="1192">
        <f>CEILING((E1304*0.85),0.1)</f>
        <v>99.9</v>
      </c>
      <c r="F1306" s="1193"/>
      <c r="G1306" s="1192">
        <f>CEILING((G1304*0.85),0.1)</f>
        <v>90.4</v>
      </c>
      <c r="H1306" s="1193"/>
      <c r="I1306" s="1192">
        <f>CEILING((I1304*0.85),0.1)</f>
        <v>93.5</v>
      </c>
      <c r="J1306" s="1193"/>
      <c r="K1306" s="1192">
        <f>CEILING((K1304*0.85),0.1)</f>
        <v>74.4</v>
      </c>
      <c r="L1306" s="1193"/>
      <c r="M1306" s="929"/>
    </row>
    <row r="1307" spans="1:13" s="930" customFormat="1" ht="31.5" customHeight="1">
      <c r="A1307" s="499"/>
      <c r="B1307" s="464" t="s">
        <v>673</v>
      </c>
      <c r="C1307" s="1192">
        <f>CEILING((C1304*0.5),0.1)</f>
        <v>50</v>
      </c>
      <c r="D1307" s="1193"/>
      <c r="E1307" s="1192">
        <f>CEILING((E1304*0.5),0.1)</f>
        <v>58.800000000000004</v>
      </c>
      <c r="F1307" s="1193"/>
      <c r="G1307" s="1192">
        <f>CEILING((G1304*0.5),0.1)</f>
        <v>53.2</v>
      </c>
      <c r="H1307" s="1193"/>
      <c r="I1307" s="1192">
        <f>CEILING((I1304*0.5),0.1)</f>
        <v>55</v>
      </c>
      <c r="J1307" s="1193"/>
      <c r="K1307" s="1192">
        <f>CEILING((K1304*0.5),0.1)</f>
        <v>43.800000000000004</v>
      </c>
      <c r="L1307" s="1193"/>
      <c r="M1307" s="929"/>
    </row>
    <row r="1308" spans="1:13" s="930" customFormat="1" ht="31.5" customHeight="1">
      <c r="A1308" s="499"/>
      <c r="B1308" s="279" t="s">
        <v>702</v>
      </c>
      <c r="C1308" s="1192">
        <f>CEILING(90*$Z$1,0.1)</f>
        <v>112.5</v>
      </c>
      <c r="D1308" s="1193"/>
      <c r="E1308" s="1220">
        <f>CEILING(104*$Z$1,0.1)</f>
        <v>130</v>
      </c>
      <c r="F1308" s="1193"/>
      <c r="G1308" s="1192">
        <f>CEILING(95*$Z$1,0.1)</f>
        <v>118.80000000000001</v>
      </c>
      <c r="H1308" s="1193"/>
      <c r="I1308" s="1192">
        <f>CEILING(98*$Z$1,0.1)</f>
        <v>122.5</v>
      </c>
      <c r="J1308" s="1193"/>
      <c r="K1308" s="1192">
        <f>CEILING(80*$Z$1,0.1)</f>
        <v>100</v>
      </c>
      <c r="L1308" s="1193"/>
      <c r="M1308" s="929"/>
    </row>
    <row r="1309" spans="1:13" s="930" customFormat="1" ht="31.5" customHeight="1">
      <c r="A1309" s="499"/>
      <c r="B1309" s="215" t="s">
        <v>703</v>
      </c>
      <c r="C1309" s="1192">
        <f>CEILING((C1308+25*$Z$1),0.1)</f>
        <v>143.8</v>
      </c>
      <c r="D1309" s="1193"/>
      <c r="E1309" s="1192">
        <f>CEILING((E1308+25*$Z$1),0.1)</f>
        <v>161.3</v>
      </c>
      <c r="F1309" s="1193"/>
      <c r="G1309" s="1192">
        <f>CEILING((G1308+25*$Z$1),0.1)</f>
        <v>150.1</v>
      </c>
      <c r="H1309" s="1193"/>
      <c r="I1309" s="1192">
        <f>CEILING((I1308+25*$Z$1),0.1)</f>
        <v>153.8</v>
      </c>
      <c r="J1309" s="1193"/>
      <c r="K1309" s="1192">
        <f>CEILING((K1308+20*$Z$1),0.1)</f>
        <v>125</v>
      </c>
      <c r="L1309" s="1193"/>
      <c r="M1309" s="929"/>
    </row>
    <row r="1310" spans="1:13" s="930" customFormat="1" ht="31.5" customHeight="1">
      <c r="A1310" s="499"/>
      <c r="B1310" s="215" t="s">
        <v>1064</v>
      </c>
      <c r="C1310" s="1192">
        <f>CEILING(100*$Z$1,0.1)</f>
        <v>125</v>
      </c>
      <c r="D1310" s="1193"/>
      <c r="E1310" s="1192">
        <f>CEILING(114*$Z$1,0.1)</f>
        <v>142.5</v>
      </c>
      <c r="F1310" s="1193"/>
      <c r="G1310" s="1192">
        <f>CEILING(105*$Z$1,0.1)</f>
        <v>131.3</v>
      </c>
      <c r="H1310" s="1193"/>
      <c r="I1310" s="1192">
        <f>CEILING(108*$Z$1,0.1)</f>
        <v>135</v>
      </c>
      <c r="J1310" s="1193"/>
      <c r="K1310" s="1192">
        <f>CEILING(90*$Z$1,0.1)</f>
        <v>112.5</v>
      </c>
      <c r="L1310" s="1193"/>
      <c r="M1310" s="929"/>
    </row>
    <row r="1311" spans="1:13" s="930" customFormat="1" ht="31.5" customHeight="1">
      <c r="A1311" s="601" t="s">
        <v>613</v>
      </c>
      <c r="B1311" s="237" t="s">
        <v>1065</v>
      </c>
      <c r="C1311" s="1202">
        <f>CEILING((C1310+25*$Z$1),0.1)</f>
        <v>156.3</v>
      </c>
      <c r="D1311" s="1203"/>
      <c r="E1311" s="1202">
        <f>CEILING((E1310+25*$Z$1),0.1)</f>
        <v>173.8</v>
      </c>
      <c r="F1311" s="1203"/>
      <c r="G1311" s="1202">
        <f>CEILING((G1310+25*$Z$1),0.1)</f>
        <v>162.60000000000002</v>
      </c>
      <c r="H1311" s="1203"/>
      <c r="I1311" s="1202">
        <f>CEILING((I1310+25*$Z$1),0.1)</f>
        <v>166.3</v>
      </c>
      <c r="J1311" s="1203"/>
      <c r="K1311" s="1202">
        <f>CEILING((K1310+25*$Z$1),0.1)</f>
        <v>143.8</v>
      </c>
      <c r="L1311" s="1203"/>
      <c r="M1311" s="929"/>
    </row>
    <row r="1312" spans="1:13" s="1044" customFormat="1" ht="31.5" customHeight="1">
      <c r="A1312" s="1039" t="s">
        <v>1066</v>
      </c>
      <c r="B1312" s="1041"/>
      <c r="C1312" s="1041"/>
      <c r="D1312" s="1041"/>
      <c r="E1312" s="1041"/>
      <c r="F1312" s="1041"/>
      <c r="G1312" s="1041"/>
      <c r="H1312" s="1041"/>
      <c r="I1312" s="1041"/>
      <c r="J1312" s="1041"/>
      <c r="K1312" s="1042"/>
      <c r="L1312" s="1042"/>
      <c r="M1312" s="1043"/>
    </row>
    <row r="1313" spans="1:56" s="313" customFormat="1" ht="34.5" customHeight="1">
      <c r="A1313" s="900" t="s">
        <v>810</v>
      </c>
      <c r="B1313" s="1036"/>
      <c r="C1313" s="1037"/>
      <c r="D1313" s="150"/>
      <c r="E1313" s="150"/>
      <c r="F1313" s="150"/>
      <c r="G1313" s="150"/>
      <c r="H1313" s="150"/>
      <c r="I1313" s="150"/>
      <c r="J1313" s="150"/>
      <c r="K1313" s="150"/>
      <c r="L1313" s="150"/>
      <c r="M1313" s="561"/>
      <c r="N1313" s="561"/>
      <c r="O1313" s="152"/>
      <c r="P1313" s="152"/>
      <c r="Q1313" s="152"/>
      <c r="R1313" s="152"/>
      <c r="S1313" s="152"/>
      <c r="T1313" s="152"/>
      <c r="U1313" s="152"/>
      <c r="V1313" s="152"/>
      <c r="W1313" s="152"/>
      <c r="X1313" s="152"/>
      <c r="Y1313" s="152"/>
      <c r="Z1313" s="152"/>
      <c r="AA1313" s="152"/>
      <c r="AB1313" s="152"/>
      <c r="AC1313" s="152"/>
      <c r="AD1313" s="152"/>
      <c r="AE1313" s="152"/>
      <c r="AF1313" s="152"/>
      <c r="AG1313" s="152"/>
      <c r="AH1313" s="152"/>
      <c r="AI1313" s="152"/>
      <c r="AJ1313" s="152"/>
      <c r="AK1313" s="152"/>
      <c r="AL1313" s="152"/>
      <c r="AM1313" s="152"/>
      <c r="AN1313" s="152"/>
      <c r="AO1313" s="152"/>
      <c r="AP1313" s="152"/>
      <c r="AQ1313" s="152"/>
      <c r="AR1313" s="152"/>
      <c r="AS1313" s="152"/>
      <c r="AT1313" s="152"/>
      <c r="AU1313" s="152"/>
      <c r="AV1313" s="152"/>
      <c r="AW1313" s="152"/>
      <c r="AX1313" s="152"/>
      <c r="AY1313" s="152"/>
      <c r="AZ1313" s="152"/>
      <c r="BA1313" s="152"/>
      <c r="BB1313" s="152"/>
      <c r="BC1313" s="152"/>
      <c r="BD1313" s="152"/>
    </row>
    <row r="1314" spans="1:25" s="121" customFormat="1" ht="34.5" customHeight="1">
      <c r="A1314" s="140"/>
      <c r="B1314" s="140"/>
      <c r="C1314" s="140"/>
      <c r="D1314" s="140"/>
      <c r="E1314" s="140"/>
      <c r="F1314" s="140"/>
      <c r="G1314" s="140"/>
      <c r="H1314" s="585"/>
      <c r="I1314" s="609"/>
      <c r="J1314" s="609"/>
      <c r="K1314" s="423"/>
      <c r="L1314" s="423"/>
      <c r="M1314" s="421"/>
      <c r="N1314" s="42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1"/>
    </row>
    <row r="1315" spans="1:42" s="167" customFormat="1" ht="34.5" customHeight="1">
      <c r="A1315" s="837" t="s">
        <v>33</v>
      </c>
      <c r="B1315" s="838" t="s">
        <v>568</v>
      </c>
      <c r="C1315" s="839" t="s">
        <v>847</v>
      </c>
      <c r="D1315" s="840"/>
      <c r="E1315" s="841" t="s">
        <v>877</v>
      </c>
      <c r="F1315" s="842"/>
      <c r="G1315" s="841" t="s">
        <v>878</v>
      </c>
      <c r="H1315" s="842"/>
      <c r="I1315" s="1224"/>
      <c r="J1315" s="1281"/>
      <c r="K1315" s="1224"/>
      <c r="L1315" s="1224"/>
      <c r="M1315" s="151"/>
      <c r="N1315" s="151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</row>
    <row r="1316" spans="1:25" s="94" customFormat="1" ht="34.5" customHeight="1">
      <c r="A1316" s="296" t="s">
        <v>106</v>
      </c>
      <c r="B1316" s="298" t="s">
        <v>55</v>
      </c>
      <c r="C1316" s="1284">
        <f>CEILING(42*$Z$1,0.1)</f>
        <v>52.5</v>
      </c>
      <c r="D1316" s="1285"/>
      <c r="E1316" s="1284">
        <f>CEILING(61*$Z$1,0.1)</f>
        <v>76.3</v>
      </c>
      <c r="F1316" s="1285"/>
      <c r="G1316" s="1284">
        <f>CEILING(42*$Z$1,0.1)</f>
        <v>52.5</v>
      </c>
      <c r="H1316" s="1285"/>
      <c r="I1316" s="1254"/>
      <c r="J1316" s="1254"/>
      <c r="K1316" s="1254"/>
      <c r="L1316" s="1254"/>
      <c r="M1316" s="136"/>
      <c r="N1316" s="136"/>
      <c r="O1316" s="136"/>
      <c r="P1316" s="136"/>
      <c r="Q1316" s="92"/>
      <c r="R1316" s="92"/>
      <c r="S1316" s="92"/>
      <c r="T1316" s="92"/>
      <c r="U1316" s="92"/>
      <c r="V1316" s="92"/>
      <c r="W1316" s="92"/>
      <c r="X1316" s="92"/>
      <c r="Y1316" s="92"/>
    </row>
    <row r="1317" spans="1:25" s="94" customFormat="1" ht="34.5" customHeight="1">
      <c r="A1317" s="214" t="s">
        <v>49</v>
      </c>
      <c r="B1317" s="190" t="s">
        <v>8</v>
      </c>
      <c r="C1317" s="1282">
        <f>CEILING((C1316+10*$Z$1),0.1)</f>
        <v>65</v>
      </c>
      <c r="D1317" s="1283"/>
      <c r="E1317" s="1282">
        <f>CEILING((E1316+17*$Z$1),0.1)</f>
        <v>97.60000000000001</v>
      </c>
      <c r="F1317" s="1283"/>
      <c r="G1317" s="1282">
        <f>CEILING((G1316+10*$Z$1),0.1)</f>
        <v>65</v>
      </c>
      <c r="H1317" s="1283"/>
      <c r="I1317" s="1254"/>
      <c r="J1317" s="1254"/>
      <c r="K1317" s="1254"/>
      <c r="L1317" s="1254"/>
      <c r="M1317" s="136"/>
      <c r="N1317" s="136"/>
      <c r="O1317" s="136"/>
      <c r="P1317" s="136"/>
      <c r="Q1317" s="92"/>
      <c r="R1317" s="92"/>
      <c r="S1317" s="92"/>
      <c r="T1317" s="92"/>
      <c r="U1317" s="92"/>
      <c r="V1317" s="92"/>
      <c r="W1317" s="92"/>
      <c r="X1317" s="92"/>
      <c r="Y1317" s="92"/>
    </row>
    <row r="1318" spans="1:25" s="94" customFormat="1" ht="34.5" customHeight="1">
      <c r="A1318" s="373"/>
      <c r="B1318" s="298" t="s">
        <v>534</v>
      </c>
      <c r="C1318" s="1192">
        <f>CEILING((C1316*0),0.1)</f>
        <v>0</v>
      </c>
      <c r="D1318" s="1193"/>
      <c r="E1318" s="1192">
        <f>CEILING((E1316*0),0.1)</f>
        <v>0</v>
      </c>
      <c r="F1318" s="1193"/>
      <c r="G1318" s="1192">
        <f>CEILING((G1316*0),0.1)</f>
        <v>0</v>
      </c>
      <c r="H1318" s="1193"/>
      <c r="I1318" s="1220"/>
      <c r="J1318" s="1220"/>
      <c r="K1318" s="1220"/>
      <c r="L1318" s="1220"/>
      <c r="M1318" s="136"/>
      <c r="N1318" s="136"/>
      <c r="O1318" s="136"/>
      <c r="P1318" s="136"/>
      <c r="Q1318" s="92"/>
      <c r="R1318" s="92"/>
      <c r="S1318" s="92"/>
      <c r="T1318" s="92"/>
      <c r="U1318" s="92"/>
      <c r="V1318" s="92"/>
      <c r="W1318" s="92"/>
      <c r="X1318" s="92"/>
      <c r="Y1318" s="92"/>
    </row>
    <row r="1319" spans="1:25" s="94" customFormat="1" ht="34.5" customHeight="1">
      <c r="A1319" s="373"/>
      <c r="B1319" s="215" t="s">
        <v>107</v>
      </c>
      <c r="C1319" s="1282">
        <f>CEILING(52*$Z$1,0.1)</f>
        <v>65</v>
      </c>
      <c r="D1319" s="1283"/>
      <c r="E1319" s="1282">
        <f>CEILING(71*$Z$1,0.1)</f>
        <v>88.80000000000001</v>
      </c>
      <c r="F1319" s="1283"/>
      <c r="G1319" s="1282">
        <f>CEILING(52*$Z$1,0.1)</f>
        <v>65</v>
      </c>
      <c r="H1319" s="1283"/>
      <c r="I1319" s="1254"/>
      <c r="J1319" s="1254"/>
      <c r="K1319" s="1254"/>
      <c r="L1319" s="1254"/>
      <c r="M1319" s="136"/>
      <c r="N1319" s="136"/>
      <c r="O1319" s="136"/>
      <c r="P1319" s="136"/>
      <c r="Q1319" s="92"/>
      <c r="R1319" s="92"/>
      <c r="S1319" s="92"/>
      <c r="T1319" s="92"/>
      <c r="U1319" s="92"/>
      <c r="V1319" s="92"/>
      <c r="W1319" s="92"/>
      <c r="X1319" s="92"/>
      <c r="Y1319" s="92"/>
    </row>
    <row r="1320" spans="1:25" s="94" customFormat="1" ht="34.5" customHeight="1">
      <c r="A1320" s="373"/>
      <c r="B1320" s="215" t="s">
        <v>416</v>
      </c>
      <c r="C1320" s="1282">
        <f>CEILING((C1319+10*$Z$1),0.1)</f>
        <v>77.5</v>
      </c>
      <c r="D1320" s="1283"/>
      <c r="E1320" s="1282">
        <f>CEILING((E1319+11*$Z$1),0.1)</f>
        <v>102.60000000000001</v>
      </c>
      <c r="F1320" s="1283"/>
      <c r="G1320" s="1282">
        <f>CEILING((G1319+10*$Z$1),0.1)</f>
        <v>77.5</v>
      </c>
      <c r="H1320" s="1283"/>
      <c r="I1320" s="1254"/>
      <c r="J1320" s="1254"/>
      <c r="K1320" s="1254"/>
      <c r="L1320" s="1254"/>
      <c r="M1320" s="136"/>
      <c r="N1320" s="136"/>
      <c r="O1320" s="136"/>
      <c r="P1320" s="136"/>
      <c r="Q1320" s="92"/>
      <c r="R1320" s="92"/>
      <c r="S1320" s="92"/>
      <c r="T1320" s="92"/>
      <c r="U1320" s="92"/>
      <c r="V1320" s="92"/>
      <c r="W1320" s="92"/>
      <c r="X1320" s="92"/>
      <c r="Y1320" s="92"/>
    </row>
    <row r="1321" spans="1:25" s="94" customFormat="1" ht="34.5" customHeight="1" thickBot="1">
      <c r="A1321" s="610" t="s">
        <v>498</v>
      </c>
      <c r="B1321" s="193" t="s">
        <v>417</v>
      </c>
      <c r="C1321" s="1329">
        <f>CEILING(57*$Z$1,0.1)</f>
        <v>71.3</v>
      </c>
      <c r="D1321" s="1330"/>
      <c r="E1321" s="1329">
        <f>CEILING(76*$Z$1,0.1)</f>
        <v>95</v>
      </c>
      <c r="F1321" s="1330"/>
      <c r="G1321" s="1329">
        <f>CEILING(57*$Z$1,0.1)</f>
        <v>71.3</v>
      </c>
      <c r="H1321" s="1330"/>
      <c r="I1321" s="1254"/>
      <c r="J1321" s="1254"/>
      <c r="K1321" s="1254"/>
      <c r="L1321" s="1254"/>
      <c r="M1321" s="136"/>
      <c r="N1321" s="136"/>
      <c r="O1321" s="136"/>
      <c r="P1321" s="136"/>
      <c r="Q1321" s="92"/>
      <c r="R1321" s="92"/>
      <c r="S1321" s="92"/>
      <c r="T1321" s="92"/>
      <c r="U1321" s="92"/>
      <c r="V1321" s="92"/>
      <c r="W1321" s="92"/>
      <c r="X1321" s="92"/>
      <c r="Y1321" s="92"/>
    </row>
    <row r="1322" spans="1:25" s="94" customFormat="1" ht="34.5" customHeight="1" thickTop="1">
      <c r="A1322" s="387" t="s">
        <v>942</v>
      </c>
      <c r="B1322" s="106"/>
      <c r="C1322" s="935"/>
      <c r="D1322" s="935"/>
      <c r="E1322" s="935"/>
      <c r="F1322" s="935"/>
      <c r="G1322" s="935"/>
      <c r="H1322" s="935"/>
      <c r="I1322" s="935"/>
      <c r="J1322" s="935"/>
      <c r="K1322" s="935"/>
      <c r="L1322" s="935"/>
      <c r="M1322" s="136"/>
      <c r="N1322" s="136"/>
      <c r="O1322" s="136"/>
      <c r="P1322" s="136"/>
      <c r="Q1322" s="92"/>
      <c r="R1322" s="92"/>
      <c r="S1322" s="92"/>
      <c r="T1322" s="92"/>
      <c r="U1322" s="92"/>
      <c r="V1322" s="92"/>
      <c r="W1322" s="92"/>
      <c r="X1322" s="92"/>
      <c r="Y1322" s="92"/>
    </row>
    <row r="1323" spans="1:60" s="94" customFormat="1" ht="34.5" customHeight="1">
      <c r="A1323" s="397"/>
      <c r="B1323" s="459"/>
      <c r="C1323" s="459"/>
      <c r="D1323" s="459"/>
      <c r="E1323" s="459"/>
      <c r="F1323" s="459"/>
      <c r="G1323" s="459"/>
      <c r="H1323" s="459"/>
      <c r="I1323" s="459"/>
      <c r="J1323" s="121"/>
      <c r="K1323" s="105"/>
      <c r="L1323" s="91"/>
      <c r="M1323" s="611"/>
      <c r="N1323" s="611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100"/>
      <c r="AV1323" s="100"/>
      <c r="AW1323" s="100"/>
      <c r="AX1323" s="100"/>
      <c r="AY1323" s="100"/>
      <c r="AZ1323" s="100"/>
      <c r="BA1323" s="100"/>
      <c r="BB1323" s="100"/>
      <c r="BC1323" s="100"/>
      <c r="BD1323" s="100"/>
      <c r="BE1323" s="100"/>
      <c r="BF1323" s="100"/>
      <c r="BG1323" s="100"/>
      <c r="BH1323" s="612"/>
    </row>
    <row r="1324" spans="1:42" s="167" customFormat="1" ht="34.5" customHeight="1">
      <c r="A1324" s="837" t="s">
        <v>33</v>
      </c>
      <c r="B1324" s="838" t="s">
        <v>568</v>
      </c>
      <c r="C1324" s="839" t="s">
        <v>847</v>
      </c>
      <c r="D1324" s="840"/>
      <c r="E1324" s="841" t="s">
        <v>877</v>
      </c>
      <c r="F1324" s="842"/>
      <c r="G1324" s="841" t="s">
        <v>878</v>
      </c>
      <c r="H1324" s="842"/>
      <c r="I1324" s="1224"/>
      <c r="J1324" s="1281"/>
      <c r="K1324" s="1224"/>
      <c r="L1324" s="1224"/>
      <c r="M1324" s="151"/>
      <c r="N1324" s="151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</row>
    <row r="1325" spans="1:60" s="94" customFormat="1" ht="34.5" customHeight="1">
      <c r="A1325" s="242" t="s">
        <v>656</v>
      </c>
      <c r="B1325" s="490" t="s">
        <v>55</v>
      </c>
      <c r="C1325" s="1284">
        <f>CEILING(30*$Z$1,0.1)</f>
        <v>37.5</v>
      </c>
      <c r="D1325" s="1285"/>
      <c r="E1325" s="1284">
        <f>CEILING(35*$Z$1,0.1)</f>
        <v>43.800000000000004</v>
      </c>
      <c r="F1325" s="1285"/>
      <c r="G1325" s="1284">
        <f>CEILING(30*$Z$1,0.1)</f>
        <v>37.5</v>
      </c>
      <c r="H1325" s="1285"/>
      <c r="I1325" s="1254"/>
      <c r="J1325" s="1254"/>
      <c r="K1325" s="1254"/>
      <c r="L1325" s="1254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100"/>
      <c r="AV1325" s="100"/>
      <c r="AW1325" s="100"/>
      <c r="AX1325" s="100"/>
      <c r="AY1325" s="100"/>
      <c r="AZ1325" s="100"/>
      <c r="BA1325" s="100"/>
      <c r="BB1325" s="100"/>
      <c r="BC1325" s="100"/>
      <c r="BD1325" s="100"/>
      <c r="BE1325" s="100"/>
      <c r="BF1325" s="100"/>
      <c r="BG1325" s="100"/>
      <c r="BH1325" s="612"/>
    </row>
    <row r="1326" spans="1:60" s="94" customFormat="1" ht="34.5" customHeight="1">
      <c r="A1326" s="214" t="s">
        <v>76</v>
      </c>
      <c r="B1326" s="192" t="s">
        <v>8</v>
      </c>
      <c r="C1326" s="1282">
        <f>CEILING((C1325+7*$Z$1),0.1)</f>
        <v>46.300000000000004</v>
      </c>
      <c r="D1326" s="1283"/>
      <c r="E1326" s="1282">
        <f>CEILING((E1325+8*$Z$1),0.1)</f>
        <v>53.800000000000004</v>
      </c>
      <c r="F1326" s="1283"/>
      <c r="G1326" s="1282">
        <f>CEILING((G1325+7*$Z$1),0.1)</f>
        <v>46.300000000000004</v>
      </c>
      <c r="H1326" s="1283"/>
      <c r="I1326" s="1254"/>
      <c r="J1326" s="1254"/>
      <c r="K1326" s="1254"/>
      <c r="L1326" s="1254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100"/>
      <c r="AV1326" s="100"/>
      <c r="AW1326" s="100"/>
      <c r="AX1326" s="100"/>
      <c r="AY1326" s="100"/>
      <c r="AZ1326" s="100"/>
      <c r="BA1326" s="100"/>
      <c r="BB1326" s="100"/>
      <c r="BC1326" s="100"/>
      <c r="BD1326" s="100"/>
      <c r="BE1326" s="100"/>
      <c r="BF1326" s="100"/>
      <c r="BG1326" s="100"/>
      <c r="BH1326" s="612"/>
    </row>
    <row r="1327" spans="1:60" s="94" customFormat="1" ht="34.5" customHeight="1">
      <c r="A1327" s="373"/>
      <c r="B1327" s="270" t="s">
        <v>534</v>
      </c>
      <c r="C1327" s="1192">
        <f>CEILING((C1325*0),0.1)</f>
        <v>0</v>
      </c>
      <c r="D1327" s="1193"/>
      <c r="E1327" s="1192">
        <f>CEILING((E1325*0),0.1)</f>
        <v>0</v>
      </c>
      <c r="F1327" s="1193"/>
      <c r="G1327" s="1192">
        <f>CEILING((G1325*0),0.1)</f>
        <v>0</v>
      </c>
      <c r="H1327" s="1193"/>
      <c r="I1327" s="1220"/>
      <c r="J1327" s="1220"/>
      <c r="K1327" s="1220"/>
      <c r="L1327" s="122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100"/>
      <c r="AV1327" s="100"/>
      <c r="AW1327" s="100"/>
      <c r="AX1327" s="100"/>
      <c r="AY1327" s="100"/>
      <c r="AZ1327" s="100"/>
      <c r="BA1327" s="100"/>
      <c r="BB1327" s="100"/>
      <c r="BC1327" s="100"/>
      <c r="BD1327" s="100"/>
      <c r="BE1327" s="100"/>
      <c r="BF1327" s="100"/>
      <c r="BG1327" s="100"/>
      <c r="BH1327" s="612"/>
    </row>
    <row r="1328" spans="1:60" s="94" customFormat="1" ht="34.5" customHeight="1">
      <c r="A1328" s="373"/>
      <c r="B1328" s="215" t="s">
        <v>171</v>
      </c>
      <c r="C1328" s="1282">
        <f>CEILING(40*$Z$1,0.1)</f>
        <v>50</v>
      </c>
      <c r="D1328" s="1283"/>
      <c r="E1328" s="1282">
        <f>CEILING(45*$Z$1,0.1)</f>
        <v>56.300000000000004</v>
      </c>
      <c r="F1328" s="1283"/>
      <c r="G1328" s="1282">
        <f>CEILING(40*$Z$1,0.1)</f>
        <v>50</v>
      </c>
      <c r="H1328" s="1283"/>
      <c r="I1328" s="1254"/>
      <c r="J1328" s="1254"/>
      <c r="K1328" s="1254"/>
      <c r="L1328" s="1254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100"/>
      <c r="AV1328" s="100"/>
      <c r="AW1328" s="100"/>
      <c r="AX1328" s="100"/>
      <c r="AY1328" s="100"/>
      <c r="AZ1328" s="100"/>
      <c r="BA1328" s="100"/>
      <c r="BB1328" s="100"/>
      <c r="BC1328" s="100"/>
      <c r="BD1328" s="100"/>
      <c r="BE1328" s="100"/>
      <c r="BF1328" s="100"/>
      <c r="BG1328" s="100"/>
      <c r="BH1328" s="612"/>
    </row>
    <row r="1329" spans="1:60" s="94" customFormat="1" ht="34.5" customHeight="1">
      <c r="A1329" s="613" t="s">
        <v>498</v>
      </c>
      <c r="B1329" s="237" t="s">
        <v>172</v>
      </c>
      <c r="C1329" s="1275">
        <f>CEILING((C1328+7*$Z$1),0.1)</f>
        <v>58.800000000000004</v>
      </c>
      <c r="D1329" s="1276"/>
      <c r="E1329" s="1275">
        <f>CEILING((E1328+8*$Z$1),0.1)</f>
        <v>66.3</v>
      </c>
      <c r="F1329" s="1276"/>
      <c r="G1329" s="1275">
        <f>CEILING((G1328+7*$Z$1),0.1)</f>
        <v>58.800000000000004</v>
      </c>
      <c r="H1329" s="1276"/>
      <c r="I1329" s="1254"/>
      <c r="J1329" s="1254"/>
      <c r="K1329" s="1254"/>
      <c r="L1329" s="1254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100"/>
      <c r="AV1329" s="100"/>
      <c r="AW1329" s="100"/>
      <c r="AX1329" s="100"/>
      <c r="AY1329" s="100"/>
      <c r="AZ1329" s="100"/>
      <c r="BA1329" s="100"/>
      <c r="BB1329" s="100"/>
      <c r="BC1329" s="100"/>
      <c r="BD1329" s="100"/>
      <c r="BE1329" s="100"/>
      <c r="BF1329" s="100"/>
      <c r="BG1329" s="100"/>
      <c r="BH1329" s="612"/>
    </row>
    <row r="1330" spans="1:59" s="121" customFormat="1" ht="34.5" customHeight="1">
      <c r="A1330" s="186"/>
      <c r="B1330" s="186"/>
      <c r="C1330" s="997"/>
      <c r="D1330" s="997"/>
      <c r="E1330" s="997"/>
      <c r="F1330" s="997"/>
      <c r="G1330" s="997"/>
      <c r="H1330" s="997"/>
      <c r="I1330" s="187"/>
      <c r="J1330" s="187"/>
      <c r="K1330" s="99"/>
      <c r="L1330" s="99"/>
      <c r="M1330" s="106"/>
      <c r="N1330" s="106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100"/>
      <c r="AV1330" s="100"/>
      <c r="AW1330" s="100"/>
      <c r="AX1330" s="100"/>
      <c r="AY1330" s="100"/>
      <c r="AZ1330" s="100"/>
      <c r="BA1330" s="100"/>
      <c r="BB1330" s="100"/>
      <c r="BC1330" s="100"/>
      <c r="BD1330" s="100"/>
      <c r="BE1330" s="100"/>
      <c r="BF1330" s="100"/>
      <c r="BG1330" s="100"/>
    </row>
    <row r="1331" spans="1:25" s="94" customFormat="1" ht="34.5" customHeight="1">
      <c r="A1331" s="1241" t="s">
        <v>1013</v>
      </c>
      <c r="B1331" s="1241"/>
      <c r="C1331" s="1241"/>
      <c r="D1331" s="1241"/>
      <c r="E1331" s="1241"/>
      <c r="F1331" s="1241"/>
      <c r="G1331" s="1241"/>
      <c r="H1331" s="1241"/>
      <c r="I1331" s="1242"/>
      <c r="J1331" s="110"/>
      <c r="K1331" s="91"/>
      <c r="L1331" s="99"/>
      <c r="M1331" s="111"/>
      <c r="N1331" s="112"/>
      <c r="O1331" s="92"/>
      <c r="P1331" s="92"/>
      <c r="Q1331" s="92"/>
      <c r="R1331" s="92"/>
      <c r="S1331" s="92"/>
      <c r="T1331" s="92"/>
      <c r="U1331" s="92"/>
      <c r="V1331" s="92"/>
      <c r="W1331" s="92"/>
      <c r="X1331" s="92"/>
      <c r="Y1331" s="92"/>
    </row>
    <row r="1332" spans="1:59" s="121" customFormat="1" ht="34.5" customHeight="1">
      <c r="A1332" s="186"/>
      <c r="B1332" s="186"/>
      <c r="C1332" s="997"/>
      <c r="D1332" s="997"/>
      <c r="E1332" s="997"/>
      <c r="F1332" s="997"/>
      <c r="G1332" s="997"/>
      <c r="H1332" s="997"/>
      <c r="I1332" s="187"/>
      <c r="J1332" s="187"/>
      <c r="K1332" s="99"/>
      <c r="L1332" s="99"/>
      <c r="M1332" s="106"/>
      <c r="N1332" s="106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100"/>
      <c r="AV1332" s="100"/>
      <c r="AW1332" s="100"/>
      <c r="AX1332" s="100"/>
      <c r="AY1332" s="100"/>
      <c r="AZ1332" s="100"/>
      <c r="BA1332" s="100"/>
      <c r="BB1332" s="100"/>
      <c r="BC1332" s="100"/>
      <c r="BD1332" s="100"/>
      <c r="BE1332" s="100"/>
      <c r="BF1332" s="100"/>
      <c r="BG1332" s="100"/>
    </row>
    <row r="1333" spans="1:25" s="94" customFormat="1" ht="34.5" customHeight="1">
      <c r="A1333" s="614"/>
      <c r="B1333" s="614"/>
      <c r="C1333" s="614"/>
      <c r="D1333" s="614"/>
      <c r="E1333" s="614"/>
      <c r="F1333" s="614"/>
      <c r="G1333" s="615"/>
      <c r="H1333" s="615"/>
      <c r="I1333" s="616"/>
      <c r="J1333" s="130"/>
      <c r="K1333" s="617"/>
      <c r="L1333" s="617"/>
      <c r="M1333" s="611"/>
      <c r="N1333" s="611"/>
      <c r="O1333" s="92"/>
      <c r="P1333" s="92"/>
      <c r="Q1333" s="92"/>
      <c r="R1333" s="92"/>
      <c r="S1333" s="92"/>
      <c r="T1333" s="92"/>
      <c r="U1333" s="92"/>
      <c r="V1333" s="92"/>
      <c r="W1333" s="92"/>
      <c r="X1333" s="92"/>
      <c r="Y1333" s="92"/>
    </row>
    <row r="1334" spans="1:25" s="15" customFormat="1" ht="34.5" customHeight="1">
      <c r="A1334" s="1331" t="s">
        <v>244</v>
      </c>
      <c r="B1334" s="1331"/>
      <c r="C1334" s="1331"/>
      <c r="D1334" s="1331"/>
      <c r="E1334" s="1331"/>
      <c r="F1334" s="1331"/>
      <c r="G1334" s="1331"/>
      <c r="H1334" s="1331"/>
      <c r="I1334" s="1331"/>
      <c r="J1334" s="1331"/>
      <c r="K1334" s="71"/>
      <c r="L1334" s="71"/>
      <c r="M1334" s="70"/>
      <c r="N1334" s="70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s="15" customFormat="1" ht="34.5" customHeight="1" thickBot="1">
      <c r="A1335" s="59"/>
      <c r="B1335" s="59"/>
      <c r="C1335" s="58"/>
      <c r="D1335" s="58"/>
      <c r="E1335" s="58"/>
      <c r="F1335" s="58"/>
      <c r="G1335" s="58"/>
      <c r="H1335" s="58"/>
      <c r="I1335" s="58"/>
      <c r="J1335" s="31"/>
      <c r="K1335" s="71"/>
      <c r="L1335" s="71"/>
      <c r="M1335" s="70"/>
      <c r="N1335" s="70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42" s="167" customFormat="1" ht="34.5" customHeight="1" thickTop="1">
      <c r="A1336" s="826" t="s">
        <v>33</v>
      </c>
      <c r="B1336" s="827" t="s">
        <v>86</v>
      </c>
      <c r="C1336" s="828" t="s">
        <v>847</v>
      </c>
      <c r="D1336" s="829"/>
      <c r="E1336" s="830" t="s">
        <v>848</v>
      </c>
      <c r="F1336" s="831"/>
      <c r="G1336" s="830" t="s">
        <v>849</v>
      </c>
      <c r="H1336" s="831"/>
      <c r="I1336" s="830" t="s">
        <v>850</v>
      </c>
      <c r="J1336" s="831"/>
      <c r="K1336" s="830" t="s">
        <v>851</v>
      </c>
      <c r="L1336" s="831"/>
      <c r="M1336" s="830" t="s">
        <v>852</v>
      </c>
      <c r="N1336" s="831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</row>
    <row r="1337" spans="1:14" s="136" customFormat="1" ht="34.5" customHeight="1">
      <c r="A1337" s="288" t="s">
        <v>108</v>
      </c>
      <c r="B1337" s="618" t="s">
        <v>214</v>
      </c>
      <c r="C1337" s="1194">
        <f>CEILING(50*$Z$1,0.1)</f>
        <v>62.5</v>
      </c>
      <c r="D1337" s="1195"/>
      <c r="E1337" s="1194">
        <f>CEILING(60*$Z$1,0.1)</f>
        <v>75</v>
      </c>
      <c r="F1337" s="1195"/>
      <c r="G1337" s="1194">
        <f>CEILING(70*$Z$1,0.1)</f>
        <v>87.5</v>
      </c>
      <c r="H1337" s="1195"/>
      <c r="I1337" s="1194">
        <f>CEILING(60*$Z$1,0.1)</f>
        <v>75</v>
      </c>
      <c r="J1337" s="1195"/>
      <c r="K1337" s="1194">
        <f>CEILING(60*$Z$1,0.1)</f>
        <v>75</v>
      </c>
      <c r="L1337" s="1195"/>
      <c r="M1337" s="1194">
        <f>CEILING(50*$Z$1,0.1)</f>
        <v>62.5</v>
      </c>
      <c r="N1337" s="1195"/>
    </row>
    <row r="1338" spans="1:14" s="136" customFormat="1" ht="34.5" customHeight="1">
      <c r="A1338" s="290" t="s">
        <v>35</v>
      </c>
      <c r="B1338" s="536" t="s">
        <v>215</v>
      </c>
      <c r="C1338" s="1192">
        <f>CEILING((C1337+20*$Z$1),0.1)</f>
        <v>87.5</v>
      </c>
      <c r="D1338" s="1193"/>
      <c r="E1338" s="1192">
        <f>CEILING((E1337+36*$Z$1),0.1)</f>
        <v>120</v>
      </c>
      <c r="F1338" s="1193"/>
      <c r="G1338" s="1192">
        <f>CEILING((G1337+36*$Z$1),0.1)</f>
        <v>132.5</v>
      </c>
      <c r="H1338" s="1193"/>
      <c r="I1338" s="1192">
        <f>CEILING((I1337+36*$Z$1),0.1)</f>
        <v>120</v>
      </c>
      <c r="J1338" s="1193"/>
      <c r="K1338" s="1192">
        <f>CEILING((K1337+36*$Z$1),0.1)</f>
        <v>120</v>
      </c>
      <c r="L1338" s="1193"/>
      <c r="M1338" s="1192">
        <f>CEILING((M1337+20*$Z$1),0.1)</f>
        <v>87.5</v>
      </c>
      <c r="N1338" s="1193"/>
    </row>
    <row r="1339" spans="1:14" s="136" customFormat="1" ht="34.5" customHeight="1">
      <c r="A1339" s="290"/>
      <c r="B1339" s="619" t="s">
        <v>67</v>
      </c>
      <c r="C1339" s="1192">
        <f>CEILING((C1337*0.85),0.1)</f>
        <v>53.2</v>
      </c>
      <c r="D1339" s="1193"/>
      <c r="E1339" s="1192">
        <f>CEILING((E1337*0.85),0.1)</f>
        <v>63.800000000000004</v>
      </c>
      <c r="F1339" s="1193"/>
      <c r="G1339" s="1192">
        <f>CEILING((G1337*0.85),0.1)</f>
        <v>74.4</v>
      </c>
      <c r="H1339" s="1193"/>
      <c r="I1339" s="1192">
        <f>CEILING((I1337*0.85),0.1)</f>
        <v>63.800000000000004</v>
      </c>
      <c r="J1339" s="1193"/>
      <c r="K1339" s="1192">
        <f>CEILING((K1337*0.85),0.1)</f>
        <v>63.800000000000004</v>
      </c>
      <c r="L1339" s="1193"/>
      <c r="M1339" s="1192">
        <f>CEILING((M1337*0.85),0.1)</f>
        <v>53.2</v>
      </c>
      <c r="N1339" s="1193"/>
    </row>
    <row r="1340" spans="1:16" s="136" customFormat="1" ht="34.5" customHeight="1" thickBot="1">
      <c r="A1340" s="620"/>
      <c r="B1340" s="537" t="s">
        <v>673</v>
      </c>
      <c r="C1340" s="1202">
        <f>CEILING((C1337*0.5),0.1)</f>
        <v>31.3</v>
      </c>
      <c r="D1340" s="1203"/>
      <c r="E1340" s="1202">
        <f>CEILING((E1337*0.5),0.1)</f>
        <v>37.5</v>
      </c>
      <c r="F1340" s="1203"/>
      <c r="G1340" s="1202">
        <f>CEILING((G1337*0.5),0.1)</f>
        <v>43.800000000000004</v>
      </c>
      <c r="H1340" s="1203"/>
      <c r="I1340" s="1202">
        <f>CEILING((I1337*0.5),0.1)</f>
        <v>37.5</v>
      </c>
      <c r="J1340" s="1203"/>
      <c r="K1340" s="1202">
        <f>CEILING((K1337*0.5),0.1)</f>
        <v>37.5</v>
      </c>
      <c r="L1340" s="1203"/>
      <c r="M1340" s="1202">
        <f>CEILING((M1337*0.5),0.1)</f>
        <v>31.3</v>
      </c>
      <c r="N1340" s="1203"/>
      <c r="O1340" s="100"/>
      <c r="P1340" s="100"/>
    </row>
    <row r="1341" spans="1:14" s="131" customFormat="1" ht="34.5" customHeight="1" thickTop="1">
      <c r="A1341" s="391" t="s">
        <v>943</v>
      </c>
      <c r="B1341" s="585"/>
      <c r="C1341" s="585"/>
      <c r="D1341" s="585"/>
      <c r="E1341" s="585"/>
      <c r="F1341" s="585"/>
      <c r="G1341" s="585"/>
      <c r="H1341" s="585"/>
      <c r="I1341" s="585"/>
      <c r="J1341" s="585"/>
      <c r="K1341" s="135"/>
      <c r="L1341" s="105"/>
      <c r="M1341" s="422"/>
      <c r="N1341" s="422"/>
    </row>
    <row r="1342" spans="1:68" s="94" customFormat="1" ht="34.5" customHeight="1" thickBot="1">
      <c r="A1342" s="621"/>
      <c r="B1342" s="622"/>
      <c r="C1342" s="186"/>
      <c r="D1342" s="186"/>
      <c r="E1342" s="186"/>
      <c r="F1342" s="186"/>
      <c r="G1342" s="186"/>
      <c r="H1342" s="186"/>
      <c r="I1342" s="186"/>
      <c r="J1342" s="579"/>
      <c r="K1342" s="623"/>
      <c r="L1342" s="99"/>
      <c r="M1342" s="624"/>
      <c r="N1342" s="624"/>
      <c r="O1342" s="136"/>
      <c r="P1342" s="136"/>
      <c r="Q1342" s="136"/>
      <c r="R1342" s="136"/>
      <c r="S1342" s="136"/>
      <c r="T1342" s="136"/>
      <c r="U1342" s="136"/>
      <c r="V1342" s="136"/>
      <c r="W1342" s="136"/>
      <c r="X1342" s="136"/>
      <c r="Y1342" s="136"/>
      <c r="Z1342" s="136"/>
      <c r="AA1342" s="136"/>
      <c r="AB1342" s="136"/>
      <c r="AC1342" s="136"/>
      <c r="AD1342" s="136"/>
      <c r="AE1342" s="136"/>
      <c r="AF1342" s="136"/>
      <c r="AG1342" s="136"/>
      <c r="AH1342" s="136"/>
      <c r="AI1342" s="136"/>
      <c r="AJ1342" s="136"/>
      <c r="AK1342" s="136"/>
      <c r="AL1342" s="136"/>
      <c r="AM1342" s="136"/>
      <c r="AN1342" s="136"/>
      <c r="AO1342" s="136"/>
      <c r="AP1342" s="136"/>
      <c r="AQ1342" s="136"/>
      <c r="AR1342" s="136"/>
      <c r="AS1342" s="136"/>
      <c r="AT1342" s="136"/>
      <c r="AU1342" s="136"/>
      <c r="AV1342" s="136"/>
      <c r="AW1342" s="136"/>
      <c r="AX1342" s="136"/>
      <c r="AY1342" s="136"/>
      <c r="AZ1342" s="136"/>
      <c r="BA1342" s="136"/>
      <c r="BB1342" s="136"/>
      <c r="BC1342" s="136"/>
      <c r="BD1342" s="136"/>
      <c r="BE1342" s="136"/>
      <c r="BF1342" s="136"/>
      <c r="BG1342" s="136"/>
      <c r="BH1342" s="136"/>
      <c r="BI1342" s="136"/>
      <c r="BJ1342" s="136"/>
      <c r="BK1342" s="136"/>
      <c r="BL1342" s="136"/>
      <c r="BM1342" s="136"/>
      <c r="BN1342" s="136"/>
      <c r="BO1342" s="136"/>
      <c r="BP1342" s="136"/>
    </row>
    <row r="1343" spans="1:42" s="167" customFormat="1" ht="34.5" customHeight="1" thickTop="1">
      <c r="A1343" s="837" t="s">
        <v>33</v>
      </c>
      <c r="B1343" s="838" t="s">
        <v>86</v>
      </c>
      <c r="C1343" s="839" t="s">
        <v>847</v>
      </c>
      <c r="D1343" s="840"/>
      <c r="E1343" s="841" t="s">
        <v>877</v>
      </c>
      <c r="F1343" s="842"/>
      <c r="G1343" s="841" t="s">
        <v>878</v>
      </c>
      <c r="H1343" s="842"/>
      <c r="I1343" s="1224"/>
      <c r="J1343" s="1281"/>
      <c r="K1343" s="1224"/>
      <c r="L1343" s="1224"/>
      <c r="M1343" s="151"/>
      <c r="N1343" s="151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</row>
    <row r="1344" spans="1:25" s="121" customFormat="1" ht="34.5" customHeight="1">
      <c r="A1344" s="204" t="s">
        <v>503</v>
      </c>
      <c r="B1344" s="476" t="s">
        <v>657</v>
      </c>
      <c r="C1344" s="1194">
        <f>CEILING(31*$Z$1,0.1)</f>
        <v>38.800000000000004</v>
      </c>
      <c r="D1344" s="1195"/>
      <c r="E1344" s="1194">
        <f>CEILING(34*$Z$1,0.1)</f>
        <v>42.5</v>
      </c>
      <c r="F1344" s="1195"/>
      <c r="G1344" s="1194">
        <f>CEILING(31*$Z$1,0.1)</f>
        <v>38.800000000000004</v>
      </c>
      <c r="H1344" s="1195"/>
      <c r="I1344" s="1220"/>
      <c r="J1344" s="1220"/>
      <c r="K1344" s="1220"/>
      <c r="L1344" s="1220"/>
      <c r="M1344" s="101"/>
      <c r="N1344" s="101"/>
      <c r="O1344" s="101"/>
      <c r="P1344" s="101"/>
      <c r="Q1344" s="101"/>
      <c r="R1344" s="101"/>
      <c r="S1344" s="101"/>
      <c r="T1344" s="101"/>
      <c r="U1344" s="101"/>
      <c r="V1344" s="101"/>
      <c r="W1344" s="101"/>
      <c r="X1344" s="101"/>
      <c r="Y1344" s="101"/>
    </row>
    <row r="1345" spans="1:31" s="121" customFormat="1" ht="34.5" customHeight="1">
      <c r="A1345" s="214" t="s">
        <v>49</v>
      </c>
      <c r="B1345" s="106" t="s">
        <v>658</v>
      </c>
      <c r="C1345" s="1192">
        <f>CEILING(39*$Z$1,0.1)</f>
        <v>48.800000000000004</v>
      </c>
      <c r="D1345" s="1193"/>
      <c r="E1345" s="1192">
        <f>CEILING(43*$Z$1,0.1)</f>
        <v>53.800000000000004</v>
      </c>
      <c r="F1345" s="1193"/>
      <c r="G1345" s="1192">
        <f>CEILING(39*$Z$1,0.1)</f>
        <v>48.800000000000004</v>
      </c>
      <c r="H1345" s="1193"/>
      <c r="I1345" s="1220"/>
      <c r="J1345" s="1220"/>
      <c r="K1345" s="1220"/>
      <c r="L1345" s="1220"/>
      <c r="M1345" s="101"/>
      <c r="N1345" s="101"/>
      <c r="O1345" s="101"/>
      <c r="P1345" s="101"/>
      <c r="Q1345" s="101"/>
      <c r="R1345" s="101"/>
      <c r="S1345" s="106"/>
      <c r="T1345" s="106"/>
      <c r="U1345" s="101"/>
      <c r="V1345" s="101"/>
      <c r="W1345" s="101"/>
      <c r="X1345" s="101"/>
      <c r="Y1345" s="101"/>
      <c r="Z1345" s="101"/>
      <c r="AA1345" s="101"/>
      <c r="AB1345" s="101"/>
      <c r="AC1345" s="101"/>
      <c r="AD1345" s="101"/>
      <c r="AE1345" s="101"/>
    </row>
    <row r="1346" spans="1:44" s="411" customFormat="1" ht="34.5" customHeight="1">
      <c r="A1346" s="625" t="s">
        <v>498</v>
      </c>
      <c r="B1346" s="283" t="s">
        <v>944</v>
      </c>
      <c r="C1346" s="1202">
        <f>CEILING((C1344*0.5),0.1)</f>
        <v>19.400000000000002</v>
      </c>
      <c r="D1346" s="1203"/>
      <c r="E1346" s="1202">
        <f>CEILING((E1344*0.5),0.1)</f>
        <v>21.3</v>
      </c>
      <c r="F1346" s="1203"/>
      <c r="G1346" s="1202">
        <f>CEILING((G1344*0.5),0.1)</f>
        <v>19.400000000000002</v>
      </c>
      <c r="H1346" s="1203"/>
      <c r="I1346" s="1220"/>
      <c r="J1346" s="1220"/>
      <c r="K1346" s="1220"/>
      <c r="L1346" s="1220"/>
      <c r="M1346" s="101"/>
      <c r="N1346" s="101"/>
      <c r="O1346" s="101"/>
      <c r="P1346" s="101"/>
      <c r="Q1346" s="101"/>
      <c r="R1346" s="101"/>
      <c r="S1346" s="101"/>
      <c r="T1346" s="101"/>
      <c r="U1346" s="101"/>
      <c r="V1346" s="101"/>
      <c r="W1346" s="101"/>
      <c r="X1346" s="101"/>
      <c r="Y1346" s="101"/>
      <c r="Z1346" s="101"/>
      <c r="AA1346" s="10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</row>
    <row r="1347" spans="1:14" s="131" customFormat="1" ht="34.5" customHeight="1">
      <c r="A1347" s="391" t="s">
        <v>659</v>
      </c>
      <c r="B1347" s="585"/>
      <c r="C1347" s="585"/>
      <c r="D1347" s="585"/>
      <c r="E1347" s="585"/>
      <c r="F1347" s="585"/>
      <c r="G1347" s="585"/>
      <c r="H1347" s="585"/>
      <c r="I1347" s="585"/>
      <c r="J1347" s="585"/>
      <c r="K1347" s="135"/>
      <c r="L1347" s="105"/>
      <c r="M1347" s="422"/>
      <c r="N1347" s="422"/>
    </row>
    <row r="1348" spans="1:27" s="94" customFormat="1" ht="34.5" customHeight="1" thickBot="1">
      <c r="A1348" s="626"/>
      <c r="B1348" s="369"/>
      <c r="C1348" s="347"/>
      <c r="D1348" s="347"/>
      <c r="E1348" s="347"/>
      <c r="F1348" s="347"/>
      <c r="G1348" s="347"/>
      <c r="H1348" s="347"/>
      <c r="I1348" s="627"/>
      <c r="J1348" s="121"/>
      <c r="K1348" s="99"/>
      <c r="L1348" s="99"/>
      <c r="M1348" s="121"/>
      <c r="N1348" s="101"/>
      <c r="O1348" s="101"/>
      <c r="P1348" s="92"/>
      <c r="Q1348" s="92"/>
      <c r="R1348" s="92"/>
      <c r="S1348" s="92"/>
      <c r="T1348" s="92"/>
      <c r="U1348" s="92"/>
      <c r="V1348" s="92"/>
      <c r="W1348" s="92"/>
      <c r="X1348" s="92"/>
      <c r="Y1348" s="92"/>
      <c r="Z1348" s="92"/>
      <c r="AA1348" s="92"/>
    </row>
    <row r="1349" spans="1:42" s="167" customFormat="1" ht="34.5" customHeight="1" thickTop="1">
      <c r="A1349" s="837" t="s">
        <v>33</v>
      </c>
      <c r="B1349" s="838" t="s">
        <v>86</v>
      </c>
      <c r="C1349" s="839" t="s">
        <v>847</v>
      </c>
      <c r="D1349" s="840"/>
      <c r="E1349" s="841" t="s">
        <v>877</v>
      </c>
      <c r="F1349" s="842"/>
      <c r="G1349" s="841" t="s">
        <v>878</v>
      </c>
      <c r="H1349" s="842"/>
      <c r="I1349" s="1224"/>
      <c r="J1349" s="1281"/>
      <c r="K1349" s="1224"/>
      <c r="L1349" s="1224"/>
      <c r="M1349" s="151"/>
      <c r="N1349" s="151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</row>
    <row r="1350" spans="1:25" s="121" customFormat="1" ht="34.5" customHeight="1">
      <c r="A1350" s="204" t="s">
        <v>660</v>
      </c>
      <c r="B1350" s="476" t="s">
        <v>657</v>
      </c>
      <c r="C1350" s="1194">
        <f>CEILING(37*$Z$1,0.1)</f>
        <v>46.300000000000004</v>
      </c>
      <c r="D1350" s="1195"/>
      <c r="E1350" s="1194">
        <f>CEILING(40*$Z$1,0.1)</f>
        <v>50</v>
      </c>
      <c r="F1350" s="1195"/>
      <c r="G1350" s="1194">
        <f>CEILING(37*$Z$1,0.1)</f>
        <v>46.300000000000004</v>
      </c>
      <c r="H1350" s="1195"/>
      <c r="I1350" s="1220"/>
      <c r="J1350" s="1220"/>
      <c r="K1350" s="1220"/>
      <c r="L1350" s="1220"/>
      <c r="M1350" s="101"/>
      <c r="N1350" s="101"/>
      <c r="O1350" s="101"/>
      <c r="P1350" s="101"/>
      <c r="Q1350" s="101"/>
      <c r="R1350" s="101"/>
      <c r="S1350" s="101"/>
      <c r="T1350" s="101"/>
      <c r="U1350" s="101"/>
      <c r="V1350" s="101"/>
      <c r="W1350" s="101"/>
      <c r="X1350" s="101"/>
      <c r="Y1350" s="101"/>
    </row>
    <row r="1351" spans="1:31" s="121" customFormat="1" ht="34.5" customHeight="1">
      <c r="A1351" s="214" t="s">
        <v>49</v>
      </c>
      <c r="B1351" s="106" t="s">
        <v>658</v>
      </c>
      <c r="C1351" s="1192">
        <f>CEILING(46*$Z$1,0.1)</f>
        <v>57.5</v>
      </c>
      <c r="D1351" s="1193"/>
      <c r="E1351" s="1192">
        <f>CEILING(50*$Z$1,0.1)</f>
        <v>62.5</v>
      </c>
      <c r="F1351" s="1193"/>
      <c r="G1351" s="1192">
        <f>CEILING(46*$Z$1,0.1)</f>
        <v>57.5</v>
      </c>
      <c r="H1351" s="1193"/>
      <c r="I1351" s="1220"/>
      <c r="J1351" s="1220"/>
      <c r="K1351" s="1220"/>
      <c r="L1351" s="1220"/>
      <c r="M1351" s="101"/>
      <c r="N1351" s="101"/>
      <c r="O1351" s="101"/>
      <c r="P1351" s="101"/>
      <c r="Q1351" s="101"/>
      <c r="R1351" s="101"/>
      <c r="S1351" s="106"/>
      <c r="T1351" s="106"/>
      <c r="U1351" s="101"/>
      <c r="V1351" s="101"/>
      <c r="W1351" s="101"/>
      <c r="X1351" s="101"/>
      <c r="Y1351" s="101"/>
      <c r="Z1351" s="101"/>
      <c r="AA1351" s="101"/>
      <c r="AB1351" s="101"/>
      <c r="AC1351" s="101"/>
      <c r="AD1351" s="101"/>
      <c r="AE1351" s="101"/>
    </row>
    <row r="1352" spans="1:44" s="411" customFormat="1" ht="34.5" customHeight="1">
      <c r="A1352" s="625" t="s">
        <v>498</v>
      </c>
      <c r="B1352" s="283" t="s">
        <v>944</v>
      </c>
      <c r="C1352" s="1202">
        <f>CEILING((C1350*0.5),0.1)</f>
        <v>23.200000000000003</v>
      </c>
      <c r="D1352" s="1203"/>
      <c r="E1352" s="1202">
        <f>CEILING((E1350*0.5),0.1)</f>
        <v>25</v>
      </c>
      <c r="F1352" s="1203"/>
      <c r="G1352" s="1202">
        <f>CEILING((G1350*0.5),0.1)</f>
        <v>23.200000000000003</v>
      </c>
      <c r="H1352" s="1203"/>
      <c r="I1352" s="1220"/>
      <c r="J1352" s="1220"/>
      <c r="K1352" s="1220"/>
      <c r="L1352" s="1220"/>
      <c r="M1352" s="101"/>
      <c r="N1352" s="101"/>
      <c r="O1352" s="101"/>
      <c r="P1352" s="101"/>
      <c r="Q1352" s="101"/>
      <c r="R1352" s="101"/>
      <c r="S1352" s="101"/>
      <c r="T1352" s="101"/>
      <c r="U1352" s="101"/>
      <c r="V1352" s="101"/>
      <c r="W1352" s="101"/>
      <c r="X1352" s="101"/>
      <c r="Y1352" s="101"/>
      <c r="Z1352" s="101"/>
      <c r="AA1352" s="10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</row>
    <row r="1353" spans="1:14" s="131" customFormat="1" ht="34.5" customHeight="1">
      <c r="A1353" s="391" t="s">
        <v>659</v>
      </c>
      <c r="B1353" s="585"/>
      <c r="C1353" s="585"/>
      <c r="D1353" s="585"/>
      <c r="E1353" s="585"/>
      <c r="F1353" s="585"/>
      <c r="G1353" s="585"/>
      <c r="H1353" s="585"/>
      <c r="I1353" s="585"/>
      <c r="J1353" s="585"/>
      <c r="K1353" s="135"/>
      <c r="L1353" s="105"/>
      <c r="M1353" s="422"/>
      <c r="N1353" s="422"/>
    </row>
    <row r="1354" spans="1:22" s="121" customFormat="1" ht="34.5" customHeight="1">
      <c r="A1354" s="387"/>
      <c r="B1354" s="205"/>
      <c r="C1354" s="191"/>
      <c r="D1354" s="191"/>
      <c r="E1354" s="191"/>
      <c r="F1354" s="191"/>
      <c r="G1354" s="191"/>
      <c r="H1354" s="191"/>
      <c r="I1354" s="191"/>
      <c r="J1354" s="191"/>
      <c r="K1354" s="617"/>
      <c r="L1354" s="617"/>
      <c r="M1354" s="100"/>
      <c r="N1354" s="101"/>
      <c r="O1354" s="101"/>
      <c r="P1354" s="127"/>
      <c r="Q1354" s="127"/>
      <c r="R1354" s="127"/>
      <c r="S1354" s="127"/>
      <c r="T1354" s="101"/>
      <c r="U1354" s="101"/>
      <c r="V1354" s="101"/>
    </row>
    <row r="1355" spans="1:42" s="167" customFormat="1" ht="34.5" customHeight="1">
      <c r="A1355" s="837" t="s">
        <v>33</v>
      </c>
      <c r="B1355" s="838" t="s">
        <v>86</v>
      </c>
      <c r="C1355" s="839" t="s">
        <v>847</v>
      </c>
      <c r="D1355" s="840"/>
      <c r="E1355" s="841" t="s">
        <v>877</v>
      </c>
      <c r="F1355" s="842"/>
      <c r="G1355" s="841" t="s">
        <v>878</v>
      </c>
      <c r="H1355" s="842"/>
      <c r="I1355" s="166"/>
      <c r="J1355" s="166"/>
      <c r="K1355" s="1224"/>
      <c r="L1355" s="1224"/>
      <c r="M1355" s="151"/>
      <c r="N1355" s="151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</row>
    <row r="1356" spans="1:25" s="121" customFormat="1" ht="34.5" customHeight="1">
      <c r="A1356" s="204" t="s">
        <v>661</v>
      </c>
      <c r="B1356" s="476" t="s">
        <v>657</v>
      </c>
      <c r="C1356" s="1194">
        <f>CEILING(39*$Z$1,0.1)</f>
        <v>48.800000000000004</v>
      </c>
      <c r="D1356" s="1195"/>
      <c r="E1356" s="1194">
        <f>CEILING(47*$Z$1,0.1)</f>
        <v>58.800000000000004</v>
      </c>
      <c r="F1356" s="1195"/>
      <c r="G1356" s="1194">
        <f>CEILING(39*$Z$1,0.1)</f>
        <v>48.800000000000004</v>
      </c>
      <c r="H1356" s="1195"/>
      <c r="I1356" s="1224"/>
      <c r="J1356" s="1281"/>
      <c r="K1356" s="1220"/>
      <c r="L1356" s="1220"/>
      <c r="M1356" s="101"/>
      <c r="N1356" s="101"/>
      <c r="O1356" s="101"/>
      <c r="P1356" s="101"/>
      <c r="Q1356" s="101"/>
      <c r="R1356" s="101"/>
      <c r="S1356" s="101"/>
      <c r="T1356" s="101"/>
      <c r="U1356" s="101"/>
      <c r="V1356" s="101"/>
      <c r="W1356" s="101"/>
      <c r="X1356" s="101"/>
      <c r="Y1356" s="101"/>
    </row>
    <row r="1357" spans="1:31" s="121" customFormat="1" ht="34.5" customHeight="1">
      <c r="A1357" s="214" t="s">
        <v>49</v>
      </c>
      <c r="B1357" s="106" t="s">
        <v>658</v>
      </c>
      <c r="C1357" s="1192">
        <f>CEILING(48*$Z$1,0.1)</f>
        <v>60</v>
      </c>
      <c r="D1357" s="1193"/>
      <c r="E1357" s="1192">
        <f>CEILING(59*$Z$1,0.1)</f>
        <v>73.8</v>
      </c>
      <c r="F1357" s="1193"/>
      <c r="G1357" s="1192">
        <f>CEILING(48*$Z$1,0.1)</f>
        <v>60</v>
      </c>
      <c r="H1357" s="1193"/>
      <c r="I1357" s="1220"/>
      <c r="J1357" s="1220"/>
      <c r="K1357" s="1220"/>
      <c r="L1357" s="1220"/>
      <c r="M1357" s="101"/>
      <c r="N1357" s="101"/>
      <c r="O1357" s="101"/>
      <c r="P1357" s="101"/>
      <c r="Q1357" s="101"/>
      <c r="R1357" s="101"/>
      <c r="S1357" s="106"/>
      <c r="T1357" s="106"/>
      <c r="U1357" s="101"/>
      <c r="V1357" s="101"/>
      <c r="W1357" s="101"/>
      <c r="X1357" s="101"/>
      <c r="Y1357" s="101"/>
      <c r="Z1357" s="101"/>
      <c r="AA1357" s="101"/>
      <c r="AB1357" s="101"/>
      <c r="AC1357" s="101"/>
      <c r="AD1357" s="101"/>
      <c r="AE1357" s="101"/>
    </row>
    <row r="1358" spans="1:44" s="411" customFormat="1" ht="34.5" customHeight="1">
      <c r="A1358" s="625" t="s">
        <v>498</v>
      </c>
      <c r="B1358" s="283" t="s">
        <v>944</v>
      </c>
      <c r="C1358" s="1202">
        <f>CEILING((C1356*0.5),0.1)</f>
        <v>24.400000000000002</v>
      </c>
      <c r="D1358" s="1203"/>
      <c r="E1358" s="1202">
        <f>CEILING((E1356*0.5),0.1)</f>
        <v>29.400000000000002</v>
      </c>
      <c r="F1358" s="1203"/>
      <c r="G1358" s="1202">
        <f>CEILING((G1356*0.5),0.1)</f>
        <v>24.400000000000002</v>
      </c>
      <c r="H1358" s="1203"/>
      <c r="I1358" s="1220"/>
      <c r="J1358" s="1220"/>
      <c r="K1358" s="1220"/>
      <c r="L1358" s="1220"/>
      <c r="M1358" s="101"/>
      <c r="N1358" s="101"/>
      <c r="O1358" s="101"/>
      <c r="P1358" s="101"/>
      <c r="Q1358" s="101"/>
      <c r="R1358" s="101"/>
      <c r="S1358" s="101"/>
      <c r="T1358" s="101"/>
      <c r="U1358" s="101"/>
      <c r="V1358" s="101"/>
      <c r="W1358" s="101"/>
      <c r="X1358" s="101"/>
      <c r="Y1358" s="101"/>
      <c r="Z1358" s="101"/>
      <c r="AA1358" s="10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</row>
    <row r="1359" spans="1:14" s="131" customFormat="1" ht="34.5" customHeight="1">
      <c r="A1359" s="391" t="s">
        <v>659</v>
      </c>
      <c r="B1359" s="585"/>
      <c r="C1359" s="585"/>
      <c r="D1359" s="585"/>
      <c r="E1359" s="585"/>
      <c r="F1359" s="585"/>
      <c r="G1359" s="585"/>
      <c r="H1359" s="585"/>
      <c r="I1359" s="585"/>
      <c r="J1359" s="585"/>
      <c r="K1359" s="135"/>
      <c r="L1359" s="105"/>
      <c r="M1359" s="422"/>
      <c r="N1359" s="422"/>
    </row>
    <row r="1360" spans="1:22" s="121" customFormat="1" ht="34.5" customHeight="1">
      <c r="A1360" s="339"/>
      <c r="B1360" s="339"/>
      <c r="C1360" s="339"/>
      <c r="D1360" s="339"/>
      <c r="E1360" s="339"/>
      <c r="F1360" s="339"/>
      <c r="G1360" s="339"/>
      <c r="H1360" s="339"/>
      <c r="I1360" s="391"/>
      <c r="J1360" s="100"/>
      <c r="K1360" s="628"/>
      <c r="L1360" s="628"/>
      <c r="M1360" s="629"/>
      <c r="N1360" s="629"/>
      <c r="O1360" s="101"/>
      <c r="P1360" s="127"/>
      <c r="Q1360" s="127"/>
      <c r="R1360" s="127"/>
      <c r="S1360" s="127"/>
      <c r="T1360" s="101"/>
      <c r="U1360" s="101"/>
      <c r="V1360" s="101"/>
    </row>
    <row r="1361" spans="1:42" s="167" customFormat="1" ht="34.5" customHeight="1">
      <c r="A1361" s="837" t="s">
        <v>33</v>
      </c>
      <c r="B1361" s="838" t="s">
        <v>568</v>
      </c>
      <c r="C1361" s="839" t="s">
        <v>847</v>
      </c>
      <c r="D1361" s="840"/>
      <c r="E1361" s="841" t="s">
        <v>877</v>
      </c>
      <c r="F1361" s="842"/>
      <c r="G1361" s="841" t="s">
        <v>878</v>
      </c>
      <c r="H1361" s="842"/>
      <c r="I1361" s="1224"/>
      <c r="J1361" s="1281"/>
      <c r="K1361" s="1224"/>
      <c r="L1361" s="1224"/>
      <c r="M1361" s="151"/>
      <c r="N1361" s="151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</row>
    <row r="1362" spans="1:22" s="94" customFormat="1" ht="34.5" customHeight="1">
      <c r="A1362" s="296" t="s">
        <v>109</v>
      </c>
      <c r="B1362" s="298" t="s">
        <v>41</v>
      </c>
      <c r="C1362" s="1194">
        <f>CEILING(33*$Z$1,0.1)</f>
        <v>41.300000000000004</v>
      </c>
      <c r="D1362" s="1195"/>
      <c r="E1362" s="1194">
        <f>CEILING(37*$Z$1,0.1)</f>
        <v>46.300000000000004</v>
      </c>
      <c r="F1362" s="1195"/>
      <c r="G1362" s="1194">
        <f>CEILING(33*$Z$1,0.1)</f>
        <v>41.300000000000004</v>
      </c>
      <c r="H1362" s="1195"/>
      <c r="I1362" s="1220"/>
      <c r="J1362" s="1220"/>
      <c r="K1362" s="1220"/>
      <c r="L1362" s="1220"/>
      <c r="M1362" s="127"/>
      <c r="N1362" s="127"/>
      <c r="O1362" s="92"/>
      <c r="P1362" s="127"/>
      <c r="Q1362" s="127"/>
      <c r="R1362" s="127"/>
      <c r="S1362" s="127"/>
      <c r="T1362" s="92"/>
      <c r="U1362" s="92"/>
      <c r="V1362" s="92"/>
    </row>
    <row r="1363" spans="1:22" s="94" customFormat="1" ht="34.5" customHeight="1">
      <c r="A1363" s="630"/>
      <c r="B1363" s="190" t="s">
        <v>42</v>
      </c>
      <c r="C1363" s="1192">
        <f>CEILING(42*$Z$1,0.1)</f>
        <v>52.5</v>
      </c>
      <c r="D1363" s="1193"/>
      <c r="E1363" s="1192">
        <f>CEILING(46*$Z$1,0.1)</f>
        <v>57.5</v>
      </c>
      <c r="F1363" s="1193"/>
      <c r="G1363" s="1192">
        <f>CEILING(42*$Z$1,0.1)</f>
        <v>52.5</v>
      </c>
      <c r="H1363" s="1193"/>
      <c r="I1363" s="1220"/>
      <c r="J1363" s="1220"/>
      <c r="K1363" s="1220"/>
      <c r="L1363" s="1220"/>
      <c r="M1363" s="127"/>
      <c r="N1363" s="127"/>
      <c r="O1363" s="92"/>
      <c r="P1363" s="127"/>
      <c r="Q1363" s="127"/>
      <c r="R1363" s="127"/>
      <c r="S1363" s="127"/>
      <c r="T1363" s="92"/>
      <c r="U1363" s="92"/>
      <c r="V1363" s="92"/>
    </row>
    <row r="1364" spans="1:22" s="94" customFormat="1" ht="34.5" customHeight="1">
      <c r="A1364" s="214" t="s">
        <v>49</v>
      </c>
      <c r="B1364" s="270" t="s">
        <v>37</v>
      </c>
      <c r="C1364" s="1192">
        <f>CEILING(27*$Z$1,0.1)</f>
        <v>33.800000000000004</v>
      </c>
      <c r="D1364" s="1193"/>
      <c r="E1364" s="1192">
        <f>CEILING(29*$Z$1,0.1)</f>
        <v>36.300000000000004</v>
      </c>
      <c r="F1364" s="1193"/>
      <c r="G1364" s="1192">
        <f>CEILING(27*$Z$1,0.1)</f>
        <v>33.800000000000004</v>
      </c>
      <c r="H1364" s="1193"/>
      <c r="I1364" s="1220"/>
      <c r="J1364" s="1220"/>
      <c r="K1364" s="1220"/>
      <c r="L1364" s="1220"/>
      <c r="M1364" s="127"/>
      <c r="N1364" s="127"/>
      <c r="O1364" s="92"/>
      <c r="P1364" s="127"/>
      <c r="Q1364" s="127"/>
      <c r="R1364" s="127"/>
      <c r="S1364" s="127"/>
      <c r="T1364" s="92"/>
      <c r="U1364" s="92"/>
      <c r="V1364" s="92"/>
    </row>
    <row r="1365" spans="1:21" s="94" customFormat="1" ht="34.5" customHeight="1">
      <c r="A1365" s="373"/>
      <c r="B1365" s="298" t="s">
        <v>412</v>
      </c>
      <c r="C1365" s="1202">
        <f>CEILING((C1363*0),0.1)</f>
        <v>0</v>
      </c>
      <c r="D1365" s="1203"/>
      <c r="E1365" s="1202">
        <f>CEILING((E1363*0),0.1)</f>
        <v>0</v>
      </c>
      <c r="F1365" s="1203"/>
      <c r="G1365" s="1202">
        <f>CEILING((G1363*0),0.1)</f>
        <v>0</v>
      </c>
      <c r="H1365" s="1203"/>
      <c r="I1365" s="1220"/>
      <c r="J1365" s="1220"/>
      <c r="K1365" s="1220"/>
      <c r="L1365" s="1220"/>
      <c r="M1365" s="127"/>
      <c r="N1365" s="127"/>
      <c r="O1365" s="92"/>
      <c r="P1365" s="127"/>
      <c r="Q1365" s="127"/>
      <c r="R1365" s="127"/>
      <c r="S1365" s="127"/>
      <c r="T1365" s="92"/>
      <c r="U1365" s="92"/>
    </row>
    <row r="1366" spans="1:21" s="94" customFormat="1" ht="34.5" customHeight="1">
      <c r="A1366" s="373"/>
      <c r="B1366" s="215" t="s">
        <v>110</v>
      </c>
      <c r="C1366" s="1194">
        <f>CEILING(38*$Z$1,0.1)</f>
        <v>47.5</v>
      </c>
      <c r="D1366" s="1195"/>
      <c r="E1366" s="1194">
        <f>CEILING(38*$Z$1,0.1)</f>
        <v>47.5</v>
      </c>
      <c r="F1366" s="1195"/>
      <c r="G1366" s="1194">
        <f>CEILING(38*$Z$1,0.1)</f>
        <v>47.5</v>
      </c>
      <c r="H1366" s="1195"/>
      <c r="I1366" s="1220"/>
      <c r="J1366" s="1220"/>
      <c r="K1366" s="1220"/>
      <c r="L1366" s="1220"/>
      <c r="M1366" s="127"/>
      <c r="N1366" s="127"/>
      <c r="O1366" s="92"/>
      <c r="P1366" s="127"/>
      <c r="Q1366" s="127"/>
      <c r="R1366" s="127"/>
      <c r="S1366" s="127"/>
      <c r="T1366" s="92"/>
      <c r="U1366" s="92"/>
    </row>
    <row r="1367" spans="1:21" s="94" customFormat="1" ht="34.5" customHeight="1" thickBot="1">
      <c r="A1367" s="610" t="s">
        <v>498</v>
      </c>
      <c r="B1367" s="453" t="s">
        <v>111</v>
      </c>
      <c r="C1367" s="1218">
        <f>CEILING(48*$Z$1,0.1)</f>
        <v>60</v>
      </c>
      <c r="D1367" s="1219"/>
      <c r="E1367" s="1218">
        <f>CEILING(51*$Z$1,0.1)</f>
        <v>63.800000000000004</v>
      </c>
      <c r="F1367" s="1219"/>
      <c r="G1367" s="1218">
        <f>CEILING(48*$Z$1,0.1)</f>
        <v>60</v>
      </c>
      <c r="H1367" s="1219"/>
      <c r="I1367" s="1220"/>
      <c r="J1367" s="1220"/>
      <c r="K1367" s="1220"/>
      <c r="L1367" s="1220"/>
      <c r="M1367" s="127"/>
      <c r="N1367" s="127"/>
      <c r="O1367" s="92"/>
      <c r="P1367" s="101"/>
      <c r="Q1367" s="101"/>
      <c r="R1367" s="101"/>
      <c r="S1367" s="101"/>
      <c r="T1367" s="92"/>
      <c r="U1367" s="92"/>
    </row>
    <row r="1368" spans="1:44" s="94" customFormat="1" ht="34.5" customHeight="1" thickTop="1">
      <c r="A1368" s="339"/>
      <c r="B1368" s="186"/>
      <c r="C1368" s="186"/>
      <c r="D1368" s="186"/>
      <c r="E1368" s="186"/>
      <c r="F1368" s="186"/>
      <c r="G1368" s="186"/>
      <c r="H1368" s="186"/>
      <c r="I1368" s="186"/>
      <c r="J1368" s="186"/>
      <c r="K1368" s="617"/>
      <c r="L1368" s="99"/>
      <c r="M1368" s="101"/>
      <c r="N1368" s="101"/>
      <c r="O1368" s="101"/>
      <c r="P1368" s="101"/>
      <c r="Q1368" s="101"/>
      <c r="R1368" s="101"/>
      <c r="S1368" s="101"/>
      <c r="T1368" s="101"/>
      <c r="U1368" s="101"/>
      <c r="V1368" s="101"/>
      <c r="W1368" s="101"/>
      <c r="X1368" s="101"/>
      <c r="Y1368" s="101"/>
      <c r="Z1368" s="101"/>
      <c r="AA1368" s="10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</row>
    <row r="1369" spans="1:42" s="167" customFormat="1" ht="34.5" customHeight="1">
      <c r="A1369" s="837" t="s">
        <v>33</v>
      </c>
      <c r="B1369" s="838" t="s">
        <v>86</v>
      </c>
      <c r="C1369" s="839" t="s">
        <v>847</v>
      </c>
      <c r="D1369" s="840"/>
      <c r="E1369" s="841" t="s">
        <v>945</v>
      </c>
      <c r="F1369" s="842"/>
      <c r="G1369" s="841" t="s">
        <v>852</v>
      </c>
      <c r="H1369" s="842"/>
      <c r="I1369" s="1224"/>
      <c r="J1369" s="1281"/>
      <c r="K1369" s="1224"/>
      <c r="L1369" s="1224"/>
      <c r="M1369" s="151"/>
      <c r="N1369" s="151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</row>
    <row r="1370" spans="1:23" s="94" customFormat="1" ht="34.5" customHeight="1">
      <c r="A1370" s="631" t="s">
        <v>13</v>
      </c>
      <c r="B1370" s="190" t="s">
        <v>41</v>
      </c>
      <c r="C1370" s="1194">
        <f>CEILING(28*$Z$1,0.1)</f>
        <v>35</v>
      </c>
      <c r="D1370" s="1195"/>
      <c r="E1370" s="1194">
        <f>CEILING(29*$Z$1,0.1)</f>
        <v>36.300000000000004</v>
      </c>
      <c r="F1370" s="1195"/>
      <c r="G1370" s="1194">
        <f>CEILING(28*$Z$1,0.1)</f>
        <v>35</v>
      </c>
      <c r="H1370" s="1195"/>
      <c r="I1370" s="1220"/>
      <c r="J1370" s="1220"/>
      <c r="K1370" s="1220"/>
      <c r="L1370" s="1220"/>
      <c r="M1370" s="127"/>
      <c r="N1370" s="127"/>
      <c r="O1370" s="632"/>
      <c r="P1370" s="632"/>
      <c r="Q1370" s="632"/>
      <c r="R1370" s="632"/>
      <c r="S1370" s="100"/>
      <c r="T1370" s="100"/>
      <c r="U1370" s="100"/>
      <c r="V1370" s="92"/>
      <c r="W1370" s="92"/>
    </row>
    <row r="1371" spans="1:23" s="94" customFormat="1" ht="34.5" customHeight="1">
      <c r="A1371" s="214" t="s">
        <v>76</v>
      </c>
      <c r="B1371" s="190" t="s">
        <v>42</v>
      </c>
      <c r="C1371" s="1192">
        <f>CEILING(36*$Z$1,0.1)</f>
        <v>45</v>
      </c>
      <c r="D1371" s="1193"/>
      <c r="E1371" s="1192">
        <f>CEILING(40*$Z$1,0.1)</f>
        <v>50</v>
      </c>
      <c r="F1371" s="1193"/>
      <c r="G1371" s="1192">
        <f>CEILING(36*$Z$1,0.1)</f>
        <v>45</v>
      </c>
      <c r="H1371" s="1193"/>
      <c r="I1371" s="1220"/>
      <c r="J1371" s="1220"/>
      <c r="K1371" s="1220"/>
      <c r="L1371" s="1220"/>
      <c r="M1371" s="127"/>
      <c r="N1371" s="127"/>
      <c r="O1371" s="111"/>
      <c r="P1371" s="633"/>
      <c r="Q1371" s="111"/>
      <c r="R1371" s="111"/>
      <c r="S1371" s="100"/>
      <c r="T1371" s="100"/>
      <c r="U1371" s="100"/>
      <c r="V1371" s="92"/>
      <c r="W1371" s="92"/>
    </row>
    <row r="1372" spans="1:23" s="94" customFormat="1" ht="34.5" customHeight="1" thickBot="1">
      <c r="A1372" s="634" t="s">
        <v>831</v>
      </c>
      <c r="B1372" s="496" t="s">
        <v>368</v>
      </c>
      <c r="C1372" s="1218">
        <f>CEILING((C1370*0.7),0.1)</f>
        <v>24.5</v>
      </c>
      <c r="D1372" s="1219"/>
      <c r="E1372" s="1218">
        <f>CEILING((E1370*0.7),0.1)</f>
        <v>25.5</v>
      </c>
      <c r="F1372" s="1219"/>
      <c r="G1372" s="1218">
        <f>CEILING((G1370*0.7),0.1)</f>
        <v>24.5</v>
      </c>
      <c r="H1372" s="1219"/>
      <c r="I1372" s="1220"/>
      <c r="J1372" s="1220"/>
      <c r="K1372" s="1220"/>
      <c r="L1372" s="1220"/>
      <c r="M1372" s="1315"/>
      <c r="N1372" s="1315"/>
      <c r="O1372" s="111"/>
      <c r="P1372" s="633"/>
      <c r="Q1372" s="111"/>
      <c r="R1372" s="111"/>
      <c r="S1372" s="100"/>
      <c r="T1372" s="100"/>
      <c r="U1372" s="100"/>
      <c r="V1372" s="92"/>
      <c r="W1372" s="92"/>
    </row>
    <row r="1373" spans="1:23" s="94" customFormat="1" ht="34.5" customHeight="1" thickTop="1">
      <c r="A1373" s="387" t="s">
        <v>947</v>
      </c>
      <c r="B1373" s="205"/>
      <c r="C1373" s="127"/>
      <c r="D1373" s="127"/>
      <c r="E1373" s="127"/>
      <c r="F1373" s="127"/>
      <c r="G1373" s="127"/>
      <c r="H1373" s="127"/>
      <c r="I1373" s="127"/>
      <c r="J1373" s="379"/>
      <c r="K1373" s="148"/>
      <c r="L1373" s="148"/>
      <c r="M1373" s="632"/>
      <c r="N1373" s="632"/>
      <c r="O1373" s="111"/>
      <c r="P1373" s="633"/>
      <c r="Q1373" s="111"/>
      <c r="R1373" s="111"/>
      <c r="S1373" s="100"/>
      <c r="T1373" s="100"/>
      <c r="U1373" s="100"/>
      <c r="V1373" s="92"/>
      <c r="W1373" s="92"/>
    </row>
    <row r="1374" spans="1:12" s="100" customFormat="1" ht="34.5" customHeight="1">
      <c r="A1374" s="932" t="s">
        <v>946</v>
      </c>
      <c r="B1374" s="933"/>
      <c r="C1374" s="933"/>
      <c r="D1374" s="933"/>
      <c r="E1374" s="933"/>
      <c r="F1374" s="933"/>
      <c r="G1374" s="933"/>
      <c r="H1374" s="933"/>
      <c r="I1374" s="933"/>
      <c r="J1374" s="933"/>
      <c r="K1374" s="135"/>
      <c r="L1374" s="135"/>
    </row>
    <row r="1375" spans="1:14" s="152" customFormat="1" ht="34.5" customHeight="1">
      <c r="A1375" s="900" t="s">
        <v>882</v>
      </c>
      <c r="B1375" s="900"/>
      <c r="C1375" s="933"/>
      <c r="D1375" s="933"/>
      <c r="E1375" s="933"/>
      <c r="F1375" s="933"/>
      <c r="G1375" s="933"/>
      <c r="H1375" s="933"/>
      <c r="I1375" s="933"/>
      <c r="J1375" s="933"/>
      <c r="K1375" s="412"/>
      <c r="L1375" s="412"/>
      <c r="M1375" s="151"/>
      <c r="N1375" s="151"/>
    </row>
    <row r="1376" spans="1:14" s="152" customFormat="1" ht="34.5" customHeight="1">
      <c r="A1376" s="900" t="s">
        <v>883</v>
      </c>
      <c r="B1376" s="900"/>
      <c r="C1376" s="933"/>
      <c r="D1376" s="933"/>
      <c r="E1376" s="933"/>
      <c r="F1376" s="933"/>
      <c r="G1376" s="933"/>
      <c r="H1376" s="933"/>
      <c r="I1376" s="933"/>
      <c r="J1376" s="933"/>
      <c r="K1376" s="412"/>
      <c r="L1376" s="412"/>
      <c r="M1376" s="151"/>
      <c r="N1376" s="151"/>
    </row>
    <row r="1377" spans="1:14" s="152" customFormat="1" ht="34.5" customHeight="1">
      <c r="A1377" s="900" t="s">
        <v>884</v>
      </c>
      <c r="B1377" s="900"/>
      <c r="C1377" s="933"/>
      <c r="D1377" s="933"/>
      <c r="E1377" s="933"/>
      <c r="F1377" s="933"/>
      <c r="G1377" s="933"/>
      <c r="H1377" s="933"/>
      <c r="I1377" s="933"/>
      <c r="J1377" s="933"/>
      <c r="K1377" s="412"/>
      <c r="L1377" s="412"/>
      <c r="M1377" s="151"/>
      <c r="N1377" s="151"/>
    </row>
    <row r="1378" spans="1:14" s="152" customFormat="1" ht="34.5" customHeight="1">
      <c r="A1378" s="996"/>
      <c r="B1378" s="996"/>
      <c r="C1378" s="996"/>
      <c r="D1378" s="996"/>
      <c r="E1378" s="996"/>
      <c r="F1378" s="996"/>
      <c r="G1378" s="996"/>
      <c r="H1378" s="996"/>
      <c r="I1378" s="996"/>
      <c r="J1378" s="996"/>
      <c r="K1378" s="412"/>
      <c r="L1378" s="412"/>
      <c r="M1378" s="151"/>
      <c r="N1378" s="151"/>
    </row>
    <row r="1379" spans="1:25" s="94" customFormat="1" ht="34.5" customHeight="1">
      <c r="A1379" s="1241" t="s">
        <v>1014</v>
      </c>
      <c r="B1379" s="1241"/>
      <c r="C1379" s="1241"/>
      <c r="D1379" s="1241"/>
      <c r="E1379" s="1241"/>
      <c r="F1379" s="1241"/>
      <c r="G1379" s="1241"/>
      <c r="H1379" s="1241"/>
      <c r="I1379" s="1242"/>
      <c r="J1379" s="110"/>
      <c r="K1379" s="91"/>
      <c r="L1379" s="99"/>
      <c r="M1379" s="111"/>
      <c r="N1379" s="112"/>
      <c r="O1379" s="92"/>
      <c r="P1379" s="92"/>
      <c r="Q1379" s="92"/>
      <c r="R1379" s="92"/>
      <c r="S1379" s="92"/>
      <c r="T1379" s="92"/>
      <c r="U1379" s="92"/>
      <c r="V1379" s="92"/>
      <c r="W1379" s="92"/>
      <c r="X1379" s="92"/>
      <c r="Y1379" s="92"/>
    </row>
    <row r="1380" spans="1:23" s="94" customFormat="1" ht="34.5" customHeight="1">
      <c r="A1380" s="459" t="s">
        <v>14</v>
      </c>
      <c r="B1380" s="130"/>
      <c r="C1380" s="130"/>
      <c r="D1380" s="130"/>
      <c r="E1380" s="130"/>
      <c r="F1380" s="130"/>
      <c r="G1380" s="130"/>
      <c r="H1380" s="130"/>
      <c r="I1380" s="130"/>
      <c r="J1380" s="636"/>
      <c r="K1380" s="148"/>
      <c r="L1380" s="148"/>
      <c r="M1380" s="931"/>
      <c r="N1380" s="936"/>
      <c r="O1380" s="100"/>
      <c r="P1380" s="100"/>
      <c r="Q1380" s="100"/>
      <c r="R1380" s="100"/>
      <c r="S1380" s="100"/>
      <c r="T1380" s="100"/>
      <c r="U1380" s="100"/>
      <c r="V1380" s="92"/>
      <c r="W1380" s="92"/>
    </row>
    <row r="1381" spans="1:23" s="15" customFormat="1" ht="34.5" customHeight="1">
      <c r="A1381" s="1265" t="s">
        <v>112</v>
      </c>
      <c r="B1381" s="1265"/>
      <c r="C1381" s="1265"/>
      <c r="D1381" s="1265"/>
      <c r="E1381" s="1265"/>
      <c r="F1381" s="1265"/>
      <c r="G1381" s="1265"/>
      <c r="H1381" s="1265"/>
      <c r="I1381" s="58"/>
      <c r="J1381" s="58"/>
      <c r="K1381" s="37"/>
      <c r="L1381" s="37"/>
      <c r="M1381" s="104"/>
      <c r="N1381" s="938"/>
      <c r="O1381" s="30"/>
      <c r="P1381" s="30"/>
      <c r="Q1381" s="30"/>
      <c r="R1381" s="30"/>
      <c r="S1381" s="30"/>
      <c r="T1381" s="30"/>
      <c r="U1381" s="30"/>
      <c r="V1381" s="14"/>
      <c r="W1381" s="14"/>
    </row>
    <row r="1382" spans="1:23" s="15" customFormat="1" ht="34.5" customHeight="1">
      <c r="A1382" s="58"/>
      <c r="B1382" s="58"/>
      <c r="C1382" s="58"/>
      <c r="D1382" s="58"/>
      <c r="E1382" s="58"/>
      <c r="F1382" s="58"/>
      <c r="G1382" s="58"/>
      <c r="H1382" s="58"/>
      <c r="I1382" s="58"/>
      <c r="J1382" s="58"/>
      <c r="K1382" s="37"/>
      <c r="L1382" s="37"/>
      <c r="M1382" s="104"/>
      <c r="N1382" s="938"/>
      <c r="O1382" s="30"/>
      <c r="P1382" s="30"/>
      <c r="Q1382" s="30"/>
      <c r="R1382" s="30"/>
      <c r="S1382" s="30"/>
      <c r="T1382" s="30"/>
      <c r="U1382" s="30"/>
      <c r="V1382" s="14"/>
      <c r="W1382" s="14"/>
    </row>
    <row r="1383" spans="1:42" s="167" customFormat="1" ht="34.5" customHeight="1">
      <c r="A1383" s="1134" t="s">
        <v>33</v>
      </c>
      <c r="B1383" s="1136" t="s">
        <v>86</v>
      </c>
      <c r="C1383" s="1013" t="s">
        <v>847</v>
      </c>
      <c r="D1383" s="1014"/>
      <c r="E1383" s="848" t="s">
        <v>870</v>
      </c>
      <c r="F1383" s="849"/>
      <c r="G1383" s="848" t="s">
        <v>850</v>
      </c>
      <c r="H1383" s="849"/>
      <c r="I1383" s="848" t="s">
        <v>851</v>
      </c>
      <c r="J1383" s="849"/>
      <c r="K1383" s="848" t="s">
        <v>852</v>
      </c>
      <c r="L1383" s="849"/>
      <c r="M1383" s="151"/>
      <c r="N1383" s="151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</row>
    <row r="1384" spans="1:42" s="167" customFormat="1" ht="34.5" customHeight="1">
      <c r="A1384" s="1135"/>
      <c r="B1384" s="536" t="s">
        <v>1209</v>
      </c>
      <c r="C1384" s="1210"/>
      <c r="D1384" s="1211"/>
      <c r="E1384" s="1198">
        <f>CEILING(117*$Z$1,0.1)</f>
        <v>146.3</v>
      </c>
      <c r="F1384" s="1199"/>
      <c r="G1384" s="1198">
        <f>CEILING(89*$Z$1,0.1)</f>
        <v>111.30000000000001</v>
      </c>
      <c r="H1384" s="1199"/>
      <c r="I1384" s="1198">
        <f>CEILING(89*$Z$1,0.1)</f>
        <v>111.30000000000001</v>
      </c>
      <c r="J1384" s="1199"/>
      <c r="K1384" s="1198">
        <f>CEILING(80*$Z$1,0.1)</f>
        <v>100</v>
      </c>
      <c r="L1384" s="1199"/>
      <c r="M1384" s="151"/>
      <c r="N1384" s="151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</row>
    <row r="1385" spans="1:42" s="167" customFormat="1" ht="34.5" customHeight="1">
      <c r="A1385" s="1135"/>
      <c r="B1385" s="279" t="s">
        <v>1210</v>
      </c>
      <c r="C1385" s="1210"/>
      <c r="D1385" s="1211"/>
      <c r="E1385" s="1198">
        <f>CEILING(157*$Z$1,0.1)</f>
        <v>196.3</v>
      </c>
      <c r="F1385" s="1199"/>
      <c r="G1385" s="1198">
        <f>CEILING(129*$Z$1,0.1)</f>
        <v>161.3</v>
      </c>
      <c r="H1385" s="1199"/>
      <c r="I1385" s="1198">
        <f>CEILING(129*$Z$1,0.1)</f>
        <v>161.3</v>
      </c>
      <c r="J1385" s="1199"/>
      <c r="K1385" s="1198">
        <f>CEILING(120*$Z$1,0.1)</f>
        <v>150</v>
      </c>
      <c r="L1385" s="1199"/>
      <c r="M1385" s="151"/>
      <c r="N1385" s="151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</row>
    <row r="1386" spans="1:42" s="167" customFormat="1" ht="34.5" customHeight="1">
      <c r="A1386" s="1135"/>
      <c r="B1386" s="340" t="s">
        <v>673</v>
      </c>
      <c r="C1386" s="1210"/>
      <c r="D1386" s="1211"/>
      <c r="E1386" s="1198">
        <f>CEILING((E1384*0.5),0.1)</f>
        <v>73.2</v>
      </c>
      <c r="F1386" s="1199"/>
      <c r="G1386" s="1198">
        <f>CEILING((G1384*0.51),0.1)</f>
        <v>56.800000000000004</v>
      </c>
      <c r="H1386" s="1199"/>
      <c r="I1386" s="1198">
        <f>CEILING((I1384*0.51),0.1)</f>
        <v>56.800000000000004</v>
      </c>
      <c r="J1386" s="1199"/>
      <c r="K1386" s="1198">
        <f>CEILING((K1384*0.5),0.1)</f>
        <v>50</v>
      </c>
      <c r="L1386" s="1199"/>
      <c r="M1386" s="151"/>
      <c r="N1386" s="151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</row>
    <row r="1387" spans="1:23" s="94" customFormat="1" ht="34.5" customHeight="1">
      <c r="A1387" s="291" t="s">
        <v>1120</v>
      </c>
      <c r="B1387" s="536" t="s">
        <v>1125</v>
      </c>
      <c r="C1387" s="1206">
        <f>CEILING(125*$Z$1,0.1)</f>
        <v>156.3</v>
      </c>
      <c r="D1387" s="1207"/>
      <c r="E1387" s="1208">
        <f>CEILING(132*$Z$1,0.1)</f>
        <v>165</v>
      </c>
      <c r="F1387" s="1209"/>
      <c r="G1387" s="1198">
        <f>CEILING(112*$Z$1,0.1)</f>
        <v>140</v>
      </c>
      <c r="H1387" s="1199"/>
      <c r="I1387" s="1198">
        <f>CEILING(112*$Z$1,0.1)</f>
        <v>140</v>
      </c>
      <c r="J1387" s="1199"/>
      <c r="K1387" s="1198">
        <f>CEILING(100*$Z$1,0.1)</f>
        <v>125</v>
      </c>
      <c r="L1387" s="1199"/>
      <c r="M1387" s="191"/>
      <c r="N1387" s="127"/>
      <c r="O1387" s="632"/>
      <c r="P1387" s="632"/>
      <c r="Q1387" s="100"/>
      <c r="R1387" s="100"/>
      <c r="S1387" s="100"/>
      <c r="T1387" s="100"/>
      <c r="U1387" s="100"/>
      <c r="V1387" s="92"/>
      <c r="W1387" s="92"/>
    </row>
    <row r="1388" spans="1:23" s="94" customFormat="1" ht="34.5" customHeight="1">
      <c r="A1388" s="294" t="s">
        <v>35</v>
      </c>
      <c r="B1388" s="279" t="s">
        <v>1126</v>
      </c>
      <c r="C1388" s="1206">
        <f>CEILING(188*$Z$1,0.1)</f>
        <v>235</v>
      </c>
      <c r="D1388" s="1207"/>
      <c r="E1388" s="1137">
        <f>CEILING(172*$Z$1,0.1)</f>
        <v>215</v>
      </c>
      <c r="F1388" s="1138"/>
      <c r="G1388" s="1200">
        <f>CEILING(152*$Z$1,0.1)</f>
        <v>190</v>
      </c>
      <c r="H1388" s="1201"/>
      <c r="I1388" s="1200">
        <f>CEILING(152*$Z$1,0.1)</f>
        <v>190</v>
      </c>
      <c r="J1388" s="1201"/>
      <c r="K1388" s="1200">
        <f>CEILING(140*$Z$1,0.1)</f>
        <v>175</v>
      </c>
      <c r="L1388" s="1201"/>
      <c r="M1388" s="191"/>
      <c r="N1388" s="127"/>
      <c r="O1388" s="632"/>
      <c r="P1388" s="632"/>
      <c r="Q1388" s="100"/>
      <c r="R1388" s="100"/>
      <c r="S1388" s="100"/>
      <c r="T1388" s="100"/>
      <c r="U1388" s="100"/>
      <c r="V1388" s="92"/>
      <c r="W1388" s="92"/>
    </row>
    <row r="1389" spans="1:23" s="94" customFormat="1" ht="34.5" customHeight="1">
      <c r="A1389" s="639"/>
      <c r="B1389" s="279" t="s">
        <v>1127</v>
      </c>
      <c r="C1389" s="1206">
        <f>CEILING(150*$Z$1,0.1)</f>
        <v>187.5</v>
      </c>
      <c r="D1389" s="1207"/>
      <c r="E1389" s="1085">
        <f>CEILING(142*$Z$1,0.1)</f>
        <v>177.5</v>
      </c>
      <c r="F1389" s="1127"/>
      <c r="G1389" s="1198">
        <f>CEILING(130*$Z$1,0.1)</f>
        <v>162.5</v>
      </c>
      <c r="H1389" s="1199"/>
      <c r="I1389" s="1198">
        <f>CEILING(130*$Z$1,0.1)</f>
        <v>162.5</v>
      </c>
      <c r="J1389" s="1199"/>
      <c r="K1389" s="1198">
        <f>CEILING(120*$Z$1,0.1)</f>
        <v>150</v>
      </c>
      <c r="L1389" s="1199"/>
      <c r="M1389" s="191"/>
      <c r="N1389" s="127"/>
      <c r="O1389" s="632"/>
      <c r="P1389" s="632"/>
      <c r="Q1389" s="100"/>
      <c r="R1389" s="100"/>
      <c r="S1389" s="100"/>
      <c r="T1389" s="100"/>
      <c r="U1389" s="100"/>
      <c r="V1389" s="92"/>
      <c r="W1389" s="92"/>
    </row>
    <row r="1390" spans="1:25" s="94" customFormat="1" ht="34.5" customHeight="1">
      <c r="A1390" s="250"/>
      <c r="B1390" s="279" t="s">
        <v>1128</v>
      </c>
      <c r="C1390" s="1206">
        <f>CEILING(225*$Z$1,0.1)</f>
        <v>281.3</v>
      </c>
      <c r="D1390" s="1207"/>
      <c r="E1390" s="1137">
        <f>CEILING(182*$Z$1,0.1)</f>
        <v>227.5</v>
      </c>
      <c r="F1390" s="1127"/>
      <c r="G1390" s="1200">
        <f>CEILING(170*$Z$1,0.1)</f>
        <v>212.5</v>
      </c>
      <c r="H1390" s="1201"/>
      <c r="I1390" s="1200">
        <f>CEILING(170*$Z$1,0.1)</f>
        <v>212.5</v>
      </c>
      <c r="J1390" s="1201"/>
      <c r="K1390" s="1200">
        <f>CEILING(160*$Z$1,0.1)</f>
        <v>200</v>
      </c>
      <c r="L1390" s="1201"/>
      <c r="M1390" s="191"/>
      <c r="N1390" s="127"/>
      <c r="O1390" s="127"/>
      <c r="P1390" s="127"/>
      <c r="Q1390" s="100"/>
      <c r="R1390" s="100"/>
      <c r="S1390" s="100"/>
      <c r="T1390" s="100"/>
      <c r="U1390" s="100"/>
      <c r="V1390" s="92"/>
      <c r="W1390" s="92"/>
      <c r="X1390" s="92"/>
      <c r="Y1390" s="92"/>
    </row>
    <row r="1391" spans="1:25" s="94" customFormat="1" ht="34.5" customHeight="1">
      <c r="A1391" s="250" t="s">
        <v>1211</v>
      </c>
      <c r="B1391" s="190" t="s">
        <v>1129</v>
      </c>
      <c r="C1391" s="1206">
        <f>CEILING(175*$Z$1,0.1)</f>
        <v>218.8</v>
      </c>
      <c r="D1391" s="1207"/>
      <c r="E1391" s="641">
        <f>CEILING(225*$Z$1,0.1)</f>
        <v>281.3</v>
      </c>
      <c r="F1391" s="1071"/>
      <c r="G1391" s="641">
        <f>CEILING(190*$Z$1,0.1)</f>
        <v>237.5</v>
      </c>
      <c r="H1391" s="1071"/>
      <c r="I1391" s="641">
        <f>CEILING(190*$Z$1,0.1)</f>
        <v>237.5</v>
      </c>
      <c r="J1391" s="1071"/>
      <c r="K1391" s="641">
        <f>CEILING(175*$Z$1,0.1)</f>
        <v>218.8</v>
      </c>
      <c r="L1391" s="1071"/>
      <c r="M1391" s="191"/>
      <c r="N1391" s="127"/>
      <c r="O1391" s="127"/>
      <c r="P1391" s="127"/>
      <c r="Q1391" s="100"/>
      <c r="R1391" s="100"/>
      <c r="S1391" s="100"/>
      <c r="T1391" s="100"/>
      <c r="U1391" s="100"/>
      <c r="V1391" s="92"/>
      <c r="W1391" s="92"/>
      <c r="X1391" s="92"/>
      <c r="Y1391" s="92"/>
    </row>
    <row r="1392" spans="1:25" s="94" customFormat="1" ht="34.5" customHeight="1">
      <c r="A1392" s="300" t="s">
        <v>1212</v>
      </c>
      <c r="B1392" s="190" t="s">
        <v>1130</v>
      </c>
      <c r="C1392" s="1206">
        <f>CEILING(263*$Z$1,0.1)</f>
        <v>328.8</v>
      </c>
      <c r="D1392" s="1207"/>
      <c r="E1392" s="357">
        <f>CEILING(338*$Z$1,0.1)</f>
        <v>422.5</v>
      </c>
      <c r="F1392" s="427"/>
      <c r="G1392" s="357">
        <f>CEILING(285*$Z$1,0.1)</f>
        <v>356.3</v>
      </c>
      <c r="H1392" s="427"/>
      <c r="I1392" s="357">
        <f>CEILING(285*$Z$1,0.1)</f>
        <v>356.3</v>
      </c>
      <c r="J1392" s="427"/>
      <c r="K1392" s="357">
        <f>CEILING(263*$Z$1,0.1)</f>
        <v>328.8</v>
      </c>
      <c r="L1392" s="427"/>
      <c r="M1392" s="106"/>
      <c r="N1392" s="106"/>
      <c r="O1392" s="127"/>
      <c r="P1392" s="127"/>
      <c r="Q1392" s="100"/>
      <c r="R1392" s="100"/>
      <c r="S1392" s="100"/>
      <c r="T1392" s="100"/>
      <c r="U1392" s="100"/>
      <c r="V1392" s="92"/>
      <c r="W1392" s="92"/>
      <c r="X1392" s="92"/>
      <c r="Y1392" s="92"/>
    </row>
    <row r="1393" spans="1:25" s="94" customFormat="1" ht="34.5" customHeight="1">
      <c r="A1393" s="294"/>
      <c r="B1393" s="190" t="s">
        <v>1131</v>
      </c>
      <c r="C1393" s="1206">
        <f>CEILING(200*$Z$1,0.1)</f>
        <v>250</v>
      </c>
      <c r="D1393" s="1207"/>
      <c r="E1393" s="641">
        <f>CEILING(275*$Z$1,0.1)</f>
        <v>343.8</v>
      </c>
      <c r="F1393" s="1071"/>
      <c r="G1393" s="641">
        <f>CEILING(240*$Z$1,0.1)</f>
        <v>300</v>
      </c>
      <c r="H1393" s="1071"/>
      <c r="I1393" s="641">
        <f>CEILING(240*$Z$1,0.1)</f>
        <v>300</v>
      </c>
      <c r="J1393" s="1071"/>
      <c r="K1393" s="641">
        <f>CEILING(200*$Z$1,0.1)</f>
        <v>250</v>
      </c>
      <c r="L1393" s="1071"/>
      <c r="M1393" s="106"/>
      <c r="N1393" s="106"/>
      <c r="O1393" s="127"/>
      <c r="P1393" s="127"/>
      <c r="Q1393" s="100"/>
      <c r="R1393" s="100"/>
      <c r="S1393" s="100"/>
      <c r="T1393" s="100"/>
      <c r="U1393" s="100"/>
      <c r="V1393" s="92"/>
      <c r="W1393" s="92"/>
      <c r="X1393" s="92"/>
      <c r="Y1393" s="92"/>
    </row>
    <row r="1394" spans="1:25" s="94" customFormat="1" ht="34.5" customHeight="1">
      <c r="A1394" s="294"/>
      <c r="B1394" s="190" t="s">
        <v>1132</v>
      </c>
      <c r="C1394" s="1206">
        <f>CEILING(338*$Z$1,0.1)</f>
        <v>422.5</v>
      </c>
      <c r="D1394" s="1207"/>
      <c r="E1394" s="357">
        <f>CEILING(413*$Z$1,0.1)</f>
        <v>516.3000000000001</v>
      </c>
      <c r="F1394" s="1071"/>
      <c r="G1394" s="357">
        <f>CEILING(360*$Z$1,0.1)</f>
        <v>450</v>
      </c>
      <c r="H1394" s="1071"/>
      <c r="I1394" s="357">
        <f>CEILING(360*$Z$1,0.1)</f>
        <v>450</v>
      </c>
      <c r="J1394" s="1071"/>
      <c r="K1394" s="357">
        <f>CEILING(338*$Z$1,0.1)</f>
        <v>422.5</v>
      </c>
      <c r="L1394" s="1071"/>
      <c r="M1394" s="106"/>
      <c r="N1394" s="106"/>
      <c r="O1394" s="127"/>
      <c r="P1394" s="127"/>
      <c r="Q1394" s="100"/>
      <c r="R1394" s="100"/>
      <c r="S1394" s="100"/>
      <c r="T1394" s="100"/>
      <c r="U1394" s="100"/>
      <c r="V1394" s="92"/>
      <c r="W1394" s="92"/>
      <c r="X1394" s="92"/>
      <c r="Y1394" s="92"/>
    </row>
    <row r="1395" spans="1:23" s="94" customFormat="1" ht="34.5" customHeight="1">
      <c r="A1395" s="269"/>
      <c r="B1395" s="190" t="s">
        <v>1133</v>
      </c>
      <c r="C1395" s="1206">
        <f>CEILING(250*$Z$1,0.1)</f>
        <v>312.5</v>
      </c>
      <c r="D1395" s="1207"/>
      <c r="E1395" s="641">
        <f>CEILING(300*$Z$1,0.1)</f>
        <v>375</v>
      </c>
      <c r="F1395" s="1071"/>
      <c r="G1395" s="641">
        <f>CEILING(265*$Z$1,0.1)</f>
        <v>331.3</v>
      </c>
      <c r="H1395" s="1071"/>
      <c r="I1395" s="641">
        <f>CEILING(265*$Z$1,0.1)</f>
        <v>331.3</v>
      </c>
      <c r="J1395" s="1071"/>
      <c r="K1395" s="641">
        <f>CEILING(250*$Z$1,0.1)</f>
        <v>312.5</v>
      </c>
      <c r="L1395" s="1071"/>
      <c r="M1395" s="127"/>
      <c r="N1395" s="127"/>
      <c r="O1395" s="111"/>
      <c r="P1395" s="633"/>
      <c r="Q1395" s="111"/>
      <c r="R1395" s="111"/>
      <c r="S1395" s="100"/>
      <c r="T1395" s="100"/>
      <c r="U1395" s="100"/>
      <c r="V1395" s="92"/>
      <c r="W1395" s="92"/>
    </row>
    <row r="1396" spans="1:23" s="94" customFormat="1" ht="34.5" customHeight="1">
      <c r="A1396" s="294"/>
      <c r="B1396" s="190" t="s">
        <v>1134</v>
      </c>
      <c r="C1396" s="1206">
        <f>CEILING(375*$Z$1,0.1)</f>
        <v>468.8</v>
      </c>
      <c r="D1396" s="1207"/>
      <c r="E1396" s="357">
        <f>CEILING(450*$Z$1,0.1)</f>
        <v>562.5</v>
      </c>
      <c r="F1396" s="427"/>
      <c r="G1396" s="357">
        <f>CEILING(398*$Z$1,0.1)</f>
        <v>497.5</v>
      </c>
      <c r="H1396" s="427"/>
      <c r="I1396" s="357">
        <f>CEILING(398*$Z$1,0.1)</f>
        <v>497.5</v>
      </c>
      <c r="J1396" s="427"/>
      <c r="K1396" s="357">
        <f>CEILING(375*$Z$1,0.1)</f>
        <v>468.8</v>
      </c>
      <c r="L1396" s="427"/>
      <c r="M1396" s="1315"/>
      <c r="N1396" s="1315"/>
      <c r="O1396" s="111"/>
      <c r="P1396" s="633"/>
      <c r="Q1396" s="111"/>
      <c r="R1396" s="111"/>
      <c r="S1396" s="100"/>
      <c r="T1396" s="100"/>
      <c r="U1396" s="100"/>
      <c r="V1396" s="92"/>
      <c r="W1396" s="92"/>
    </row>
    <row r="1397" spans="1:23" s="94" customFormat="1" ht="34.5" customHeight="1">
      <c r="A1397" s="640"/>
      <c r="B1397" s="190" t="s">
        <v>1135</v>
      </c>
      <c r="C1397" s="1206">
        <f>CEILING(350*$Z$1,0.1)</f>
        <v>437.5</v>
      </c>
      <c r="D1397" s="1207"/>
      <c r="E1397" s="641">
        <f>CEILING(400*$Z$1,0.1)</f>
        <v>500</v>
      </c>
      <c r="F1397" s="1071"/>
      <c r="G1397" s="641">
        <f>CEILING(365*$Z$1,0.1)</f>
        <v>456.3</v>
      </c>
      <c r="H1397" s="1071"/>
      <c r="I1397" s="641">
        <f>CEILING(365*$Z$1,0.1)</f>
        <v>456.3</v>
      </c>
      <c r="J1397" s="1071"/>
      <c r="K1397" s="641">
        <f>CEILING(350*$Z$1,0.1)</f>
        <v>437.5</v>
      </c>
      <c r="L1397" s="1071"/>
      <c r="M1397" s="632"/>
      <c r="N1397" s="632"/>
      <c r="O1397" s="111"/>
      <c r="P1397" s="633"/>
      <c r="Q1397" s="111"/>
      <c r="R1397" s="111"/>
      <c r="S1397" s="100"/>
      <c r="T1397" s="100"/>
      <c r="U1397" s="100"/>
      <c r="V1397" s="92"/>
      <c r="W1397" s="92"/>
    </row>
    <row r="1398" spans="1:25" s="94" customFormat="1" ht="34.5" customHeight="1">
      <c r="A1398" s="1078" t="s">
        <v>1002</v>
      </c>
      <c r="B1398" s="281" t="s">
        <v>1136</v>
      </c>
      <c r="C1398" s="1238">
        <f>CEILING(525*$Z$1,0.1)</f>
        <v>656.3000000000001</v>
      </c>
      <c r="D1398" s="1239"/>
      <c r="E1398" s="985">
        <f>CEILING(600*$Z$1,0.1)</f>
        <v>750</v>
      </c>
      <c r="F1398" s="1073"/>
      <c r="G1398" s="985">
        <f>CEILING(548*$Z$1,0.1)</f>
        <v>685</v>
      </c>
      <c r="H1398" s="1073"/>
      <c r="I1398" s="985">
        <f>CEILING(548*$Z$1,0.1)</f>
        <v>685</v>
      </c>
      <c r="J1398" s="1073"/>
      <c r="K1398" s="985">
        <f>CEILING(525*$Z$1,0.1)</f>
        <v>656.3000000000001</v>
      </c>
      <c r="L1398" s="1073"/>
      <c r="M1398" s="191"/>
      <c r="N1398" s="191"/>
      <c r="O1398" s="127"/>
      <c r="P1398" s="127"/>
      <c r="Q1398" s="100"/>
      <c r="R1398" s="100"/>
      <c r="S1398" s="100"/>
      <c r="T1398" s="100"/>
      <c r="U1398" s="100"/>
      <c r="V1398" s="92"/>
      <c r="W1398" s="92"/>
      <c r="X1398" s="92"/>
      <c r="Y1398" s="92"/>
    </row>
    <row r="1399" spans="1:23" s="133" customFormat="1" ht="34.5" customHeight="1">
      <c r="A1399" s="339" t="s">
        <v>1137</v>
      </c>
      <c r="B1399" s="339"/>
      <c r="C1399" s="339"/>
      <c r="D1399" s="339"/>
      <c r="E1399" s="339"/>
      <c r="F1399" s="339"/>
      <c r="G1399" s="339"/>
      <c r="H1399" s="339"/>
      <c r="I1399" s="339"/>
      <c r="J1399" s="459"/>
      <c r="K1399" s="984"/>
      <c r="L1399" s="135"/>
      <c r="M1399" s="972"/>
      <c r="N1399" s="972"/>
      <c r="O1399" s="131"/>
      <c r="P1399" s="131"/>
      <c r="Q1399" s="131"/>
      <c r="R1399" s="131"/>
      <c r="S1399" s="131"/>
      <c r="T1399" s="131"/>
      <c r="U1399" s="131"/>
      <c r="V1399" s="129"/>
      <c r="W1399" s="129"/>
    </row>
    <row r="1400" spans="1:23" s="133" customFormat="1" ht="34.5" customHeight="1">
      <c r="A1400" s="339" t="s">
        <v>1139</v>
      </c>
      <c r="B1400" s="973"/>
      <c r="C1400" s="973"/>
      <c r="D1400" s="973"/>
      <c r="E1400" s="973"/>
      <c r="F1400" s="973"/>
      <c r="G1400" s="973"/>
      <c r="H1400" s="973"/>
      <c r="I1400" s="973"/>
      <c r="J1400" s="973"/>
      <c r="K1400" s="105"/>
      <c r="L1400" s="984"/>
      <c r="M1400" s="972"/>
      <c r="N1400" s="972"/>
      <c r="O1400" s="131"/>
      <c r="P1400" s="131"/>
      <c r="Q1400" s="131"/>
      <c r="R1400" s="131"/>
      <c r="S1400" s="131"/>
      <c r="T1400" s="131"/>
      <c r="U1400" s="131"/>
      <c r="V1400" s="129"/>
      <c r="W1400" s="129"/>
    </row>
    <row r="1401" spans="1:23" s="133" customFormat="1" ht="34.5" customHeight="1">
      <c r="A1401" s="339" t="s">
        <v>1138</v>
      </c>
      <c r="B1401" s="1074"/>
      <c r="C1401" s="1074"/>
      <c r="D1401" s="1074"/>
      <c r="E1401" s="1074"/>
      <c r="F1401" s="1074"/>
      <c r="G1401" s="1074"/>
      <c r="H1401" s="1074"/>
      <c r="I1401" s="1074"/>
      <c r="J1401" s="1074"/>
      <c r="K1401" s="105"/>
      <c r="L1401" s="984"/>
      <c r="M1401" s="1075"/>
      <c r="N1401" s="1075"/>
      <c r="O1401" s="131"/>
      <c r="P1401" s="131"/>
      <c r="Q1401" s="131"/>
      <c r="R1401" s="131"/>
      <c r="S1401" s="131"/>
      <c r="T1401" s="131"/>
      <c r="U1401" s="131"/>
      <c r="V1401" s="129"/>
      <c r="W1401" s="129"/>
    </row>
    <row r="1402" spans="1:14" s="100" customFormat="1" ht="34.5" customHeight="1">
      <c r="A1402" s="969"/>
      <c r="B1402" s="579"/>
      <c r="C1402" s="1076"/>
      <c r="D1402" s="1076"/>
      <c r="E1402" s="1076"/>
      <c r="F1402" s="1076"/>
      <c r="G1402" s="1076"/>
      <c r="H1402" s="1076"/>
      <c r="I1402" s="1077"/>
      <c r="J1402" s="1077"/>
      <c r="K1402" s="105"/>
      <c r="L1402" s="105"/>
      <c r="M1402" s="106"/>
      <c r="N1402" s="106"/>
    </row>
    <row r="1403" spans="1:14" s="100" customFormat="1" ht="34.5" customHeight="1">
      <c r="A1403" s="837" t="s">
        <v>33</v>
      </c>
      <c r="B1403" s="838" t="s">
        <v>86</v>
      </c>
      <c r="C1403" s="839" t="s">
        <v>847</v>
      </c>
      <c r="D1403" s="840"/>
      <c r="E1403" s="841" t="s">
        <v>870</v>
      </c>
      <c r="F1403" s="842"/>
      <c r="G1403" s="841" t="s">
        <v>850</v>
      </c>
      <c r="H1403" s="842"/>
      <c r="I1403" s="841" t="s">
        <v>851</v>
      </c>
      <c r="J1403" s="842"/>
      <c r="K1403" s="841" t="s">
        <v>852</v>
      </c>
      <c r="L1403" s="842"/>
      <c r="M1403" s="106"/>
      <c r="N1403" s="106"/>
    </row>
    <row r="1404" spans="1:14" s="100" customFormat="1" ht="34.5" customHeight="1">
      <c r="A1404" s="637" t="s">
        <v>1140</v>
      </c>
      <c r="B1404" s="618" t="s">
        <v>1142</v>
      </c>
      <c r="C1404" s="644">
        <f>CEILING(115*$Z$1,0.1)</f>
        <v>143.8</v>
      </c>
      <c r="D1404" s="1072"/>
      <c r="E1404" s="1083">
        <f>CEILING(90*$Z$1,0.1)</f>
        <v>112.5</v>
      </c>
      <c r="F1404" s="1128"/>
      <c r="G1404" s="1204">
        <f>CEILING(68*$Z$1,0.1)</f>
        <v>85</v>
      </c>
      <c r="H1404" s="1205"/>
      <c r="I1404" s="1204">
        <f>CEILING(68*$Z$1,0.1)</f>
        <v>85</v>
      </c>
      <c r="J1404" s="1205"/>
      <c r="K1404" s="1204">
        <f>CEILING(68*$Z$1,0.1)</f>
        <v>85</v>
      </c>
      <c r="L1404" s="1205"/>
      <c r="M1404" s="106"/>
      <c r="N1404" s="106"/>
    </row>
    <row r="1405" spans="1:14" s="100" customFormat="1" ht="34.5" customHeight="1">
      <c r="A1405" s="294" t="s">
        <v>35</v>
      </c>
      <c r="B1405" s="279" t="s">
        <v>1143</v>
      </c>
      <c r="C1405" s="357">
        <f>CEILING(173*$Z$1,0.1)</f>
        <v>216.3</v>
      </c>
      <c r="D1405" s="427"/>
      <c r="E1405" s="1137">
        <f>CEILING(110*$Z$1,0.1)</f>
        <v>137.5</v>
      </c>
      <c r="F1405" s="1138"/>
      <c r="G1405" s="1200">
        <f>CEILING(98*$Z$1,0.1)</f>
        <v>122.5</v>
      </c>
      <c r="H1405" s="1201"/>
      <c r="I1405" s="1200">
        <f>CEILING(98*$Z$1,0.1)</f>
        <v>122.5</v>
      </c>
      <c r="J1405" s="1201"/>
      <c r="K1405" s="1200">
        <f>CEILING(98*$Z$1,0.1)</f>
        <v>122.5</v>
      </c>
      <c r="L1405" s="1201"/>
      <c r="M1405" s="106"/>
      <c r="N1405" s="106"/>
    </row>
    <row r="1406" spans="1:14" s="100" customFormat="1" ht="34.5" customHeight="1">
      <c r="A1406" s="639" t="s">
        <v>742</v>
      </c>
      <c r="B1406" s="279" t="s">
        <v>1144</v>
      </c>
      <c r="C1406" s="641">
        <f>CEILING(125*$Z$1,0.1)</f>
        <v>156.3</v>
      </c>
      <c r="D1406" s="1071"/>
      <c r="E1406" s="1085">
        <f>CEILING(100*$Z$1,0.1)</f>
        <v>125</v>
      </c>
      <c r="F1406" s="1127"/>
      <c r="G1406" s="1198">
        <f>CEILING(75*$Z$1,0.1)</f>
        <v>93.80000000000001</v>
      </c>
      <c r="H1406" s="1199"/>
      <c r="I1406" s="1198">
        <f>CEILING(75*$Z$1,0.1)</f>
        <v>93.80000000000001</v>
      </c>
      <c r="J1406" s="1199"/>
      <c r="K1406" s="1198">
        <f>CEILING(75*$Z$1,0.1)</f>
        <v>93.80000000000001</v>
      </c>
      <c r="L1406" s="1199"/>
      <c r="M1406" s="106"/>
      <c r="N1406" s="106"/>
    </row>
    <row r="1407" spans="1:14" s="100" customFormat="1" ht="34.5" customHeight="1">
      <c r="A1407" s="250"/>
      <c r="B1407" s="279" t="s">
        <v>1145</v>
      </c>
      <c r="C1407" s="357">
        <f>CEILING(188*$Z$1,0.1)</f>
        <v>235</v>
      </c>
      <c r="D1407" s="1071"/>
      <c r="E1407" s="1137">
        <f>CEILING(140*$Z$1,0.1)</f>
        <v>175</v>
      </c>
      <c r="F1407" s="1127"/>
      <c r="G1407" s="1200">
        <f>CEILING(105*$Z$1,0.1)</f>
        <v>131.3</v>
      </c>
      <c r="H1407" s="1201"/>
      <c r="I1407" s="1200">
        <f>CEILING(105*$Z$1,0.1)</f>
        <v>131.3</v>
      </c>
      <c r="J1407" s="1201"/>
      <c r="K1407" s="1200">
        <f>CEILING(105*$Z$1,0.1)</f>
        <v>131.3</v>
      </c>
      <c r="L1407" s="1201"/>
      <c r="M1407" s="106"/>
      <c r="N1407" s="106"/>
    </row>
    <row r="1408" spans="1:14" s="100" customFormat="1" ht="34.5" customHeight="1">
      <c r="A1408" s="250" t="s">
        <v>1141</v>
      </c>
      <c r="B1408" s="190" t="s">
        <v>1148</v>
      </c>
      <c r="C1408" s="641">
        <f>CEILING(140*$Z$1,0.1)</f>
        <v>175</v>
      </c>
      <c r="D1408" s="1071"/>
      <c r="E1408" s="1085">
        <f>CEILING(115*$Z$1,0.1)</f>
        <v>143.8</v>
      </c>
      <c r="F1408" s="1127"/>
      <c r="G1408" s="1198">
        <f>CEILING(85*$Z$1,0.1)</f>
        <v>106.30000000000001</v>
      </c>
      <c r="H1408" s="1199"/>
      <c r="I1408" s="1198">
        <f>CEILING(85*$Z$1,0.1)</f>
        <v>106.30000000000001</v>
      </c>
      <c r="J1408" s="1199"/>
      <c r="K1408" s="1198">
        <f>CEILING(85*$Z$1,0.1)</f>
        <v>106.30000000000001</v>
      </c>
      <c r="L1408" s="1199"/>
      <c r="M1408" s="106"/>
      <c r="N1408" s="106"/>
    </row>
    <row r="1409" spans="1:14" s="100" customFormat="1" ht="34.5" customHeight="1">
      <c r="A1409" s="300"/>
      <c r="B1409" s="190" t="s">
        <v>1149</v>
      </c>
      <c r="C1409" s="357">
        <f>CEILING(210*$Z$1,0.1)</f>
        <v>262.5</v>
      </c>
      <c r="D1409" s="427"/>
      <c r="E1409" s="1137">
        <f>CEILING(155*$Z$1,0.1)</f>
        <v>193.8</v>
      </c>
      <c r="F1409" s="1138"/>
      <c r="G1409" s="1200">
        <f>CEILING(115*$Z$1,0.1)</f>
        <v>143.8</v>
      </c>
      <c r="H1409" s="1201"/>
      <c r="I1409" s="1200">
        <f>CEILING(115*$Z$1,0.1)</f>
        <v>143.8</v>
      </c>
      <c r="J1409" s="1201"/>
      <c r="K1409" s="1200">
        <f>CEILING(115*$Z$1,0.1)</f>
        <v>143.8</v>
      </c>
      <c r="L1409" s="1201"/>
      <c r="M1409" s="106"/>
      <c r="N1409" s="106"/>
    </row>
    <row r="1410" spans="1:14" s="100" customFormat="1" ht="34.5" customHeight="1">
      <c r="A1410" s="250" t="s">
        <v>1262</v>
      </c>
      <c r="B1410" s="190" t="s">
        <v>1146</v>
      </c>
      <c r="C1410" s="641">
        <f>CEILING(165*$Z$1,0.1)</f>
        <v>206.3</v>
      </c>
      <c r="D1410" s="1071"/>
      <c r="E1410" s="641">
        <f>CEILING(215*$Z$1,0.1)</f>
        <v>268.8</v>
      </c>
      <c r="F1410" s="1071"/>
      <c r="G1410" s="1196">
        <f>CEILING(180*$Z$1,0.1)</f>
        <v>225</v>
      </c>
      <c r="H1410" s="1197"/>
      <c r="I1410" s="1196">
        <f>CEILING(180*$Z$1,0.1)</f>
        <v>225</v>
      </c>
      <c r="J1410" s="1197"/>
      <c r="K1410" s="641">
        <f>CEILING(165*$Z$1,0.1)</f>
        <v>206.3</v>
      </c>
      <c r="L1410" s="1071"/>
      <c r="M1410" s="106"/>
      <c r="N1410" s="106"/>
    </row>
    <row r="1411" spans="1:14" s="100" customFormat="1" ht="34.5" customHeight="1">
      <c r="A1411" s="300"/>
      <c r="B1411" s="190" t="s">
        <v>1147</v>
      </c>
      <c r="C1411" s="357">
        <f>CEILING(248*$Z$1,0.1)</f>
        <v>310</v>
      </c>
      <c r="D1411" s="1071"/>
      <c r="E1411" s="357">
        <f>CEILING(323*$Z$1,0.1)</f>
        <v>403.8</v>
      </c>
      <c r="F1411" s="1071"/>
      <c r="G1411" s="1192">
        <f>CEILING(270*$Z$1,0.1)</f>
        <v>337.5</v>
      </c>
      <c r="H1411" s="1193"/>
      <c r="I1411" s="1192">
        <f>CEILING(270*$Z$1,0.1)</f>
        <v>337.5</v>
      </c>
      <c r="J1411" s="1193"/>
      <c r="K1411" s="357">
        <f>CEILING(248*$Z$1,0.1)</f>
        <v>310</v>
      </c>
      <c r="L1411" s="1071"/>
      <c r="M1411" s="106"/>
      <c r="N1411" s="106"/>
    </row>
    <row r="1412" spans="1:14" s="100" customFormat="1" ht="34.5" customHeight="1">
      <c r="A1412" s="269"/>
      <c r="B1412" s="190" t="s">
        <v>1150</v>
      </c>
      <c r="C1412" s="641">
        <f>CEILING(240*$Z$1,0.1)</f>
        <v>300</v>
      </c>
      <c r="D1412" s="1071"/>
      <c r="E1412" s="641">
        <f>CEILING(290*$Z$1,0.1)</f>
        <v>362.5</v>
      </c>
      <c r="F1412" s="1071"/>
      <c r="G1412" s="1196">
        <f>CEILING(255*$Z$1,0.1)</f>
        <v>318.8</v>
      </c>
      <c r="H1412" s="1197"/>
      <c r="I1412" s="1196">
        <f>CEILING(255*$Z$1,0.1)</f>
        <v>318.8</v>
      </c>
      <c r="J1412" s="1197"/>
      <c r="K1412" s="641">
        <f>CEILING(240*$Z$1,0.1)</f>
        <v>300</v>
      </c>
      <c r="L1412" s="1071"/>
      <c r="M1412" s="106"/>
      <c r="N1412" s="106"/>
    </row>
    <row r="1413" spans="1:14" s="100" customFormat="1" ht="34.5" customHeight="1">
      <c r="A1413" s="1079" t="s">
        <v>1002</v>
      </c>
      <c r="B1413" s="281" t="s">
        <v>1151</v>
      </c>
      <c r="C1413" s="985">
        <f>CEILING(360*$Z$1,0.1)</f>
        <v>450</v>
      </c>
      <c r="D1413" s="986"/>
      <c r="E1413" s="985">
        <f>CEILING(435*$Z$1,0.1)</f>
        <v>543.8000000000001</v>
      </c>
      <c r="F1413" s="986"/>
      <c r="G1413" s="1202">
        <f>CEILING(383*$Z$1,0.1)</f>
        <v>478.8</v>
      </c>
      <c r="H1413" s="1203"/>
      <c r="I1413" s="1202">
        <f>CEILING(383*$Z$1,0.1)</f>
        <v>478.8</v>
      </c>
      <c r="J1413" s="1203"/>
      <c r="K1413" s="985">
        <f>CEILING(360*$Z$1,0.1)</f>
        <v>450</v>
      </c>
      <c r="L1413" s="986"/>
      <c r="M1413" s="106"/>
      <c r="N1413" s="106"/>
    </row>
    <row r="1414" spans="1:14" s="100" customFormat="1" ht="34.5" customHeight="1">
      <c r="A1414" s="1080" t="s">
        <v>1152</v>
      </c>
      <c r="B1414" s="579"/>
      <c r="C1414" s="1076"/>
      <c r="D1414" s="1076"/>
      <c r="E1414" s="1076"/>
      <c r="F1414" s="1076"/>
      <c r="G1414" s="1076"/>
      <c r="H1414" s="1076"/>
      <c r="I1414" s="1077"/>
      <c r="J1414" s="1077"/>
      <c r="K1414" s="105"/>
      <c r="L1414" s="105"/>
      <c r="M1414" s="106"/>
      <c r="N1414" s="106"/>
    </row>
    <row r="1415" spans="1:48" s="411" customFormat="1" ht="34.5" customHeight="1" thickBot="1">
      <c r="A1415" s="643"/>
      <c r="B1415" s="643"/>
      <c r="C1415" s="643"/>
      <c r="D1415" s="643"/>
      <c r="E1415" s="643"/>
      <c r="F1415" s="643"/>
      <c r="G1415" s="643"/>
      <c r="H1415" s="643"/>
      <c r="I1415" s="636"/>
      <c r="J1415" s="121"/>
      <c r="K1415" s="148"/>
      <c r="L1415" s="148"/>
      <c r="M1415" s="191"/>
      <c r="N1415" s="127"/>
      <c r="O1415" s="100"/>
      <c r="P1415" s="100"/>
      <c r="Q1415" s="100"/>
      <c r="R1415" s="100"/>
      <c r="S1415" s="100"/>
      <c r="T1415" s="100"/>
      <c r="U1415" s="100"/>
      <c r="V1415" s="101"/>
      <c r="W1415" s="10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21"/>
      <c r="AV1415" s="121"/>
    </row>
    <row r="1416" spans="1:42" s="167" customFormat="1" ht="34.5" customHeight="1" thickTop="1">
      <c r="A1416" s="826" t="s">
        <v>33</v>
      </c>
      <c r="B1416" s="827" t="s">
        <v>86</v>
      </c>
      <c r="C1416" s="828" t="s">
        <v>847</v>
      </c>
      <c r="D1416" s="829"/>
      <c r="E1416" s="830" t="s">
        <v>848</v>
      </c>
      <c r="F1416" s="831"/>
      <c r="G1416" s="830" t="s">
        <v>849</v>
      </c>
      <c r="H1416" s="831"/>
      <c r="I1416" s="830" t="s">
        <v>850</v>
      </c>
      <c r="J1416" s="831"/>
      <c r="K1416" s="830" t="s">
        <v>851</v>
      </c>
      <c r="L1416" s="831"/>
      <c r="M1416" s="830" t="s">
        <v>852</v>
      </c>
      <c r="N1416" s="831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</row>
    <row r="1417" spans="1:25" s="94" customFormat="1" ht="34.5" customHeight="1">
      <c r="A1417" s="637" t="s">
        <v>113</v>
      </c>
      <c r="B1417" s="618" t="s">
        <v>214</v>
      </c>
      <c r="C1417" s="644">
        <f>CEILING(70*$Z$1,0.1)</f>
        <v>87.5</v>
      </c>
      <c r="D1417" s="645"/>
      <c r="E1417" s="644">
        <f>CEILING(80*$Z$1,0.1)</f>
        <v>100</v>
      </c>
      <c r="F1417" s="645"/>
      <c r="G1417" s="644">
        <f>CEILING(120*$Z$1,0.1)</f>
        <v>150</v>
      </c>
      <c r="H1417" s="645"/>
      <c r="I1417" s="644">
        <f>CEILING(95*$Z$1,0.1)</f>
        <v>118.80000000000001</v>
      </c>
      <c r="J1417" s="645"/>
      <c r="K1417" s="644">
        <f>CEILING(95*$Z$1,0.1)</f>
        <v>118.80000000000001</v>
      </c>
      <c r="L1417" s="645"/>
      <c r="M1417" s="644">
        <f>CEILING(80*$Z$1,0.1)</f>
        <v>100</v>
      </c>
      <c r="N1417" s="645"/>
      <c r="O1417" s="127"/>
      <c r="P1417" s="127"/>
      <c r="Q1417" s="92"/>
      <c r="R1417" s="92"/>
      <c r="S1417" s="92"/>
      <c r="T1417" s="92"/>
      <c r="U1417" s="92"/>
      <c r="V1417" s="92"/>
      <c r="W1417" s="92"/>
      <c r="X1417" s="92"/>
      <c r="Y1417" s="92"/>
    </row>
    <row r="1418" spans="1:25" s="94" customFormat="1" ht="34.5" customHeight="1">
      <c r="A1418" s="294" t="s">
        <v>35</v>
      </c>
      <c r="B1418" s="279" t="s">
        <v>215</v>
      </c>
      <c r="C1418" s="641">
        <f>CEILING((C1417+28*$Z$1),0.1)</f>
        <v>122.5</v>
      </c>
      <c r="D1418" s="646"/>
      <c r="E1418" s="641">
        <f>CEILING((E1417+57*$Z$1),0.1)</f>
        <v>171.3</v>
      </c>
      <c r="F1418" s="646"/>
      <c r="G1418" s="641">
        <f>CEILING((G1417+57*$Z$1),0.1)</f>
        <v>221.3</v>
      </c>
      <c r="H1418" s="646"/>
      <c r="I1418" s="641">
        <f>CEILING((I1417+57*$Z$1),0.1)</f>
        <v>190.10000000000002</v>
      </c>
      <c r="J1418" s="646"/>
      <c r="K1418" s="641">
        <f>CEILING((K1417+57*$Z$1),0.1)</f>
        <v>190.10000000000002</v>
      </c>
      <c r="L1418" s="646"/>
      <c r="M1418" s="641">
        <f>CEILING((M1417+28*$Z$1),0.1)</f>
        <v>135</v>
      </c>
      <c r="N1418" s="646"/>
      <c r="O1418" s="127"/>
      <c r="P1418" s="127"/>
      <c r="Q1418" s="92"/>
      <c r="R1418" s="92"/>
      <c r="S1418" s="92"/>
      <c r="T1418" s="92"/>
      <c r="U1418" s="92"/>
      <c r="V1418" s="92"/>
      <c r="W1418" s="92"/>
      <c r="X1418" s="92"/>
      <c r="Y1418" s="92"/>
    </row>
    <row r="1419" spans="1:25" s="94" customFormat="1" ht="34.5" customHeight="1">
      <c r="A1419" s="294"/>
      <c r="B1419" s="619" t="s">
        <v>67</v>
      </c>
      <c r="C1419" s="641">
        <f>CEILING((C1417*0.85),0.1)</f>
        <v>74.4</v>
      </c>
      <c r="D1419" s="646"/>
      <c r="E1419" s="641">
        <f>CEILING((E1417*0.85),0.1)</f>
        <v>85</v>
      </c>
      <c r="F1419" s="646"/>
      <c r="G1419" s="641">
        <f>CEILING((G1417*0.85),0.1)</f>
        <v>127.5</v>
      </c>
      <c r="H1419" s="646"/>
      <c r="I1419" s="641">
        <f>CEILING((I1417*0.85),0.1)</f>
        <v>101</v>
      </c>
      <c r="J1419" s="646"/>
      <c r="K1419" s="641">
        <f>CEILING((K1417*0.85),0.1)</f>
        <v>101</v>
      </c>
      <c r="L1419" s="646"/>
      <c r="M1419" s="641">
        <f>CEILING((M1417*0.85),0.1)</f>
        <v>85</v>
      </c>
      <c r="N1419" s="646"/>
      <c r="O1419" s="127"/>
      <c r="P1419" s="127"/>
      <c r="Q1419" s="92"/>
      <c r="R1419" s="92"/>
      <c r="S1419" s="92"/>
      <c r="T1419" s="92"/>
      <c r="U1419" s="92"/>
      <c r="V1419" s="92"/>
      <c r="W1419" s="92"/>
      <c r="X1419" s="92"/>
      <c r="Y1419" s="92"/>
    </row>
    <row r="1420" spans="1:25" s="94" customFormat="1" ht="34.5" customHeight="1">
      <c r="A1420" s="268"/>
      <c r="B1420" s="340" t="s">
        <v>673</v>
      </c>
      <c r="C1420" s="641">
        <f>CEILING((C1417*0.5),0.1)</f>
        <v>43.800000000000004</v>
      </c>
      <c r="D1420" s="646"/>
      <c r="E1420" s="641">
        <f>CEILING((E1417*0.5),0.1)</f>
        <v>50</v>
      </c>
      <c r="F1420" s="646"/>
      <c r="G1420" s="641">
        <f>CEILING((G1417*0.5),0.1)</f>
        <v>75</v>
      </c>
      <c r="H1420" s="646"/>
      <c r="I1420" s="641">
        <f>CEILING((I1417*0.5),0.1)</f>
        <v>59.400000000000006</v>
      </c>
      <c r="J1420" s="646"/>
      <c r="K1420" s="641">
        <f>CEILING((K1417*0.5),0.1)</f>
        <v>59.400000000000006</v>
      </c>
      <c r="L1420" s="646"/>
      <c r="M1420" s="641">
        <f>CEILING((M1417*0.5),0.1)</f>
        <v>50</v>
      </c>
      <c r="N1420" s="646"/>
      <c r="O1420" s="127"/>
      <c r="P1420" s="127"/>
      <c r="Q1420" s="92"/>
      <c r="R1420" s="92"/>
      <c r="S1420" s="92"/>
      <c r="T1420" s="92"/>
      <c r="U1420" s="92"/>
      <c r="V1420" s="92"/>
      <c r="W1420" s="92"/>
      <c r="X1420" s="92"/>
      <c r="Y1420" s="92"/>
    </row>
    <row r="1421" spans="1:25" s="94" customFormat="1" ht="34.5" customHeight="1">
      <c r="A1421" s="639"/>
      <c r="B1421" s="279" t="s">
        <v>169</v>
      </c>
      <c r="C1421" s="641">
        <f>CEILING(83*$Z$1,0.1)</f>
        <v>103.80000000000001</v>
      </c>
      <c r="D1421" s="646"/>
      <c r="E1421" s="641">
        <f>CEILING(93*$Z$1,0.1)</f>
        <v>116.30000000000001</v>
      </c>
      <c r="F1421" s="646"/>
      <c r="G1421" s="641">
        <f>CEILING(133*$Z$1,0.1)</f>
        <v>166.3</v>
      </c>
      <c r="H1421" s="646"/>
      <c r="I1421" s="641">
        <f>CEILING(108*$Z$1,0.1)</f>
        <v>135</v>
      </c>
      <c r="J1421" s="646"/>
      <c r="K1421" s="641">
        <f>CEILING(108*$Z$1,0.1)</f>
        <v>135</v>
      </c>
      <c r="L1421" s="646"/>
      <c r="M1421" s="641">
        <f>CEILING(93*$Z$1,0.1)</f>
        <v>116.30000000000001</v>
      </c>
      <c r="N1421" s="646"/>
      <c r="O1421" s="127"/>
      <c r="P1421" s="127"/>
      <c r="Q1421" s="92"/>
      <c r="R1421" s="92"/>
      <c r="S1421" s="92"/>
      <c r="T1421" s="92"/>
      <c r="U1421" s="92"/>
      <c r="V1421" s="92"/>
      <c r="W1421" s="92"/>
      <c r="X1421" s="92"/>
      <c r="Y1421" s="92"/>
    </row>
    <row r="1422" spans="1:25" s="94" customFormat="1" ht="34.5" customHeight="1">
      <c r="A1422" s="250"/>
      <c r="B1422" s="279" t="s">
        <v>170</v>
      </c>
      <c r="C1422" s="641">
        <f>CEILING((C1421+38*$Z$1),0.1)</f>
        <v>151.3</v>
      </c>
      <c r="D1422" s="646"/>
      <c r="E1422" s="641">
        <f>CEILING((E1421+67*$Z$1),0.1)</f>
        <v>200.10000000000002</v>
      </c>
      <c r="F1422" s="646"/>
      <c r="G1422" s="641">
        <f>CEILING((G1421+67*$Z$1),0.1)</f>
        <v>250.10000000000002</v>
      </c>
      <c r="H1422" s="646"/>
      <c r="I1422" s="641">
        <f>CEILING((I1421+67*$Z$1),0.1)</f>
        <v>218.8</v>
      </c>
      <c r="J1422" s="646"/>
      <c r="K1422" s="641">
        <f>CEILING((K1421+67*$Z$1),0.1)</f>
        <v>218.8</v>
      </c>
      <c r="L1422" s="646"/>
      <c r="M1422" s="641">
        <f>CEILING((M1421+38*$Z$1),0.1)</f>
        <v>163.8</v>
      </c>
      <c r="N1422" s="646"/>
      <c r="O1422" s="92"/>
      <c r="P1422" s="92"/>
      <c r="Q1422" s="92"/>
      <c r="R1422" s="92"/>
      <c r="S1422" s="92"/>
      <c r="T1422" s="92"/>
      <c r="U1422" s="92"/>
      <c r="V1422" s="92"/>
      <c r="W1422" s="92"/>
      <c r="X1422" s="92"/>
      <c r="Y1422" s="92"/>
    </row>
    <row r="1423" spans="1:25" s="94" customFormat="1" ht="34.5" customHeight="1">
      <c r="A1423" s="250"/>
      <c r="B1423" s="190" t="s">
        <v>177</v>
      </c>
      <c r="C1423" s="641">
        <f>CEILING(97*$Z$1,0.1)</f>
        <v>121.30000000000001</v>
      </c>
      <c r="D1423" s="646"/>
      <c r="E1423" s="641">
        <f>CEILING(107*$Z$1,0.1)</f>
        <v>133.8</v>
      </c>
      <c r="F1423" s="646"/>
      <c r="G1423" s="641">
        <f>CEILING(147*$Z$1,0.1)</f>
        <v>183.8</v>
      </c>
      <c r="H1423" s="646"/>
      <c r="I1423" s="641">
        <f>CEILING(122*$Z$1,0.1)</f>
        <v>152.5</v>
      </c>
      <c r="J1423" s="646"/>
      <c r="K1423" s="641">
        <f>CEILING(122*$Z$1,0.1)</f>
        <v>152.5</v>
      </c>
      <c r="L1423" s="646"/>
      <c r="M1423" s="641">
        <f>CEILING(107*$Z$1,0.1)</f>
        <v>133.8</v>
      </c>
      <c r="N1423" s="646"/>
      <c r="O1423" s="92"/>
      <c r="P1423" s="92"/>
      <c r="Q1423" s="92"/>
      <c r="R1423" s="92"/>
      <c r="S1423" s="92"/>
      <c r="T1423" s="92"/>
      <c r="U1423" s="92"/>
      <c r="V1423" s="92"/>
      <c r="W1423" s="92"/>
      <c r="X1423" s="92"/>
      <c r="Y1423" s="92"/>
    </row>
    <row r="1424" spans="1:25" s="94" customFormat="1" ht="34.5" customHeight="1">
      <c r="A1424" s="294"/>
      <c r="B1424" s="190" t="s">
        <v>178</v>
      </c>
      <c r="C1424" s="641">
        <f>CEILING((C1423+40*$Z$1),0.1)</f>
        <v>171.3</v>
      </c>
      <c r="D1424" s="646"/>
      <c r="E1424" s="641">
        <f>CEILING((E1423+75*$Z$1),0.1)</f>
        <v>227.60000000000002</v>
      </c>
      <c r="F1424" s="646"/>
      <c r="G1424" s="641">
        <f>CEILING((G1423+75*$Z$1),0.1)</f>
        <v>277.6</v>
      </c>
      <c r="H1424" s="646"/>
      <c r="I1424" s="641">
        <f>CEILING((I1423+75*$Z$1),0.1)</f>
        <v>246.3</v>
      </c>
      <c r="J1424" s="646"/>
      <c r="K1424" s="641">
        <f>CEILING((K1423+75*$Z$1),0.1)</f>
        <v>246.3</v>
      </c>
      <c r="L1424" s="646"/>
      <c r="M1424" s="641">
        <f>CEILING((M1423+40*$Z$1),0.1)</f>
        <v>183.8</v>
      </c>
      <c r="N1424" s="646"/>
      <c r="O1424" s="92"/>
      <c r="P1424" s="92"/>
      <c r="Q1424" s="92"/>
      <c r="R1424" s="92"/>
      <c r="S1424" s="92"/>
      <c r="T1424" s="92"/>
      <c r="U1424" s="92"/>
      <c r="V1424" s="92"/>
      <c r="W1424" s="92"/>
      <c r="X1424" s="92"/>
      <c r="Y1424" s="92"/>
    </row>
    <row r="1425" spans="1:25" s="94" customFormat="1" ht="34.5" customHeight="1">
      <c r="A1425" s="269"/>
      <c r="B1425" s="190" t="s">
        <v>762</v>
      </c>
      <c r="C1425" s="641">
        <f>CEILING(110*$Z$1,0.1)</f>
        <v>137.5</v>
      </c>
      <c r="D1425" s="646"/>
      <c r="E1425" s="641">
        <f>CEILING(120*$Z$1,0.1)</f>
        <v>150</v>
      </c>
      <c r="F1425" s="646"/>
      <c r="G1425" s="641">
        <f>CEILING(160*$Z$1,0.1)</f>
        <v>200</v>
      </c>
      <c r="H1425" s="646"/>
      <c r="I1425" s="641">
        <f>CEILING(135*$Z$1,0.1)</f>
        <v>168.8</v>
      </c>
      <c r="J1425" s="646"/>
      <c r="K1425" s="641">
        <f>CEILING(135*$Z$1,0.1)</f>
        <v>168.8</v>
      </c>
      <c r="L1425" s="646"/>
      <c r="M1425" s="641">
        <f>CEILING(120*$Z$1,0.1)</f>
        <v>150</v>
      </c>
      <c r="N1425" s="646"/>
      <c r="O1425" s="92"/>
      <c r="P1425" s="92"/>
      <c r="Q1425" s="92"/>
      <c r="R1425" s="92"/>
      <c r="S1425" s="92"/>
      <c r="T1425" s="92"/>
      <c r="U1425" s="92"/>
      <c r="V1425" s="92"/>
      <c r="W1425" s="92"/>
      <c r="X1425" s="92"/>
      <c r="Y1425" s="92"/>
    </row>
    <row r="1426" spans="1:25" s="94" customFormat="1" ht="34.5" customHeight="1">
      <c r="A1426" s="294"/>
      <c r="B1426" s="190" t="s">
        <v>763</v>
      </c>
      <c r="C1426" s="641">
        <f>CEILING((C1425+40*$Z$1),0.1)</f>
        <v>187.5</v>
      </c>
      <c r="D1426" s="646"/>
      <c r="E1426" s="641">
        <f>CEILING((E1425+75*$Z$1),0.1)</f>
        <v>243.8</v>
      </c>
      <c r="F1426" s="646"/>
      <c r="G1426" s="641">
        <f>CEILING((G1425+75*$Z$1),0.1)</f>
        <v>293.8</v>
      </c>
      <c r="H1426" s="646"/>
      <c r="I1426" s="641">
        <f>CEILING((I1425+75*$Z$1),0.1)</f>
        <v>262.6</v>
      </c>
      <c r="J1426" s="646"/>
      <c r="K1426" s="641">
        <f>CEILING((K1425+75*$Z$1),0.1)</f>
        <v>262.6</v>
      </c>
      <c r="L1426" s="646"/>
      <c r="M1426" s="641">
        <f>CEILING((M1425+40*$Z$1),0.1)</f>
        <v>200</v>
      </c>
      <c r="N1426" s="646"/>
      <c r="O1426" s="92"/>
      <c r="P1426" s="92"/>
      <c r="Q1426" s="92"/>
      <c r="R1426" s="92"/>
      <c r="S1426" s="92"/>
      <c r="T1426" s="92"/>
      <c r="U1426" s="92"/>
      <c r="V1426" s="92"/>
      <c r="W1426" s="92"/>
      <c r="X1426" s="92"/>
      <c r="Y1426" s="92"/>
    </row>
    <row r="1427" spans="1:25" s="94" customFormat="1" ht="34.5" customHeight="1">
      <c r="A1427" s="589"/>
      <c r="B1427" s="190" t="s">
        <v>325</v>
      </c>
      <c r="C1427" s="641">
        <f>CEILING(130*$Z$1,0.1)</f>
        <v>162.5</v>
      </c>
      <c r="D1427" s="646"/>
      <c r="E1427" s="641">
        <f>CEILING(140*$Z$1,0.1)</f>
        <v>175</v>
      </c>
      <c r="F1427" s="646"/>
      <c r="G1427" s="641">
        <f>CEILING(180*$Z$1,0.1)</f>
        <v>225</v>
      </c>
      <c r="H1427" s="646"/>
      <c r="I1427" s="641">
        <f>CEILING(155*$Z$1,0.1)</f>
        <v>193.8</v>
      </c>
      <c r="J1427" s="646"/>
      <c r="K1427" s="641">
        <f>CEILING(155*$Z$1,0.1)</f>
        <v>193.8</v>
      </c>
      <c r="L1427" s="646"/>
      <c r="M1427" s="641">
        <f>CEILING(140*$Z$1,0.1)</f>
        <v>175</v>
      </c>
      <c r="N1427" s="646"/>
      <c r="O1427" s="92"/>
      <c r="P1427" s="92"/>
      <c r="Q1427" s="92"/>
      <c r="R1427" s="92"/>
      <c r="S1427" s="92"/>
      <c r="T1427" s="92"/>
      <c r="U1427" s="92"/>
      <c r="V1427" s="92"/>
      <c r="W1427" s="92"/>
      <c r="X1427" s="92"/>
      <c r="Y1427" s="92"/>
    </row>
    <row r="1428" spans="1:25" s="94" customFormat="1" ht="34.5" customHeight="1" thickBot="1">
      <c r="A1428" s="647" t="s">
        <v>826</v>
      </c>
      <c r="B1428" s="246" t="s">
        <v>324</v>
      </c>
      <c r="C1428" s="648">
        <f>CEILING((C1427+50*$Z$1),0.1)</f>
        <v>225</v>
      </c>
      <c r="D1428" s="649"/>
      <c r="E1428" s="648">
        <f>CEILING((E1427+85*$Z$1),0.1)</f>
        <v>281.3</v>
      </c>
      <c r="F1428" s="649"/>
      <c r="G1428" s="648">
        <f>CEILING((G1427+85*$Z$1),0.1)</f>
        <v>331.3</v>
      </c>
      <c r="H1428" s="649"/>
      <c r="I1428" s="648">
        <f>CEILING((I1427+85*$Z$1),0.1)</f>
        <v>300.1</v>
      </c>
      <c r="J1428" s="649"/>
      <c r="K1428" s="648">
        <f>CEILING((K1427+85*$Z$1),0.1)</f>
        <v>300.1</v>
      </c>
      <c r="L1428" s="649"/>
      <c r="M1428" s="648">
        <f>CEILING((M1427+50*$Z$1),0.1)</f>
        <v>237.5</v>
      </c>
      <c r="N1428" s="649"/>
      <c r="O1428" s="92"/>
      <c r="P1428" s="92"/>
      <c r="Q1428" s="92"/>
      <c r="R1428" s="92"/>
      <c r="S1428" s="92"/>
      <c r="T1428" s="92"/>
      <c r="U1428" s="92"/>
      <c r="V1428" s="92"/>
      <c r="W1428" s="92"/>
      <c r="X1428" s="92"/>
      <c r="Y1428" s="92"/>
    </row>
    <row r="1429" spans="1:25" s="133" customFormat="1" ht="34.5" customHeight="1" thickTop="1">
      <c r="A1429" s="339" t="s">
        <v>948</v>
      </c>
      <c r="B1429" s="339"/>
      <c r="C1429" s="339"/>
      <c r="D1429" s="339"/>
      <c r="E1429" s="339"/>
      <c r="F1429" s="339"/>
      <c r="G1429" s="339"/>
      <c r="H1429" s="339"/>
      <c r="I1429" s="339"/>
      <c r="J1429" s="459"/>
      <c r="K1429" s="423"/>
      <c r="L1429" s="135"/>
      <c r="M1429" s="191"/>
      <c r="N1429" s="191"/>
      <c r="O1429" s="129"/>
      <c r="P1429" s="129"/>
      <c r="Q1429" s="129"/>
      <c r="R1429" s="129"/>
      <c r="S1429" s="129"/>
      <c r="T1429" s="129"/>
      <c r="U1429" s="129"/>
      <c r="V1429" s="129"/>
      <c r="W1429" s="129"/>
      <c r="X1429" s="129"/>
      <c r="Y1429" s="129"/>
    </row>
    <row r="1430" spans="1:25" s="94" customFormat="1" ht="34.5" customHeight="1">
      <c r="A1430" s="1222" t="s">
        <v>949</v>
      </c>
      <c r="B1430" s="1222"/>
      <c r="C1430" s="1222"/>
      <c r="D1430" s="1222"/>
      <c r="E1430" s="1222"/>
      <c r="F1430" s="1222"/>
      <c r="G1430" s="1222"/>
      <c r="H1430" s="1222"/>
      <c r="I1430" s="1222"/>
      <c r="J1430" s="1222"/>
      <c r="K1430" s="344"/>
      <c r="L1430" s="617"/>
      <c r="M1430" s="1168"/>
      <c r="N1430" s="1168"/>
      <c r="O1430" s="92"/>
      <c r="P1430" s="92"/>
      <c r="Q1430" s="92"/>
      <c r="R1430" s="92"/>
      <c r="S1430" s="92"/>
      <c r="T1430" s="92"/>
      <c r="U1430" s="92"/>
      <c r="V1430" s="92"/>
      <c r="W1430" s="92"/>
      <c r="X1430" s="92"/>
      <c r="Y1430" s="92"/>
    </row>
    <row r="1431" spans="1:25" s="94" customFormat="1" ht="34.5" customHeight="1">
      <c r="A1431" s="832" t="s">
        <v>1295</v>
      </c>
      <c r="B1431" s="832"/>
      <c r="C1431" s="1169"/>
      <c r="D1431" s="1169"/>
      <c r="E1431" s="1169"/>
      <c r="F1431" s="1169"/>
      <c r="G1431" s="1169"/>
      <c r="H1431" s="1169"/>
      <c r="I1431" s="1169"/>
      <c r="J1431" s="1169"/>
      <c r="K1431" s="344"/>
      <c r="L1431" s="617"/>
      <c r="M1431" s="1168"/>
      <c r="N1431" s="1168"/>
      <c r="O1431" s="92"/>
      <c r="P1431" s="92"/>
      <c r="Q1431" s="92"/>
      <c r="R1431" s="92"/>
      <c r="S1431" s="92"/>
      <c r="T1431" s="92"/>
      <c r="U1431" s="92"/>
      <c r="V1431" s="92"/>
      <c r="W1431" s="92"/>
      <c r="X1431" s="92"/>
      <c r="Y1431" s="92"/>
    </row>
    <row r="1432" spans="1:12" s="100" customFormat="1" ht="34.5" customHeight="1" thickBot="1">
      <c r="A1432" s="147"/>
      <c r="B1432" s="650"/>
      <c r="C1432" s="651"/>
      <c r="D1432" s="651"/>
      <c r="E1432" s="651"/>
      <c r="F1432" s="651"/>
      <c r="G1432" s="651"/>
      <c r="H1432" s="651"/>
      <c r="I1432" s="651"/>
      <c r="J1432" s="632"/>
      <c r="K1432" s="105"/>
      <c r="L1432" s="434"/>
    </row>
    <row r="1433" spans="1:42" s="167" customFormat="1" ht="34.5" customHeight="1" thickTop="1">
      <c r="A1433" s="826" t="s">
        <v>33</v>
      </c>
      <c r="B1433" s="827" t="s">
        <v>86</v>
      </c>
      <c r="C1433" s="828" t="s">
        <v>847</v>
      </c>
      <c r="D1433" s="829"/>
      <c r="E1433" s="830" t="s">
        <v>848</v>
      </c>
      <c r="F1433" s="831"/>
      <c r="G1433" s="830" t="s">
        <v>849</v>
      </c>
      <c r="H1433" s="831"/>
      <c r="I1433" s="830" t="s">
        <v>850</v>
      </c>
      <c r="J1433" s="831"/>
      <c r="K1433" s="830" t="s">
        <v>851</v>
      </c>
      <c r="L1433" s="831"/>
      <c r="M1433" s="830" t="s">
        <v>852</v>
      </c>
      <c r="N1433" s="831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</row>
    <row r="1434" spans="1:58" s="94" customFormat="1" ht="34.5" customHeight="1">
      <c r="A1434" s="652" t="s">
        <v>114</v>
      </c>
      <c r="B1434" s="618" t="s">
        <v>214</v>
      </c>
      <c r="C1434" s="644">
        <f>CEILING(70*$Z$1,0.1)</f>
        <v>87.5</v>
      </c>
      <c r="D1434" s="645"/>
      <c r="E1434" s="644">
        <f>CEILING(80*$Z$1,0.1)</f>
        <v>100</v>
      </c>
      <c r="F1434" s="645"/>
      <c r="G1434" s="644">
        <f>CEILING(120*$Z$1,0.1)</f>
        <v>150</v>
      </c>
      <c r="H1434" s="645"/>
      <c r="I1434" s="644">
        <f>CEILING(95*$Z$1,0.1)</f>
        <v>118.80000000000001</v>
      </c>
      <c r="J1434" s="645"/>
      <c r="K1434" s="644">
        <f>CEILING(95*$Z$1,0.1)</f>
        <v>118.80000000000001</v>
      </c>
      <c r="L1434" s="645"/>
      <c r="M1434" s="644">
        <f>CEILING(80*$Z$1,0.1)</f>
        <v>100</v>
      </c>
      <c r="N1434" s="645"/>
      <c r="O1434" s="136"/>
      <c r="P1434" s="136"/>
      <c r="Q1434" s="136"/>
      <c r="R1434" s="136"/>
      <c r="S1434" s="136"/>
      <c r="T1434" s="136"/>
      <c r="U1434" s="136"/>
      <c r="V1434" s="136"/>
      <c r="W1434" s="136"/>
      <c r="X1434" s="136"/>
      <c r="Y1434" s="136"/>
      <c r="Z1434" s="136"/>
      <c r="AA1434" s="136"/>
      <c r="AB1434" s="136"/>
      <c r="AC1434" s="136"/>
      <c r="AD1434" s="136"/>
      <c r="AE1434" s="136"/>
      <c r="AF1434" s="136"/>
      <c r="AG1434" s="136"/>
      <c r="AH1434" s="136"/>
      <c r="AI1434" s="136"/>
      <c r="AJ1434" s="136"/>
      <c r="AK1434" s="136"/>
      <c r="AL1434" s="136"/>
      <c r="AM1434" s="136"/>
      <c r="AN1434" s="136"/>
      <c r="AO1434" s="136"/>
      <c r="AP1434" s="136"/>
      <c r="AQ1434" s="136"/>
      <c r="AR1434" s="136"/>
      <c r="AS1434" s="136"/>
      <c r="AT1434" s="136"/>
      <c r="AU1434" s="136"/>
      <c r="AV1434" s="136"/>
      <c r="AW1434" s="136"/>
      <c r="AX1434" s="136"/>
      <c r="AY1434" s="136"/>
      <c r="AZ1434" s="136"/>
      <c r="BA1434" s="136"/>
      <c r="BB1434" s="136"/>
      <c r="BC1434" s="136"/>
      <c r="BD1434" s="136"/>
      <c r="BE1434" s="136"/>
      <c r="BF1434" s="136"/>
    </row>
    <row r="1435" spans="1:25" s="94" customFormat="1" ht="34.5" customHeight="1">
      <c r="A1435" s="653" t="s">
        <v>35</v>
      </c>
      <c r="B1435" s="279" t="s">
        <v>215</v>
      </c>
      <c r="C1435" s="641">
        <f>CEILING((C1434+28*$Z$1),0.1)</f>
        <v>122.5</v>
      </c>
      <c r="D1435" s="646"/>
      <c r="E1435" s="641">
        <f>CEILING((E1434+57*$Z$1),0.1)</f>
        <v>171.3</v>
      </c>
      <c r="F1435" s="646"/>
      <c r="G1435" s="641">
        <f>CEILING((G1434+57*$Z$1),0.1)</f>
        <v>221.3</v>
      </c>
      <c r="H1435" s="646"/>
      <c r="I1435" s="641">
        <f>CEILING((I1434+57*$Z$1),0.1)</f>
        <v>190.10000000000002</v>
      </c>
      <c r="J1435" s="646"/>
      <c r="K1435" s="641">
        <f>CEILING((K1434+57*$Z$1),0.1)</f>
        <v>190.10000000000002</v>
      </c>
      <c r="L1435" s="646"/>
      <c r="M1435" s="641">
        <f>CEILING((M1434+28*$Z$1),0.1)</f>
        <v>135</v>
      </c>
      <c r="N1435" s="646"/>
      <c r="O1435" s="92"/>
      <c r="P1435" s="92"/>
      <c r="Q1435" s="92"/>
      <c r="R1435" s="92"/>
      <c r="S1435" s="92"/>
      <c r="T1435" s="92"/>
      <c r="U1435" s="92"/>
      <c r="V1435" s="92"/>
      <c r="W1435" s="92"/>
      <c r="X1435" s="92"/>
      <c r="Y1435" s="92"/>
    </row>
    <row r="1436" spans="1:25" s="94" customFormat="1" ht="34.5" customHeight="1">
      <c r="A1436" s="639"/>
      <c r="B1436" s="619" t="s">
        <v>67</v>
      </c>
      <c r="C1436" s="641">
        <f>CEILING((C1434*0.85),0.1)</f>
        <v>74.4</v>
      </c>
      <c r="D1436" s="646"/>
      <c r="E1436" s="641">
        <f>CEILING((E1434*0.85),0.1)</f>
        <v>85</v>
      </c>
      <c r="F1436" s="646"/>
      <c r="G1436" s="641">
        <f>CEILING((G1434*0.85),0.1)</f>
        <v>127.5</v>
      </c>
      <c r="H1436" s="646"/>
      <c r="I1436" s="641">
        <f>CEILING((I1434*0.85),0.1)</f>
        <v>101</v>
      </c>
      <c r="J1436" s="646"/>
      <c r="K1436" s="641">
        <f>CEILING((K1434*0.85),0.1)</f>
        <v>101</v>
      </c>
      <c r="L1436" s="646"/>
      <c r="M1436" s="641">
        <f>CEILING((M1434*0.85),0.1)</f>
        <v>85</v>
      </c>
      <c r="N1436" s="646"/>
      <c r="O1436" s="92"/>
      <c r="P1436" s="92"/>
      <c r="Q1436" s="92"/>
      <c r="R1436" s="92"/>
      <c r="S1436" s="92"/>
      <c r="T1436" s="92"/>
      <c r="U1436" s="92"/>
      <c r="V1436" s="92"/>
      <c r="W1436" s="92"/>
      <c r="X1436" s="92"/>
      <c r="Y1436" s="92"/>
    </row>
    <row r="1437" spans="1:25" s="94" customFormat="1" ht="34.5" customHeight="1">
      <c r="A1437" s="250"/>
      <c r="B1437" s="340" t="s">
        <v>673</v>
      </c>
      <c r="C1437" s="641">
        <f>CEILING((C1434*0.5),0.1)</f>
        <v>43.800000000000004</v>
      </c>
      <c r="D1437" s="646"/>
      <c r="E1437" s="641">
        <f>CEILING((E1434*0.5),0.1)</f>
        <v>50</v>
      </c>
      <c r="F1437" s="646"/>
      <c r="G1437" s="641">
        <f>CEILING((G1434*0.5),0.1)</f>
        <v>75</v>
      </c>
      <c r="H1437" s="646"/>
      <c r="I1437" s="641">
        <f>CEILING((I1434*0.5),0.1)</f>
        <v>59.400000000000006</v>
      </c>
      <c r="J1437" s="646"/>
      <c r="K1437" s="641">
        <f>CEILING((K1434*0.5),0.1)</f>
        <v>59.400000000000006</v>
      </c>
      <c r="L1437" s="646"/>
      <c r="M1437" s="641">
        <f>CEILING((M1434*0.5),0.1)</f>
        <v>50</v>
      </c>
      <c r="N1437" s="646"/>
      <c r="O1437" s="92"/>
      <c r="P1437" s="92"/>
      <c r="Q1437" s="92"/>
      <c r="R1437" s="92"/>
      <c r="S1437" s="92"/>
      <c r="T1437" s="92"/>
      <c r="U1437" s="92"/>
      <c r="V1437" s="92"/>
      <c r="W1437" s="92"/>
      <c r="X1437" s="92"/>
      <c r="Y1437" s="92"/>
    </row>
    <row r="1438" spans="1:24" s="94" customFormat="1" ht="34.5" customHeight="1">
      <c r="A1438" s="236"/>
      <c r="B1438" s="279" t="s">
        <v>216</v>
      </c>
      <c r="C1438" s="641">
        <f>CEILING(80*$Z$1,0.1)</f>
        <v>100</v>
      </c>
      <c r="D1438" s="646"/>
      <c r="E1438" s="641">
        <f>CEILING(90*$Z$1,0.1)</f>
        <v>112.5</v>
      </c>
      <c r="F1438" s="646"/>
      <c r="G1438" s="641">
        <f>CEILING(130*$Z$1,0.1)</f>
        <v>162.5</v>
      </c>
      <c r="H1438" s="646"/>
      <c r="I1438" s="641">
        <f>CEILING(105*$Z$1,0.1)</f>
        <v>131.3</v>
      </c>
      <c r="J1438" s="646"/>
      <c r="K1438" s="641">
        <f>CEILING(105*$Z$1,0.1)</f>
        <v>131.3</v>
      </c>
      <c r="L1438" s="646"/>
      <c r="M1438" s="641">
        <f>CEILING(90*$Z$1,0.1)</f>
        <v>112.5</v>
      </c>
      <c r="N1438" s="646"/>
      <c r="O1438" s="92"/>
      <c r="P1438" s="92"/>
      <c r="Q1438" s="92"/>
      <c r="R1438" s="92"/>
      <c r="S1438" s="92"/>
      <c r="T1438" s="92"/>
      <c r="U1438" s="92"/>
      <c r="V1438" s="92"/>
      <c r="W1438" s="92"/>
      <c r="X1438" s="92"/>
    </row>
    <row r="1439" spans="1:25" s="94" customFormat="1" ht="34.5" customHeight="1">
      <c r="A1439" s="269"/>
      <c r="B1439" s="279" t="s">
        <v>217</v>
      </c>
      <c r="C1439" s="641">
        <f>CEILING((C1438+28*$Z$1),0.1)</f>
        <v>135</v>
      </c>
      <c r="D1439" s="646"/>
      <c r="E1439" s="641">
        <f>CEILING((E1438+57*$Z$1),0.1)</f>
        <v>183.8</v>
      </c>
      <c r="F1439" s="646"/>
      <c r="G1439" s="641">
        <f>CEILING((G1438+57*$Z$1),0.1)</f>
        <v>233.8</v>
      </c>
      <c r="H1439" s="646"/>
      <c r="I1439" s="641">
        <f>CEILING((I1438+57*$Z$1),0.1)</f>
        <v>202.60000000000002</v>
      </c>
      <c r="J1439" s="646"/>
      <c r="K1439" s="641">
        <f>CEILING((K1438+57*$Z$1),0.1)</f>
        <v>202.60000000000002</v>
      </c>
      <c r="L1439" s="646"/>
      <c r="M1439" s="641">
        <f>CEILING((M1438+28*$Z$1),0.1)</f>
        <v>147.5</v>
      </c>
      <c r="N1439" s="646"/>
      <c r="O1439" s="92"/>
      <c r="P1439" s="92"/>
      <c r="Q1439" s="92"/>
      <c r="R1439" s="92"/>
      <c r="S1439" s="92"/>
      <c r="T1439" s="92"/>
      <c r="U1439" s="92"/>
      <c r="V1439" s="92"/>
      <c r="W1439" s="92"/>
      <c r="X1439" s="92"/>
      <c r="Y1439" s="92"/>
    </row>
    <row r="1440" spans="1:25" s="94" customFormat="1" ht="34.5" customHeight="1">
      <c r="A1440" s="589"/>
      <c r="B1440" s="190" t="s">
        <v>486</v>
      </c>
      <c r="C1440" s="641">
        <f>CEILING(100*$Z$1,0.1)</f>
        <v>125</v>
      </c>
      <c r="D1440" s="646"/>
      <c r="E1440" s="641">
        <f>CEILING(110*$Z$1,0.1)</f>
        <v>137.5</v>
      </c>
      <c r="F1440" s="646"/>
      <c r="G1440" s="641">
        <f>CEILING(150*$Z$1,0.1)</f>
        <v>187.5</v>
      </c>
      <c r="H1440" s="646"/>
      <c r="I1440" s="641">
        <f>CEILING(125*$Z$1,0.1)</f>
        <v>156.3</v>
      </c>
      <c r="J1440" s="646"/>
      <c r="K1440" s="641">
        <f>CEILING(125*$Z$1,0.1)</f>
        <v>156.3</v>
      </c>
      <c r="L1440" s="646"/>
      <c r="M1440" s="641">
        <f>CEILING(110*$Z$1,0.1)</f>
        <v>137.5</v>
      </c>
      <c r="N1440" s="646"/>
      <c r="O1440" s="92"/>
      <c r="P1440" s="92"/>
      <c r="Q1440" s="92"/>
      <c r="R1440" s="92"/>
      <c r="S1440" s="92"/>
      <c r="T1440" s="92"/>
      <c r="U1440" s="92"/>
      <c r="V1440" s="92"/>
      <c r="W1440" s="92"/>
      <c r="X1440" s="92"/>
      <c r="Y1440" s="92"/>
    </row>
    <row r="1441" spans="1:25" s="94" customFormat="1" ht="34.5" customHeight="1" thickBot="1">
      <c r="A1441" s="647" t="s">
        <v>818</v>
      </c>
      <c r="B1441" s="246" t="s">
        <v>487</v>
      </c>
      <c r="C1441" s="648">
        <f>CEILING((C1440+40*$Z$1),0.1)</f>
        <v>175</v>
      </c>
      <c r="D1441" s="649"/>
      <c r="E1441" s="648">
        <f>CEILING((E1440+75*$Z$1),0.1)</f>
        <v>231.3</v>
      </c>
      <c r="F1441" s="649"/>
      <c r="G1441" s="648">
        <f>CEILING((G1440+75*$Z$1),0.1)</f>
        <v>281.3</v>
      </c>
      <c r="H1441" s="649"/>
      <c r="I1441" s="648">
        <f>CEILING((I1440+75*$Z$1),0.1)</f>
        <v>250.10000000000002</v>
      </c>
      <c r="J1441" s="649"/>
      <c r="K1441" s="648">
        <f>CEILING((K1440+75*$Z$1),0.1)</f>
        <v>250.10000000000002</v>
      </c>
      <c r="L1441" s="649"/>
      <c r="M1441" s="648">
        <f>CEILING((M1440+40*$Z$1),0.1)</f>
        <v>187.5</v>
      </c>
      <c r="N1441" s="649"/>
      <c r="O1441" s="92"/>
      <c r="P1441" s="92"/>
      <c r="Q1441" s="92"/>
      <c r="R1441" s="92"/>
      <c r="S1441" s="92"/>
      <c r="T1441" s="92"/>
      <c r="U1441" s="92"/>
      <c r="V1441" s="92"/>
      <c r="W1441" s="92"/>
      <c r="X1441" s="92"/>
      <c r="Y1441" s="92"/>
    </row>
    <row r="1442" spans="1:25" s="133" customFormat="1" ht="34.5" customHeight="1" thickTop="1">
      <c r="A1442" s="339" t="s">
        <v>948</v>
      </c>
      <c r="B1442" s="339"/>
      <c r="C1442" s="339"/>
      <c r="D1442" s="339"/>
      <c r="E1442" s="339"/>
      <c r="F1442" s="339"/>
      <c r="G1442" s="339"/>
      <c r="H1442" s="339"/>
      <c r="I1442" s="339"/>
      <c r="J1442" s="459"/>
      <c r="K1442" s="423"/>
      <c r="L1442" s="135"/>
      <c r="M1442" s="931"/>
      <c r="N1442" s="931"/>
      <c r="O1442" s="129"/>
      <c r="P1442" s="129"/>
      <c r="Q1442" s="129"/>
      <c r="R1442" s="129"/>
      <c r="S1442" s="129"/>
      <c r="T1442" s="129"/>
      <c r="U1442" s="129"/>
      <c r="V1442" s="129"/>
      <c r="W1442" s="129"/>
      <c r="X1442" s="129"/>
      <c r="Y1442" s="129"/>
    </row>
    <row r="1443" spans="1:25" s="94" customFormat="1" ht="34.5" customHeight="1">
      <c r="A1443" s="1222" t="s">
        <v>950</v>
      </c>
      <c r="B1443" s="1222"/>
      <c r="C1443" s="1222"/>
      <c r="D1443" s="1222"/>
      <c r="E1443" s="1222"/>
      <c r="F1443" s="1222"/>
      <c r="G1443" s="1222"/>
      <c r="H1443" s="1222"/>
      <c r="I1443" s="1222"/>
      <c r="J1443" s="1222"/>
      <c r="K1443" s="135"/>
      <c r="L1443" s="99"/>
      <c r="M1443" s="101"/>
      <c r="N1443" s="92"/>
      <c r="O1443" s="92"/>
      <c r="P1443" s="92"/>
      <c r="Q1443" s="92"/>
      <c r="R1443" s="92"/>
      <c r="S1443" s="92"/>
      <c r="T1443" s="92"/>
      <c r="U1443" s="92"/>
      <c r="V1443" s="92"/>
      <c r="W1443" s="92"/>
      <c r="X1443" s="92"/>
      <c r="Y1443" s="92"/>
    </row>
    <row r="1444" spans="1:25" s="94" customFormat="1" ht="34.5" customHeight="1">
      <c r="A1444" s="832" t="s">
        <v>1295</v>
      </c>
      <c r="B1444" s="832"/>
      <c r="C1444" s="1169"/>
      <c r="D1444" s="1169"/>
      <c r="E1444" s="1169"/>
      <c r="F1444" s="1169"/>
      <c r="G1444" s="1169"/>
      <c r="H1444" s="1169"/>
      <c r="I1444" s="1169"/>
      <c r="J1444" s="1169"/>
      <c r="K1444" s="135"/>
      <c r="L1444" s="99"/>
      <c r="M1444" s="101"/>
      <c r="N1444" s="92"/>
      <c r="O1444" s="92"/>
      <c r="P1444" s="92"/>
      <c r="Q1444" s="92"/>
      <c r="R1444" s="92"/>
      <c r="S1444" s="92"/>
      <c r="T1444" s="92"/>
      <c r="U1444" s="92"/>
      <c r="V1444" s="92"/>
      <c r="W1444" s="92"/>
      <c r="X1444" s="92"/>
      <c r="Y1444" s="92"/>
    </row>
    <row r="1445" spans="1:12" s="100" customFormat="1" ht="34.5" customHeight="1" thickBot="1">
      <c r="A1445" s="147"/>
      <c r="B1445" s="650"/>
      <c r="C1445" s="651"/>
      <c r="D1445" s="651"/>
      <c r="E1445" s="651"/>
      <c r="F1445" s="651"/>
      <c r="G1445" s="651"/>
      <c r="H1445" s="651"/>
      <c r="I1445" s="651"/>
      <c r="J1445" s="632"/>
      <c r="K1445" s="105"/>
      <c r="L1445" s="434"/>
    </row>
    <row r="1446" spans="1:42" s="167" customFormat="1" ht="34.5" customHeight="1" thickTop="1">
      <c r="A1446" s="826" t="s">
        <v>33</v>
      </c>
      <c r="B1446" s="827" t="s">
        <v>86</v>
      </c>
      <c r="C1446" s="828" t="s">
        <v>847</v>
      </c>
      <c r="D1446" s="829"/>
      <c r="E1446" s="830" t="s">
        <v>848</v>
      </c>
      <c r="F1446" s="831"/>
      <c r="G1446" s="830" t="s">
        <v>849</v>
      </c>
      <c r="H1446" s="831"/>
      <c r="I1446" s="830" t="s">
        <v>850</v>
      </c>
      <c r="J1446" s="831"/>
      <c r="K1446" s="830" t="s">
        <v>851</v>
      </c>
      <c r="L1446" s="831"/>
      <c r="M1446" s="830" t="s">
        <v>852</v>
      </c>
      <c r="N1446" s="831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</row>
    <row r="1447" spans="1:72" s="94" customFormat="1" ht="34.5" customHeight="1">
      <c r="A1447" s="654" t="s">
        <v>115</v>
      </c>
      <c r="B1447" s="192" t="s">
        <v>492</v>
      </c>
      <c r="C1447" s="644">
        <f>CEILING(55*$Z$1,0.1)</f>
        <v>68.8</v>
      </c>
      <c r="D1447" s="645"/>
      <c r="E1447" s="644">
        <f>CEILING(75*$Z$1,0.1)</f>
        <v>93.80000000000001</v>
      </c>
      <c r="F1447" s="645"/>
      <c r="G1447" s="644">
        <f>CEILING(100*$Z$1,0.1)</f>
        <v>125</v>
      </c>
      <c r="H1447" s="645"/>
      <c r="I1447" s="644">
        <f>CEILING(75*$Z$1,0.1)</f>
        <v>93.80000000000001</v>
      </c>
      <c r="J1447" s="645"/>
      <c r="K1447" s="644">
        <f>CEILING(75*$Z$1,0.1)</f>
        <v>93.80000000000001</v>
      </c>
      <c r="L1447" s="645"/>
      <c r="M1447" s="644">
        <f>CEILING(55*$Z$1,0.1)</f>
        <v>68.8</v>
      </c>
      <c r="N1447" s="645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100"/>
      <c r="AV1447" s="100"/>
      <c r="AW1447" s="100"/>
      <c r="AX1447" s="100"/>
      <c r="AY1447" s="100"/>
      <c r="AZ1447" s="100"/>
      <c r="BA1447" s="100"/>
      <c r="BB1447" s="100"/>
      <c r="BC1447" s="100"/>
      <c r="BD1447" s="100"/>
      <c r="BE1447" s="100"/>
      <c r="BF1447" s="100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100"/>
      <c r="BS1447" s="100"/>
      <c r="BT1447" s="100"/>
    </row>
    <row r="1448" spans="1:25" s="94" customFormat="1" ht="34.5" customHeight="1">
      <c r="A1448" s="373" t="s">
        <v>49</v>
      </c>
      <c r="B1448" s="192" t="s">
        <v>493</v>
      </c>
      <c r="C1448" s="641">
        <f>CEILING((C1447+22*$Z$1),0.1)</f>
        <v>96.30000000000001</v>
      </c>
      <c r="D1448" s="646"/>
      <c r="E1448" s="641">
        <f>CEILING((E1447+45*$Z$1),0.1)</f>
        <v>150.1</v>
      </c>
      <c r="F1448" s="646"/>
      <c r="G1448" s="641">
        <f>CEILING((G1447+45*$Z$1),0.1)</f>
        <v>181.3</v>
      </c>
      <c r="H1448" s="646"/>
      <c r="I1448" s="641">
        <f>CEILING((I1447+43*$Z$1),0.1)</f>
        <v>147.6</v>
      </c>
      <c r="J1448" s="646"/>
      <c r="K1448" s="641">
        <f>CEILING((K1447+43*$Z$1),0.1)</f>
        <v>147.6</v>
      </c>
      <c r="L1448" s="646"/>
      <c r="M1448" s="641">
        <f>CEILING((M1447+22*$Z$1),0.1)</f>
        <v>96.30000000000001</v>
      </c>
      <c r="N1448" s="646"/>
      <c r="O1448" s="92"/>
      <c r="P1448" s="92"/>
      <c r="Q1448" s="92"/>
      <c r="R1448" s="1314"/>
      <c r="S1448" s="1314"/>
      <c r="T1448" s="1314"/>
      <c r="U1448" s="1314"/>
      <c r="V1448" s="92"/>
      <c r="W1448" s="92"/>
      <c r="X1448" s="92"/>
      <c r="Y1448" s="92"/>
    </row>
    <row r="1449" spans="1:25" s="94" customFormat="1" ht="34.5" customHeight="1">
      <c r="A1449" s="236"/>
      <c r="B1449" s="321" t="s">
        <v>67</v>
      </c>
      <c r="C1449" s="641">
        <f>CEILING((C1447*0.85),0.1)</f>
        <v>58.5</v>
      </c>
      <c r="D1449" s="646"/>
      <c r="E1449" s="641">
        <f>CEILING((E1447*0.85),0.1)</f>
        <v>79.80000000000001</v>
      </c>
      <c r="F1449" s="646"/>
      <c r="G1449" s="641">
        <f>CEILING((G1447*0.85),0.1)</f>
        <v>106.30000000000001</v>
      </c>
      <c r="H1449" s="646"/>
      <c r="I1449" s="641">
        <f>CEILING((I1447*0.85),0.1)</f>
        <v>79.80000000000001</v>
      </c>
      <c r="J1449" s="646"/>
      <c r="K1449" s="641">
        <f>CEILING((K1447*0.85),0.1)</f>
        <v>79.80000000000001</v>
      </c>
      <c r="L1449" s="646"/>
      <c r="M1449" s="641">
        <f>CEILING((M1447*0.85),0.1)</f>
        <v>58.5</v>
      </c>
      <c r="N1449" s="646"/>
      <c r="O1449" s="92"/>
      <c r="P1449" s="92"/>
      <c r="Q1449" s="92"/>
      <c r="R1449" s="635"/>
      <c r="S1449" s="635"/>
      <c r="T1449" s="635"/>
      <c r="U1449" s="635"/>
      <c r="V1449" s="92"/>
      <c r="W1449" s="92"/>
      <c r="X1449" s="92"/>
      <c r="Y1449" s="92"/>
    </row>
    <row r="1450" spans="1:25" s="94" customFormat="1" ht="34.5" customHeight="1">
      <c r="A1450" s="250"/>
      <c r="B1450" s="340" t="s">
        <v>673</v>
      </c>
      <c r="C1450" s="641">
        <f>CEILING((C1447*0.5),0.1)</f>
        <v>34.4</v>
      </c>
      <c r="D1450" s="646"/>
      <c r="E1450" s="641">
        <f>CEILING((E1447*0.5),0.1)</f>
        <v>46.900000000000006</v>
      </c>
      <c r="F1450" s="646"/>
      <c r="G1450" s="641">
        <f>CEILING((G1447*0.5),0.1)</f>
        <v>62.5</v>
      </c>
      <c r="H1450" s="646"/>
      <c r="I1450" s="641">
        <f>CEILING((I1447*0.5),0.1)</f>
        <v>46.900000000000006</v>
      </c>
      <c r="J1450" s="646"/>
      <c r="K1450" s="641">
        <f>CEILING((K1447*0.5),0.1)</f>
        <v>46.900000000000006</v>
      </c>
      <c r="L1450" s="646"/>
      <c r="M1450" s="641">
        <f>CEILING((M1447*0.5),0.1)</f>
        <v>34.4</v>
      </c>
      <c r="N1450" s="646"/>
      <c r="O1450" s="92"/>
      <c r="P1450" s="92"/>
      <c r="Q1450" s="92"/>
      <c r="R1450" s="635"/>
      <c r="S1450" s="635"/>
      <c r="T1450" s="635"/>
      <c r="U1450" s="635"/>
      <c r="V1450" s="92"/>
      <c r="W1450" s="92"/>
      <c r="X1450" s="92"/>
      <c r="Y1450" s="92"/>
    </row>
    <row r="1451" spans="1:25" s="94" customFormat="1" ht="34.5" customHeight="1">
      <c r="A1451" s="250"/>
      <c r="B1451" s="215" t="s">
        <v>494</v>
      </c>
      <c r="C1451" s="641">
        <f>CEILING(62*$Z$1,0.1)</f>
        <v>77.5</v>
      </c>
      <c r="D1451" s="646"/>
      <c r="E1451" s="641">
        <f>CEILING(83*$Z$1,0.1)</f>
        <v>103.80000000000001</v>
      </c>
      <c r="F1451" s="646"/>
      <c r="G1451" s="641">
        <f>CEILING(108*$Z$1,0.1)</f>
        <v>135</v>
      </c>
      <c r="H1451" s="646"/>
      <c r="I1451" s="641">
        <f>CEILING(83*$Z$1,0.1)</f>
        <v>103.80000000000001</v>
      </c>
      <c r="J1451" s="646"/>
      <c r="K1451" s="641">
        <f>CEILING(83*$Z$1,0.1)</f>
        <v>103.80000000000001</v>
      </c>
      <c r="L1451" s="646"/>
      <c r="M1451" s="641">
        <f>CEILING(62*$Z$1,0.1)</f>
        <v>77.5</v>
      </c>
      <c r="N1451" s="646"/>
      <c r="O1451" s="92"/>
      <c r="P1451" s="92"/>
      <c r="Q1451" s="92"/>
      <c r="R1451" s="127"/>
      <c r="S1451" s="127"/>
      <c r="T1451" s="127"/>
      <c r="U1451" s="127"/>
      <c r="V1451" s="92"/>
      <c r="W1451" s="1311"/>
      <c r="X1451" s="1311"/>
      <c r="Y1451" s="1311"/>
    </row>
    <row r="1452" spans="1:25" s="94" customFormat="1" ht="34.5" customHeight="1" thickBot="1">
      <c r="A1452" s="252" t="s">
        <v>828</v>
      </c>
      <c r="B1452" s="453" t="s">
        <v>495</v>
      </c>
      <c r="C1452" s="648">
        <f>CEILING((C1451+22*$Z$1),0.1)</f>
        <v>105</v>
      </c>
      <c r="D1452" s="649"/>
      <c r="E1452" s="648">
        <f>CEILING((E1451+45*$Z$1),0.1)</f>
        <v>160.10000000000002</v>
      </c>
      <c r="F1452" s="649"/>
      <c r="G1452" s="648">
        <f>CEILING((G1451+45*$Z$1),0.1)</f>
        <v>191.3</v>
      </c>
      <c r="H1452" s="649"/>
      <c r="I1452" s="648">
        <f>CEILING((I1451+45*$Z$1),0.1)</f>
        <v>160.10000000000002</v>
      </c>
      <c r="J1452" s="649"/>
      <c r="K1452" s="648">
        <f>CEILING((K1451+45*$Z$1),0.1)</f>
        <v>160.10000000000002</v>
      </c>
      <c r="L1452" s="649"/>
      <c r="M1452" s="648">
        <f>CEILING((M1451+22*$Z$1),0.1)</f>
        <v>105</v>
      </c>
      <c r="N1452" s="649"/>
      <c r="O1452" s="92"/>
      <c r="P1452" s="92"/>
      <c r="Q1452" s="92"/>
      <c r="R1452" s="611"/>
      <c r="S1452" s="127"/>
      <c r="T1452" s="611"/>
      <c r="U1452" s="127"/>
      <c r="V1452" s="92"/>
      <c r="W1452" s="1311"/>
      <c r="X1452" s="1311"/>
      <c r="Y1452" s="1311"/>
    </row>
    <row r="1453" spans="1:25" s="133" customFormat="1" ht="34.5" customHeight="1" thickTop="1">
      <c r="A1453" s="339" t="s">
        <v>948</v>
      </c>
      <c r="B1453" s="339"/>
      <c r="C1453" s="339"/>
      <c r="D1453" s="339"/>
      <c r="E1453" s="339"/>
      <c r="F1453" s="339"/>
      <c r="G1453" s="339"/>
      <c r="H1453" s="339"/>
      <c r="I1453" s="339"/>
      <c r="J1453" s="459"/>
      <c r="K1453" s="423"/>
      <c r="L1453" s="135"/>
      <c r="M1453" s="931"/>
      <c r="N1453" s="931"/>
      <c r="O1453" s="129"/>
      <c r="P1453" s="129"/>
      <c r="Q1453" s="129"/>
      <c r="R1453" s="129"/>
      <c r="S1453" s="129"/>
      <c r="T1453" s="129"/>
      <c r="U1453" s="129"/>
      <c r="V1453" s="129"/>
      <c r="W1453" s="1311"/>
      <c r="X1453" s="1311"/>
      <c r="Y1453" s="1311"/>
    </row>
    <row r="1454" spans="1:25" s="94" customFormat="1" ht="34.5" customHeight="1">
      <c r="A1454" s="1222" t="s">
        <v>814</v>
      </c>
      <c r="B1454" s="1222"/>
      <c r="C1454" s="1222"/>
      <c r="D1454" s="1222"/>
      <c r="E1454" s="1222"/>
      <c r="F1454" s="1222"/>
      <c r="G1454" s="1222"/>
      <c r="H1454" s="1222"/>
      <c r="I1454" s="1222"/>
      <c r="J1454" s="1222"/>
      <c r="K1454" s="191"/>
      <c r="L1454" s="191"/>
      <c r="M1454" s="127"/>
      <c r="N1454" s="127"/>
      <c r="O1454" s="92"/>
      <c r="P1454" s="92"/>
      <c r="Q1454" s="92"/>
      <c r="R1454" s="127"/>
      <c r="S1454" s="127"/>
      <c r="T1454" s="127"/>
      <c r="U1454" s="127"/>
      <c r="V1454" s="92"/>
      <c r="W1454" s="1311"/>
      <c r="X1454" s="1311"/>
      <c r="Y1454" s="1311"/>
    </row>
    <row r="1455" spans="1:25" s="94" customFormat="1" ht="34.5" customHeight="1">
      <c r="A1455" s="832" t="s">
        <v>1296</v>
      </c>
      <c r="B1455" s="832"/>
      <c r="C1455" s="1169"/>
      <c r="D1455" s="1169"/>
      <c r="E1455" s="1169"/>
      <c r="F1455" s="1169"/>
      <c r="G1455" s="1169"/>
      <c r="H1455" s="1169"/>
      <c r="I1455" s="1169"/>
      <c r="J1455" s="1169"/>
      <c r="K1455" s="1168"/>
      <c r="L1455" s="1168"/>
      <c r="M1455" s="1170"/>
      <c r="N1455" s="1170"/>
      <c r="O1455" s="92"/>
      <c r="P1455" s="92"/>
      <c r="Q1455" s="92"/>
      <c r="R1455" s="1170"/>
      <c r="S1455" s="1170"/>
      <c r="T1455" s="1170"/>
      <c r="U1455" s="1170"/>
      <c r="V1455" s="92"/>
      <c r="W1455" s="1311"/>
      <c r="X1455" s="1311"/>
      <c r="Y1455" s="1311"/>
    </row>
    <row r="1456" spans="1:25" s="100" customFormat="1" ht="34.5" customHeight="1">
      <c r="A1456" s="969"/>
      <c r="B1456" s="579"/>
      <c r="C1456" s="1020"/>
      <c r="D1456" s="1020"/>
      <c r="E1456" s="1020"/>
      <c r="F1456" s="1020"/>
      <c r="G1456" s="1020"/>
      <c r="H1456" s="1020"/>
      <c r="I1456" s="1021"/>
      <c r="J1456" s="1021"/>
      <c r="K1456" s="105"/>
      <c r="L1456" s="105"/>
      <c r="M1456" s="106"/>
      <c r="N1456" s="106"/>
      <c r="W1456" s="1311"/>
      <c r="X1456" s="1311"/>
      <c r="Y1456" s="1311"/>
    </row>
    <row r="1457" spans="1:25" s="100" customFormat="1" ht="34.5" customHeight="1">
      <c r="A1457" s="837" t="s">
        <v>33</v>
      </c>
      <c r="B1457" s="838" t="s">
        <v>86</v>
      </c>
      <c r="C1457" s="839" t="s">
        <v>1161</v>
      </c>
      <c r="D1457" s="840"/>
      <c r="E1457" s="839" t="s">
        <v>1162</v>
      </c>
      <c r="F1457" s="840"/>
      <c r="G1457" s="1020"/>
      <c r="H1457" s="1020"/>
      <c r="I1457" s="1021"/>
      <c r="J1457" s="1021"/>
      <c r="K1457" s="105"/>
      <c r="L1457" s="105"/>
      <c r="M1457" s="106"/>
      <c r="N1457" s="106"/>
      <c r="W1457" s="1311"/>
      <c r="X1457" s="1311"/>
      <c r="Y1457" s="1311"/>
    </row>
    <row r="1458" spans="1:25" s="100" customFormat="1" ht="34.5" customHeight="1">
      <c r="A1458" s="482" t="s">
        <v>1037</v>
      </c>
      <c r="B1458" s="1031" t="s">
        <v>1029</v>
      </c>
      <c r="C1458" s="1083">
        <f>CEILING(70*$Z$1,0.1)</f>
        <v>87.5</v>
      </c>
      <c r="D1458" s="1084"/>
      <c r="E1458" s="644">
        <f>CEILING(85*$Z$1,0.1)</f>
        <v>106.30000000000001</v>
      </c>
      <c r="F1458" s="645"/>
      <c r="G1458" s="1020"/>
      <c r="H1458" s="1020"/>
      <c r="I1458" s="1021"/>
      <c r="J1458" s="1021"/>
      <c r="K1458" s="105"/>
      <c r="L1458" s="105"/>
      <c r="M1458" s="106"/>
      <c r="N1458" s="106"/>
      <c r="W1458" s="1311"/>
      <c r="X1458" s="1311"/>
      <c r="Y1458" s="1311"/>
    </row>
    <row r="1459" spans="1:25" s="100" customFormat="1" ht="34.5" customHeight="1">
      <c r="A1459" s="297" t="s">
        <v>35</v>
      </c>
      <c r="B1459" s="106" t="s">
        <v>1030</v>
      </c>
      <c r="C1459" s="1085">
        <f>CEILING((C1458+30*$Z$1),0.1)</f>
        <v>125</v>
      </c>
      <c r="D1459" s="1086"/>
      <c r="E1459" s="641">
        <f>CEILING((E1458+25*$Z$1),0.1)</f>
        <v>137.6</v>
      </c>
      <c r="F1459" s="646"/>
      <c r="G1459" s="1020"/>
      <c r="H1459" s="1020"/>
      <c r="I1459" s="1021"/>
      <c r="J1459" s="1021"/>
      <c r="K1459" s="105"/>
      <c r="L1459" s="105"/>
      <c r="M1459" s="106"/>
      <c r="N1459" s="106"/>
      <c r="W1459" s="1311"/>
      <c r="X1459" s="1311"/>
      <c r="Y1459" s="1311"/>
    </row>
    <row r="1460" spans="1:25" s="100" customFormat="1" ht="34.5" customHeight="1">
      <c r="A1460" s="297"/>
      <c r="B1460" s="476" t="s">
        <v>67</v>
      </c>
      <c r="C1460" s="1085">
        <f>CEILING((C1458*0.85),0.1)</f>
        <v>74.4</v>
      </c>
      <c r="D1460" s="1086"/>
      <c r="E1460" s="641">
        <f>CEILING((E1458*0.85),0.1)</f>
        <v>90.4</v>
      </c>
      <c r="F1460" s="646"/>
      <c r="G1460" s="1020"/>
      <c r="H1460" s="1020"/>
      <c r="I1460" s="1021"/>
      <c r="J1460" s="1021"/>
      <c r="K1460" s="105"/>
      <c r="L1460" s="105"/>
      <c r="M1460" s="106"/>
      <c r="N1460" s="106"/>
      <c r="W1460" s="1311"/>
      <c r="X1460" s="1311"/>
      <c r="Y1460" s="1311"/>
    </row>
    <row r="1461" spans="1:25" s="100" customFormat="1" ht="34.5" customHeight="1" thickBot="1">
      <c r="A1461" s="1032"/>
      <c r="B1461" s="1030" t="s">
        <v>484</v>
      </c>
      <c r="C1461" s="1085">
        <f>CEILING((C1458*0.5),0.1)</f>
        <v>43.800000000000004</v>
      </c>
      <c r="D1461" s="1098"/>
      <c r="E1461" s="641">
        <f>CEILING((E1458*0.5),0.1)</f>
        <v>53.2</v>
      </c>
      <c r="F1461" s="649"/>
      <c r="G1461" s="1020"/>
      <c r="H1461" s="1020"/>
      <c r="I1461" s="1021"/>
      <c r="J1461" s="1021"/>
      <c r="K1461" s="105"/>
      <c r="L1461" s="105"/>
      <c r="M1461" s="106"/>
      <c r="N1461" s="106"/>
      <c r="W1461" s="1311"/>
      <c r="X1461" s="1311"/>
      <c r="Y1461" s="1311"/>
    </row>
    <row r="1462" spans="1:25" s="100" customFormat="1" ht="34.5" customHeight="1" thickTop="1">
      <c r="A1462" s="1101"/>
      <c r="B1462" s="106" t="s">
        <v>1031</v>
      </c>
      <c r="C1462" s="1099">
        <f>CEILING(95*$Z$1,0.1)</f>
        <v>118.80000000000001</v>
      </c>
      <c r="D1462" s="1100"/>
      <c r="E1462" s="683">
        <f>CEILING(115*$Z$1,0.1)</f>
        <v>143.8</v>
      </c>
      <c r="F1462" s="684"/>
      <c r="G1462" s="1020"/>
      <c r="H1462" s="1020"/>
      <c r="I1462" s="1021"/>
      <c r="J1462" s="1021"/>
      <c r="K1462" s="105"/>
      <c r="L1462" s="105"/>
      <c r="M1462" s="106"/>
      <c r="N1462" s="106"/>
      <c r="W1462" s="1311"/>
      <c r="X1462" s="1311"/>
      <c r="Y1462" s="1311"/>
    </row>
    <row r="1463" spans="1:25" s="100" customFormat="1" ht="34.5" customHeight="1">
      <c r="A1463" s="297"/>
      <c r="B1463" s="106" t="s">
        <v>1032</v>
      </c>
      <c r="C1463" s="1085">
        <f>CEILING((C1462+30*$Z$1),0.1)</f>
        <v>156.3</v>
      </c>
      <c r="D1463" s="1086"/>
      <c r="E1463" s="641">
        <f>CEILING((E1462+25*$Z$1),0.1)</f>
        <v>175.10000000000002</v>
      </c>
      <c r="F1463" s="646"/>
      <c r="G1463" s="1020"/>
      <c r="H1463" s="1020"/>
      <c r="I1463" s="1021"/>
      <c r="J1463" s="1021"/>
      <c r="K1463" s="105"/>
      <c r="L1463" s="105"/>
      <c r="M1463" s="106"/>
      <c r="N1463" s="106"/>
      <c r="W1463" s="1311"/>
      <c r="X1463" s="1311"/>
      <c r="Y1463" s="1311"/>
    </row>
    <row r="1464" spans="1:25" s="100" customFormat="1" ht="34.5" customHeight="1">
      <c r="A1464" s="297"/>
      <c r="B1464" s="476" t="s">
        <v>67</v>
      </c>
      <c r="C1464" s="1085">
        <f>CEILING((C1462*0.85),0.1)</f>
        <v>101</v>
      </c>
      <c r="D1464" s="1086"/>
      <c r="E1464" s="641">
        <f>CEILING((E1462*0.85),0.1)</f>
        <v>122.30000000000001</v>
      </c>
      <c r="F1464" s="646"/>
      <c r="G1464" s="1020"/>
      <c r="H1464" s="1020"/>
      <c r="I1464" s="1021"/>
      <c r="J1464" s="1021"/>
      <c r="K1464" s="105"/>
      <c r="L1464" s="105"/>
      <c r="M1464" s="106"/>
      <c r="N1464" s="106"/>
      <c r="W1464" s="1311"/>
      <c r="X1464" s="1311"/>
      <c r="Y1464" s="1311"/>
    </row>
    <row r="1465" spans="1:25" s="100" customFormat="1" ht="34.5" customHeight="1" thickBot="1">
      <c r="A1465" s="1032"/>
      <c r="B1465" s="1030" t="s">
        <v>484</v>
      </c>
      <c r="C1465" s="1085">
        <f>CEILING((C1462*0.5),0.1)</f>
        <v>59.400000000000006</v>
      </c>
      <c r="D1465" s="1098"/>
      <c r="E1465" s="641">
        <f>CEILING((E1462*0.5),0.1)</f>
        <v>71.9</v>
      </c>
      <c r="F1465" s="649"/>
      <c r="G1465" s="1020"/>
      <c r="H1465" s="1020"/>
      <c r="I1465" s="1021"/>
      <c r="J1465" s="1021"/>
      <c r="K1465" s="105"/>
      <c r="L1465" s="105"/>
      <c r="M1465" s="106"/>
      <c r="N1465" s="106"/>
      <c r="W1465" s="1311"/>
      <c r="X1465" s="1311"/>
      <c r="Y1465" s="1311"/>
    </row>
    <row r="1466" spans="1:25" s="100" customFormat="1" ht="34.5" customHeight="1" thickTop="1">
      <c r="A1466" s="487"/>
      <c r="B1466" s="106" t="s">
        <v>1164</v>
      </c>
      <c r="C1466" s="1099">
        <f>CEILING(125*$Z$1,0.1)</f>
        <v>156.3</v>
      </c>
      <c r="D1466" s="1100"/>
      <c r="E1466" s="683">
        <f>CEILING(160*$Z$1,0.1)</f>
        <v>200</v>
      </c>
      <c r="F1466" s="684"/>
      <c r="G1466" s="1020"/>
      <c r="H1466" s="1020"/>
      <c r="I1466" s="1021"/>
      <c r="J1466" s="1021"/>
      <c r="K1466" s="105"/>
      <c r="L1466" s="105"/>
      <c r="M1466" s="106"/>
      <c r="N1466" s="106"/>
      <c r="W1466" s="1311"/>
      <c r="X1466" s="1311"/>
      <c r="Y1466" s="1311"/>
    </row>
    <row r="1467" spans="1:25" s="100" customFormat="1" ht="34.5" customHeight="1">
      <c r="A1467" s="297"/>
      <c r="B1467" s="106" t="s">
        <v>1165</v>
      </c>
      <c r="C1467" s="1085">
        <f>CEILING((C1466+30*$Z$1),0.1)</f>
        <v>193.8</v>
      </c>
      <c r="D1467" s="1086"/>
      <c r="E1467" s="641">
        <f>CEILING((E1466+25*$Z$1),0.1)</f>
        <v>231.3</v>
      </c>
      <c r="F1467" s="646"/>
      <c r="G1467" s="1020"/>
      <c r="H1467" s="1020"/>
      <c r="I1467" s="1021"/>
      <c r="J1467" s="1021"/>
      <c r="K1467" s="105"/>
      <c r="L1467" s="105"/>
      <c r="M1467" s="106"/>
      <c r="N1467" s="106"/>
      <c r="W1467" s="1311"/>
      <c r="X1467" s="1311"/>
      <c r="Y1467" s="1311"/>
    </row>
    <row r="1468" spans="1:25" s="100" customFormat="1" ht="34.5" customHeight="1">
      <c r="A1468" s="297"/>
      <c r="B1468" s="476" t="s">
        <v>67</v>
      </c>
      <c r="C1468" s="1085">
        <f>CEILING((C1466*0.85),0.1)</f>
        <v>132.9</v>
      </c>
      <c r="D1468" s="1086"/>
      <c r="E1468" s="641">
        <f>CEILING((E1466*0.85),0.1)</f>
        <v>170</v>
      </c>
      <c r="F1468" s="646"/>
      <c r="G1468" s="1020"/>
      <c r="H1468" s="1020"/>
      <c r="I1468" s="1021"/>
      <c r="J1468" s="1021"/>
      <c r="K1468" s="105"/>
      <c r="L1468" s="105"/>
      <c r="M1468" s="106"/>
      <c r="N1468" s="106"/>
      <c r="W1468" s="1311"/>
      <c r="X1468" s="1311"/>
      <c r="Y1468" s="1311"/>
    </row>
    <row r="1469" spans="1:25" s="100" customFormat="1" ht="34.5" customHeight="1" thickBot="1">
      <c r="A1469" s="668" t="s">
        <v>592</v>
      </c>
      <c r="B1469" s="381" t="s">
        <v>484</v>
      </c>
      <c r="C1469" s="648">
        <f>CEILING((C1466*0.5),0.1)</f>
        <v>78.2</v>
      </c>
      <c r="D1469" s="649"/>
      <c r="E1469" s="648">
        <f>CEILING((E1466*0.5),0.1)</f>
        <v>100</v>
      </c>
      <c r="F1469" s="649"/>
      <c r="G1469" s="1020"/>
      <c r="H1469" s="1020"/>
      <c r="I1469" s="1021"/>
      <c r="J1469" s="1021"/>
      <c r="K1469" s="105"/>
      <c r="L1469" s="105"/>
      <c r="M1469" s="106"/>
      <c r="N1469" s="106"/>
      <c r="W1469" s="1311"/>
      <c r="X1469" s="1311"/>
      <c r="Y1469" s="1311"/>
    </row>
    <row r="1470" spans="1:25" s="94" customFormat="1" ht="34.5" customHeight="1" thickTop="1">
      <c r="A1470" s="1222" t="s">
        <v>814</v>
      </c>
      <c r="B1470" s="1222"/>
      <c r="C1470" s="1222"/>
      <c r="D1470" s="1222"/>
      <c r="E1470" s="1222"/>
      <c r="F1470" s="1222"/>
      <c r="G1470" s="1222"/>
      <c r="H1470" s="1222"/>
      <c r="I1470" s="1222"/>
      <c r="J1470" s="1222"/>
      <c r="K1470" s="1018"/>
      <c r="L1470" s="1018"/>
      <c r="M1470" s="1019"/>
      <c r="N1470" s="1019"/>
      <c r="O1470" s="92"/>
      <c r="P1470" s="92"/>
      <c r="Q1470" s="92"/>
      <c r="R1470" s="1019"/>
      <c r="S1470" s="1019"/>
      <c r="T1470" s="1019"/>
      <c r="U1470" s="1019"/>
      <c r="V1470" s="92"/>
      <c r="W1470" s="1311"/>
      <c r="X1470" s="1311"/>
      <c r="Y1470" s="1311"/>
    </row>
    <row r="1471" spans="1:25" s="133" customFormat="1" ht="34.5" customHeight="1">
      <c r="A1471" s="339" t="s">
        <v>1038</v>
      </c>
      <c r="B1471" s="339"/>
      <c r="C1471" s="339"/>
      <c r="D1471" s="339"/>
      <c r="E1471" s="339"/>
      <c r="F1471" s="339"/>
      <c r="G1471" s="339"/>
      <c r="H1471" s="339"/>
      <c r="I1471" s="339"/>
      <c r="J1471" s="459"/>
      <c r="K1471" s="423"/>
      <c r="L1471" s="135"/>
      <c r="M1471" s="1018"/>
      <c r="N1471" s="1018"/>
      <c r="O1471" s="129"/>
      <c r="P1471" s="129"/>
      <c r="Q1471" s="129"/>
      <c r="R1471" s="129"/>
      <c r="S1471" s="129"/>
      <c r="T1471" s="129"/>
      <c r="U1471" s="129"/>
      <c r="V1471" s="129"/>
      <c r="W1471" s="1311"/>
      <c r="X1471" s="1311"/>
      <c r="Y1471" s="1311"/>
    </row>
    <row r="1472" spans="1:25" s="100" customFormat="1" ht="34.5" customHeight="1">
      <c r="A1472" s="969"/>
      <c r="B1472" s="579"/>
      <c r="C1472" s="1020"/>
      <c r="D1472" s="1020"/>
      <c r="E1472" s="1020"/>
      <c r="F1472" s="1020"/>
      <c r="G1472" s="1020"/>
      <c r="H1472" s="1020"/>
      <c r="I1472" s="1021"/>
      <c r="J1472" s="1021"/>
      <c r="K1472" s="105"/>
      <c r="L1472" s="105"/>
      <c r="M1472" s="106"/>
      <c r="N1472" s="106"/>
      <c r="W1472" s="1311"/>
      <c r="X1472" s="1311"/>
      <c r="Y1472" s="1311"/>
    </row>
    <row r="1473" spans="1:25" s="100" customFormat="1" ht="34.5" customHeight="1">
      <c r="A1473" s="837" t="s">
        <v>33</v>
      </c>
      <c r="B1473" s="838" t="s">
        <v>86</v>
      </c>
      <c r="C1473" s="839" t="s">
        <v>1033</v>
      </c>
      <c r="D1473" s="840"/>
      <c r="E1473" s="1020"/>
      <c r="F1473" s="1020"/>
      <c r="G1473" s="1020"/>
      <c r="H1473" s="1020"/>
      <c r="I1473" s="1021"/>
      <c r="J1473" s="1021"/>
      <c r="K1473" s="105"/>
      <c r="L1473" s="105"/>
      <c r="M1473" s="106"/>
      <c r="N1473" s="106"/>
      <c r="W1473" s="1311"/>
      <c r="X1473" s="1311"/>
      <c r="Y1473" s="1311"/>
    </row>
    <row r="1474" spans="1:25" s="100" customFormat="1" ht="34.5" customHeight="1">
      <c r="A1474" s="482" t="s">
        <v>1028</v>
      </c>
      <c r="B1474" s="1031" t="s">
        <v>1029</v>
      </c>
      <c r="C1474" s="644">
        <f>CEILING(65*$Z$1,0.1)</f>
        <v>81.30000000000001</v>
      </c>
      <c r="D1474" s="645"/>
      <c r="E1474" s="1020"/>
      <c r="F1474" s="1020"/>
      <c r="G1474" s="1020"/>
      <c r="H1474" s="1020"/>
      <c r="I1474" s="1021"/>
      <c r="J1474" s="1021"/>
      <c r="K1474" s="105"/>
      <c r="L1474" s="105"/>
      <c r="M1474" s="106"/>
      <c r="N1474" s="106"/>
      <c r="W1474" s="1311"/>
      <c r="X1474" s="1311"/>
      <c r="Y1474" s="1311"/>
    </row>
    <row r="1475" spans="1:25" s="100" customFormat="1" ht="34.5" customHeight="1">
      <c r="A1475" s="297" t="s">
        <v>49</v>
      </c>
      <c r="B1475" s="106" t="s">
        <v>1030</v>
      </c>
      <c r="C1475" s="641">
        <f>CEILING((C1474+25*$Z$1),0.1)</f>
        <v>112.60000000000001</v>
      </c>
      <c r="D1475" s="646"/>
      <c r="E1475" s="1020"/>
      <c r="F1475" s="1020"/>
      <c r="G1475" s="1020"/>
      <c r="H1475" s="1020"/>
      <c r="I1475" s="1021"/>
      <c r="J1475" s="1021"/>
      <c r="K1475" s="105"/>
      <c r="L1475" s="105"/>
      <c r="M1475" s="106"/>
      <c r="N1475" s="106"/>
      <c r="W1475" s="1311"/>
      <c r="X1475" s="1311"/>
      <c r="Y1475" s="1311"/>
    </row>
    <row r="1476" spans="1:25" s="100" customFormat="1" ht="34.5" customHeight="1">
      <c r="A1476" s="297"/>
      <c r="B1476" s="476" t="s">
        <v>67</v>
      </c>
      <c r="C1476" s="641">
        <f>CEILING((C1474*0.85),0.1)</f>
        <v>69.2</v>
      </c>
      <c r="D1476" s="646"/>
      <c r="E1476" s="1020"/>
      <c r="F1476" s="1020"/>
      <c r="G1476" s="1020"/>
      <c r="H1476" s="1020"/>
      <c r="I1476" s="1021"/>
      <c r="J1476" s="1021"/>
      <c r="K1476" s="105"/>
      <c r="L1476" s="105"/>
      <c r="M1476" s="106"/>
      <c r="N1476" s="106"/>
      <c r="W1476" s="1311"/>
      <c r="X1476" s="1311"/>
      <c r="Y1476" s="1311"/>
    </row>
    <row r="1477" spans="1:25" s="100" customFormat="1" ht="34.5" customHeight="1" thickBot="1">
      <c r="A1477" s="1032" t="s">
        <v>1281</v>
      </c>
      <c r="B1477" s="1030" t="s">
        <v>484</v>
      </c>
      <c r="C1477" s="641">
        <f>CEILING((C1474*0.5),0.1)</f>
        <v>40.7</v>
      </c>
      <c r="D1477" s="649"/>
      <c r="E1477" s="1020"/>
      <c r="F1477" s="1020"/>
      <c r="G1477" s="1020"/>
      <c r="H1477" s="1020"/>
      <c r="I1477" s="1021"/>
      <c r="J1477" s="1021"/>
      <c r="K1477" s="105"/>
      <c r="L1477" s="105"/>
      <c r="M1477" s="106"/>
      <c r="N1477" s="106"/>
      <c r="W1477" s="1311"/>
      <c r="X1477" s="1311"/>
      <c r="Y1477" s="1311"/>
    </row>
    <row r="1478" spans="1:25" s="100" customFormat="1" ht="34.5" customHeight="1" thickTop="1">
      <c r="A1478" s="487"/>
      <c r="B1478" s="106" t="s">
        <v>1031</v>
      </c>
      <c r="C1478" s="683">
        <f>CEILING(90*$Z$1,0.1)</f>
        <v>112.5</v>
      </c>
      <c r="D1478" s="684"/>
      <c r="E1478" s="1020"/>
      <c r="F1478" s="1020"/>
      <c r="G1478" s="1020"/>
      <c r="H1478" s="1020"/>
      <c r="I1478" s="1021"/>
      <c r="J1478" s="1021"/>
      <c r="K1478" s="105"/>
      <c r="L1478" s="105"/>
      <c r="M1478" s="106"/>
      <c r="N1478" s="106"/>
      <c r="W1478" s="1311"/>
      <c r="X1478" s="1311"/>
      <c r="Y1478" s="1311"/>
    </row>
    <row r="1479" spans="1:25" s="100" customFormat="1" ht="34.5" customHeight="1">
      <c r="A1479" s="297"/>
      <c r="B1479" s="106" t="s">
        <v>1032</v>
      </c>
      <c r="C1479" s="641">
        <f>CEILING((C1478+25*$Z$1),0.1)</f>
        <v>143.8</v>
      </c>
      <c r="D1479" s="646"/>
      <c r="E1479" s="1020"/>
      <c r="F1479" s="1020"/>
      <c r="G1479" s="1020"/>
      <c r="H1479" s="1020"/>
      <c r="I1479" s="1021"/>
      <c r="J1479" s="1021"/>
      <c r="K1479" s="105"/>
      <c r="L1479" s="105"/>
      <c r="M1479" s="106"/>
      <c r="N1479" s="106"/>
      <c r="W1479" s="1311"/>
      <c r="X1479" s="1311"/>
      <c r="Y1479" s="1311"/>
    </row>
    <row r="1480" spans="1:25" s="100" customFormat="1" ht="34.5" customHeight="1">
      <c r="A1480" s="297"/>
      <c r="B1480" s="476" t="s">
        <v>67</v>
      </c>
      <c r="C1480" s="641">
        <f>CEILING((C1478*0.85),0.1)</f>
        <v>95.7</v>
      </c>
      <c r="D1480" s="646"/>
      <c r="E1480" s="1020"/>
      <c r="F1480" s="1020"/>
      <c r="G1480" s="1020"/>
      <c r="H1480" s="1020"/>
      <c r="I1480" s="1021"/>
      <c r="J1480" s="1021"/>
      <c r="K1480" s="105"/>
      <c r="L1480" s="105"/>
      <c r="M1480" s="106"/>
      <c r="N1480" s="106"/>
      <c r="W1480" s="1311"/>
      <c r="X1480" s="1311"/>
      <c r="Y1480" s="1311"/>
    </row>
    <row r="1481" spans="1:25" s="100" customFormat="1" ht="34.5" customHeight="1" thickBot="1">
      <c r="A1481" s="1032"/>
      <c r="B1481" s="1030" t="s">
        <v>484</v>
      </c>
      <c r="C1481" s="641">
        <f>CEILING((C1478*0.5),0.1)</f>
        <v>56.300000000000004</v>
      </c>
      <c r="D1481" s="649"/>
      <c r="E1481" s="1020"/>
      <c r="F1481" s="1020"/>
      <c r="G1481" s="1020"/>
      <c r="H1481" s="1020"/>
      <c r="I1481" s="1021"/>
      <c r="J1481" s="1021"/>
      <c r="K1481" s="105"/>
      <c r="L1481" s="105"/>
      <c r="M1481" s="106"/>
      <c r="N1481" s="106"/>
      <c r="W1481" s="1311"/>
      <c r="X1481" s="1311"/>
      <c r="Y1481" s="1311"/>
    </row>
    <row r="1482" spans="1:25" s="100" customFormat="1" ht="34.5" customHeight="1" thickTop="1">
      <c r="A1482" s="487"/>
      <c r="B1482" s="106" t="s">
        <v>1034</v>
      </c>
      <c r="C1482" s="683">
        <f>CEILING(140*$Z$1,0.1)</f>
        <v>175</v>
      </c>
      <c r="D1482" s="684"/>
      <c r="E1482" s="1020"/>
      <c r="F1482" s="1020"/>
      <c r="G1482" s="1020"/>
      <c r="H1482" s="1020"/>
      <c r="I1482" s="1021"/>
      <c r="J1482" s="1021"/>
      <c r="K1482" s="105"/>
      <c r="L1482" s="105"/>
      <c r="M1482" s="106"/>
      <c r="N1482" s="106"/>
      <c r="W1482" s="1311"/>
      <c r="X1482" s="1311"/>
      <c r="Y1482" s="1311"/>
    </row>
    <row r="1483" spans="1:25" s="100" customFormat="1" ht="34.5" customHeight="1">
      <c r="A1483" s="297"/>
      <c r="B1483" s="106" t="s">
        <v>1035</v>
      </c>
      <c r="C1483" s="641">
        <f>CEILING((C1482+25*$Z$1),0.1)</f>
        <v>206.3</v>
      </c>
      <c r="D1483" s="646"/>
      <c r="E1483" s="1020"/>
      <c r="F1483" s="1020"/>
      <c r="G1483" s="1020"/>
      <c r="H1483" s="1020"/>
      <c r="I1483" s="1021"/>
      <c r="J1483" s="1021"/>
      <c r="K1483" s="105"/>
      <c r="L1483" s="105"/>
      <c r="M1483" s="106"/>
      <c r="N1483" s="106"/>
      <c r="W1483" s="1311"/>
      <c r="X1483" s="1311"/>
      <c r="Y1483" s="1311"/>
    </row>
    <row r="1484" spans="1:25" s="100" customFormat="1" ht="34.5" customHeight="1">
      <c r="A1484" s="297"/>
      <c r="B1484" s="476" t="s">
        <v>67</v>
      </c>
      <c r="C1484" s="641">
        <f>CEILING((C1482*0.85),0.1)</f>
        <v>148.8</v>
      </c>
      <c r="D1484" s="646"/>
      <c r="E1484" s="1020"/>
      <c r="F1484" s="1020"/>
      <c r="G1484" s="1020"/>
      <c r="H1484" s="1020"/>
      <c r="I1484" s="1021"/>
      <c r="J1484" s="1021"/>
      <c r="K1484" s="105"/>
      <c r="L1484" s="105"/>
      <c r="M1484" s="106"/>
      <c r="N1484" s="106"/>
      <c r="W1484" s="1311"/>
      <c r="X1484" s="1311"/>
      <c r="Y1484" s="1311"/>
    </row>
    <row r="1485" spans="1:25" s="100" customFormat="1" ht="34.5" customHeight="1" thickBot="1">
      <c r="A1485" s="668" t="s">
        <v>592</v>
      </c>
      <c r="B1485" s="381" t="s">
        <v>484</v>
      </c>
      <c r="C1485" s="648">
        <f>CEILING((C1482*0.5),0.1)</f>
        <v>87.5</v>
      </c>
      <c r="D1485" s="649"/>
      <c r="E1485" s="1020"/>
      <c r="F1485" s="1020"/>
      <c r="G1485" s="1020"/>
      <c r="H1485" s="1020"/>
      <c r="I1485" s="1021"/>
      <c r="J1485" s="1021"/>
      <c r="K1485" s="105"/>
      <c r="L1485" s="105"/>
      <c r="M1485" s="106"/>
      <c r="N1485" s="106"/>
      <c r="W1485" s="1311"/>
      <c r="X1485" s="1311"/>
      <c r="Y1485" s="1311"/>
    </row>
    <row r="1486" spans="1:25" s="94" customFormat="1" ht="34.5" customHeight="1" thickTop="1">
      <c r="A1486" s="1222" t="s">
        <v>814</v>
      </c>
      <c r="B1486" s="1222"/>
      <c r="C1486" s="1222"/>
      <c r="D1486" s="1222"/>
      <c r="E1486" s="1222"/>
      <c r="F1486" s="1222"/>
      <c r="G1486" s="1222"/>
      <c r="H1486" s="1222"/>
      <c r="I1486" s="1222"/>
      <c r="J1486" s="1222"/>
      <c r="K1486" s="1018"/>
      <c r="L1486" s="1018"/>
      <c r="M1486" s="1019"/>
      <c r="N1486" s="1019"/>
      <c r="O1486" s="92"/>
      <c r="P1486" s="92"/>
      <c r="Q1486" s="92"/>
      <c r="R1486" s="1019"/>
      <c r="S1486" s="1019"/>
      <c r="T1486" s="1019"/>
      <c r="U1486" s="1019"/>
      <c r="V1486" s="92"/>
      <c r="W1486" s="1311"/>
      <c r="X1486" s="1311"/>
      <c r="Y1486" s="1311"/>
    </row>
    <row r="1487" spans="1:25" s="133" customFormat="1" ht="34.5" customHeight="1">
      <c r="A1487" s="339" t="s">
        <v>1036</v>
      </c>
      <c r="B1487" s="339"/>
      <c r="C1487" s="339"/>
      <c r="D1487" s="339"/>
      <c r="E1487" s="339"/>
      <c r="F1487" s="339"/>
      <c r="G1487" s="339"/>
      <c r="H1487" s="339"/>
      <c r="I1487" s="339"/>
      <c r="J1487" s="459"/>
      <c r="K1487" s="423"/>
      <c r="L1487" s="135"/>
      <c r="M1487" s="1018"/>
      <c r="N1487" s="1018"/>
      <c r="O1487" s="129"/>
      <c r="P1487" s="129"/>
      <c r="Q1487" s="129"/>
      <c r="R1487" s="129"/>
      <c r="S1487" s="129"/>
      <c r="T1487" s="129"/>
      <c r="U1487" s="129"/>
      <c r="V1487" s="129"/>
      <c r="W1487" s="1311"/>
      <c r="X1487" s="1311"/>
      <c r="Y1487" s="1311"/>
    </row>
    <row r="1488" spans="1:25" s="145" customFormat="1" ht="34.5" customHeight="1">
      <c r="A1488" s="141"/>
      <c r="B1488" s="156"/>
      <c r="C1488" s="141"/>
      <c r="D1488" s="141"/>
      <c r="E1488" s="141"/>
      <c r="F1488" s="141"/>
      <c r="G1488" s="141"/>
      <c r="H1488" s="141"/>
      <c r="I1488" s="157"/>
      <c r="J1488" s="157"/>
      <c r="K1488" s="158"/>
      <c r="L1488" s="158"/>
      <c r="M1488" s="159"/>
      <c r="N1488" s="159"/>
      <c r="O1488" s="144"/>
      <c r="P1488" s="144"/>
      <c r="Q1488" s="144"/>
      <c r="R1488" s="144"/>
      <c r="S1488" s="144"/>
      <c r="T1488" s="144"/>
      <c r="U1488" s="144"/>
      <c r="V1488" s="144"/>
      <c r="W1488" s="1311"/>
      <c r="X1488" s="1311"/>
      <c r="Y1488" s="1311"/>
    </row>
    <row r="1489" spans="1:25" s="145" customFormat="1" ht="34.5" customHeight="1">
      <c r="A1489" s="837" t="s">
        <v>33</v>
      </c>
      <c r="B1489" s="838" t="s">
        <v>86</v>
      </c>
      <c r="C1489" s="839" t="s">
        <v>847</v>
      </c>
      <c r="D1489" s="840"/>
      <c r="E1489" s="841" t="s">
        <v>870</v>
      </c>
      <c r="F1489" s="842"/>
      <c r="G1489" s="841" t="s">
        <v>850</v>
      </c>
      <c r="H1489" s="842"/>
      <c r="I1489" s="841" t="s">
        <v>851</v>
      </c>
      <c r="J1489" s="842"/>
      <c r="K1489" s="841" t="s">
        <v>852</v>
      </c>
      <c r="L1489" s="842"/>
      <c r="M1489" s="159"/>
      <c r="N1489" s="159"/>
      <c r="O1489" s="144"/>
      <c r="P1489" s="144"/>
      <c r="Q1489" s="144"/>
      <c r="R1489" s="144"/>
      <c r="S1489" s="144"/>
      <c r="T1489" s="144"/>
      <c r="U1489" s="144"/>
      <c r="V1489" s="144"/>
      <c r="W1489" s="1311"/>
      <c r="X1489" s="1311"/>
      <c r="Y1489" s="1311"/>
    </row>
    <row r="1490" spans="1:25" s="145" customFormat="1" ht="34.5" customHeight="1">
      <c r="A1490" s="384" t="s">
        <v>782</v>
      </c>
      <c r="B1490" s="192" t="s">
        <v>79</v>
      </c>
      <c r="C1490" s="644">
        <f>CEILING(65.92*$Z$1,0.1)</f>
        <v>82.4</v>
      </c>
      <c r="D1490" s="645"/>
      <c r="E1490" s="644">
        <f>CEILING(132.87*$Z$1,0.1)</f>
        <v>166.10000000000002</v>
      </c>
      <c r="F1490" s="645"/>
      <c r="G1490" s="644">
        <f>CEILING(113.3*$Z$1,0.1)</f>
        <v>141.70000000000002</v>
      </c>
      <c r="H1490" s="645"/>
      <c r="I1490" s="644">
        <f>CEILING(118.45*$Z$1,0.1)</f>
        <v>148.1</v>
      </c>
      <c r="J1490" s="645"/>
      <c r="K1490" s="644">
        <f>CEILING(101.97*$Z$1,0.1)</f>
        <v>127.5</v>
      </c>
      <c r="L1490" s="645"/>
      <c r="M1490" s="159"/>
      <c r="N1490" s="159"/>
      <c r="O1490" s="144"/>
      <c r="P1490" s="144"/>
      <c r="Q1490" s="144"/>
      <c r="R1490" s="144"/>
      <c r="S1490" s="144"/>
      <c r="T1490" s="144"/>
      <c r="U1490" s="144"/>
      <c r="V1490" s="144"/>
      <c r="W1490" s="1311"/>
      <c r="X1490" s="1311"/>
      <c r="Y1490" s="1311"/>
    </row>
    <row r="1491" spans="1:25" s="145" customFormat="1" ht="34.5" customHeight="1">
      <c r="A1491" s="244" t="s">
        <v>35</v>
      </c>
      <c r="B1491" s="192" t="s">
        <v>8</v>
      </c>
      <c r="C1491" s="641">
        <f>CEILING((C1490+40*$Z$1),0.1)</f>
        <v>132.4</v>
      </c>
      <c r="D1491" s="646"/>
      <c r="E1491" s="641">
        <f>CEILING((E1490+80*$Z$1),0.1)</f>
        <v>266.1</v>
      </c>
      <c r="F1491" s="646"/>
      <c r="G1491" s="641">
        <f>CEILING((G1490+70*$Z$1),0.1)</f>
        <v>229.20000000000002</v>
      </c>
      <c r="H1491" s="646"/>
      <c r="I1491" s="641">
        <f>CEILING((I1490+71*$Z$1),0.1)</f>
        <v>236.9</v>
      </c>
      <c r="J1491" s="646"/>
      <c r="K1491" s="641">
        <f>CEILING((K1490+61*$Z$1),0.1)</f>
        <v>203.8</v>
      </c>
      <c r="L1491" s="646"/>
      <c r="M1491" s="159"/>
      <c r="N1491" s="159"/>
      <c r="O1491" s="144"/>
      <c r="P1491" s="144"/>
      <c r="Q1491" s="144"/>
      <c r="R1491" s="144"/>
      <c r="S1491" s="144"/>
      <c r="T1491" s="144"/>
      <c r="U1491" s="144"/>
      <c r="V1491" s="144"/>
      <c r="W1491" s="1311"/>
      <c r="X1491" s="1311"/>
      <c r="Y1491" s="1311"/>
    </row>
    <row r="1492" spans="1:25" s="145" customFormat="1" ht="34.5" customHeight="1">
      <c r="A1492" s="655"/>
      <c r="B1492" s="321" t="s">
        <v>67</v>
      </c>
      <c r="C1492" s="641">
        <f>CEILING((C1490*0.95),0.1)</f>
        <v>78.30000000000001</v>
      </c>
      <c r="D1492" s="646"/>
      <c r="E1492" s="641">
        <f>CEILING((E1490*0.95),0.1)</f>
        <v>157.8</v>
      </c>
      <c r="F1492" s="646"/>
      <c r="G1492" s="641">
        <f>CEILING((G1490*0.95),0.1)</f>
        <v>134.70000000000002</v>
      </c>
      <c r="H1492" s="646"/>
      <c r="I1492" s="641">
        <f>CEILING((I1490*0.95),0.1)</f>
        <v>140.70000000000002</v>
      </c>
      <c r="J1492" s="646"/>
      <c r="K1492" s="641">
        <f>CEILING((K1490*0.95),0.1)</f>
        <v>121.2</v>
      </c>
      <c r="L1492" s="646"/>
      <c r="M1492" s="159"/>
      <c r="N1492" s="159"/>
      <c r="O1492" s="144"/>
      <c r="P1492" s="144"/>
      <c r="Q1492" s="144"/>
      <c r="R1492" s="144"/>
      <c r="S1492" s="144"/>
      <c r="T1492" s="144"/>
      <c r="U1492" s="144"/>
      <c r="V1492" s="144"/>
      <c r="W1492" s="1311"/>
      <c r="X1492" s="1311"/>
      <c r="Y1492" s="1311"/>
    </row>
    <row r="1493" spans="1:25" s="145" customFormat="1" ht="34.5" customHeight="1" thickBot="1">
      <c r="A1493" s="1015" t="s">
        <v>783</v>
      </c>
      <c r="B1493" s="656" t="s">
        <v>66</v>
      </c>
      <c r="C1493" s="665">
        <f>CEILING((C1490*0.9),0.1)</f>
        <v>74.2</v>
      </c>
      <c r="D1493" s="666"/>
      <c r="E1493" s="665">
        <f>CEILING((E1490*0.9),0.1)</f>
        <v>149.5</v>
      </c>
      <c r="F1493" s="666"/>
      <c r="G1493" s="665">
        <f>CEILING((G1490*0.9),0.1)</f>
        <v>127.60000000000001</v>
      </c>
      <c r="H1493" s="666"/>
      <c r="I1493" s="665">
        <f>CEILING((I1490*0.9),0.1)</f>
        <v>133.3</v>
      </c>
      <c r="J1493" s="666"/>
      <c r="K1493" s="665">
        <f>CEILING((K1490*0.9),0.1)</f>
        <v>114.80000000000001</v>
      </c>
      <c r="L1493" s="666"/>
      <c r="M1493" s="159"/>
      <c r="N1493" s="159"/>
      <c r="O1493" s="144"/>
      <c r="P1493" s="144"/>
      <c r="Q1493" s="144"/>
      <c r="R1493" s="144"/>
      <c r="S1493" s="144"/>
      <c r="T1493" s="144"/>
      <c r="U1493" s="144"/>
      <c r="V1493" s="144"/>
      <c r="W1493" s="1311"/>
      <c r="X1493" s="1311"/>
      <c r="Y1493" s="1311"/>
    </row>
    <row r="1494" spans="1:50" s="133" customFormat="1" ht="34.5" customHeight="1" thickTop="1">
      <c r="A1494" s="580" t="s">
        <v>1021</v>
      </c>
      <c r="B1494" s="498"/>
      <c r="C1494" s="498"/>
      <c r="D1494" s="498"/>
      <c r="E1494" s="498"/>
      <c r="F1494" s="498"/>
      <c r="G1494" s="498"/>
      <c r="H1494" s="498"/>
      <c r="I1494" s="498"/>
      <c r="J1494" s="498"/>
      <c r="K1494" s="498"/>
      <c r="L1494" s="498"/>
      <c r="M1494" s="106"/>
      <c r="N1494" s="106"/>
      <c r="O1494" s="132"/>
      <c r="P1494" s="132"/>
      <c r="Q1494" s="132"/>
      <c r="R1494" s="132"/>
      <c r="S1494" s="132"/>
      <c r="T1494" s="132"/>
      <c r="U1494" s="132"/>
      <c r="V1494" s="132"/>
      <c r="W1494" s="1311"/>
      <c r="X1494" s="1311"/>
      <c r="Y1494" s="1311"/>
      <c r="Z1494" s="132"/>
      <c r="AA1494" s="132"/>
      <c r="AB1494" s="132"/>
      <c r="AC1494" s="132"/>
      <c r="AD1494" s="132"/>
      <c r="AE1494" s="132"/>
      <c r="AF1494" s="132"/>
      <c r="AG1494" s="132"/>
      <c r="AH1494" s="132"/>
      <c r="AI1494" s="132"/>
      <c r="AJ1494" s="132"/>
      <c r="AK1494" s="132"/>
      <c r="AL1494" s="132"/>
      <c r="AM1494" s="132"/>
      <c r="AN1494" s="132"/>
      <c r="AO1494" s="132"/>
      <c r="AP1494" s="132"/>
      <c r="AQ1494" s="132"/>
      <c r="AR1494" s="132"/>
      <c r="AS1494" s="132"/>
      <c r="AT1494" s="132"/>
      <c r="AU1494" s="132"/>
      <c r="AV1494" s="132"/>
      <c r="AW1494" s="132"/>
      <c r="AX1494" s="132"/>
    </row>
    <row r="1495" spans="1:25" s="311" customFormat="1" ht="34.5" customHeight="1" thickBot="1">
      <c r="A1495" s="139"/>
      <c r="B1495" s="505"/>
      <c r="C1495" s="505"/>
      <c r="D1495" s="505"/>
      <c r="E1495" s="505"/>
      <c r="F1495" s="505"/>
      <c r="G1495" s="505"/>
      <c r="H1495" s="505"/>
      <c r="I1495" s="505"/>
      <c r="J1495" s="505"/>
      <c r="K1495" s="160"/>
      <c r="L1495" s="160"/>
      <c r="M1495" s="507"/>
      <c r="N1495" s="507"/>
      <c r="O1495" s="161"/>
      <c r="P1495" s="1016"/>
      <c r="Q1495" s="1016"/>
      <c r="R1495" s="507"/>
      <c r="S1495" s="507"/>
      <c r="T1495" s="507"/>
      <c r="U1495" s="507"/>
      <c r="V1495" s="1016"/>
      <c r="W1495" s="1311"/>
      <c r="X1495" s="1311"/>
      <c r="Y1495" s="1311"/>
    </row>
    <row r="1496" spans="1:25" s="145" customFormat="1" ht="34.5" customHeight="1" thickTop="1">
      <c r="A1496" s="826" t="s">
        <v>33</v>
      </c>
      <c r="B1496" s="827" t="s">
        <v>86</v>
      </c>
      <c r="C1496" s="828" t="s">
        <v>953</v>
      </c>
      <c r="D1496" s="829"/>
      <c r="E1496" s="828" t="s">
        <v>954</v>
      </c>
      <c r="F1496" s="829"/>
      <c r="G1496" s="1351"/>
      <c r="H1496" s="1351"/>
      <c r="I1496" s="157"/>
      <c r="J1496" s="157"/>
      <c r="K1496" s="158"/>
      <c r="L1496" s="158"/>
      <c r="M1496" s="159"/>
      <c r="N1496" s="159"/>
      <c r="O1496" s="144"/>
      <c r="P1496" s="144"/>
      <c r="Q1496" s="144"/>
      <c r="R1496" s="144"/>
      <c r="S1496" s="144"/>
      <c r="T1496" s="144"/>
      <c r="U1496" s="144"/>
      <c r="V1496" s="144"/>
      <c r="W1496" s="1311"/>
      <c r="X1496" s="1311"/>
      <c r="Y1496" s="1311"/>
    </row>
    <row r="1497" spans="1:47" s="136" customFormat="1" ht="34.5" customHeight="1">
      <c r="A1497" s="111"/>
      <c r="B1497" s="658" t="s">
        <v>41</v>
      </c>
      <c r="C1497" s="644">
        <f>CEILING(90*$Z$1,0.1)</f>
        <v>112.5</v>
      </c>
      <c r="D1497" s="645"/>
      <c r="E1497" s="644">
        <f>CEILING(70*$Z$1,0.1)</f>
        <v>87.5</v>
      </c>
      <c r="F1497" s="645"/>
      <c r="G1497" s="1351"/>
      <c r="H1497" s="1351"/>
      <c r="I1497" s="160"/>
      <c r="J1497" s="160"/>
      <c r="K1497" s="160"/>
      <c r="L1497" s="160"/>
      <c r="M1497" s="950"/>
      <c r="N1497" s="950"/>
      <c r="O1497" s="951"/>
      <c r="P1497" s="951"/>
      <c r="Q1497" s="950"/>
      <c r="R1497" s="950"/>
      <c r="S1497" s="951"/>
      <c r="T1497" s="1312"/>
      <c r="U1497" s="1312"/>
      <c r="V1497" s="1312"/>
      <c r="W1497" s="1312"/>
      <c r="X1497" s="1312"/>
      <c r="Y1497" s="1312"/>
      <c r="Z1497" s="1312"/>
      <c r="AA1497" s="951"/>
      <c r="AB1497" s="951"/>
      <c r="AC1497" s="951"/>
      <c r="AD1497" s="951"/>
      <c r="AE1497" s="951"/>
      <c r="AF1497" s="951"/>
      <c r="AG1497" s="951"/>
      <c r="AH1497" s="951"/>
      <c r="AI1497" s="951"/>
      <c r="AJ1497" s="951"/>
      <c r="AK1497" s="310"/>
      <c r="AL1497" s="310"/>
      <c r="AM1497" s="310"/>
      <c r="AN1497" s="310"/>
      <c r="AO1497" s="310"/>
      <c r="AP1497" s="310"/>
      <c r="AQ1497" s="310"/>
      <c r="AR1497" s="310"/>
      <c r="AS1497" s="310"/>
      <c r="AT1497" s="310"/>
      <c r="AU1497" s="310"/>
    </row>
    <row r="1498" spans="1:47" s="94" customFormat="1" ht="34.5" customHeight="1">
      <c r="A1498" s="659" t="s">
        <v>772</v>
      </c>
      <c r="B1498" s="464" t="s">
        <v>42</v>
      </c>
      <c r="C1498" s="641">
        <f>CEILING((C1497+40*$Z$1),0.1)</f>
        <v>162.5</v>
      </c>
      <c r="D1498" s="646"/>
      <c r="E1498" s="641">
        <f>CEILING((E1497+40*$Z$1),0.1)</f>
        <v>137.5</v>
      </c>
      <c r="F1498" s="646"/>
      <c r="G1498" s="1351"/>
      <c r="H1498" s="1351"/>
      <c r="I1498" s="160"/>
      <c r="J1498" s="160"/>
      <c r="K1498" s="160"/>
      <c r="L1498" s="160"/>
      <c r="M1498" s="160"/>
      <c r="N1498" s="160"/>
      <c r="O1498" s="951"/>
      <c r="P1498" s="951"/>
      <c r="Q1498" s="507"/>
      <c r="R1498" s="507"/>
      <c r="S1498" s="951"/>
      <c r="T1498" s="1312"/>
      <c r="U1498" s="1312"/>
      <c r="V1498" s="1312"/>
      <c r="W1498" s="1312"/>
      <c r="X1498" s="1312"/>
      <c r="Y1498" s="1312"/>
      <c r="Z1498" s="1312"/>
      <c r="AA1498" s="951"/>
      <c r="AB1498" s="951"/>
      <c r="AC1498" s="951"/>
      <c r="AD1498" s="951"/>
      <c r="AE1498" s="951"/>
      <c r="AF1498" s="951"/>
      <c r="AG1498" s="951"/>
      <c r="AH1498" s="951"/>
      <c r="AI1498" s="951"/>
      <c r="AJ1498" s="951"/>
      <c r="AK1498" s="310"/>
      <c r="AL1498" s="310"/>
      <c r="AM1498" s="310"/>
      <c r="AN1498" s="310"/>
      <c r="AO1498" s="310"/>
      <c r="AP1498" s="310"/>
      <c r="AQ1498" s="310"/>
      <c r="AR1498" s="310"/>
      <c r="AS1498" s="310"/>
      <c r="AT1498" s="310"/>
      <c r="AU1498" s="310"/>
    </row>
    <row r="1499" spans="1:47" s="94" customFormat="1" ht="34.5" customHeight="1">
      <c r="A1499" s="660" t="s">
        <v>49</v>
      </c>
      <c r="B1499" s="661" t="s">
        <v>67</v>
      </c>
      <c r="C1499" s="641">
        <f>CEILING((C1497*0.95),0.1)</f>
        <v>106.9</v>
      </c>
      <c r="D1499" s="646"/>
      <c r="E1499" s="641">
        <f>CEILING((E1497*0.95),0.1)</f>
        <v>83.2</v>
      </c>
      <c r="F1499" s="646"/>
      <c r="G1499" s="1351"/>
      <c r="H1499" s="1351"/>
      <c r="I1499" s="160"/>
      <c r="J1499" s="160"/>
      <c r="K1499" s="160"/>
      <c r="L1499" s="160"/>
      <c r="M1499" s="160"/>
      <c r="N1499" s="160"/>
      <c r="O1499" s="951"/>
      <c r="P1499" s="951"/>
      <c r="Q1499" s="507"/>
      <c r="R1499" s="507"/>
      <c r="S1499" s="951"/>
      <c r="T1499" s="1312"/>
      <c r="U1499" s="1312"/>
      <c r="V1499" s="1312"/>
      <c r="W1499" s="1312"/>
      <c r="X1499" s="1312"/>
      <c r="Y1499" s="1312"/>
      <c r="Z1499" s="1312"/>
      <c r="AA1499" s="951"/>
      <c r="AB1499" s="951"/>
      <c r="AC1499" s="951"/>
      <c r="AD1499" s="951"/>
      <c r="AE1499" s="951"/>
      <c r="AF1499" s="951"/>
      <c r="AG1499" s="951"/>
      <c r="AH1499" s="951"/>
      <c r="AI1499" s="951"/>
      <c r="AJ1499" s="951"/>
      <c r="AK1499" s="310"/>
      <c r="AL1499" s="310"/>
      <c r="AM1499" s="310"/>
      <c r="AN1499" s="310"/>
      <c r="AO1499" s="310"/>
      <c r="AP1499" s="310"/>
      <c r="AQ1499" s="310"/>
      <c r="AR1499" s="310"/>
      <c r="AS1499" s="310"/>
      <c r="AT1499" s="310"/>
      <c r="AU1499" s="310"/>
    </row>
    <row r="1500" spans="1:47" s="94" customFormat="1" ht="34.5" customHeight="1">
      <c r="A1500" s="662"/>
      <c r="B1500" s="340" t="s">
        <v>66</v>
      </c>
      <c r="C1500" s="641">
        <f>CEILING((C1497*0.5),0.1)</f>
        <v>56.300000000000004</v>
      </c>
      <c r="D1500" s="646"/>
      <c r="E1500" s="641">
        <f>CEILING((E1497*0.5),0.1)</f>
        <v>43.800000000000004</v>
      </c>
      <c r="F1500" s="646"/>
      <c r="G1500" s="1351"/>
      <c r="H1500" s="1351"/>
      <c r="I1500" s="160"/>
      <c r="J1500" s="160"/>
      <c r="K1500" s="160"/>
      <c r="L1500" s="160"/>
      <c r="M1500" s="160"/>
      <c r="N1500" s="160"/>
      <c r="O1500" s="951"/>
      <c r="P1500" s="951"/>
      <c r="Q1500" s="507"/>
      <c r="R1500" s="507"/>
      <c r="S1500" s="951"/>
      <c r="T1500" s="1312"/>
      <c r="U1500" s="1312"/>
      <c r="V1500" s="1312"/>
      <c r="W1500" s="1312"/>
      <c r="X1500" s="1312"/>
      <c r="Y1500" s="1312"/>
      <c r="Z1500" s="1312"/>
      <c r="AA1500" s="951"/>
      <c r="AB1500" s="951"/>
      <c r="AC1500" s="951"/>
      <c r="AD1500" s="951"/>
      <c r="AE1500" s="951"/>
      <c r="AF1500" s="951"/>
      <c r="AG1500" s="951"/>
      <c r="AH1500" s="951"/>
      <c r="AI1500" s="951"/>
      <c r="AJ1500" s="951"/>
      <c r="AK1500" s="310"/>
      <c r="AL1500" s="310"/>
      <c r="AM1500" s="310"/>
      <c r="AN1500" s="310"/>
      <c r="AO1500" s="310"/>
      <c r="AP1500" s="310"/>
      <c r="AQ1500" s="310"/>
      <c r="AR1500" s="310"/>
      <c r="AS1500" s="310"/>
      <c r="AT1500" s="310"/>
      <c r="AU1500" s="310"/>
    </row>
    <row r="1501" spans="1:47" s="94" customFormat="1" ht="34.5" customHeight="1">
      <c r="A1501" s="662"/>
      <c r="B1501" s="340" t="s">
        <v>764</v>
      </c>
      <c r="C1501" s="641">
        <f>CEILING(100*$Z$1,0.1)</f>
        <v>125</v>
      </c>
      <c r="D1501" s="646"/>
      <c r="E1501" s="641">
        <f>CEILING(80*$Z$1,0.1)</f>
        <v>100</v>
      </c>
      <c r="F1501" s="646"/>
      <c r="G1501" s="1351"/>
      <c r="H1501" s="1351"/>
      <c r="I1501" s="160"/>
      <c r="J1501" s="160"/>
      <c r="K1501" s="952"/>
      <c r="L1501" s="953"/>
      <c r="M1501" s="160"/>
      <c r="N1501" s="160"/>
      <c r="O1501" s="951"/>
      <c r="P1501" s="951"/>
      <c r="Q1501" s="507"/>
      <c r="R1501" s="507"/>
      <c r="S1501" s="951"/>
      <c r="T1501" s="1312"/>
      <c r="U1501" s="1312"/>
      <c r="V1501" s="1312"/>
      <c r="W1501" s="1312"/>
      <c r="X1501" s="1312"/>
      <c r="Y1501" s="1312"/>
      <c r="Z1501" s="1312"/>
      <c r="AA1501" s="951"/>
      <c r="AB1501" s="951"/>
      <c r="AC1501" s="951"/>
      <c r="AD1501" s="951"/>
      <c r="AE1501" s="951"/>
      <c r="AF1501" s="951"/>
      <c r="AG1501" s="951"/>
      <c r="AH1501" s="951"/>
      <c r="AI1501" s="951"/>
      <c r="AJ1501" s="951"/>
      <c r="AK1501" s="310"/>
      <c r="AL1501" s="310"/>
      <c r="AM1501" s="310"/>
      <c r="AN1501" s="310"/>
      <c r="AO1501" s="310"/>
      <c r="AP1501" s="310"/>
      <c r="AQ1501" s="310"/>
      <c r="AR1501" s="310"/>
      <c r="AS1501" s="310"/>
      <c r="AT1501" s="310"/>
      <c r="AU1501" s="310"/>
    </row>
    <row r="1502" spans="1:47" s="94" customFormat="1" ht="34.5" customHeight="1">
      <c r="A1502" s="663" t="s">
        <v>832</v>
      </c>
      <c r="B1502" s="664" t="s">
        <v>765</v>
      </c>
      <c r="C1502" s="665">
        <f>CEILING((C1501+40*$Z$1),0.1)</f>
        <v>175</v>
      </c>
      <c r="D1502" s="666"/>
      <c r="E1502" s="665">
        <f>CEILING((E1501+40*$Z$1),0.1)</f>
        <v>150</v>
      </c>
      <c r="F1502" s="666"/>
      <c r="G1502" s="1351"/>
      <c r="H1502" s="1351"/>
      <c r="I1502" s="160"/>
      <c r="J1502" s="160"/>
      <c r="K1502" s="954"/>
      <c r="L1502" s="954"/>
      <c r="M1502" s="160"/>
      <c r="N1502" s="160"/>
      <c r="O1502" s="951"/>
      <c r="P1502" s="951"/>
      <c r="Q1502" s="507"/>
      <c r="R1502" s="507"/>
      <c r="S1502" s="951"/>
      <c r="T1502" s="1312"/>
      <c r="U1502" s="1312"/>
      <c r="V1502" s="1312"/>
      <c r="W1502" s="1312"/>
      <c r="X1502" s="1312"/>
      <c r="Y1502" s="1312"/>
      <c r="Z1502" s="1312"/>
      <c r="AA1502" s="951"/>
      <c r="AB1502" s="951"/>
      <c r="AC1502" s="951"/>
      <c r="AD1502" s="951"/>
      <c r="AE1502" s="951"/>
      <c r="AF1502" s="951"/>
      <c r="AG1502" s="951"/>
      <c r="AH1502" s="951"/>
      <c r="AI1502" s="951"/>
      <c r="AJ1502" s="951"/>
      <c r="AK1502" s="310"/>
      <c r="AL1502" s="310"/>
      <c r="AM1502" s="310"/>
      <c r="AN1502" s="310"/>
      <c r="AO1502" s="310"/>
      <c r="AP1502" s="310"/>
      <c r="AQ1502" s="310"/>
      <c r="AR1502" s="310"/>
      <c r="AS1502" s="310"/>
      <c r="AT1502" s="310"/>
      <c r="AU1502" s="310"/>
    </row>
    <row r="1503" spans="1:47" s="133" customFormat="1" ht="34.5" customHeight="1">
      <c r="A1503" s="339" t="s">
        <v>390</v>
      </c>
      <c r="B1503" s="339"/>
      <c r="C1503" s="339"/>
      <c r="D1503" s="339"/>
      <c r="E1503" s="339"/>
      <c r="F1503" s="339"/>
      <c r="G1503" s="339"/>
      <c r="H1503" s="339"/>
      <c r="I1503" s="505"/>
      <c r="J1503" s="955"/>
      <c r="K1503" s="160"/>
      <c r="L1503" s="160"/>
      <c r="M1503" s="507"/>
      <c r="N1503" s="507"/>
      <c r="O1503" s="951"/>
      <c r="P1503" s="951"/>
      <c r="Q1503" s="951"/>
      <c r="R1503" s="507"/>
      <c r="S1503" s="507"/>
      <c r="T1503" s="1312"/>
      <c r="U1503" s="1312"/>
      <c r="V1503" s="1312"/>
      <c r="W1503" s="1312"/>
      <c r="X1503" s="1312"/>
      <c r="Y1503" s="1312"/>
      <c r="Z1503" s="1312"/>
      <c r="AA1503" s="951"/>
      <c r="AB1503" s="951"/>
      <c r="AC1503" s="951"/>
      <c r="AD1503" s="951"/>
      <c r="AE1503" s="951"/>
      <c r="AF1503" s="951"/>
      <c r="AG1503" s="951"/>
      <c r="AH1503" s="951"/>
      <c r="AI1503" s="951"/>
      <c r="AJ1503" s="951"/>
      <c r="AK1503" s="310"/>
      <c r="AL1503" s="310"/>
      <c r="AM1503" s="310"/>
      <c r="AN1503" s="310"/>
      <c r="AO1503" s="310"/>
      <c r="AP1503" s="310"/>
      <c r="AQ1503" s="310"/>
      <c r="AR1503" s="310"/>
      <c r="AS1503" s="310"/>
      <c r="AT1503" s="310"/>
      <c r="AU1503" s="310"/>
    </row>
    <row r="1504" spans="1:47" s="911" customFormat="1" ht="29.25" customHeight="1">
      <c r="A1504" s="339" t="s">
        <v>955</v>
      </c>
      <c r="B1504" s="498"/>
      <c r="C1504" s="339"/>
      <c r="D1504" s="339"/>
      <c r="E1504" s="339"/>
      <c r="F1504" s="339"/>
      <c r="G1504" s="339"/>
      <c r="H1504" s="339"/>
      <c r="I1504" s="1067"/>
      <c r="J1504" s="1067"/>
      <c r="K1504" s="105"/>
      <c r="L1504" s="105"/>
      <c r="M1504" s="106"/>
      <c r="N1504" s="106"/>
      <c r="O1504" s="131"/>
      <c r="P1504" s="131"/>
      <c r="Q1504" s="131"/>
      <c r="R1504" s="131"/>
      <c r="S1504" s="131"/>
      <c r="T1504" s="1312"/>
      <c r="U1504" s="1312"/>
      <c r="V1504" s="1312"/>
      <c r="W1504" s="1312"/>
      <c r="X1504" s="1312"/>
      <c r="Y1504" s="1312"/>
      <c r="Z1504" s="1312"/>
      <c r="AA1504" s="131"/>
      <c r="AB1504" s="131"/>
      <c r="AC1504" s="131"/>
      <c r="AD1504" s="131"/>
      <c r="AE1504" s="131"/>
      <c r="AF1504" s="131"/>
      <c r="AG1504" s="131"/>
      <c r="AH1504" s="131"/>
      <c r="AI1504" s="131"/>
      <c r="AJ1504" s="131"/>
      <c r="AK1504" s="131"/>
      <c r="AL1504" s="131"/>
      <c r="AM1504" s="131"/>
      <c r="AN1504" s="131"/>
      <c r="AO1504" s="131"/>
      <c r="AP1504" s="131"/>
      <c r="AQ1504" s="131"/>
      <c r="AR1504" s="131"/>
      <c r="AS1504" s="131"/>
      <c r="AT1504" s="131"/>
      <c r="AU1504" s="131"/>
    </row>
    <row r="1505" spans="1:47" s="121" customFormat="1" ht="34.5" customHeight="1" thickBot="1">
      <c r="A1505" s="234"/>
      <c r="B1505" s="391"/>
      <c r="C1505" s="391"/>
      <c r="D1505" s="391"/>
      <c r="E1505" s="391"/>
      <c r="F1505" s="391"/>
      <c r="G1505" s="391"/>
      <c r="H1505" s="391"/>
      <c r="I1505" s="505"/>
      <c r="J1505" s="505"/>
      <c r="K1505" s="160"/>
      <c r="L1505" s="160"/>
      <c r="M1505" s="160"/>
      <c r="N1505" s="160"/>
      <c r="O1505" s="951"/>
      <c r="P1505" s="951"/>
      <c r="Q1505" s="951"/>
      <c r="R1505" s="951"/>
      <c r="S1505" s="951"/>
      <c r="T1505" s="1312"/>
      <c r="U1505" s="1312"/>
      <c r="V1505" s="1312"/>
      <c r="W1505" s="1312"/>
      <c r="X1505" s="1312"/>
      <c r="Y1505" s="1312"/>
      <c r="Z1505" s="1312"/>
      <c r="AA1505" s="951"/>
      <c r="AB1505" s="951"/>
      <c r="AC1505" s="951"/>
      <c r="AD1505" s="951"/>
      <c r="AE1505" s="951"/>
      <c r="AF1505" s="951"/>
      <c r="AG1505" s="951"/>
      <c r="AH1505" s="951"/>
      <c r="AI1505" s="951"/>
      <c r="AJ1505" s="951"/>
      <c r="AK1505" s="951"/>
      <c r="AL1505" s="951"/>
      <c r="AM1505" s="951"/>
      <c r="AN1505" s="951"/>
      <c r="AO1505" s="951"/>
      <c r="AP1505" s="951"/>
      <c r="AQ1505" s="951"/>
      <c r="AR1505" s="951"/>
      <c r="AS1505" s="951"/>
      <c r="AT1505" s="951"/>
      <c r="AU1505" s="951"/>
    </row>
    <row r="1506" spans="1:42" s="167" customFormat="1" ht="34.5" customHeight="1" thickTop="1">
      <c r="A1506" s="826" t="s">
        <v>33</v>
      </c>
      <c r="B1506" s="827" t="s">
        <v>86</v>
      </c>
      <c r="C1506" s="828" t="s">
        <v>931</v>
      </c>
      <c r="D1506" s="829"/>
      <c r="E1506" s="830" t="s">
        <v>964</v>
      </c>
      <c r="F1506" s="831"/>
      <c r="G1506" s="830" t="s">
        <v>965</v>
      </c>
      <c r="H1506" s="831"/>
      <c r="I1506" s="830" t="s">
        <v>850</v>
      </c>
      <c r="J1506" s="831"/>
      <c r="K1506" s="830" t="s">
        <v>851</v>
      </c>
      <c r="L1506" s="831"/>
      <c r="M1506" s="830" t="s">
        <v>852</v>
      </c>
      <c r="N1506" s="831"/>
      <c r="O1506" s="166"/>
      <c r="P1506" s="166"/>
      <c r="Q1506" s="166"/>
      <c r="R1506" s="166"/>
      <c r="S1506" s="166"/>
      <c r="T1506" s="1312"/>
      <c r="U1506" s="1312"/>
      <c r="V1506" s="1312"/>
      <c r="W1506" s="1312"/>
      <c r="X1506" s="1312"/>
      <c r="Y1506" s="1312"/>
      <c r="Z1506" s="1312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</row>
    <row r="1507" spans="1:47" s="94" customFormat="1" ht="34.5" customHeight="1">
      <c r="A1507" s="242" t="s">
        <v>963</v>
      </c>
      <c r="B1507" s="404" t="s">
        <v>41</v>
      </c>
      <c r="C1507" s="641">
        <f>CEILING(77*$Z$1,0.1)</f>
        <v>96.30000000000001</v>
      </c>
      <c r="D1507" s="646"/>
      <c r="E1507" s="641">
        <f>CEILING(72*$Z$1,0.1)</f>
        <v>90</v>
      </c>
      <c r="F1507" s="646"/>
      <c r="G1507" s="641">
        <f>CEILING(88*$Z$1,0.1)</f>
        <v>110</v>
      </c>
      <c r="H1507" s="646"/>
      <c r="I1507" s="641">
        <f>CEILING(77*$Z$1,0.1)</f>
        <v>96.30000000000001</v>
      </c>
      <c r="J1507" s="646"/>
      <c r="K1507" s="641">
        <f>CEILING(82*$Z$1,0.1)</f>
        <v>102.5</v>
      </c>
      <c r="L1507" s="646"/>
      <c r="M1507" s="641">
        <f>CEILING(72*$Z$1,0.1)</f>
        <v>90</v>
      </c>
      <c r="N1507" s="646"/>
      <c r="O1507" s="951"/>
      <c r="P1507" s="951"/>
      <c r="Q1507" s="951"/>
      <c r="R1507" s="951"/>
      <c r="S1507" s="951"/>
      <c r="T1507" s="1312"/>
      <c r="U1507" s="1312"/>
      <c r="V1507" s="1312"/>
      <c r="W1507" s="1312"/>
      <c r="X1507" s="1312"/>
      <c r="Y1507" s="1312"/>
      <c r="Z1507" s="1312"/>
      <c r="AA1507" s="951"/>
      <c r="AB1507" s="951"/>
      <c r="AC1507" s="951"/>
      <c r="AD1507" s="951"/>
      <c r="AE1507" s="951"/>
      <c r="AF1507" s="951"/>
      <c r="AG1507" s="951"/>
      <c r="AH1507" s="951"/>
      <c r="AI1507" s="951"/>
      <c r="AJ1507" s="951"/>
      <c r="AK1507" s="310"/>
      <c r="AL1507" s="310"/>
      <c r="AM1507" s="310"/>
      <c r="AN1507" s="310"/>
      <c r="AO1507" s="310"/>
      <c r="AP1507" s="310"/>
      <c r="AQ1507" s="310"/>
      <c r="AR1507" s="310"/>
      <c r="AS1507" s="310"/>
      <c r="AT1507" s="310"/>
      <c r="AU1507" s="310"/>
    </row>
    <row r="1508" spans="1:47" s="94" customFormat="1" ht="34.5" customHeight="1">
      <c r="A1508" s="244" t="s">
        <v>49</v>
      </c>
      <c r="B1508" s="340" t="s">
        <v>42</v>
      </c>
      <c r="C1508" s="641">
        <f>CEILING((C1507+35*$Z$1),0.1)</f>
        <v>140.1</v>
      </c>
      <c r="D1508" s="646"/>
      <c r="E1508" s="641">
        <f>CEILING((E1507+35*$Z$1),0.1)</f>
        <v>133.8</v>
      </c>
      <c r="F1508" s="646"/>
      <c r="G1508" s="641">
        <f>CEILING((G1507+35*$Z$1),0.1)</f>
        <v>153.8</v>
      </c>
      <c r="H1508" s="646"/>
      <c r="I1508" s="641">
        <f>CEILING((I1507+35*$Z$1),0.1)</f>
        <v>140.1</v>
      </c>
      <c r="J1508" s="646"/>
      <c r="K1508" s="641">
        <f>CEILING((K1507+35*$Z$1),0.1)</f>
        <v>146.3</v>
      </c>
      <c r="L1508" s="646"/>
      <c r="M1508" s="641">
        <f>CEILING((M1507+35*$Z$1),0.1)</f>
        <v>133.8</v>
      </c>
      <c r="N1508" s="646"/>
      <c r="O1508" s="951"/>
      <c r="P1508" s="951"/>
      <c r="Q1508" s="951"/>
      <c r="R1508" s="951"/>
      <c r="S1508" s="951"/>
      <c r="T1508" s="1312"/>
      <c r="U1508" s="1312"/>
      <c r="V1508" s="1312"/>
      <c r="W1508" s="1312"/>
      <c r="X1508" s="1312"/>
      <c r="Y1508" s="1312"/>
      <c r="Z1508" s="1312"/>
      <c r="AA1508" s="951"/>
      <c r="AB1508" s="951"/>
      <c r="AC1508" s="951"/>
      <c r="AD1508" s="951"/>
      <c r="AE1508" s="951"/>
      <c r="AF1508" s="951"/>
      <c r="AG1508" s="951"/>
      <c r="AH1508" s="951"/>
      <c r="AI1508" s="951"/>
      <c r="AJ1508" s="951"/>
      <c r="AK1508" s="310"/>
      <c r="AL1508" s="310"/>
      <c r="AM1508" s="310"/>
      <c r="AN1508" s="310"/>
      <c r="AO1508" s="310"/>
      <c r="AP1508" s="310"/>
      <c r="AQ1508" s="310"/>
      <c r="AR1508" s="310"/>
      <c r="AS1508" s="310"/>
      <c r="AT1508" s="310"/>
      <c r="AU1508" s="310"/>
    </row>
    <row r="1509" spans="1:47" s="94" customFormat="1" ht="34.5" customHeight="1">
      <c r="A1509" s="667"/>
      <c r="B1509" s="661" t="s">
        <v>67</v>
      </c>
      <c r="C1509" s="641">
        <f>CEILING((C1507*0.85),0.1)</f>
        <v>81.9</v>
      </c>
      <c r="D1509" s="646"/>
      <c r="E1509" s="641">
        <f>CEILING((E1507*0.85),0.1)</f>
        <v>76.5</v>
      </c>
      <c r="F1509" s="646"/>
      <c r="G1509" s="641">
        <f>CEILING((G1507*0.85),0.1)</f>
        <v>93.5</v>
      </c>
      <c r="H1509" s="646"/>
      <c r="I1509" s="641">
        <f>CEILING((I1507*0.85),0.1)</f>
        <v>81.9</v>
      </c>
      <c r="J1509" s="646"/>
      <c r="K1509" s="641">
        <f>CEILING((K1507*0.85),0.1)</f>
        <v>87.2</v>
      </c>
      <c r="L1509" s="646"/>
      <c r="M1509" s="641">
        <f>CEILING((M1507*0.85),0.1)</f>
        <v>76.5</v>
      </c>
      <c r="N1509" s="646"/>
      <c r="O1509" s="951"/>
      <c r="P1509" s="951"/>
      <c r="Q1509" s="951"/>
      <c r="R1509" s="951"/>
      <c r="S1509" s="951"/>
      <c r="T1509" s="1312"/>
      <c r="U1509" s="1312"/>
      <c r="V1509" s="1312"/>
      <c r="W1509" s="1312"/>
      <c r="X1509" s="1312"/>
      <c r="Y1509" s="1312"/>
      <c r="Z1509" s="1312"/>
      <c r="AA1509" s="951"/>
      <c r="AB1509" s="951"/>
      <c r="AC1509" s="951"/>
      <c r="AD1509" s="951"/>
      <c r="AE1509" s="951"/>
      <c r="AF1509" s="951"/>
      <c r="AG1509" s="951"/>
      <c r="AH1509" s="951"/>
      <c r="AI1509" s="951"/>
      <c r="AJ1509" s="951"/>
      <c r="AK1509" s="310"/>
      <c r="AL1509" s="310"/>
      <c r="AM1509" s="310"/>
      <c r="AN1509" s="310"/>
      <c r="AO1509" s="310"/>
      <c r="AP1509" s="310"/>
      <c r="AQ1509" s="310"/>
      <c r="AR1509" s="310"/>
      <c r="AS1509" s="310"/>
      <c r="AT1509" s="310"/>
      <c r="AU1509" s="310"/>
    </row>
    <row r="1510" spans="1:47" s="94" customFormat="1" ht="34.5" customHeight="1">
      <c r="A1510" s="141"/>
      <c r="B1510" s="340" t="s">
        <v>61</v>
      </c>
      <c r="C1510" s="641">
        <f>CEILING((C1507*0.5),0.1)</f>
        <v>48.2</v>
      </c>
      <c r="D1510" s="646"/>
      <c r="E1510" s="641">
        <f>CEILING((E1507*0.5),0.1)</f>
        <v>45</v>
      </c>
      <c r="F1510" s="646"/>
      <c r="G1510" s="641">
        <f>CEILING((G1507*0.5),0.1)</f>
        <v>55</v>
      </c>
      <c r="H1510" s="646"/>
      <c r="I1510" s="641">
        <f>CEILING((I1507*0.5),0.1)</f>
        <v>48.2</v>
      </c>
      <c r="J1510" s="646"/>
      <c r="K1510" s="641">
        <f>CEILING((K1507*0.5),0.1)</f>
        <v>51.300000000000004</v>
      </c>
      <c r="L1510" s="646"/>
      <c r="M1510" s="641">
        <f>CEILING((M1507*0.5),0.1)</f>
        <v>45</v>
      </c>
      <c r="N1510" s="646"/>
      <c r="O1510" s="951"/>
      <c r="P1510" s="951"/>
      <c r="Q1510" s="951"/>
      <c r="R1510" s="951"/>
      <c r="S1510" s="951"/>
      <c r="T1510" s="1312"/>
      <c r="U1510" s="1312"/>
      <c r="V1510" s="1312"/>
      <c r="W1510" s="1312"/>
      <c r="X1510" s="1312"/>
      <c r="Y1510" s="1312"/>
      <c r="Z1510" s="1312"/>
      <c r="AA1510" s="951"/>
      <c r="AB1510" s="951"/>
      <c r="AC1510" s="951"/>
      <c r="AD1510" s="951"/>
      <c r="AE1510" s="951"/>
      <c r="AF1510" s="951"/>
      <c r="AG1510" s="951"/>
      <c r="AH1510" s="951"/>
      <c r="AI1510" s="951"/>
      <c r="AJ1510" s="951"/>
      <c r="AK1510" s="310"/>
      <c r="AL1510" s="310"/>
      <c r="AM1510" s="310"/>
      <c r="AN1510" s="310"/>
      <c r="AO1510" s="310"/>
      <c r="AP1510" s="310"/>
      <c r="AQ1510" s="310"/>
      <c r="AR1510" s="310"/>
      <c r="AS1510" s="310"/>
      <c r="AT1510" s="310"/>
      <c r="AU1510" s="310"/>
    </row>
    <row r="1511" spans="1:47" s="94" customFormat="1" ht="34.5" customHeight="1">
      <c r="A1511" s="115"/>
      <c r="B1511" s="340" t="s">
        <v>5</v>
      </c>
      <c r="C1511" s="641">
        <f>CEILING(84*$Z$1,0.1)</f>
        <v>105</v>
      </c>
      <c r="D1511" s="646"/>
      <c r="E1511" s="641">
        <f>CEILING(79*$Z$1,0.1)</f>
        <v>98.80000000000001</v>
      </c>
      <c r="F1511" s="646"/>
      <c r="G1511" s="641">
        <f>CEILING(95*$Z$1,0.1)</f>
        <v>118.80000000000001</v>
      </c>
      <c r="H1511" s="646"/>
      <c r="I1511" s="641">
        <f>CEILING(84*$Z$1,0.1)</f>
        <v>105</v>
      </c>
      <c r="J1511" s="646"/>
      <c r="K1511" s="641">
        <f>CEILING(89*$Z$1,0.1)</f>
        <v>111.30000000000001</v>
      </c>
      <c r="L1511" s="646"/>
      <c r="M1511" s="641">
        <f>CEILING(79*$Z$1,0.1)</f>
        <v>98.80000000000001</v>
      </c>
      <c r="N1511" s="646"/>
      <c r="O1511" s="951"/>
      <c r="P1511" s="951"/>
      <c r="Q1511" s="951"/>
      <c r="R1511" s="951"/>
      <c r="S1511" s="951"/>
      <c r="T1511" s="1312"/>
      <c r="U1511" s="1312"/>
      <c r="V1511" s="1312"/>
      <c r="W1511" s="1312"/>
      <c r="X1511" s="1312"/>
      <c r="Y1511" s="1312"/>
      <c r="Z1511" s="1312"/>
      <c r="AA1511" s="951"/>
      <c r="AB1511" s="951"/>
      <c r="AC1511" s="951"/>
      <c r="AD1511" s="951"/>
      <c r="AE1511" s="951"/>
      <c r="AF1511" s="951"/>
      <c r="AG1511" s="951"/>
      <c r="AH1511" s="951"/>
      <c r="AI1511" s="951"/>
      <c r="AJ1511" s="951"/>
      <c r="AK1511" s="310"/>
      <c r="AL1511" s="310"/>
      <c r="AM1511" s="310"/>
      <c r="AN1511" s="310"/>
      <c r="AO1511" s="310"/>
      <c r="AP1511" s="310"/>
      <c r="AQ1511" s="310"/>
      <c r="AR1511" s="310"/>
      <c r="AS1511" s="310"/>
      <c r="AT1511" s="310"/>
      <c r="AU1511" s="310"/>
    </row>
    <row r="1512" spans="1:47" s="94" customFormat="1" ht="34.5" customHeight="1">
      <c r="A1512" s="244"/>
      <c r="B1512" s="340" t="s">
        <v>6</v>
      </c>
      <c r="C1512" s="641">
        <f>CEILING((C1511+35*$Z$1),0.1)</f>
        <v>148.8</v>
      </c>
      <c r="D1512" s="646"/>
      <c r="E1512" s="641">
        <f>CEILING((E1511+35*$Z$1),0.1)</f>
        <v>142.6</v>
      </c>
      <c r="F1512" s="646"/>
      <c r="G1512" s="641">
        <f>CEILING((G1511+35*$Z$1),0.1)</f>
        <v>162.60000000000002</v>
      </c>
      <c r="H1512" s="646"/>
      <c r="I1512" s="641">
        <f>CEILING((I1511+35*$Z$1),0.1)</f>
        <v>148.8</v>
      </c>
      <c r="J1512" s="646"/>
      <c r="K1512" s="641">
        <f>CEILING((K1511+35*$Z$1),0.1)</f>
        <v>155.10000000000002</v>
      </c>
      <c r="L1512" s="646"/>
      <c r="M1512" s="641">
        <f>CEILING((M1511+35*$Z$1),0.1)</f>
        <v>142.6</v>
      </c>
      <c r="N1512" s="646"/>
      <c r="O1512" s="951"/>
      <c r="P1512" s="951"/>
      <c r="Q1512" s="951"/>
      <c r="R1512" s="507"/>
      <c r="S1512" s="507"/>
      <c r="T1512" s="1312"/>
      <c r="U1512" s="1312"/>
      <c r="V1512" s="1312"/>
      <c r="W1512" s="1312"/>
      <c r="X1512" s="1312"/>
      <c r="Y1512" s="1312"/>
      <c r="Z1512" s="1312"/>
      <c r="AA1512" s="951"/>
      <c r="AB1512" s="951"/>
      <c r="AC1512" s="951"/>
      <c r="AD1512" s="951"/>
      <c r="AE1512" s="951"/>
      <c r="AF1512" s="951"/>
      <c r="AG1512" s="951"/>
      <c r="AH1512" s="951"/>
      <c r="AI1512" s="951"/>
      <c r="AJ1512" s="951"/>
      <c r="AK1512" s="310"/>
      <c r="AL1512" s="310"/>
      <c r="AM1512" s="310"/>
      <c r="AN1512" s="310"/>
      <c r="AO1512" s="310"/>
      <c r="AP1512" s="310"/>
      <c r="AQ1512" s="310"/>
      <c r="AR1512" s="310"/>
      <c r="AS1512" s="310"/>
      <c r="AT1512" s="310"/>
      <c r="AU1512" s="310"/>
    </row>
    <row r="1513" spans="1:47" s="94" customFormat="1" ht="34.5" customHeight="1">
      <c r="A1513" s="667"/>
      <c r="B1513" s="340" t="s">
        <v>152</v>
      </c>
      <c r="C1513" s="641">
        <f>CEILING(92*$Z$1,0.1)</f>
        <v>115</v>
      </c>
      <c r="D1513" s="646"/>
      <c r="E1513" s="641">
        <f>CEILING(87*$Z$1,0.1)</f>
        <v>108.80000000000001</v>
      </c>
      <c r="F1513" s="646"/>
      <c r="G1513" s="641">
        <f>CEILING(103*$Z$1,0.1)</f>
        <v>128.8</v>
      </c>
      <c r="H1513" s="646"/>
      <c r="I1513" s="641">
        <f>CEILING(92*$Z$1,0.1)</f>
        <v>115</v>
      </c>
      <c r="J1513" s="646"/>
      <c r="K1513" s="641">
        <f>CEILING(97*$Z$1,0.1)</f>
        <v>121.30000000000001</v>
      </c>
      <c r="L1513" s="646"/>
      <c r="M1513" s="641">
        <f>CEILING(87*$Z$1,0.1)</f>
        <v>108.80000000000001</v>
      </c>
      <c r="N1513" s="646"/>
      <c r="O1513" s="951"/>
      <c r="P1513" s="951"/>
      <c r="Q1513" s="951"/>
      <c r="R1513" s="1313"/>
      <c r="S1513" s="1313"/>
      <c r="T1513" s="1312"/>
      <c r="U1513" s="1312"/>
      <c r="V1513" s="1312"/>
      <c r="W1513" s="1312"/>
      <c r="X1513" s="1312"/>
      <c r="Y1513" s="1312"/>
      <c r="Z1513" s="1312"/>
      <c r="AA1513" s="951"/>
      <c r="AB1513" s="951"/>
      <c r="AC1513" s="951"/>
      <c r="AD1513" s="951"/>
      <c r="AE1513" s="951"/>
      <c r="AF1513" s="951"/>
      <c r="AG1513" s="951"/>
      <c r="AH1513" s="951"/>
      <c r="AI1513" s="951"/>
      <c r="AJ1513" s="951"/>
      <c r="AK1513" s="310"/>
      <c r="AL1513" s="310"/>
      <c r="AM1513" s="310"/>
      <c r="AN1513" s="310"/>
      <c r="AO1513" s="310"/>
      <c r="AP1513" s="310"/>
      <c r="AQ1513" s="310"/>
      <c r="AR1513" s="310"/>
      <c r="AS1513" s="310"/>
      <c r="AT1513" s="310"/>
      <c r="AU1513" s="310"/>
    </row>
    <row r="1514" spans="1:47" s="94" customFormat="1" ht="34.5" customHeight="1" thickBot="1">
      <c r="A1514" s="668" t="s">
        <v>766</v>
      </c>
      <c r="B1514" s="407" t="s">
        <v>153</v>
      </c>
      <c r="C1514" s="648">
        <f>CEILING((C1513+40*$Z$1),0.1)</f>
        <v>165</v>
      </c>
      <c r="D1514" s="649"/>
      <c r="E1514" s="648">
        <f>CEILING((E1513+40*$Z$1),0.1)</f>
        <v>158.8</v>
      </c>
      <c r="F1514" s="649"/>
      <c r="G1514" s="648">
        <f>CEILING((G1513+40*$Z$1),0.1)</f>
        <v>178.8</v>
      </c>
      <c r="H1514" s="649"/>
      <c r="I1514" s="648">
        <f>CEILING((I1513+40*$Z$1),0.1)</f>
        <v>165</v>
      </c>
      <c r="J1514" s="649"/>
      <c r="K1514" s="648">
        <f>CEILING((K1513+40*$Z$1),0.1)</f>
        <v>171.3</v>
      </c>
      <c r="L1514" s="649"/>
      <c r="M1514" s="648">
        <f>CEILING((M1513+40*$Z$1),0.1)</f>
        <v>158.8</v>
      </c>
      <c r="N1514" s="649"/>
      <c r="O1514" s="951"/>
      <c r="P1514" s="951"/>
      <c r="Q1514" s="951"/>
      <c r="R1514" s="950"/>
      <c r="S1514" s="950"/>
      <c r="T1514" s="1312"/>
      <c r="U1514" s="1312"/>
      <c r="V1514" s="1312"/>
      <c r="W1514" s="1312"/>
      <c r="X1514" s="1312"/>
      <c r="Y1514" s="1312"/>
      <c r="Z1514" s="1312"/>
      <c r="AA1514" s="951"/>
      <c r="AB1514" s="951"/>
      <c r="AC1514" s="951"/>
      <c r="AD1514" s="951"/>
      <c r="AE1514" s="951"/>
      <c r="AF1514" s="951"/>
      <c r="AG1514" s="951"/>
      <c r="AH1514" s="951"/>
      <c r="AI1514" s="951"/>
      <c r="AJ1514" s="951"/>
      <c r="AK1514" s="310"/>
      <c r="AL1514" s="310"/>
      <c r="AM1514" s="310"/>
      <c r="AN1514" s="310"/>
      <c r="AO1514" s="310"/>
      <c r="AP1514" s="310"/>
      <c r="AQ1514" s="310"/>
      <c r="AR1514" s="310"/>
      <c r="AS1514" s="310"/>
      <c r="AT1514" s="310"/>
      <c r="AU1514" s="310"/>
    </row>
    <row r="1515" spans="1:47" s="94" customFormat="1" ht="34.5" customHeight="1" thickTop="1">
      <c r="A1515" s="387" t="s">
        <v>966</v>
      </c>
      <c r="B1515" s="90"/>
      <c r="C1515" s="127"/>
      <c r="D1515" s="127"/>
      <c r="E1515" s="127"/>
      <c r="F1515" s="127"/>
      <c r="G1515" s="127"/>
      <c r="H1515" s="127"/>
      <c r="I1515" s="507"/>
      <c r="J1515" s="507"/>
      <c r="K1515" s="507"/>
      <c r="L1515" s="507"/>
      <c r="M1515" s="507"/>
      <c r="N1515" s="507"/>
      <c r="O1515" s="951"/>
      <c r="P1515" s="951"/>
      <c r="Q1515" s="951"/>
      <c r="R1515" s="507"/>
      <c r="S1515" s="507"/>
      <c r="T1515" s="1312"/>
      <c r="U1515" s="1312"/>
      <c r="V1515" s="1312"/>
      <c r="W1515" s="1312"/>
      <c r="X1515" s="1312"/>
      <c r="Y1515" s="1312"/>
      <c r="Z1515" s="1312"/>
      <c r="AA1515" s="951"/>
      <c r="AB1515" s="951"/>
      <c r="AC1515" s="951"/>
      <c r="AD1515" s="951"/>
      <c r="AE1515" s="951"/>
      <c r="AF1515" s="951"/>
      <c r="AG1515" s="951"/>
      <c r="AH1515" s="951"/>
      <c r="AI1515" s="951"/>
      <c r="AJ1515" s="951"/>
      <c r="AK1515" s="310"/>
      <c r="AL1515" s="310"/>
      <c r="AM1515" s="310"/>
      <c r="AN1515" s="310"/>
      <c r="AO1515" s="310"/>
      <c r="AP1515" s="310"/>
      <c r="AQ1515" s="310"/>
      <c r="AR1515" s="310"/>
      <c r="AS1515" s="310"/>
      <c r="AT1515" s="310"/>
      <c r="AU1515" s="310"/>
    </row>
    <row r="1516" spans="1:47" s="94" customFormat="1" ht="34.5" customHeight="1" thickBot="1">
      <c r="A1516" s="387"/>
      <c r="B1516" s="90"/>
      <c r="C1516" s="946"/>
      <c r="D1516" s="946"/>
      <c r="E1516" s="946"/>
      <c r="F1516" s="946"/>
      <c r="G1516" s="946"/>
      <c r="H1516" s="946"/>
      <c r="I1516" s="507"/>
      <c r="J1516" s="507"/>
      <c r="K1516" s="507"/>
      <c r="L1516" s="507"/>
      <c r="M1516" s="507"/>
      <c r="N1516" s="507"/>
      <c r="O1516" s="951"/>
      <c r="P1516" s="951"/>
      <c r="Q1516" s="951"/>
      <c r="R1516" s="507"/>
      <c r="S1516" s="507"/>
      <c r="T1516" s="1312"/>
      <c r="U1516" s="1312"/>
      <c r="V1516" s="1312"/>
      <c r="W1516" s="1312"/>
      <c r="X1516" s="1312"/>
      <c r="Y1516" s="1312"/>
      <c r="Z1516" s="1312"/>
      <c r="AA1516" s="951"/>
      <c r="AB1516" s="951"/>
      <c r="AC1516" s="951"/>
      <c r="AD1516" s="951"/>
      <c r="AE1516" s="951"/>
      <c r="AF1516" s="951"/>
      <c r="AG1516" s="951"/>
      <c r="AH1516" s="951"/>
      <c r="AI1516" s="951"/>
      <c r="AJ1516" s="951"/>
      <c r="AK1516" s="310"/>
      <c r="AL1516" s="310"/>
      <c r="AM1516" s="310"/>
      <c r="AN1516" s="310"/>
      <c r="AO1516" s="310"/>
      <c r="AP1516" s="310"/>
      <c r="AQ1516" s="310"/>
      <c r="AR1516" s="310"/>
      <c r="AS1516" s="310"/>
      <c r="AT1516" s="310"/>
      <c r="AU1516" s="310"/>
    </row>
    <row r="1517" spans="1:42" s="167" customFormat="1" ht="34.5" customHeight="1" thickTop="1">
      <c r="A1517" s="826" t="s">
        <v>33</v>
      </c>
      <c r="B1517" s="827" t="s">
        <v>86</v>
      </c>
      <c r="C1517" s="828" t="s">
        <v>931</v>
      </c>
      <c r="D1517" s="829"/>
      <c r="E1517" s="830" t="s">
        <v>964</v>
      </c>
      <c r="F1517" s="831"/>
      <c r="G1517" s="830" t="s">
        <v>965</v>
      </c>
      <c r="H1517" s="831"/>
      <c r="I1517" s="830" t="s">
        <v>850</v>
      </c>
      <c r="J1517" s="831"/>
      <c r="K1517" s="830" t="s">
        <v>851</v>
      </c>
      <c r="L1517" s="831"/>
      <c r="M1517" s="830" t="s">
        <v>852</v>
      </c>
      <c r="N1517" s="831"/>
      <c r="O1517" s="166"/>
      <c r="P1517" s="166"/>
      <c r="Q1517" s="166"/>
      <c r="R1517" s="166"/>
      <c r="S1517" s="166"/>
      <c r="T1517" s="1312"/>
      <c r="U1517" s="1312"/>
      <c r="V1517" s="1312"/>
      <c r="W1517" s="1312"/>
      <c r="X1517" s="1312"/>
      <c r="Y1517" s="1312"/>
      <c r="Z1517" s="1312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</row>
    <row r="1518" spans="1:47" s="121" customFormat="1" ht="34.5" customHeight="1">
      <c r="A1518" s="242" t="s">
        <v>967</v>
      </c>
      <c r="B1518" s="404" t="s">
        <v>41</v>
      </c>
      <c r="C1518" s="641">
        <f>CEILING(82*$Z$1,0.1)</f>
        <v>102.5</v>
      </c>
      <c r="D1518" s="646"/>
      <c r="E1518" s="641">
        <f>CEILING(77*$Z$1,0.1)</f>
        <v>96.30000000000001</v>
      </c>
      <c r="F1518" s="646"/>
      <c r="G1518" s="641">
        <f>CEILING(92*$Z$1,0.1)</f>
        <v>115</v>
      </c>
      <c r="H1518" s="646"/>
      <c r="I1518" s="641">
        <f>CEILING(82*$Z$1,0.1)</f>
        <v>102.5</v>
      </c>
      <c r="J1518" s="646"/>
      <c r="K1518" s="641">
        <f>CEILING(87*$Z$1,0.1)</f>
        <v>108.80000000000001</v>
      </c>
      <c r="L1518" s="646"/>
      <c r="M1518" s="641">
        <f>CEILING(77*$Z$1,0.1)</f>
        <v>96.30000000000001</v>
      </c>
      <c r="N1518" s="646"/>
      <c r="O1518" s="951"/>
      <c r="P1518" s="951"/>
      <c r="Q1518" s="951"/>
      <c r="R1518" s="951"/>
      <c r="S1518" s="951"/>
      <c r="T1518" s="1312"/>
      <c r="U1518" s="1312"/>
      <c r="V1518" s="1312"/>
      <c r="W1518" s="1312"/>
      <c r="X1518" s="1312"/>
      <c r="Y1518" s="1312"/>
      <c r="Z1518" s="1312"/>
      <c r="AA1518" s="951"/>
      <c r="AB1518" s="951"/>
      <c r="AC1518" s="951"/>
      <c r="AD1518" s="951"/>
      <c r="AE1518" s="951"/>
      <c r="AF1518" s="951"/>
      <c r="AG1518" s="951"/>
      <c r="AH1518" s="951"/>
      <c r="AI1518" s="951"/>
      <c r="AJ1518" s="951"/>
      <c r="AK1518" s="951"/>
      <c r="AL1518" s="951"/>
      <c r="AM1518" s="951"/>
      <c r="AN1518" s="951"/>
      <c r="AO1518" s="951"/>
      <c r="AP1518" s="951"/>
      <c r="AQ1518" s="951"/>
      <c r="AR1518" s="951"/>
      <c r="AS1518" s="951"/>
      <c r="AT1518" s="951"/>
      <c r="AU1518" s="951"/>
    </row>
    <row r="1519" spans="1:47" s="121" customFormat="1" ht="34.5" customHeight="1">
      <c r="A1519" s="244" t="s">
        <v>49</v>
      </c>
      <c r="B1519" s="340" t="s">
        <v>42</v>
      </c>
      <c r="C1519" s="641">
        <f>CEILING((C1518+35*$Z$1),0.1)</f>
        <v>146.3</v>
      </c>
      <c r="D1519" s="646"/>
      <c r="E1519" s="641">
        <f>CEILING((E1518+35*$Z$1),0.1)</f>
        <v>140.1</v>
      </c>
      <c r="F1519" s="646"/>
      <c r="G1519" s="641">
        <f>CEILING((G1518+35*$Z$1),0.1)</f>
        <v>158.8</v>
      </c>
      <c r="H1519" s="646"/>
      <c r="I1519" s="641">
        <f>CEILING((I1518+35*$Z$1),0.1)</f>
        <v>146.3</v>
      </c>
      <c r="J1519" s="646"/>
      <c r="K1519" s="641">
        <f>CEILING((K1518+35*$Z$1),0.1)</f>
        <v>152.6</v>
      </c>
      <c r="L1519" s="646"/>
      <c r="M1519" s="641">
        <f>CEILING((M1518+35*$Z$1),0.1)</f>
        <v>140.1</v>
      </c>
      <c r="N1519" s="646"/>
      <c r="O1519" s="951"/>
      <c r="P1519" s="951"/>
      <c r="Q1519" s="951"/>
      <c r="R1519" s="951"/>
      <c r="S1519" s="951"/>
      <c r="T1519" s="1312"/>
      <c r="U1519" s="1312"/>
      <c r="V1519" s="1312"/>
      <c r="W1519" s="1312"/>
      <c r="X1519" s="1312"/>
      <c r="Y1519" s="1312"/>
      <c r="Z1519" s="1312"/>
      <c r="AA1519" s="951"/>
      <c r="AB1519" s="951"/>
      <c r="AC1519" s="951"/>
      <c r="AD1519" s="951"/>
      <c r="AE1519" s="951"/>
      <c r="AF1519" s="951"/>
      <c r="AG1519" s="951"/>
      <c r="AH1519" s="951"/>
      <c r="AI1519" s="951"/>
      <c r="AJ1519" s="951"/>
      <c r="AK1519" s="951"/>
      <c r="AL1519" s="951"/>
      <c r="AM1519" s="951"/>
      <c r="AN1519" s="951"/>
      <c r="AO1519" s="951"/>
      <c r="AP1519" s="951"/>
      <c r="AQ1519" s="951"/>
      <c r="AR1519" s="951"/>
      <c r="AS1519" s="951"/>
      <c r="AT1519" s="951"/>
      <c r="AU1519" s="951"/>
    </row>
    <row r="1520" spans="1:47" s="121" customFormat="1" ht="34.5" customHeight="1">
      <c r="A1520" s="667"/>
      <c r="B1520" s="661" t="s">
        <v>67</v>
      </c>
      <c r="C1520" s="641">
        <f>CEILING((C1518*0.85),0.1)</f>
        <v>87.2</v>
      </c>
      <c r="D1520" s="646"/>
      <c r="E1520" s="641">
        <f>CEILING((E1518*0.85),0.1)</f>
        <v>81.9</v>
      </c>
      <c r="F1520" s="646"/>
      <c r="G1520" s="641">
        <f>CEILING((G1518*0.85),0.1)</f>
        <v>97.80000000000001</v>
      </c>
      <c r="H1520" s="646"/>
      <c r="I1520" s="641">
        <f>CEILING((I1518*0.85),0.1)</f>
        <v>87.2</v>
      </c>
      <c r="J1520" s="646"/>
      <c r="K1520" s="641">
        <f>CEILING((K1518*0.85),0.1)</f>
        <v>92.5</v>
      </c>
      <c r="L1520" s="646"/>
      <c r="M1520" s="641">
        <f>CEILING((M1518*0.85),0.1)</f>
        <v>81.9</v>
      </c>
      <c r="N1520" s="646"/>
      <c r="O1520" s="951"/>
      <c r="P1520" s="951"/>
      <c r="Q1520" s="951"/>
      <c r="R1520" s="951"/>
      <c r="S1520" s="951"/>
      <c r="T1520" s="1312"/>
      <c r="U1520" s="1312"/>
      <c r="V1520" s="1312"/>
      <c r="W1520" s="1312"/>
      <c r="X1520" s="1312"/>
      <c r="Y1520" s="1312"/>
      <c r="Z1520" s="1312"/>
      <c r="AA1520" s="951"/>
      <c r="AB1520" s="951"/>
      <c r="AC1520" s="951"/>
      <c r="AD1520" s="951"/>
      <c r="AE1520" s="951"/>
      <c r="AF1520" s="951"/>
      <c r="AG1520" s="951"/>
      <c r="AH1520" s="951"/>
      <c r="AI1520" s="951"/>
      <c r="AJ1520" s="951"/>
      <c r="AK1520" s="951"/>
      <c r="AL1520" s="951"/>
      <c r="AM1520" s="951"/>
      <c r="AN1520" s="951"/>
      <c r="AO1520" s="951"/>
      <c r="AP1520" s="951"/>
      <c r="AQ1520" s="951"/>
      <c r="AR1520" s="951"/>
      <c r="AS1520" s="951"/>
      <c r="AT1520" s="951"/>
      <c r="AU1520" s="951"/>
    </row>
    <row r="1521" spans="1:47" s="121" customFormat="1" ht="34.5" customHeight="1">
      <c r="A1521" s="141"/>
      <c r="B1521" s="340" t="s">
        <v>61</v>
      </c>
      <c r="C1521" s="641">
        <f>CEILING((C1518*0.5),0.1)</f>
        <v>51.300000000000004</v>
      </c>
      <c r="D1521" s="646"/>
      <c r="E1521" s="641">
        <f>CEILING((E1518*0.5),0.1)</f>
        <v>48.2</v>
      </c>
      <c r="F1521" s="646"/>
      <c r="G1521" s="641">
        <f>CEILING((G1518*0.5),0.1)</f>
        <v>57.5</v>
      </c>
      <c r="H1521" s="646"/>
      <c r="I1521" s="641">
        <f>CEILING((I1518*0.5),0.1)</f>
        <v>51.300000000000004</v>
      </c>
      <c r="J1521" s="646"/>
      <c r="K1521" s="641">
        <f>CEILING((K1518*0.5),0.1)</f>
        <v>54.400000000000006</v>
      </c>
      <c r="L1521" s="646"/>
      <c r="M1521" s="641">
        <f>CEILING((M1518*0.5),0.1)</f>
        <v>48.2</v>
      </c>
      <c r="N1521" s="646"/>
      <c r="O1521" s="951"/>
      <c r="P1521" s="951"/>
      <c r="Q1521" s="951"/>
      <c r="R1521" s="951"/>
      <c r="S1521" s="951"/>
      <c r="T1521" s="1312"/>
      <c r="U1521" s="1312"/>
      <c r="V1521" s="1312"/>
      <c r="W1521" s="1312"/>
      <c r="X1521" s="1312"/>
      <c r="Y1521" s="1312"/>
      <c r="Z1521" s="1312"/>
      <c r="AA1521" s="951"/>
      <c r="AB1521" s="951"/>
      <c r="AC1521" s="951"/>
      <c r="AD1521" s="951"/>
      <c r="AE1521" s="951"/>
      <c r="AF1521" s="951"/>
      <c r="AG1521" s="951"/>
      <c r="AH1521" s="951"/>
      <c r="AI1521" s="951"/>
      <c r="AJ1521" s="951"/>
      <c r="AK1521" s="951"/>
      <c r="AL1521" s="951"/>
      <c r="AM1521" s="951"/>
      <c r="AN1521" s="951"/>
      <c r="AO1521" s="951"/>
      <c r="AP1521" s="951"/>
      <c r="AQ1521" s="951"/>
      <c r="AR1521" s="951"/>
      <c r="AS1521" s="951"/>
      <c r="AT1521" s="951"/>
      <c r="AU1521" s="951"/>
    </row>
    <row r="1522" spans="1:47" s="121" customFormat="1" ht="34.5" customHeight="1">
      <c r="A1522" s="115"/>
      <c r="B1522" s="340" t="s">
        <v>968</v>
      </c>
      <c r="C1522" s="641">
        <f>CEILING(112*$Z$1,0.1)</f>
        <v>140</v>
      </c>
      <c r="D1522" s="646"/>
      <c r="E1522" s="641">
        <f>CEILING(107*$Z$1,0.1)</f>
        <v>133.8</v>
      </c>
      <c r="F1522" s="646"/>
      <c r="G1522" s="641">
        <f>CEILING(122*$Z$1,0.1)</f>
        <v>152.5</v>
      </c>
      <c r="H1522" s="646"/>
      <c r="I1522" s="641">
        <f>CEILING(112*$Z$1,0.1)</f>
        <v>140</v>
      </c>
      <c r="J1522" s="646"/>
      <c r="K1522" s="641">
        <f>CEILING(117*$Z$1,0.1)</f>
        <v>146.3</v>
      </c>
      <c r="L1522" s="646"/>
      <c r="M1522" s="641">
        <f>CEILING(107*$Z$1,0.1)</f>
        <v>133.8</v>
      </c>
      <c r="N1522" s="646"/>
      <c r="O1522" s="951"/>
      <c r="P1522" s="951"/>
      <c r="Q1522" s="951"/>
      <c r="R1522" s="951"/>
      <c r="S1522" s="951"/>
      <c r="T1522" s="1312"/>
      <c r="U1522" s="1312"/>
      <c r="V1522" s="1312"/>
      <c r="W1522" s="1312"/>
      <c r="X1522" s="1312"/>
      <c r="Y1522" s="1312"/>
      <c r="Z1522" s="1312"/>
      <c r="AA1522" s="951"/>
      <c r="AB1522" s="951"/>
      <c r="AC1522" s="951"/>
      <c r="AD1522" s="951"/>
      <c r="AE1522" s="951"/>
      <c r="AF1522" s="951"/>
      <c r="AG1522" s="951"/>
      <c r="AH1522" s="951"/>
      <c r="AI1522" s="951"/>
      <c r="AJ1522" s="951"/>
      <c r="AK1522" s="951"/>
      <c r="AL1522" s="951"/>
      <c r="AM1522" s="951"/>
      <c r="AN1522" s="951"/>
      <c r="AO1522" s="951"/>
      <c r="AP1522" s="951"/>
      <c r="AQ1522" s="951"/>
      <c r="AR1522" s="951"/>
      <c r="AS1522" s="951"/>
      <c r="AT1522" s="951"/>
      <c r="AU1522" s="951"/>
    </row>
    <row r="1523" spans="1:47" s="411" customFormat="1" ht="34.5" customHeight="1" thickBot="1">
      <c r="A1523" s="668" t="s">
        <v>766</v>
      </c>
      <c r="B1523" s="656" t="s">
        <v>969</v>
      </c>
      <c r="C1523" s="665">
        <f>CEILING((C1522+50*$Z$1),0.1)</f>
        <v>202.5</v>
      </c>
      <c r="D1523" s="666"/>
      <c r="E1523" s="665">
        <f>CEILING((E1522+50*$Z$1),0.1)</f>
        <v>196.3</v>
      </c>
      <c r="F1523" s="666"/>
      <c r="G1523" s="665">
        <f>CEILING((G1522+50*$Z$1),0.1)</f>
        <v>215</v>
      </c>
      <c r="H1523" s="666"/>
      <c r="I1523" s="665">
        <f>CEILING((I1522+50*$Z$1),0.1)</f>
        <v>202.5</v>
      </c>
      <c r="J1523" s="666"/>
      <c r="K1523" s="665">
        <f>CEILING((K1522+50*$Z$1),0.1)</f>
        <v>208.8</v>
      </c>
      <c r="L1523" s="666"/>
      <c r="M1523" s="665">
        <f>CEILING((M1522+50*$Z$1),0.1)</f>
        <v>196.3</v>
      </c>
      <c r="N1523" s="666"/>
      <c r="O1523" s="951"/>
      <c r="P1523" s="951"/>
      <c r="Q1523" s="951"/>
      <c r="R1523" s="507"/>
      <c r="S1523" s="507"/>
      <c r="T1523" s="1312"/>
      <c r="U1523" s="1312"/>
      <c r="V1523" s="1312"/>
      <c r="W1523" s="1312"/>
      <c r="X1523" s="1312"/>
      <c r="Y1523" s="1312"/>
      <c r="Z1523" s="1312"/>
      <c r="AA1523" s="951"/>
      <c r="AB1523" s="951"/>
      <c r="AC1523" s="951"/>
      <c r="AD1523" s="951"/>
      <c r="AE1523" s="951"/>
      <c r="AF1523" s="951"/>
      <c r="AG1523" s="951"/>
      <c r="AH1523" s="951"/>
      <c r="AI1523" s="951"/>
      <c r="AJ1523" s="951"/>
      <c r="AK1523" s="971"/>
      <c r="AL1523" s="971"/>
      <c r="AM1523" s="971"/>
      <c r="AN1523" s="971"/>
      <c r="AO1523" s="971"/>
      <c r="AP1523" s="971"/>
      <c r="AQ1523" s="971"/>
      <c r="AR1523" s="971"/>
      <c r="AS1523" s="971"/>
      <c r="AT1523" s="971"/>
      <c r="AU1523" s="971"/>
    </row>
    <row r="1524" spans="1:47" s="94" customFormat="1" ht="34.5" customHeight="1" thickTop="1">
      <c r="A1524" s="387" t="s">
        <v>966</v>
      </c>
      <c r="B1524" s="90"/>
      <c r="C1524" s="946"/>
      <c r="D1524" s="946"/>
      <c r="E1524" s="946"/>
      <c r="F1524" s="946"/>
      <c r="G1524" s="946"/>
      <c r="H1524" s="946"/>
      <c r="I1524" s="507"/>
      <c r="J1524" s="507"/>
      <c r="K1524" s="507"/>
      <c r="L1524" s="507"/>
      <c r="M1524" s="507"/>
      <c r="N1524" s="507"/>
      <c r="O1524" s="951"/>
      <c r="P1524" s="951"/>
      <c r="Q1524" s="951"/>
      <c r="R1524" s="507"/>
      <c r="S1524" s="507"/>
      <c r="T1524" s="1312"/>
      <c r="U1524" s="1312"/>
      <c r="V1524" s="1312"/>
      <c r="W1524" s="1312"/>
      <c r="X1524" s="1312"/>
      <c r="Y1524" s="1312"/>
      <c r="Z1524" s="1312"/>
      <c r="AA1524" s="951"/>
      <c r="AB1524" s="951"/>
      <c r="AC1524" s="951"/>
      <c r="AD1524" s="951"/>
      <c r="AE1524" s="951"/>
      <c r="AF1524" s="951"/>
      <c r="AG1524" s="951"/>
      <c r="AH1524" s="951"/>
      <c r="AI1524" s="951"/>
      <c r="AJ1524" s="951"/>
      <c r="AK1524" s="310"/>
      <c r="AL1524" s="310"/>
      <c r="AM1524" s="310"/>
      <c r="AN1524" s="310"/>
      <c r="AO1524" s="310"/>
      <c r="AP1524" s="310"/>
      <c r="AQ1524" s="310"/>
      <c r="AR1524" s="310"/>
      <c r="AS1524" s="310"/>
      <c r="AT1524" s="310"/>
      <c r="AU1524" s="310"/>
    </row>
    <row r="1525" spans="1:47" s="166" customFormat="1" ht="29.25" customHeight="1" thickBot="1">
      <c r="A1525" s="947"/>
      <c r="B1525" s="969"/>
      <c r="C1525" s="947"/>
      <c r="D1525" s="947"/>
      <c r="E1525" s="947"/>
      <c r="F1525" s="947"/>
      <c r="G1525" s="947"/>
      <c r="H1525" s="947"/>
      <c r="I1525" s="960"/>
      <c r="J1525" s="960"/>
      <c r="K1525" s="952"/>
      <c r="L1525" s="952"/>
      <c r="M1525" s="317"/>
      <c r="N1525" s="317"/>
      <c r="O1525" s="951"/>
      <c r="P1525" s="951"/>
      <c r="Q1525" s="951"/>
      <c r="R1525" s="951"/>
      <c r="S1525" s="951"/>
      <c r="T1525" s="1312"/>
      <c r="U1525" s="1312"/>
      <c r="V1525" s="1312"/>
      <c r="W1525" s="1312"/>
      <c r="X1525" s="1312"/>
      <c r="Y1525" s="1312"/>
      <c r="Z1525" s="1312"/>
      <c r="AA1525" s="951"/>
      <c r="AB1525" s="951"/>
      <c r="AC1525" s="951"/>
      <c r="AD1525" s="951"/>
      <c r="AE1525" s="951"/>
      <c r="AF1525" s="951"/>
      <c r="AG1525" s="951"/>
      <c r="AH1525" s="951"/>
      <c r="AI1525" s="951"/>
      <c r="AJ1525" s="951"/>
      <c r="AK1525" s="951"/>
      <c r="AL1525" s="951"/>
      <c r="AM1525" s="951"/>
      <c r="AN1525" s="951"/>
      <c r="AO1525" s="951"/>
      <c r="AP1525" s="951"/>
      <c r="AQ1525" s="951"/>
      <c r="AR1525" s="951"/>
      <c r="AS1525" s="951"/>
      <c r="AT1525" s="951"/>
      <c r="AU1525" s="951"/>
    </row>
    <row r="1526" spans="1:47" s="167" customFormat="1" ht="34.5" customHeight="1" thickTop="1">
      <c r="A1526" s="826" t="s">
        <v>33</v>
      </c>
      <c r="B1526" s="827" t="s">
        <v>86</v>
      </c>
      <c r="C1526" s="828" t="s">
        <v>956</v>
      </c>
      <c r="D1526" s="829"/>
      <c r="E1526" s="961">
        <v>44926</v>
      </c>
      <c r="F1526" s="831"/>
      <c r="G1526" s="830" t="s">
        <v>957</v>
      </c>
      <c r="H1526" s="831"/>
      <c r="I1526" s="1253"/>
      <c r="J1526" s="1339"/>
      <c r="K1526" s="1253"/>
      <c r="L1526" s="1253"/>
      <c r="M1526" s="507"/>
      <c r="N1526" s="507"/>
      <c r="O1526" s="951"/>
      <c r="P1526" s="951"/>
      <c r="Q1526" s="951"/>
      <c r="R1526" s="951"/>
      <c r="S1526" s="951"/>
      <c r="T1526" s="1312"/>
      <c r="U1526" s="1312"/>
      <c r="V1526" s="1312"/>
      <c r="W1526" s="1312"/>
      <c r="X1526" s="1312"/>
      <c r="Y1526" s="1312"/>
      <c r="Z1526" s="1312"/>
      <c r="AA1526" s="951"/>
      <c r="AB1526" s="951"/>
      <c r="AC1526" s="951"/>
      <c r="AD1526" s="951"/>
      <c r="AE1526" s="951"/>
      <c r="AF1526" s="951"/>
      <c r="AG1526" s="951"/>
      <c r="AH1526" s="951"/>
      <c r="AI1526" s="951"/>
      <c r="AJ1526" s="951"/>
      <c r="AK1526" s="951"/>
      <c r="AL1526" s="951"/>
      <c r="AM1526" s="951"/>
      <c r="AN1526" s="951"/>
      <c r="AO1526" s="951"/>
      <c r="AP1526" s="951"/>
      <c r="AQ1526" s="951"/>
      <c r="AR1526" s="951"/>
      <c r="AS1526" s="951"/>
      <c r="AT1526" s="951"/>
      <c r="AU1526" s="951"/>
    </row>
    <row r="1527" spans="1:47" s="94" customFormat="1" ht="34.5" customHeight="1">
      <c r="A1527" s="212" t="s">
        <v>116</v>
      </c>
      <c r="B1527" s="213" t="s">
        <v>41</v>
      </c>
      <c r="C1527" s="1085">
        <f>CEILING(72*$Z$1,0.1)</f>
        <v>90</v>
      </c>
      <c r="D1527" s="1086"/>
      <c r="E1527" s="1085">
        <f>CEILING(85*$Z$1,0.1)</f>
        <v>106.30000000000001</v>
      </c>
      <c r="F1527" s="1086"/>
      <c r="G1527" s="1085">
        <f>CEILING(60*$Z$1,0.1)</f>
        <v>75</v>
      </c>
      <c r="H1527" s="1086"/>
      <c r="I1527" s="956"/>
      <c r="J1527" s="956"/>
      <c r="K1527" s="956"/>
      <c r="L1527" s="956"/>
      <c r="M1527" s="310"/>
      <c r="N1527" s="310"/>
      <c r="O1527" s="951"/>
      <c r="P1527" s="951"/>
      <c r="Q1527" s="951"/>
      <c r="R1527" s="507"/>
      <c r="S1527" s="507"/>
      <c r="T1527" s="1312"/>
      <c r="U1527" s="1312"/>
      <c r="V1527" s="1312"/>
      <c r="W1527" s="1312"/>
      <c r="X1527" s="1312"/>
      <c r="Y1527" s="1312"/>
      <c r="Z1527" s="1312"/>
      <c r="AA1527" s="951"/>
      <c r="AB1527" s="951"/>
      <c r="AC1527" s="951"/>
      <c r="AD1527" s="951"/>
      <c r="AE1527" s="951"/>
      <c r="AF1527" s="951"/>
      <c r="AG1527" s="951"/>
      <c r="AH1527" s="951"/>
      <c r="AI1527" s="951"/>
      <c r="AJ1527" s="951"/>
      <c r="AK1527" s="310"/>
      <c r="AL1527" s="310"/>
      <c r="AM1527" s="310"/>
      <c r="AN1527" s="310"/>
      <c r="AO1527" s="310"/>
      <c r="AP1527" s="310"/>
      <c r="AQ1527" s="310"/>
      <c r="AR1527" s="310"/>
      <c r="AS1527" s="310"/>
      <c r="AT1527" s="310"/>
      <c r="AU1527" s="310"/>
    </row>
    <row r="1528" spans="1:47" s="94" customFormat="1" ht="34.5" customHeight="1">
      <c r="A1528" s="214" t="s">
        <v>35</v>
      </c>
      <c r="B1528" s="192" t="s">
        <v>42</v>
      </c>
      <c r="C1528" s="1085">
        <f>CEILING((C1527+32*$Z$1),0.1)</f>
        <v>130</v>
      </c>
      <c r="D1528" s="1086"/>
      <c r="E1528" s="1085">
        <f>CEILING((E1527+32*$Z$1),0.1)</f>
        <v>146.3</v>
      </c>
      <c r="F1528" s="1086"/>
      <c r="G1528" s="1085">
        <f>CEILING((G1527+20*$Z$1),0.1)</f>
        <v>100</v>
      </c>
      <c r="H1528" s="1086"/>
      <c r="I1528" s="956"/>
      <c r="J1528" s="956"/>
      <c r="K1528" s="956"/>
      <c r="L1528" s="956"/>
      <c r="M1528" s="310"/>
      <c r="N1528" s="310"/>
      <c r="O1528" s="951"/>
      <c r="P1528" s="951"/>
      <c r="Q1528" s="951"/>
      <c r="R1528" s="507"/>
      <c r="S1528" s="507"/>
      <c r="T1528" s="1312"/>
      <c r="U1528" s="1312"/>
      <c r="V1528" s="1312"/>
      <c r="W1528" s="1312"/>
      <c r="X1528" s="1312"/>
      <c r="Y1528" s="1312"/>
      <c r="Z1528" s="1312"/>
      <c r="AA1528" s="951"/>
      <c r="AB1528" s="951"/>
      <c r="AC1528" s="951"/>
      <c r="AD1528" s="951"/>
      <c r="AE1528" s="951"/>
      <c r="AF1528" s="951"/>
      <c r="AG1528" s="951"/>
      <c r="AH1528" s="951"/>
      <c r="AI1528" s="951"/>
      <c r="AJ1528" s="951"/>
      <c r="AK1528" s="310"/>
      <c r="AL1528" s="310"/>
      <c r="AM1528" s="310"/>
      <c r="AN1528" s="310"/>
      <c r="AO1528" s="310"/>
      <c r="AP1528" s="310"/>
      <c r="AQ1528" s="310"/>
      <c r="AR1528" s="310"/>
      <c r="AS1528" s="310"/>
      <c r="AT1528" s="310"/>
      <c r="AU1528" s="310"/>
    </row>
    <row r="1529" spans="1:47" s="94" customFormat="1" ht="34.5" customHeight="1">
      <c r="A1529" s="124" t="s">
        <v>1298</v>
      </c>
      <c r="B1529" s="321" t="s">
        <v>67</v>
      </c>
      <c r="C1529" s="1085">
        <f>CEILING((C1527*0.85),0.1)</f>
        <v>76.5</v>
      </c>
      <c r="D1529" s="1086"/>
      <c r="E1529" s="1085">
        <f>CEILING((E1527*0.85),0.1)</f>
        <v>90.4</v>
      </c>
      <c r="F1529" s="1086"/>
      <c r="G1529" s="1085">
        <f>CEILING((G1527*0.85),0.1)</f>
        <v>63.800000000000004</v>
      </c>
      <c r="H1529" s="1086"/>
      <c r="I1529" s="956"/>
      <c r="J1529" s="956"/>
      <c r="K1529" s="956"/>
      <c r="L1529" s="956"/>
      <c r="M1529" s="951"/>
      <c r="N1529" s="310"/>
      <c r="O1529" s="951"/>
      <c r="P1529" s="951"/>
      <c r="Q1529" s="951"/>
      <c r="R1529" s="951"/>
      <c r="S1529" s="951"/>
      <c r="T1529" s="1312"/>
      <c r="U1529" s="1312"/>
      <c r="V1529" s="1312"/>
      <c r="W1529" s="1312"/>
      <c r="X1529" s="1312"/>
      <c r="Y1529" s="1312"/>
      <c r="Z1529" s="1312"/>
      <c r="AA1529" s="951"/>
      <c r="AB1529" s="951"/>
      <c r="AC1529" s="951"/>
      <c r="AD1529" s="951"/>
      <c r="AE1529" s="951"/>
      <c r="AF1529" s="951"/>
      <c r="AG1529" s="951"/>
      <c r="AH1529" s="951"/>
      <c r="AI1529" s="951"/>
      <c r="AJ1529" s="951"/>
      <c r="AK1529" s="310"/>
      <c r="AL1529" s="310"/>
      <c r="AM1529" s="310"/>
      <c r="AN1529" s="310"/>
      <c r="AO1529" s="310"/>
      <c r="AP1529" s="310"/>
      <c r="AQ1529" s="310"/>
      <c r="AR1529" s="310"/>
      <c r="AS1529" s="310"/>
      <c r="AT1529" s="310"/>
      <c r="AU1529" s="310"/>
    </row>
    <row r="1530" spans="1:47" s="94" customFormat="1" ht="34.5" customHeight="1" thickBot="1">
      <c r="A1530" s="610" t="s">
        <v>288</v>
      </c>
      <c r="B1530" s="193" t="s">
        <v>61</v>
      </c>
      <c r="C1530" s="1085">
        <f>CEILING((C1527*0.5),0.1)</f>
        <v>45</v>
      </c>
      <c r="D1530" s="1086"/>
      <c r="E1530" s="1085">
        <f>CEILING((E1527*0.5),0.1)</f>
        <v>53.2</v>
      </c>
      <c r="F1530" s="1086"/>
      <c r="G1530" s="1085">
        <f>CEILING((G1527*0.5),0.1)</f>
        <v>37.5</v>
      </c>
      <c r="H1530" s="1086"/>
      <c r="I1530" s="956"/>
      <c r="J1530" s="956"/>
      <c r="K1530" s="956"/>
      <c r="L1530" s="956"/>
      <c r="M1530" s="951"/>
      <c r="N1530" s="310"/>
      <c r="O1530" s="951"/>
      <c r="P1530" s="951"/>
      <c r="Q1530" s="951"/>
      <c r="R1530" s="1313"/>
      <c r="S1530" s="1313"/>
      <c r="T1530" s="1312"/>
      <c r="U1530" s="1312"/>
      <c r="V1530" s="1312"/>
      <c r="W1530" s="1312"/>
      <c r="X1530" s="1312"/>
      <c r="Y1530" s="1312"/>
      <c r="Z1530" s="1312"/>
      <c r="AA1530" s="951"/>
      <c r="AB1530" s="951"/>
      <c r="AC1530" s="951"/>
      <c r="AD1530" s="951"/>
      <c r="AE1530" s="951"/>
      <c r="AF1530" s="951"/>
      <c r="AG1530" s="951"/>
      <c r="AH1530" s="951"/>
      <c r="AI1530" s="951"/>
      <c r="AJ1530" s="951"/>
      <c r="AK1530" s="310"/>
      <c r="AL1530" s="310"/>
      <c r="AM1530" s="310"/>
      <c r="AN1530" s="310"/>
      <c r="AO1530" s="310"/>
      <c r="AP1530" s="310"/>
      <c r="AQ1530" s="310"/>
      <c r="AR1530" s="310"/>
      <c r="AS1530" s="310"/>
      <c r="AT1530" s="310"/>
      <c r="AU1530" s="310"/>
    </row>
    <row r="1531" spans="1:47" s="94" customFormat="1" ht="34.5" customHeight="1" thickTop="1">
      <c r="A1531" s="339" t="s">
        <v>958</v>
      </c>
      <c r="B1531" s="669"/>
      <c r="C1531" s="669"/>
      <c r="D1531" s="669"/>
      <c r="E1531" s="669"/>
      <c r="F1531" s="669"/>
      <c r="G1531" s="669"/>
      <c r="H1531" s="669"/>
      <c r="I1531" s="505"/>
      <c r="J1531" s="505"/>
      <c r="K1531" s="894"/>
      <c r="L1531" s="894"/>
      <c r="M1531" s="310"/>
      <c r="N1531" s="310"/>
      <c r="O1531" s="951"/>
      <c r="P1531" s="951"/>
      <c r="Q1531" s="951"/>
      <c r="R1531" s="950"/>
      <c r="S1531" s="950"/>
      <c r="T1531" s="1312"/>
      <c r="U1531" s="1312"/>
      <c r="V1531" s="1312"/>
      <c r="W1531" s="1312"/>
      <c r="X1531" s="1312"/>
      <c r="Y1531" s="1312"/>
      <c r="Z1531" s="1312"/>
      <c r="AA1531" s="951"/>
      <c r="AB1531" s="951"/>
      <c r="AC1531" s="951"/>
      <c r="AD1531" s="951"/>
      <c r="AE1531" s="951"/>
      <c r="AF1531" s="951"/>
      <c r="AG1531" s="951"/>
      <c r="AH1531" s="951"/>
      <c r="AI1531" s="951"/>
      <c r="AJ1531" s="951"/>
      <c r="AK1531" s="310"/>
      <c r="AL1531" s="310"/>
      <c r="AM1531" s="310"/>
      <c r="AN1531" s="310"/>
      <c r="AO1531" s="310"/>
      <c r="AP1531" s="310"/>
      <c r="AQ1531" s="310"/>
      <c r="AR1531" s="310"/>
      <c r="AS1531" s="310"/>
      <c r="AT1531" s="310"/>
      <c r="AU1531" s="310"/>
    </row>
    <row r="1532" spans="1:47" s="94" customFormat="1" ht="34.5" customHeight="1">
      <c r="A1532" s="234"/>
      <c r="B1532" s="106"/>
      <c r="C1532" s="127"/>
      <c r="D1532" s="127"/>
      <c r="E1532" s="127"/>
      <c r="F1532" s="127"/>
      <c r="G1532" s="127"/>
      <c r="H1532" s="127"/>
      <c r="I1532" s="507"/>
      <c r="J1532" s="507"/>
      <c r="K1532" s="957"/>
      <c r="L1532" s="957"/>
      <c r="M1532" s="958"/>
      <c r="N1532" s="959"/>
      <c r="O1532" s="951"/>
      <c r="P1532" s="951"/>
      <c r="Q1532" s="951"/>
      <c r="R1532" s="507"/>
      <c r="S1532" s="507"/>
      <c r="T1532" s="1312"/>
      <c r="U1532" s="1312"/>
      <c r="V1532" s="1312"/>
      <c r="W1532" s="1312"/>
      <c r="X1532" s="1312"/>
      <c r="Y1532" s="1312"/>
      <c r="Z1532" s="1312"/>
      <c r="AA1532" s="951"/>
      <c r="AB1532" s="951"/>
      <c r="AC1532" s="951"/>
      <c r="AD1532" s="951"/>
      <c r="AE1532" s="951"/>
      <c r="AF1532" s="951"/>
      <c r="AG1532" s="951"/>
      <c r="AH1532" s="951"/>
      <c r="AI1532" s="951"/>
      <c r="AJ1532" s="951"/>
      <c r="AK1532" s="310"/>
      <c r="AL1532" s="310"/>
      <c r="AM1532" s="310"/>
      <c r="AN1532" s="310"/>
      <c r="AO1532" s="310"/>
      <c r="AP1532" s="310"/>
      <c r="AQ1532" s="310"/>
      <c r="AR1532" s="310"/>
      <c r="AS1532" s="310"/>
      <c r="AT1532" s="310"/>
      <c r="AU1532" s="310"/>
    </row>
    <row r="1533" spans="1:42" s="167" customFormat="1" ht="34.5" customHeight="1">
      <c r="A1533" s="837" t="s">
        <v>33</v>
      </c>
      <c r="B1533" s="838" t="s">
        <v>86</v>
      </c>
      <c r="C1533" s="839" t="s">
        <v>847</v>
      </c>
      <c r="D1533" s="840"/>
      <c r="E1533" s="841" t="s">
        <v>870</v>
      </c>
      <c r="F1533" s="842"/>
      <c r="G1533" s="841" t="s">
        <v>850</v>
      </c>
      <c r="H1533" s="842"/>
      <c r="I1533" s="841" t="s">
        <v>851</v>
      </c>
      <c r="J1533" s="842"/>
      <c r="K1533" s="841" t="s">
        <v>852</v>
      </c>
      <c r="L1533" s="842"/>
      <c r="M1533" s="151"/>
      <c r="N1533" s="151"/>
      <c r="O1533" s="166"/>
      <c r="P1533" s="166"/>
      <c r="Q1533" s="166"/>
      <c r="R1533" s="166"/>
      <c r="S1533" s="166"/>
      <c r="T1533" s="100"/>
      <c r="U1533" s="100"/>
      <c r="V1533" s="100"/>
      <c r="W1533" s="100"/>
      <c r="X1533" s="100"/>
      <c r="Y1533" s="100"/>
      <c r="Z1533" s="100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</row>
    <row r="1534" spans="1:25" s="94" customFormat="1" ht="34.5" customHeight="1">
      <c r="A1534" s="671" t="s">
        <v>315</v>
      </c>
      <c r="B1534" s="213" t="s">
        <v>41</v>
      </c>
      <c r="C1534" s="672">
        <f>CEILING(80*$Z$1,0.1)</f>
        <v>100</v>
      </c>
      <c r="D1534" s="673"/>
      <c r="E1534" s="672">
        <f>CEILING(100*$Z$1,0.1)</f>
        <v>125</v>
      </c>
      <c r="F1534" s="673"/>
      <c r="G1534" s="672">
        <f>CEILING(90*$Z$1,0.1)</f>
        <v>112.5</v>
      </c>
      <c r="H1534" s="673"/>
      <c r="I1534" s="672">
        <f>CEILING(90*$Z$1,0.1)</f>
        <v>112.5</v>
      </c>
      <c r="J1534" s="673"/>
      <c r="K1534" s="672">
        <f>CEILING(80*$Z$1,0.1)</f>
        <v>100</v>
      </c>
      <c r="L1534" s="673"/>
      <c r="M1534" s="97"/>
      <c r="N1534" s="98"/>
      <c r="O1534" s="92"/>
      <c r="P1534" s="92"/>
      <c r="Q1534" s="92"/>
      <c r="R1534" s="92"/>
      <c r="S1534" s="92"/>
      <c r="T1534" s="92"/>
      <c r="U1534" s="92"/>
      <c r="V1534" s="92"/>
      <c r="W1534" s="92"/>
      <c r="X1534" s="92"/>
      <c r="Y1534" s="92"/>
    </row>
    <row r="1535" spans="1:25" s="94" customFormat="1" ht="34.5" customHeight="1">
      <c r="A1535" s="373" t="s">
        <v>502</v>
      </c>
      <c r="B1535" s="192" t="s">
        <v>42</v>
      </c>
      <c r="C1535" s="674">
        <f>CEILING((C1534+36*$Z$1),0.1)</f>
        <v>145</v>
      </c>
      <c r="D1535" s="675"/>
      <c r="E1535" s="674">
        <f>CEILING((E1534+45*$Z$1),0.1)</f>
        <v>181.3</v>
      </c>
      <c r="F1535" s="675"/>
      <c r="G1535" s="674">
        <f>CEILING((G1534+40.5*$Z$1),0.1)</f>
        <v>163.20000000000002</v>
      </c>
      <c r="H1535" s="675"/>
      <c r="I1535" s="674">
        <f>CEILING((I1534+40.5*$Z$1),0.1)</f>
        <v>163.20000000000002</v>
      </c>
      <c r="J1535" s="675"/>
      <c r="K1535" s="674">
        <f>CEILING((K1534+36*$Z$1),0.1)</f>
        <v>145</v>
      </c>
      <c r="L1535" s="675"/>
      <c r="M1535" s="97"/>
      <c r="N1535" s="98"/>
      <c r="O1535" s="92"/>
      <c r="P1535" s="92"/>
      <c r="Q1535" s="92"/>
      <c r="R1535" s="92"/>
      <c r="S1535" s="92"/>
      <c r="T1535" s="92"/>
      <c r="U1535" s="92"/>
      <c r="V1535" s="92"/>
      <c r="W1535" s="92"/>
      <c r="X1535" s="92"/>
      <c r="Y1535" s="92"/>
    </row>
    <row r="1536" spans="1:25" s="116" customFormat="1" ht="34.5" customHeight="1">
      <c r="A1536" s="113" t="s">
        <v>1168</v>
      </c>
      <c r="B1536" s="321" t="s">
        <v>67</v>
      </c>
      <c r="C1536" s="674">
        <f>CEILING((C1534*0.85),0.1)</f>
        <v>85</v>
      </c>
      <c r="D1536" s="675"/>
      <c r="E1536" s="674">
        <f>CEILING((E1534*0.85),0.1)</f>
        <v>106.30000000000001</v>
      </c>
      <c r="F1536" s="675"/>
      <c r="G1536" s="674">
        <f>CEILING((G1534*0.85),0.1)</f>
        <v>95.7</v>
      </c>
      <c r="H1536" s="675"/>
      <c r="I1536" s="674">
        <f>CEILING((I1534*0.85),0.1)</f>
        <v>95.7</v>
      </c>
      <c r="J1536" s="675"/>
      <c r="K1536" s="674">
        <f>CEILING((K1534*0.85),0.1)</f>
        <v>85</v>
      </c>
      <c r="L1536" s="675"/>
      <c r="M1536" s="154"/>
      <c r="N1536" s="155"/>
      <c r="O1536" s="117"/>
      <c r="P1536" s="117"/>
      <c r="Q1536" s="117"/>
      <c r="R1536" s="117"/>
      <c r="S1536" s="117"/>
      <c r="T1536" s="117"/>
      <c r="U1536" s="117"/>
      <c r="V1536" s="117"/>
      <c r="W1536" s="117"/>
      <c r="X1536" s="117"/>
      <c r="Y1536" s="117"/>
    </row>
    <row r="1537" spans="1:25" s="94" customFormat="1" ht="34.5" customHeight="1" thickBot="1">
      <c r="A1537" s="400" t="s">
        <v>429</v>
      </c>
      <c r="B1537" s="647" t="s">
        <v>534</v>
      </c>
      <c r="C1537" s="676">
        <f>CEILING((C1534*0.3),0.1)</f>
        <v>30</v>
      </c>
      <c r="D1537" s="677"/>
      <c r="E1537" s="676">
        <f>CEILING((E1534*0.3),0.1)</f>
        <v>37.5</v>
      </c>
      <c r="F1537" s="677"/>
      <c r="G1537" s="676">
        <f>CEILING((G1534*0.3),0.1)</f>
        <v>33.800000000000004</v>
      </c>
      <c r="H1537" s="677"/>
      <c r="I1537" s="676">
        <f>CEILING((I1534*0.3),0.1)</f>
        <v>33.800000000000004</v>
      </c>
      <c r="J1537" s="677"/>
      <c r="K1537" s="676">
        <f>CEILING((K1534*0.3),0.1)</f>
        <v>30</v>
      </c>
      <c r="L1537" s="677"/>
      <c r="M1537" s="106"/>
      <c r="N1537" s="98"/>
      <c r="O1537" s="92"/>
      <c r="P1537" s="92"/>
      <c r="Q1537" s="92"/>
      <c r="R1537" s="92"/>
      <c r="S1537" s="92"/>
      <c r="T1537" s="92"/>
      <c r="U1537" s="92"/>
      <c r="V1537" s="92"/>
      <c r="W1537" s="92"/>
      <c r="X1537" s="92"/>
      <c r="Y1537" s="92"/>
    </row>
    <row r="1538" spans="1:25" s="94" customFormat="1" ht="34.5" customHeight="1" thickTop="1">
      <c r="A1538" s="387" t="s">
        <v>767</v>
      </c>
      <c r="B1538" s="106"/>
      <c r="C1538" s="127"/>
      <c r="D1538" s="127"/>
      <c r="E1538" s="127"/>
      <c r="F1538" s="127"/>
      <c r="G1538" s="127"/>
      <c r="H1538" s="127"/>
      <c r="I1538" s="127"/>
      <c r="J1538" s="127"/>
      <c r="K1538" s="191"/>
      <c r="L1538" s="191"/>
      <c r="M1538" s="106"/>
      <c r="N1538" s="98"/>
      <c r="O1538" s="92"/>
      <c r="P1538" s="92"/>
      <c r="Q1538" s="92"/>
      <c r="R1538" s="92"/>
      <c r="S1538" s="92"/>
      <c r="T1538" s="92"/>
      <c r="U1538" s="92"/>
      <c r="V1538" s="92"/>
      <c r="W1538" s="92"/>
      <c r="X1538" s="92"/>
      <c r="Y1538" s="92"/>
    </row>
    <row r="1539" spans="1:25" s="133" customFormat="1" ht="34.5" customHeight="1">
      <c r="A1539" s="339" t="s">
        <v>669</v>
      </c>
      <c r="B1539" s="106"/>
      <c r="C1539" s="127"/>
      <c r="D1539" s="127"/>
      <c r="E1539" s="127"/>
      <c r="F1539" s="127"/>
      <c r="G1539" s="127"/>
      <c r="H1539" s="127"/>
      <c r="I1539" s="127"/>
      <c r="J1539" s="127"/>
      <c r="K1539" s="191"/>
      <c r="L1539" s="191"/>
      <c r="M1539" s="106"/>
      <c r="N1539" s="98"/>
      <c r="O1539" s="129"/>
      <c r="P1539" s="129"/>
      <c r="Q1539" s="129"/>
      <c r="R1539" s="129"/>
      <c r="S1539" s="129"/>
      <c r="T1539" s="129"/>
      <c r="U1539" s="129"/>
      <c r="V1539" s="129"/>
      <c r="W1539" s="129"/>
      <c r="X1539" s="129"/>
      <c r="Y1539" s="129"/>
    </row>
    <row r="1540" spans="1:25" s="94" customFormat="1" ht="34.5" customHeight="1" thickBot="1">
      <c r="A1540" s="678"/>
      <c r="B1540" s="378"/>
      <c r="C1540" s="378"/>
      <c r="D1540" s="378"/>
      <c r="E1540" s="378"/>
      <c r="F1540" s="378"/>
      <c r="G1540" s="378"/>
      <c r="H1540" s="378"/>
      <c r="I1540" s="379"/>
      <c r="J1540" s="121"/>
      <c r="K1540" s="632"/>
      <c r="L1540" s="632"/>
      <c r="M1540" s="97"/>
      <c r="N1540" s="98"/>
      <c r="O1540" s="92"/>
      <c r="P1540" s="92"/>
      <c r="Q1540" s="92"/>
      <c r="R1540" s="92"/>
      <c r="S1540" s="92"/>
      <c r="T1540" s="92"/>
      <c r="U1540" s="92"/>
      <c r="V1540" s="92"/>
      <c r="W1540" s="92"/>
      <c r="X1540" s="92"/>
      <c r="Y1540" s="92"/>
    </row>
    <row r="1541" spans="1:42" s="167" customFormat="1" ht="34.5" customHeight="1" thickTop="1">
      <c r="A1541" s="837" t="s">
        <v>33</v>
      </c>
      <c r="B1541" s="838" t="s">
        <v>86</v>
      </c>
      <c r="C1541" s="839" t="s">
        <v>847</v>
      </c>
      <c r="D1541" s="840"/>
      <c r="E1541" s="841" t="s">
        <v>870</v>
      </c>
      <c r="F1541" s="842"/>
      <c r="G1541" s="841" t="s">
        <v>850</v>
      </c>
      <c r="H1541" s="842"/>
      <c r="I1541" s="841" t="s">
        <v>851</v>
      </c>
      <c r="J1541" s="842"/>
      <c r="K1541" s="841" t="s">
        <v>852</v>
      </c>
      <c r="L1541" s="842"/>
      <c r="M1541" s="151"/>
      <c r="N1541" s="151"/>
      <c r="O1541" s="166"/>
      <c r="P1541" s="166"/>
      <c r="Q1541" s="166"/>
      <c r="R1541" s="166"/>
      <c r="S1541" s="166"/>
      <c r="T1541" s="100"/>
      <c r="U1541" s="100"/>
      <c r="V1541" s="100"/>
      <c r="W1541" s="100"/>
      <c r="X1541" s="100"/>
      <c r="Y1541" s="100"/>
      <c r="Z1541" s="100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</row>
    <row r="1542" spans="1:25" s="94" customFormat="1" ht="34.5" customHeight="1">
      <c r="A1542" s="382" t="s">
        <v>186</v>
      </c>
      <c r="B1542" s="190" t="s">
        <v>55</v>
      </c>
      <c r="C1542" s="644">
        <f>CEILING(66*$Z$1,0.1)</f>
        <v>82.5</v>
      </c>
      <c r="D1542" s="645"/>
      <c r="E1542" s="644">
        <f>CEILING(80*$Z$1,0.1)</f>
        <v>100</v>
      </c>
      <c r="F1542" s="645"/>
      <c r="G1542" s="1083">
        <f>CEILING(49*$Z$1,0.1)</f>
        <v>61.300000000000004</v>
      </c>
      <c r="H1542" s="1084"/>
      <c r="I1542" s="1083">
        <f>CEILING(49*$Z$1,0.1)</f>
        <v>61.300000000000004</v>
      </c>
      <c r="J1542" s="1084"/>
      <c r="K1542" s="1083">
        <f>CEILING(49*$Z$1,0.1)</f>
        <v>61.300000000000004</v>
      </c>
      <c r="L1542" s="1084"/>
      <c r="M1542" s="97"/>
      <c r="N1542" s="106"/>
      <c r="O1542" s="92"/>
      <c r="P1542" s="92"/>
      <c r="Q1542" s="92"/>
      <c r="R1542" s="92"/>
      <c r="S1542" s="92"/>
      <c r="T1542" s="92"/>
      <c r="U1542" s="92"/>
      <c r="V1542" s="92"/>
      <c r="W1542" s="92"/>
      <c r="X1542" s="92"/>
      <c r="Y1542" s="92"/>
    </row>
    <row r="1543" spans="1:25" s="94" customFormat="1" ht="34.5" customHeight="1">
      <c r="A1543" s="214" t="s">
        <v>49</v>
      </c>
      <c r="B1543" s="190" t="s">
        <v>56</v>
      </c>
      <c r="C1543" s="641">
        <f>CEILING((C1542+25*$Z$1),0.1)</f>
        <v>113.80000000000001</v>
      </c>
      <c r="D1543" s="646"/>
      <c r="E1543" s="641">
        <f>CEILING((E1542+25*$Z$1),0.1)</f>
        <v>131.3</v>
      </c>
      <c r="F1543" s="646"/>
      <c r="G1543" s="1085">
        <f>CEILING((G1542+20*$Z$1),0.1)</f>
        <v>86.30000000000001</v>
      </c>
      <c r="H1543" s="1086"/>
      <c r="I1543" s="1085">
        <f>CEILING((I1542+20*$Z$1),0.1)</f>
        <v>86.30000000000001</v>
      </c>
      <c r="J1543" s="1086"/>
      <c r="K1543" s="1085">
        <f>CEILING((K1542+20*$Z$1),0.1)</f>
        <v>86.30000000000001</v>
      </c>
      <c r="L1543" s="1086"/>
      <c r="M1543" s="97"/>
      <c r="N1543" s="106"/>
      <c r="O1543" s="92"/>
      <c r="P1543" s="92"/>
      <c r="Q1543" s="92"/>
      <c r="R1543" s="92"/>
      <c r="S1543" s="92"/>
      <c r="T1543" s="92"/>
      <c r="U1543" s="92"/>
      <c r="V1543" s="92"/>
      <c r="W1543" s="92"/>
      <c r="X1543" s="92"/>
      <c r="Y1543" s="92"/>
    </row>
    <row r="1544" spans="1:25" s="94" customFormat="1" ht="34.5" customHeight="1">
      <c r="A1544" s="263"/>
      <c r="B1544" s="190" t="s">
        <v>227</v>
      </c>
      <c r="C1544" s="641">
        <f>CEILING((C1542*0.85),0.1)</f>
        <v>70.2</v>
      </c>
      <c r="D1544" s="646"/>
      <c r="E1544" s="641">
        <f>CEILING((E1542*0.85),0.1)</f>
        <v>85</v>
      </c>
      <c r="F1544" s="646"/>
      <c r="G1544" s="1085">
        <f>CEILING((G1542*0.85),0.1)</f>
        <v>52.2</v>
      </c>
      <c r="H1544" s="1086"/>
      <c r="I1544" s="1085">
        <f>CEILING((I1542*0.85),0.1)</f>
        <v>52.2</v>
      </c>
      <c r="J1544" s="1086"/>
      <c r="K1544" s="1085">
        <f>CEILING((K1542*0.85),0.1)</f>
        <v>52.2</v>
      </c>
      <c r="L1544" s="1086"/>
      <c r="M1544" s="97"/>
      <c r="N1544" s="106"/>
      <c r="O1544" s="92"/>
      <c r="P1544" s="92"/>
      <c r="Q1544" s="92"/>
      <c r="R1544" s="92"/>
      <c r="S1544" s="1311"/>
      <c r="T1544" s="1311"/>
      <c r="U1544" s="1311"/>
      <c r="V1544" s="1311"/>
      <c r="W1544" s="1311"/>
      <c r="X1544" s="1311"/>
      <c r="Y1544" s="1311"/>
    </row>
    <row r="1545" spans="1:25" s="94" customFormat="1" ht="34.5" customHeight="1">
      <c r="A1545" s="273" t="s">
        <v>1297</v>
      </c>
      <c r="B1545" s="190" t="s">
        <v>61</v>
      </c>
      <c r="C1545" s="641">
        <f>CEILING((C1542*0.5),0.1)</f>
        <v>41.300000000000004</v>
      </c>
      <c r="D1545" s="646"/>
      <c r="E1545" s="641">
        <f>CEILING((E1542*0.5),0.1)</f>
        <v>50</v>
      </c>
      <c r="F1545" s="646"/>
      <c r="G1545" s="1085">
        <f>CEILING((G1542*0.5),0.1)</f>
        <v>30.700000000000003</v>
      </c>
      <c r="H1545" s="1086"/>
      <c r="I1545" s="1085">
        <f>CEILING((I1542*0.5),0.1)</f>
        <v>30.700000000000003</v>
      </c>
      <c r="J1545" s="1086"/>
      <c r="K1545" s="1085">
        <f>CEILING((K1542*0.5),0.1)</f>
        <v>30.700000000000003</v>
      </c>
      <c r="L1545" s="1086"/>
      <c r="M1545" s="97"/>
      <c r="N1545" s="106"/>
      <c r="O1545" s="92"/>
      <c r="P1545" s="92"/>
      <c r="Q1545" s="92"/>
      <c r="R1545" s="92"/>
      <c r="S1545" s="1311"/>
      <c r="T1545" s="1311"/>
      <c r="U1545" s="1311"/>
      <c r="V1545" s="1311"/>
      <c r="W1545" s="1311"/>
      <c r="X1545" s="1311"/>
      <c r="Y1545" s="1311"/>
    </row>
    <row r="1546" spans="1:25" s="94" customFormat="1" ht="34.5" customHeight="1">
      <c r="A1546" s="273"/>
      <c r="B1546" s="190" t="s">
        <v>163</v>
      </c>
      <c r="C1546" s="641">
        <f>CEILING(76*$Z$1,0.1)</f>
        <v>95</v>
      </c>
      <c r="D1546" s="646"/>
      <c r="E1546" s="641">
        <f>CEILING(90*$Z$1,0.1)</f>
        <v>112.5</v>
      </c>
      <c r="F1546" s="646"/>
      <c r="G1546" s="641">
        <f>CEILING(80*$Z$1,0.1)</f>
        <v>100</v>
      </c>
      <c r="H1546" s="646"/>
      <c r="I1546" s="641">
        <f>CEILING(80*$Z$1,0.1)</f>
        <v>100</v>
      </c>
      <c r="J1546" s="646"/>
      <c r="K1546" s="641">
        <f>CEILING(60*$Z$1,0.1)</f>
        <v>75</v>
      </c>
      <c r="L1546" s="646"/>
      <c r="M1546" s="97"/>
      <c r="N1546" s="106"/>
      <c r="O1546" s="92"/>
      <c r="P1546" s="92"/>
      <c r="Q1546" s="92"/>
      <c r="R1546" s="92"/>
      <c r="S1546" s="1311"/>
      <c r="T1546" s="1311"/>
      <c r="U1546" s="1311"/>
      <c r="V1546" s="1311"/>
      <c r="W1546" s="1311"/>
      <c r="X1546" s="1311"/>
      <c r="Y1546" s="1311"/>
    </row>
    <row r="1547" spans="1:25" s="94" customFormat="1" ht="34.5" customHeight="1" thickBot="1">
      <c r="A1547" s="610" t="s">
        <v>298</v>
      </c>
      <c r="B1547" s="246" t="s">
        <v>164</v>
      </c>
      <c r="C1547" s="648">
        <f>CEILING((C1546+30*$Z$1),0.1)</f>
        <v>132.5</v>
      </c>
      <c r="D1547" s="649"/>
      <c r="E1547" s="648">
        <f>CEILING((E1546+30*$Z$1),0.1)</f>
        <v>150</v>
      </c>
      <c r="F1547" s="649"/>
      <c r="G1547" s="648">
        <f>CEILING((G1546+30*$Z$1),0.1)</f>
        <v>137.5</v>
      </c>
      <c r="H1547" s="649"/>
      <c r="I1547" s="648">
        <f>CEILING((I1546+30*$Z$1),0.1)</f>
        <v>137.5</v>
      </c>
      <c r="J1547" s="649"/>
      <c r="K1547" s="648">
        <f>CEILING((K1546+30*$Z$1),0.1)</f>
        <v>112.5</v>
      </c>
      <c r="L1547" s="649"/>
      <c r="M1547" s="97"/>
      <c r="N1547" s="106"/>
      <c r="O1547" s="92"/>
      <c r="P1547" s="92"/>
      <c r="Q1547" s="92"/>
      <c r="R1547" s="92"/>
      <c r="S1547" s="1311"/>
      <c r="T1547" s="1311"/>
      <c r="U1547" s="1311"/>
      <c r="V1547" s="1311"/>
      <c r="W1547" s="1311"/>
      <c r="X1547" s="1311"/>
      <c r="Y1547" s="1311"/>
    </row>
    <row r="1548" spans="1:25" s="94" customFormat="1" ht="34.5" customHeight="1" thickTop="1">
      <c r="A1548" s="387" t="s">
        <v>670</v>
      </c>
      <c r="B1548" s="106"/>
      <c r="C1548" s="638"/>
      <c r="D1548" s="638"/>
      <c r="E1548" s="638"/>
      <c r="F1548" s="638"/>
      <c r="G1548" s="638"/>
      <c r="H1548" s="638"/>
      <c r="I1548" s="638"/>
      <c r="J1548" s="638"/>
      <c r="K1548" s="638"/>
      <c r="L1548" s="638"/>
      <c r="M1548" s="97"/>
      <c r="N1548" s="106"/>
      <c r="O1548" s="92"/>
      <c r="P1548" s="92"/>
      <c r="Q1548" s="92"/>
      <c r="R1548" s="92"/>
      <c r="S1548" s="1311"/>
      <c r="T1548" s="1311"/>
      <c r="U1548" s="1311"/>
      <c r="V1548" s="1311"/>
      <c r="W1548" s="1311"/>
      <c r="X1548" s="1311"/>
      <c r="Y1548" s="1311"/>
    </row>
    <row r="1549" spans="1:25" s="94" customFormat="1" ht="34.5" customHeight="1">
      <c r="A1549" s="679" t="s">
        <v>669</v>
      </c>
      <c r="B1549" s="106"/>
      <c r="C1549" s="127"/>
      <c r="D1549" s="127"/>
      <c r="E1549" s="127"/>
      <c r="F1549" s="127"/>
      <c r="G1549" s="127"/>
      <c r="H1549" s="127"/>
      <c r="I1549" s="127"/>
      <c r="J1549" s="127"/>
      <c r="K1549" s="135"/>
      <c r="L1549" s="135"/>
      <c r="M1549" s="97"/>
      <c r="N1549" s="106"/>
      <c r="O1549" s="92"/>
      <c r="P1549" s="92"/>
      <c r="Q1549" s="92"/>
      <c r="R1549" s="92"/>
      <c r="S1549" s="1311"/>
      <c r="T1549" s="1311"/>
      <c r="U1549" s="1311"/>
      <c r="V1549" s="1311"/>
      <c r="W1549" s="1311"/>
      <c r="X1549" s="1311"/>
      <c r="Y1549" s="1311"/>
    </row>
    <row r="1550" spans="1:25" s="94" customFormat="1" ht="34.5" customHeight="1" thickBot="1">
      <c r="A1550" s="680"/>
      <c r="B1550" s="680"/>
      <c r="C1550" s="680"/>
      <c r="D1550" s="680"/>
      <c r="E1550" s="680"/>
      <c r="F1550" s="680"/>
      <c r="G1550" s="680"/>
      <c r="H1550" s="680"/>
      <c r="I1550" s="328"/>
      <c r="J1550" s="425"/>
      <c r="K1550" s="135"/>
      <c r="L1550" s="135"/>
      <c r="M1550" s="97"/>
      <c r="N1550" s="106"/>
      <c r="O1550" s="92"/>
      <c r="P1550" s="92"/>
      <c r="Q1550" s="92"/>
      <c r="R1550" s="92"/>
      <c r="S1550" s="1311"/>
      <c r="T1550" s="1311"/>
      <c r="U1550" s="1311"/>
      <c r="V1550" s="1311"/>
      <c r="W1550" s="1311"/>
      <c r="X1550" s="1311"/>
      <c r="Y1550" s="1311"/>
    </row>
    <row r="1551" spans="1:42" s="167" customFormat="1" ht="34.5" customHeight="1" thickTop="1">
      <c r="A1551" s="837" t="s">
        <v>33</v>
      </c>
      <c r="B1551" s="838" t="s">
        <v>86</v>
      </c>
      <c r="C1551" s="839" t="s">
        <v>847</v>
      </c>
      <c r="D1551" s="840"/>
      <c r="E1551" s="841" t="s">
        <v>870</v>
      </c>
      <c r="F1551" s="842"/>
      <c r="G1551" s="841" t="s">
        <v>850</v>
      </c>
      <c r="H1551" s="842"/>
      <c r="I1551" s="841" t="s">
        <v>851</v>
      </c>
      <c r="J1551" s="842"/>
      <c r="K1551" s="841" t="s">
        <v>852</v>
      </c>
      <c r="L1551" s="842"/>
      <c r="M1551" s="151"/>
      <c r="N1551" s="151"/>
      <c r="O1551" s="166"/>
      <c r="P1551" s="166"/>
      <c r="Q1551" s="166"/>
      <c r="R1551" s="166"/>
      <c r="S1551" s="1311"/>
      <c r="T1551" s="1311"/>
      <c r="U1551" s="1311"/>
      <c r="V1551" s="1311"/>
      <c r="W1551" s="1311"/>
      <c r="X1551" s="1311"/>
      <c r="Y1551" s="1311"/>
      <c r="Z1551" s="100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</row>
    <row r="1552" spans="1:25" s="94" customFormat="1" ht="34.5" customHeight="1">
      <c r="A1552" s="681" t="s">
        <v>228</v>
      </c>
      <c r="B1552" s="340" t="s">
        <v>41</v>
      </c>
      <c r="C1552" s="644">
        <f>CEILING(62*$Z$1,0.1)</f>
        <v>77.5</v>
      </c>
      <c r="D1552" s="645"/>
      <c r="E1552" s="644">
        <f>CEILING(76*$Z$1,0.1)</f>
        <v>95</v>
      </c>
      <c r="F1552" s="645"/>
      <c r="G1552" s="1083">
        <f>CEILING(44*$Z$1,0.1)</f>
        <v>55</v>
      </c>
      <c r="H1552" s="1084"/>
      <c r="I1552" s="1083">
        <f>CEILING(44*$Z$1,0.1)</f>
        <v>55</v>
      </c>
      <c r="J1552" s="1084"/>
      <c r="K1552" s="1083">
        <f>CEILING(44*$Z$1,0.1)</f>
        <v>55</v>
      </c>
      <c r="L1552" s="1084"/>
      <c r="M1552" s="97"/>
      <c r="N1552" s="106"/>
      <c r="O1552" s="92"/>
      <c r="P1552" s="92"/>
      <c r="Q1552" s="92"/>
      <c r="R1552" s="92"/>
      <c r="S1552" s="1311"/>
      <c r="T1552" s="1311"/>
      <c r="U1552" s="1311"/>
      <c r="V1552" s="1311"/>
      <c r="W1552" s="1311"/>
      <c r="X1552" s="1311"/>
      <c r="Y1552" s="1311"/>
    </row>
    <row r="1553" spans="1:25" s="94" customFormat="1" ht="34.5" customHeight="1">
      <c r="A1553" s="463" t="s">
        <v>76</v>
      </c>
      <c r="B1553" s="340" t="s">
        <v>42</v>
      </c>
      <c r="C1553" s="641">
        <f>CEILING((C1552+20*$Z$1),0.1)</f>
        <v>102.5</v>
      </c>
      <c r="D1553" s="646"/>
      <c r="E1553" s="641">
        <f>CEILING((E1552+20*$Z$1),0.1)</f>
        <v>120</v>
      </c>
      <c r="F1553" s="646"/>
      <c r="G1553" s="1085">
        <f>CEILING((G1552+20*$Z$1),0.1)</f>
        <v>80</v>
      </c>
      <c r="H1553" s="1086"/>
      <c r="I1553" s="1085">
        <f>CEILING((I1552+20*$Z$1),0.1)</f>
        <v>80</v>
      </c>
      <c r="J1553" s="1086"/>
      <c r="K1553" s="1085">
        <f>CEILING((K1552+20*$Z$1),0.1)</f>
        <v>80</v>
      </c>
      <c r="L1553" s="1086"/>
      <c r="M1553" s="97"/>
      <c r="N1553" s="106"/>
      <c r="O1553" s="92"/>
      <c r="P1553" s="92"/>
      <c r="Q1553" s="92"/>
      <c r="R1553" s="92"/>
      <c r="S1553" s="1311"/>
      <c r="T1553" s="1311"/>
      <c r="U1553" s="1311"/>
      <c r="V1553" s="1311"/>
      <c r="W1553" s="1311"/>
      <c r="X1553" s="1311"/>
      <c r="Y1553" s="1311"/>
    </row>
    <row r="1554" spans="1:25" s="94" customFormat="1" ht="34.5" customHeight="1">
      <c r="A1554" s="682"/>
      <c r="B1554" s="190" t="s">
        <v>37</v>
      </c>
      <c r="C1554" s="641">
        <f>CEILING((C1552*0.85),0.1)</f>
        <v>65.9</v>
      </c>
      <c r="D1554" s="646"/>
      <c r="E1554" s="641">
        <f>CEILING((E1552*0.85),0.1)</f>
        <v>80.80000000000001</v>
      </c>
      <c r="F1554" s="646"/>
      <c r="G1554" s="1085">
        <f>CEILING((G1552*0.85),0.1)</f>
        <v>46.800000000000004</v>
      </c>
      <c r="H1554" s="1086"/>
      <c r="I1554" s="1085">
        <f>CEILING((I1552*0.85),0.1)</f>
        <v>46.800000000000004</v>
      </c>
      <c r="J1554" s="1086"/>
      <c r="K1554" s="1085">
        <f>CEILING((K1552*0.85),0.1)</f>
        <v>46.800000000000004</v>
      </c>
      <c r="L1554" s="1086"/>
      <c r="M1554" s="97"/>
      <c r="N1554" s="106"/>
      <c r="O1554" s="92"/>
      <c r="P1554" s="92"/>
      <c r="Q1554" s="92"/>
      <c r="R1554" s="92"/>
      <c r="S1554" s="1311"/>
      <c r="T1554" s="1311"/>
      <c r="U1554" s="1311"/>
      <c r="V1554" s="1311"/>
      <c r="W1554" s="1311"/>
      <c r="X1554" s="1311"/>
      <c r="Y1554" s="1311"/>
    </row>
    <row r="1555" spans="1:25" s="94" customFormat="1" ht="34.5" customHeight="1">
      <c r="A1555" s="783"/>
      <c r="B1555" s="340" t="s">
        <v>61</v>
      </c>
      <c r="C1555" s="641">
        <f>CEILING((C1552*0.5),0.1)</f>
        <v>38.800000000000004</v>
      </c>
      <c r="D1555" s="646"/>
      <c r="E1555" s="641">
        <f>CEILING((E1552*0.5),0.1)</f>
        <v>47.5</v>
      </c>
      <c r="F1555" s="646"/>
      <c r="G1555" s="1085">
        <f>CEILING((G1552*0.5),0.1)</f>
        <v>27.5</v>
      </c>
      <c r="H1555" s="1086"/>
      <c r="I1555" s="1085">
        <f>CEILING((I1552*0.5),0.1)</f>
        <v>27.5</v>
      </c>
      <c r="J1555" s="1086"/>
      <c r="K1555" s="1085">
        <f>CEILING((K1552*0.5),0.1)</f>
        <v>27.5</v>
      </c>
      <c r="L1555" s="1086"/>
      <c r="M1555" s="97"/>
      <c r="N1555" s="106"/>
      <c r="O1555" s="92"/>
      <c r="P1555" s="92"/>
      <c r="Q1555" s="92"/>
      <c r="R1555" s="92"/>
      <c r="S1555" s="1311"/>
      <c r="T1555" s="1311"/>
      <c r="U1555" s="1311"/>
      <c r="V1555" s="1311"/>
      <c r="W1555" s="1311"/>
      <c r="X1555" s="1311"/>
      <c r="Y1555" s="1311"/>
    </row>
    <row r="1556" spans="1:25" s="94" customFormat="1" ht="34.5" customHeight="1">
      <c r="A1556" s="273" t="s">
        <v>1297</v>
      </c>
      <c r="B1556" s="172" t="s">
        <v>34</v>
      </c>
      <c r="C1556" s="641">
        <f>CEILING(72*$Z$1,0.1)</f>
        <v>90</v>
      </c>
      <c r="D1556" s="646"/>
      <c r="E1556" s="641">
        <f>CEILING(86*$Z$1,0.1)</f>
        <v>107.5</v>
      </c>
      <c r="F1556" s="646"/>
      <c r="G1556" s="1085">
        <f>CEILING(52*$Z$1,0.1)</f>
        <v>65</v>
      </c>
      <c r="H1556" s="1086"/>
      <c r="I1556" s="1085">
        <f>CEILING(52*$Z$1,0.1)</f>
        <v>65</v>
      </c>
      <c r="J1556" s="1086"/>
      <c r="K1556" s="1085">
        <f>CEILING(52*$Z$1,0.1)</f>
        <v>65</v>
      </c>
      <c r="L1556" s="1086"/>
      <c r="M1556" s="97"/>
      <c r="N1556" s="106"/>
      <c r="O1556" s="92"/>
      <c r="P1556" s="92"/>
      <c r="Q1556" s="92"/>
      <c r="R1556" s="92"/>
      <c r="S1556" s="1311"/>
      <c r="T1556" s="1311"/>
      <c r="U1556" s="1311"/>
      <c r="V1556" s="1311"/>
      <c r="W1556" s="1311"/>
      <c r="X1556" s="1311"/>
      <c r="Y1556" s="1311"/>
    </row>
    <row r="1557" spans="1:25" s="94" customFormat="1" ht="34.5" customHeight="1" thickBot="1">
      <c r="A1557" s="610" t="s">
        <v>297</v>
      </c>
      <c r="B1557" s="343" t="s">
        <v>36</v>
      </c>
      <c r="C1557" s="648">
        <f>CEILING((C1556+20*$Z$1),0.1)</f>
        <v>115</v>
      </c>
      <c r="D1557" s="649"/>
      <c r="E1557" s="648">
        <f>CEILING((E1556+20*$Z$1),0.1)</f>
        <v>132.5</v>
      </c>
      <c r="F1557" s="649"/>
      <c r="G1557" s="1103">
        <f>CEILING((G1556+25*$Z$1),0.1)</f>
        <v>96.30000000000001</v>
      </c>
      <c r="H1557" s="1098"/>
      <c r="I1557" s="1103">
        <f>CEILING((I1556+25*$Z$1),0.1)</f>
        <v>96.30000000000001</v>
      </c>
      <c r="J1557" s="1098"/>
      <c r="K1557" s="1103">
        <f>CEILING((K1556+25*$Z$1),0.1)</f>
        <v>96.30000000000001</v>
      </c>
      <c r="L1557" s="1098"/>
      <c r="M1557" s="101"/>
      <c r="N1557" s="92"/>
      <c r="O1557" s="92"/>
      <c r="P1557" s="92"/>
      <c r="Q1557" s="92"/>
      <c r="R1557" s="92"/>
      <c r="S1557" s="1311"/>
      <c r="T1557" s="1311"/>
      <c r="U1557" s="1311"/>
      <c r="V1557" s="1311"/>
      <c r="W1557" s="1311"/>
      <c r="X1557" s="1311"/>
      <c r="Y1557" s="1311"/>
    </row>
    <row r="1558" spans="1:25" s="94" customFormat="1" ht="34.5" customHeight="1" thickTop="1">
      <c r="A1558" s="387" t="s">
        <v>670</v>
      </c>
      <c r="B1558" s="106"/>
      <c r="C1558" s="638"/>
      <c r="D1558" s="638"/>
      <c r="E1558" s="638"/>
      <c r="F1558" s="638"/>
      <c r="G1558" s="638"/>
      <c r="H1558" s="638"/>
      <c r="I1558" s="638"/>
      <c r="J1558" s="638"/>
      <c r="K1558" s="638"/>
      <c r="L1558" s="638"/>
      <c r="M1558" s="97"/>
      <c r="N1558" s="106"/>
      <c r="O1558" s="92"/>
      <c r="P1558" s="92"/>
      <c r="Q1558" s="92"/>
      <c r="R1558" s="92"/>
      <c r="S1558" s="1311"/>
      <c r="T1558" s="1311"/>
      <c r="U1558" s="1311"/>
      <c r="V1558" s="1311"/>
      <c r="W1558" s="1311"/>
      <c r="X1558" s="1311"/>
      <c r="Y1558" s="1311"/>
    </row>
    <row r="1559" spans="1:25" s="94" customFormat="1" ht="34.5" customHeight="1">
      <c r="A1559" s="679" t="s">
        <v>669</v>
      </c>
      <c r="B1559" s="106"/>
      <c r="C1559" s="127"/>
      <c r="D1559" s="127"/>
      <c r="E1559" s="127"/>
      <c r="F1559" s="127"/>
      <c r="G1559" s="127"/>
      <c r="H1559" s="127"/>
      <c r="I1559" s="127"/>
      <c r="J1559" s="127"/>
      <c r="K1559" s="135"/>
      <c r="L1559" s="135"/>
      <c r="M1559" s="97"/>
      <c r="N1559" s="106"/>
      <c r="O1559" s="92"/>
      <c r="P1559" s="92"/>
      <c r="Q1559" s="92"/>
      <c r="R1559" s="92"/>
      <c r="S1559" s="1311"/>
      <c r="T1559" s="1311"/>
      <c r="U1559" s="1311"/>
      <c r="V1559" s="1311"/>
      <c r="W1559" s="1311"/>
      <c r="X1559" s="1311"/>
      <c r="Y1559" s="1311"/>
    </row>
    <row r="1560" spans="1:25" s="94" customFormat="1" ht="34.5" customHeight="1" thickBot="1">
      <c r="A1560" s="339"/>
      <c r="B1560" s="538"/>
      <c r="C1560" s="339"/>
      <c r="D1560" s="339"/>
      <c r="E1560" s="339"/>
      <c r="F1560" s="339"/>
      <c r="G1560" s="339"/>
      <c r="H1560" s="339"/>
      <c r="I1560" s="339"/>
      <c r="J1560" s="339"/>
      <c r="K1560" s="91"/>
      <c r="L1560" s="91"/>
      <c r="M1560" s="92"/>
      <c r="N1560" s="92"/>
      <c r="O1560" s="92"/>
      <c r="P1560" s="92"/>
      <c r="Q1560" s="92"/>
      <c r="R1560" s="92"/>
      <c r="S1560" s="1311"/>
      <c r="T1560" s="1311"/>
      <c r="U1560" s="1311"/>
      <c r="V1560" s="1311"/>
      <c r="W1560" s="1311"/>
      <c r="X1560" s="1311"/>
      <c r="Y1560" s="1311"/>
    </row>
    <row r="1561" spans="1:42" s="167" customFormat="1" ht="34.5" customHeight="1" thickTop="1">
      <c r="A1561" s="837" t="s">
        <v>33</v>
      </c>
      <c r="B1561" s="838" t="s">
        <v>86</v>
      </c>
      <c r="C1561" s="839" t="s">
        <v>847</v>
      </c>
      <c r="D1561" s="840"/>
      <c r="E1561" s="841" t="s">
        <v>877</v>
      </c>
      <c r="F1561" s="842"/>
      <c r="G1561" s="841" t="s">
        <v>959</v>
      </c>
      <c r="H1561" s="842"/>
      <c r="I1561" s="1224"/>
      <c r="J1561" s="1281"/>
      <c r="K1561" s="1224"/>
      <c r="L1561" s="1224"/>
      <c r="M1561" s="151"/>
      <c r="N1561" s="151"/>
      <c r="O1561" s="166"/>
      <c r="P1561" s="166"/>
      <c r="Q1561" s="166"/>
      <c r="R1561" s="166"/>
      <c r="S1561" s="1311"/>
      <c r="T1561" s="1311"/>
      <c r="U1561" s="1311"/>
      <c r="V1561" s="1311"/>
      <c r="W1561" s="1311"/>
      <c r="X1561" s="1311"/>
      <c r="Y1561" s="1311"/>
      <c r="Z1561" s="100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</row>
    <row r="1562" spans="1:25" s="94" customFormat="1" ht="34.5" customHeight="1">
      <c r="A1562" s="482" t="s">
        <v>117</v>
      </c>
      <c r="B1562" s="189" t="s">
        <v>41</v>
      </c>
      <c r="C1562" s="644">
        <f>CEILING(38*$Z$1,0.1)</f>
        <v>47.5</v>
      </c>
      <c r="D1562" s="645"/>
      <c r="E1562" s="644">
        <f>CEILING(43*$Z$1,0.1)</f>
        <v>53.800000000000004</v>
      </c>
      <c r="F1562" s="645"/>
      <c r="G1562" s="644">
        <f>CEILING(38*$Z$1,0.1)</f>
        <v>47.5</v>
      </c>
      <c r="H1562" s="645"/>
      <c r="I1562" s="638"/>
      <c r="J1562" s="638"/>
      <c r="K1562" s="638"/>
      <c r="L1562" s="638"/>
      <c r="M1562" s="92"/>
      <c r="N1562" s="92"/>
      <c r="O1562" s="92"/>
      <c r="P1562" s="92"/>
      <c r="Q1562" s="92"/>
      <c r="R1562" s="92"/>
      <c r="S1562" s="1311"/>
      <c r="T1562" s="1311"/>
      <c r="U1562" s="1311"/>
      <c r="V1562" s="1311"/>
      <c r="W1562" s="1311"/>
      <c r="X1562" s="1311"/>
      <c r="Y1562" s="1311"/>
    </row>
    <row r="1563" spans="1:25" s="94" customFormat="1" ht="34.5" customHeight="1">
      <c r="A1563" s="297" t="s">
        <v>49</v>
      </c>
      <c r="B1563" s="190" t="s">
        <v>42</v>
      </c>
      <c r="C1563" s="641">
        <f>CEILING((C1562+11*$Z$1),0.1)</f>
        <v>61.300000000000004</v>
      </c>
      <c r="D1563" s="646"/>
      <c r="E1563" s="641">
        <f>CEILING((E1562+13*$Z$1),0.1)</f>
        <v>70.10000000000001</v>
      </c>
      <c r="F1563" s="646"/>
      <c r="G1563" s="641">
        <f>CEILING((G1562+11*$Z$1),0.1)</f>
        <v>61.300000000000004</v>
      </c>
      <c r="H1563" s="646"/>
      <c r="I1563" s="638"/>
      <c r="J1563" s="638"/>
      <c r="K1563" s="638"/>
      <c r="L1563" s="638"/>
      <c r="M1563" s="92"/>
      <c r="N1563" s="92"/>
      <c r="O1563" s="92"/>
      <c r="P1563" s="92"/>
      <c r="Q1563" s="92"/>
      <c r="R1563" s="92"/>
      <c r="S1563" s="1311"/>
      <c r="T1563" s="1311"/>
      <c r="U1563" s="1311"/>
      <c r="V1563" s="1311"/>
      <c r="W1563" s="1311"/>
      <c r="X1563" s="1311"/>
      <c r="Y1563" s="1311"/>
    </row>
    <row r="1564" spans="1:25" s="94" customFormat="1" ht="34.5" customHeight="1">
      <c r="A1564" s="297"/>
      <c r="B1564" s="298" t="s">
        <v>67</v>
      </c>
      <c r="C1564" s="641">
        <f>CEILING((C1562*0.8),0.1)</f>
        <v>38</v>
      </c>
      <c r="D1564" s="646"/>
      <c r="E1564" s="641">
        <f>CEILING((E1562*0.8),0.1)</f>
        <v>43.1</v>
      </c>
      <c r="F1564" s="646"/>
      <c r="G1564" s="641">
        <f>CEILING((G1562*0.8),0.1)</f>
        <v>38</v>
      </c>
      <c r="H1564" s="646"/>
      <c r="I1564" s="638"/>
      <c r="J1564" s="638"/>
      <c r="K1564" s="638"/>
      <c r="L1564" s="638"/>
      <c r="M1564" s="101"/>
      <c r="N1564" s="92"/>
      <c r="O1564" s="92"/>
      <c r="P1564" s="101"/>
      <c r="Q1564" s="127"/>
      <c r="R1564" s="127"/>
      <c r="S1564" s="1311"/>
      <c r="T1564" s="1311"/>
      <c r="U1564" s="1311"/>
      <c r="V1564" s="1311"/>
      <c r="W1564" s="1311"/>
      <c r="X1564" s="1311"/>
      <c r="Y1564" s="1311"/>
    </row>
    <row r="1565" spans="1:25" s="94" customFormat="1" ht="34.5" customHeight="1">
      <c r="A1565" s="254"/>
      <c r="B1565" s="298" t="s">
        <v>71</v>
      </c>
      <c r="C1565" s="641">
        <f>CEILING((C1562*0),0.1)</f>
        <v>0</v>
      </c>
      <c r="D1565" s="646"/>
      <c r="E1565" s="641">
        <f>CEILING((E1562*0),0.1)</f>
        <v>0</v>
      </c>
      <c r="F1565" s="646"/>
      <c r="G1565" s="641">
        <f>CEILING((G1562*0),0.1)</f>
        <v>0</v>
      </c>
      <c r="H1565" s="646"/>
      <c r="I1565" s="638"/>
      <c r="J1565" s="638"/>
      <c r="K1565" s="638"/>
      <c r="L1565" s="638"/>
      <c r="M1565" s="101"/>
      <c r="N1565" s="92"/>
      <c r="O1565" s="92"/>
      <c r="P1565" s="101"/>
      <c r="Q1565" s="127"/>
      <c r="R1565" s="127"/>
      <c r="S1565" s="1311"/>
      <c r="T1565" s="1311"/>
      <c r="U1565" s="1311"/>
      <c r="V1565" s="1311"/>
      <c r="W1565" s="1311"/>
      <c r="X1565" s="1311"/>
      <c r="Y1565" s="1311"/>
    </row>
    <row r="1566" spans="1:25" s="94" customFormat="1" ht="34.5" customHeight="1" thickBot="1">
      <c r="A1566" s="610" t="s">
        <v>296</v>
      </c>
      <c r="B1566" s="193" t="s">
        <v>72</v>
      </c>
      <c r="C1566" s="648">
        <f>CEILING((C1563*0.5),0.1)</f>
        <v>30.700000000000003</v>
      </c>
      <c r="D1566" s="649"/>
      <c r="E1566" s="648">
        <f>CEILING((E1563*0.5),0.1)</f>
        <v>35.1</v>
      </c>
      <c r="F1566" s="649"/>
      <c r="G1566" s="648">
        <f>CEILING((G1563*0.5),0.1)</f>
        <v>30.700000000000003</v>
      </c>
      <c r="H1566" s="649"/>
      <c r="I1566" s="638"/>
      <c r="J1566" s="638"/>
      <c r="K1566" s="638"/>
      <c r="L1566" s="638"/>
      <c r="M1566" s="92"/>
      <c r="N1566" s="92"/>
      <c r="O1566" s="92"/>
      <c r="P1566" s="101"/>
      <c r="Q1566" s="101"/>
      <c r="R1566" s="101"/>
      <c r="S1566" s="1311"/>
      <c r="T1566" s="1311"/>
      <c r="U1566" s="1311"/>
      <c r="V1566" s="1311"/>
      <c r="W1566" s="1311"/>
      <c r="X1566" s="1311"/>
      <c r="Y1566" s="1311"/>
    </row>
    <row r="1567" spans="1:25" s="94" customFormat="1" ht="34.5" customHeight="1" thickTop="1">
      <c r="A1567" s="487" t="s">
        <v>262</v>
      </c>
      <c r="B1567" s="190" t="s">
        <v>263</v>
      </c>
      <c r="C1567" s="683">
        <f>CEILING(48*$Z$1,0.1)</f>
        <v>60</v>
      </c>
      <c r="D1567" s="684"/>
      <c r="E1567" s="683">
        <f>CEILING(53*$Z$1,0.1)</f>
        <v>66.3</v>
      </c>
      <c r="F1567" s="684"/>
      <c r="G1567" s="683">
        <f>CEILING(48*$Z$1,0.1)</f>
        <v>60</v>
      </c>
      <c r="H1567" s="684"/>
      <c r="I1567" s="638"/>
      <c r="J1567" s="638"/>
      <c r="K1567" s="638"/>
      <c r="L1567" s="638"/>
      <c r="M1567" s="92"/>
      <c r="N1567" s="92"/>
      <c r="O1567" s="92"/>
      <c r="P1567" s="92"/>
      <c r="Q1567" s="92"/>
      <c r="R1567" s="92"/>
      <c r="S1567" s="1311"/>
      <c r="T1567" s="1311"/>
      <c r="U1567" s="1311"/>
      <c r="V1567" s="1311"/>
      <c r="W1567" s="1311"/>
      <c r="X1567" s="1311"/>
      <c r="Y1567" s="1311"/>
    </row>
    <row r="1568" spans="1:25" s="94" customFormat="1" ht="34.5" customHeight="1">
      <c r="A1568" s="297" t="s">
        <v>49</v>
      </c>
      <c r="B1568" s="190" t="s">
        <v>264</v>
      </c>
      <c r="C1568" s="641">
        <f>CEILING((C1567+14*$Z$1),0.1)</f>
        <v>77.5</v>
      </c>
      <c r="D1568" s="646"/>
      <c r="E1568" s="641">
        <f>CEILING((E1567+16*$Z$1),0.1)</f>
        <v>86.30000000000001</v>
      </c>
      <c r="F1568" s="646"/>
      <c r="G1568" s="641">
        <f>CEILING((G1567+14*$Z$1),0.1)</f>
        <v>77.5</v>
      </c>
      <c r="H1568" s="646"/>
      <c r="I1568" s="638"/>
      <c r="J1568" s="638"/>
      <c r="K1568" s="638"/>
      <c r="L1568" s="638"/>
      <c r="M1568" s="92"/>
      <c r="N1568" s="92"/>
      <c r="O1568" s="92"/>
      <c r="P1568" s="92"/>
      <c r="Q1568" s="92"/>
      <c r="R1568" s="92"/>
      <c r="S1568" s="1311"/>
      <c r="T1568" s="1311"/>
      <c r="U1568" s="1311"/>
      <c r="V1568" s="1311"/>
      <c r="W1568" s="1311"/>
      <c r="X1568" s="1311"/>
      <c r="Y1568" s="1311"/>
    </row>
    <row r="1569" spans="1:25" s="94" customFormat="1" ht="34.5" customHeight="1">
      <c r="A1569" s="254"/>
      <c r="B1569" s="298" t="s">
        <v>71</v>
      </c>
      <c r="C1569" s="641">
        <f>CEILING((C1567*0),0.1)</f>
        <v>0</v>
      </c>
      <c r="D1569" s="646"/>
      <c r="E1569" s="641">
        <f>CEILING((E1567*0),0.1)</f>
        <v>0</v>
      </c>
      <c r="F1569" s="646"/>
      <c r="G1569" s="641">
        <f>CEILING((G1567*0),0.1)</f>
        <v>0</v>
      </c>
      <c r="H1569" s="646"/>
      <c r="I1569" s="638"/>
      <c r="J1569" s="638"/>
      <c r="K1569" s="638"/>
      <c r="L1569" s="638"/>
      <c r="M1569" s="92"/>
      <c r="N1569" s="92"/>
      <c r="O1569" s="92"/>
      <c r="P1569" s="92"/>
      <c r="Q1569" s="92"/>
      <c r="R1569" s="92"/>
      <c r="S1569" s="1311"/>
      <c r="T1569" s="1311"/>
      <c r="U1569" s="1311"/>
      <c r="V1569" s="1311"/>
      <c r="W1569" s="1311"/>
      <c r="X1569" s="1311"/>
      <c r="Y1569" s="1311"/>
    </row>
    <row r="1570" spans="1:25" s="94" customFormat="1" ht="34.5" customHeight="1">
      <c r="A1570" s="254"/>
      <c r="B1570" s="298" t="s">
        <v>72</v>
      </c>
      <c r="C1570" s="641">
        <f>CEILING((C1567*0.5),0.1)</f>
        <v>30</v>
      </c>
      <c r="D1570" s="646"/>
      <c r="E1570" s="641">
        <f>CEILING((E1567*0.5),0.1)</f>
        <v>33.2</v>
      </c>
      <c r="F1570" s="646"/>
      <c r="G1570" s="641">
        <f>CEILING((G1567*0.5),0.1)</f>
        <v>30</v>
      </c>
      <c r="H1570" s="646"/>
      <c r="I1570" s="638"/>
      <c r="J1570" s="638"/>
      <c r="K1570" s="638"/>
      <c r="L1570" s="638"/>
      <c r="M1570" s="101"/>
      <c r="N1570" s="92"/>
      <c r="O1570" s="92"/>
      <c r="P1570" s="92"/>
      <c r="Q1570" s="92"/>
      <c r="R1570" s="92"/>
      <c r="S1570" s="92"/>
      <c r="T1570" s="92"/>
      <c r="U1570" s="92"/>
      <c r="V1570" s="92"/>
      <c r="W1570" s="92"/>
      <c r="X1570" s="92"/>
      <c r="Y1570" s="92"/>
    </row>
    <row r="1571" spans="1:25" s="94" customFormat="1" ht="34.5" customHeight="1" thickBot="1">
      <c r="A1571" s="610" t="s">
        <v>296</v>
      </c>
      <c r="B1571" s="246" t="s">
        <v>833</v>
      </c>
      <c r="C1571" s="648">
        <f>CEILING(168*$Z$1,0.1)</f>
        <v>210</v>
      </c>
      <c r="D1571" s="649"/>
      <c r="E1571" s="648">
        <f>CEILING(168*$Z$1,0.1)</f>
        <v>210</v>
      </c>
      <c r="F1571" s="649"/>
      <c r="G1571" s="648">
        <f>CEILING(168*$Z$1,0.1)</f>
        <v>210</v>
      </c>
      <c r="H1571" s="649"/>
      <c r="I1571" s="638"/>
      <c r="J1571" s="638"/>
      <c r="K1571" s="638"/>
      <c r="L1571" s="638"/>
      <c r="M1571" s="101"/>
      <c r="N1571" s="92"/>
      <c r="O1571" s="92"/>
      <c r="P1571" s="92"/>
      <c r="Q1571" s="92"/>
      <c r="R1571" s="92"/>
      <c r="S1571" s="92"/>
      <c r="T1571" s="92"/>
      <c r="U1571" s="92"/>
      <c r="V1571" s="92"/>
      <c r="W1571" s="92"/>
      <c r="X1571" s="92"/>
      <c r="Y1571" s="92"/>
    </row>
    <row r="1572" spans="1:25" s="94" customFormat="1" ht="34.5" customHeight="1" thickTop="1">
      <c r="A1572" s="487" t="s">
        <v>247</v>
      </c>
      <c r="B1572" s="190" t="s">
        <v>263</v>
      </c>
      <c r="C1572" s="683">
        <f>CEILING(58*$Z$1,0.1)</f>
        <v>72.5</v>
      </c>
      <c r="D1572" s="684"/>
      <c r="E1572" s="683">
        <f>CEILING(58*$Z$1,0.1)</f>
        <v>72.5</v>
      </c>
      <c r="F1572" s="684"/>
      <c r="G1572" s="683">
        <f>CEILING(58*$Z$1,0.1)</f>
        <v>72.5</v>
      </c>
      <c r="H1572" s="684"/>
      <c r="I1572" s="638"/>
      <c r="J1572" s="638"/>
      <c r="K1572" s="638"/>
      <c r="L1572" s="638"/>
      <c r="M1572" s="101"/>
      <c r="N1572" s="92"/>
      <c r="O1572" s="92"/>
      <c r="P1572" s="92"/>
      <c r="Q1572" s="92"/>
      <c r="R1572" s="92"/>
      <c r="S1572" s="92"/>
      <c r="T1572" s="92"/>
      <c r="U1572" s="92"/>
      <c r="V1572" s="92"/>
      <c r="W1572" s="92"/>
      <c r="X1572" s="92"/>
      <c r="Y1572" s="92"/>
    </row>
    <row r="1573" spans="1:22" s="94" customFormat="1" ht="34.5" customHeight="1">
      <c r="A1573" s="297" t="s">
        <v>49</v>
      </c>
      <c r="B1573" s="190" t="s">
        <v>264</v>
      </c>
      <c r="C1573" s="641">
        <f>CEILING((C1572+17*$Z$1),0.1)</f>
        <v>93.80000000000001</v>
      </c>
      <c r="D1573" s="646"/>
      <c r="E1573" s="641">
        <f>CEILING((E1572+17*$Z$1),0.1)</f>
        <v>93.80000000000001</v>
      </c>
      <c r="F1573" s="646"/>
      <c r="G1573" s="641">
        <f>CEILING((G1572+17*$Z$1),0.1)</f>
        <v>93.80000000000001</v>
      </c>
      <c r="H1573" s="646"/>
      <c r="I1573" s="638"/>
      <c r="J1573" s="638"/>
      <c r="K1573" s="638"/>
      <c r="L1573" s="638"/>
      <c r="M1573" s="92"/>
      <c r="N1573" s="92"/>
      <c r="O1573" s="92"/>
      <c r="P1573" s="92"/>
      <c r="Q1573" s="92"/>
      <c r="R1573" s="92"/>
      <c r="S1573" s="92"/>
      <c r="T1573" s="92"/>
      <c r="U1573" s="92"/>
      <c r="V1573" s="92"/>
    </row>
    <row r="1574" spans="1:22" s="94" customFormat="1" ht="34.5" customHeight="1">
      <c r="A1574" s="254"/>
      <c r="B1574" s="298" t="s">
        <v>71</v>
      </c>
      <c r="C1574" s="641">
        <f>CEILING((C1572*0),0.1)</f>
        <v>0</v>
      </c>
      <c r="D1574" s="646"/>
      <c r="E1574" s="641">
        <f>CEILING((E1572*0),0.1)</f>
        <v>0</v>
      </c>
      <c r="F1574" s="646"/>
      <c r="G1574" s="641">
        <f>CEILING((G1572*0),0.1)</f>
        <v>0</v>
      </c>
      <c r="H1574" s="646"/>
      <c r="I1574" s="638"/>
      <c r="J1574" s="638"/>
      <c r="K1574" s="638"/>
      <c r="L1574" s="638"/>
      <c r="M1574" s="92"/>
      <c r="N1574" s="92"/>
      <c r="O1574" s="92"/>
      <c r="P1574" s="92"/>
      <c r="Q1574" s="92"/>
      <c r="R1574" s="92"/>
      <c r="S1574" s="92"/>
      <c r="T1574" s="92"/>
      <c r="U1574" s="92"/>
      <c r="V1574" s="92"/>
    </row>
    <row r="1575" spans="1:22" s="94" customFormat="1" ht="34.5" customHeight="1">
      <c r="A1575" s="254"/>
      <c r="B1575" s="298" t="s">
        <v>72</v>
      </c>
      <c r="C1575" s="641">
        <f>CEILING((C1572*0.5),0.1)</f>
        <v>36.300000000000004</v>
      </c>
      <c r="D1575" s="646"/>
      <c r="E1575" s="641">
        <f>CEILING((E1572*0.5),0.1)</f>
        <v>36.300000000000004</v>
      </c>
      <c r="F1575" s="646"/>
      <c r="G1575" s="641">
        <f>CEILING((G1572*0.5),0.1)</f>
        <v>36.300000000000004</v>
      </c>
      <c r="H1575" s="646"/>
      <c r="I1575" s="638"/>
      <c r="J1575" s="638"/>
      <c r="K1575" s="638"/>
      <c r="L1575" s="638"/>
      <c r="M1575" s="92"/>
      <c r="N1575" s="92"/>
      <c r="O1575" s="92"/>
      <c r="P1575" s="92"/>
      <c r="Q1575" s="92"/>
      <c r="R1575" s="92"/>
      <c r="S1575" s="92"/>
      <c r="T1575" s="92"/>
      <c r="U1575" s="92"/>
      <c r="V1575" s="92"/>
    </row>
    <row r="1576" spans="1:22" s="94" customFormat="1" ht="34.5" customHeight="1" thickBot="1">
      <c r="A1576" s="610" t="s">
        <v>295</v>
      </c>
      <c r="B1576" s="193" t="s">
        <v>834</v>
      </c>
      <c r="C1576" s="648">
        <f>CEILING(215*$Z$1,0.1)</f>
        <v>268.8</v>
      </c>
      <c r="D1576" s="649"/>
      <c r="E1576" s="648">
        <f>CEILING(215*$Z$1,0.1)</f>
        <v>268.8</v>
      </c>
      <c r="F1576" s="649"/>
      <c r="G1576" s="648">
        <f>CEILING(215*$Z$1,0.1)</f>
        <v>268.8</v>
      </c>
      <c r="H1576" s="649"/>
      <c r="I1576" s="638"/>
      <c r="J1576" s="638"/>
      <c r="K1576" s="638"/>
      <c r="L1576" s="638"/>
      <c r="M1576" s="92"/>
      <c r="N1576" s="92"/>
      <c r="O1576" s="92"/>
      <c r="P1576" s="92"/>
      <c r="Q1576" s="92"/>
      <c r="R1576" s="92"/>
      <c r="S1576" s="92"/>
      <c r="T1576" s="92"/>
      <c r="U1576" s="92"/>
      <c r="V1576" s="92"/>
    </row>
    <row r="1577" spans="1:22" s="94" customFormat="1" ht="34.5" customHeight="1" thickTop="1">
      <c r="A1577" s="387" t="s">
        <v>889</v>
      </c>
      <c r="B1577" s="106"/>
      <c r="C1577" s="638"/>
      <c r="D1577" s="638"/>
      <c r="E1577" s="638"/>
      <c r="F1577" s="638"/>
      <c r="G1577" s="638"/>
      <c r="H1577" s="638"/>
      <c r="I1577" s="638"/>
      <c r="J1577" s="638"/>
      <c r="K1577" s="638"/>
      <c r="L1577" s="638"/>
      <c r="M1577" s="92"/>
      <c r="N1577" s="92"/>
      <c r="O1577" s="92"/>
      <c r="P1577" s="92"/>
      <c r="Q1577" s="92"/>
      <c r="R1577" s="92"/>
      <c r="S1577" s="92"/>
      <c r="T1577" s="92"/>
      <c r="U1577" s="92"/>
      <c r="V1577" s="92"/>
    </row>
    <row r="1578" spans="1:25" s="94" customFormat="1" ht="34.5" customHeight="1" thickBot="1">
      <c r="A1578" s="685"/>
      <c r="B1578" s="369"/>
      <c r="C1578" s="127"/>
      <c r="D1578" s="127"/>
      <c r="E1578" s="127"/>
      <c r="F1578" s="127"/>
      <c r="G1578" s="127"/>
      <c r="H1578" s="127"/>
      <c r="I1578" s="127"/>
      <c r="J1578" s="127"/>
      <c r="K1578" s="135"/>
      <c r="L1578" s="135"/>
      <c r="M1578" s="106"/>
      <c r="N1578" s="92"/>
      <c r="O1578" s="92"/>
      <c r="P1578" s="92"/>
      <c r="Q1578" s="127"/>
      <c r="R1578" s="127"/>
      <c r="S1578" s="101"/>
      <c r="T1578" s="92"/>
      <c r="U1578" s="92"/>
      <c r="V1578" s="92"/>
      <c r="W1578" s="92"/>
      <c r="X1578" s="92"/>
      <c r="Y1578" s="92"/>
    </row>
    <row r="1579" spans="1:42" s="167" customFormat="1" ht="34.5" customHeight="1" thickTop="1">
      <c r="A1579" s="826" t="s">
        <v>33</v>
      </c>
      <c r="B1579" s="827" t="s">
        <v>86</v>
      </c>
      <c r="C1579" s="828" t="s">
        <v>956</v>
      </c>
      <c r="D1579" s="829"/>
      <c r="E1579" s="961">
        <v>44926</v>
      </c>
      <c r="F1579" s="831"/>
      <c r="G1579" s="830" t="s">
        <v>957</v>
      </c>
      <c r="H1579" s="831"/>
      <c r="I1579" s="1332"/>
      <c r="J1579" s="1224"/>
      <c r="K1579" s="1224"/>
      <c r="L1579" s="1224"/>
      <c r="M1579" s="151"/>
      <c r="N1579" s="151"/>
      <c r="O1579" s="166"/>
      <c r="P1579" s="166"/>
      <c r="Q1579" s="166"/>
      <c r="R1579" s="166"/>
      <c r="S1579" s="100"/>
      <c r="T1579" s="92"/>
      <c r="U1579" s="92"/>
      <c r="V1579" s="92"/>
      <c r="W1579" s="92"/>
      <c r="X1579" s="92"/>
      <c r="Y1579" s="92"/>
      <c r="Z1579" s="100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</row>
    <row r="1580" spans="1:25" s="94" customFormat="1" ht="34.5" customHeight="1">
      <c r="A1580" s="671" t="s">
        <v>774</v>
      </c>
      <c r="B1580" s="189" t="s">
        <v>41</v>
      </c>
      <c r="C1580" s="1083">
        <f>CEILING(18*$Z$1,0.1)</f>
        <v>22.5</v>
      </c>
      <c r="D1580" s="1084"/>
      <c r="E1580" s="1083">
        <f>CEILING(23*$Z$1,0.1)</f>
        <v>28.8</v>
      </c>
      <c r="F1580" s="1084"/>
      <c r="G1580" s="1083">
        <f>CEILING(18*$Z$1,0.1)</f>
        <v>22.5</v>
      </c>
      <c r="H1580" s="1084"/>
      <c r="I1580" s="638"/>
      <c r="J1580" s="638"/>
      <c r="K1580" s="638"/>
      <c r="L1580" s="638"/>
      <c r="M1580" s="686"/>
      <c r="N1580" s="98"/>
      <c r="O1580" s="92"/>
      <c r="P1580" s="92"/>
      <c r="Q1580" s="92"/>
      <c r="R1580" s="92"/>
      <c r="S1580" s="92"/>
      <c r="T1580" s="92"/>
      <c r="U1580" s="92"/>
      <c r="V1580" s="92"/>
      <c r="W1580" s="92"/>
      <c r="X1580" s="92"/>
      <c r="Y1580" s="92"/>
    </row>
    <row r="1581" spans="1:25" s="94" customFormat="1" ht="34.5" customHeight="1">
      <c r="A1581" s="124"/>
      <c r="B1581" s="190" t="s">
        <v>42</v>
      </c>
      <c r="C1581" s="1085">
        <f>CEILING((C1580+9*$Z$1),0.1)</f>
        <v>33.800000000000004</v>
      </c>
      <c r="D1581" s="1086"/>
      <c r="E1581" s="1085">
        <f>CEILING((E1580+10*$Z$1),0.1)</f>
        <v>41.300000000000004</v>
      </c>
      <c r="F1581" s="1086"/>
      <c r="G1581" s="1085">
        <f>CEILING((G1580+9*$Z$1),0.1)</f>
        <v>33.800000000000004</v>
      </c>
      <c r="H1581" s="1086"/>
      <c r="I1581" s="638"/>
      <c r="J1581" s="638"/>
      <c r="K1581" s="638"/>
      <c r="L1581" s="638"/>
      <c r="M1581" s="686"/>
      <c r="N1581" s="90"/>
      <c r="O1581" s="101"/>
      <c r="P1581" s="101"/>
      <c r="Q1581" s="101"/>
      <c r="R1581" s="101"/>
      <c r="S1581" s="101"/>
      <c r="T1581" s="101"/>
      <c r="U1581" s="101"/>
      <c r="V1581" s="92"/>
      <c r="W1581" s="92"/>
      <c r="X1581" s="92"/>
      <c r="Y1581" s="92"/>
    </row>
    <row r="1582" spans="1:25" s="94" customFormat="1" ht="34.5" customHeight="1">
      <c r="A1582" s="124" t="s">
        <v>1180</v>
      </c>
      <c r="B1582" s="190" t="s">
        <v>37</v>
      </c>
      <c r="C1582" s="1085">
        <f>CEILING((C1580*0.85),0.1)</f>
        <v>19.200000000000003</v>
      </c>
      <c r="D1582" s="1086"/>
      <c r="E1582" s="1085">
        <f>CEILING((E1580*0.85),0.1)</f>
        <v>24.5</v>
      </c>
      <c r="F1582" s="1086"/>
      <c r="G1582" s="1085">
        <f>CEILING((G1580*0.85),0.1)</f>
        <v>19.200000000000003</v>
      </c>
      <c r="H1582" s="1086"/>
      <c r="I1582" s="638"/>
      <c r="J1582" s="638"/>
      <c r="K1582" s="638"/>
      <c r="L1582" s="638"/>
      <c r="M1582" s="686"/>
      <c r="N1582" s="90"/>
      <c r="O1582" s="101"/>
      <c r="P1582" s="101"/>
      <c r="Q1582" s="101"/>
      <c r="R1582" s="101"/>
      <c r="S1582" s="101"/>
      <c r="T1582" s="101"/>
      <c r="U1582" s="101"/>
      <c r="V1582" s="92"/>
      <c r="W1582" s="92"/>
      <c r="X1582" s="92"/>
      <c r="Y1582" s="92"/>
    </row>
    <row r="1583" spans="1:25" s="94" customFormat="1" ht="34.5" customHeight="1" thickBot="1">
      <c r="A1583" s="400" t="s">
        <v>294</v>
      </c>
      <c r="B1583" s="193" t="s">
        <v>61</v>
      </c>
      <c r="C1583" s="1103">
        <f>CEILING((C1580*0.5),0.1)</f>
        <v>11.3</v>
      </c>
      <c r="D1583" s="1098"/>
      <c r="E1583" s="1103">
        <f>CEILING((E1580*0.5),0.1)</f>
        <v>14.4</v>
      </c>
      <c r="F1583" s="1098"/>
      <c r="G1583" s="1103">
        <f>CEILING((G1580*0.5),0.1)</f>
        <v>11.3</v>
      </c>
      <c r="H1583" s="1098"/>
      <c r="I1583" s="638"/>
      <c r="J1583" s="638"/>
      <c r="K1583" s="638"/>
      <c r="L1583" s="638"/>
      <c r="M1583" s="686"/>
      <c r="N1583" s="90"/>
      <c r="O1583" s="101"/>
      <c r="P1583" s="101"/>
      <c r="Q1583" s="101"/>
      <c r="R1583" s="101"/>
      <c r="S1583" s="101"/>
      <c r="T1583" s="101"/>
      <c r="U1583" s="101"/>
      <c r="V1583" s="92"/>
      <c r="W1583" s="92"/>
      <c r="X1583" s="92"/>
      <c r="Y1583" s="92"/>
    </row>
    <row r="1584" spans="1:25" s="133" customFormat="1" ht="34.5" customHeight="1" thickTop="1">
      <c r="A1584" s="339" t="s">
        <v>960</v>
      </c>
      <c r="B1584" s="106"/>
      <c r="C1584" s="127"/>
      <c r="D1584" s="191"/>
      <c r="E1584" s="191"/>
      <c r="F1584" s="191"/>
      <c r="G1584" s="191"/>
      <c r="H1584" s="191"/>
      <c r="I1584" s="127"/>
      <c r="J1584" s="127"/>
      <c r="K1584" s="135"/>
      <c r="L1584" s="135"/>
      <c r="M1584" s="686"/>
      <c r="N1584" s="90"/>
      <c r="O1584" s="687"/>
      <c r="P1584" s="687"/>
      <c r="Q1584" s="687"/>
      <c r="R1584" s="687"/>
      <c r="S1584" s="687"/>
      <c r="T1584" s="687"/>
      <c r="U1584" s="687"/>
      <c r="V1584" s="129"/>
      <c r="W1584" s="129"/>
      <c r="X1584" s="129"/>
      <c r="Y1584" s="129"/>
    </row>
    <row r="1585" spans="1:25" s="94" customFormat="1" ht="36" customHeight="1">
      <c r="A1585" s="339" t="s">
        <v>1181</v>
      </c>
      <c r="B1585" s="339"/>
      <c r="C1585" s="339"/>
      <c r="D1585" s="339"/>
      <c r="E1585" s="339"/>
      <c r="F1585" s="339"/>
      <c r="G1585" s="339"/>
      <c r="H1585" s="339"/>
      <c r="I1585" s="106"/>
      <c r="J1585" s="92"/>
      <c r="K1585" s="119"/>
      <c r="L1585" s="119"/>
      <c r="M1585" s="101"/>
      <c r="N1585" s="101"/>
      <c r="O1585" s="101"/>
      <c r="P1585" s="101"/>
      <c r="Q1585" s="101"/>
      <c r="R1585" s="101"/>
      <c r="S1585" s="101"/>
      <c r="T1585" s="101"/>
      <c r="U1585" s="101"/>
      <c r="V1585" s="92"/>
      <c r="W1585" s="92"/>
      <c r="X1585" s="92"/>
      <c r="Y1585" s="92"/>
    </row>
    <row r="1586" spans="1:25" s="94" customFormat="1" ht="34.5" customHeight="1" thickBot="1">
      <c r="A1586" s="339"/>
      <c r="B1586" s="339"/>
      <c r="C1586" s="339"/>
      <c r="D1586" s="339"/>
      <c r="E1586" s="339"/>
      <c r="F1586" s="339"/>
      <c r="G1586" s="339"/>
      <c r="H1586" s="339"/>
      <c r="I1586" s="106"/>
      <c r="J1586" s="92"/>
      <c r="K1586" s="119"/>
      <c r="L1586" s="119"/>
      <c r="M1586" s="92"/>
      <c r="N1586" s="92"/>
      <c r="O1586" s="92"/>
      <c r="P1586" s="92"/>
      <c r="Q1586" s="92"/>
      <c r="R1586" s="92"/>
      <c r="S1586" s="92"/>
      <c r="T1586" s="92"/>
      <c r="U1586" s="92"/>
      <c r="V1586" s="92"/>
      <c r="W1586" s="92"/>
      <c r="X1586" s="92"/>
      <c r="Y1586" s="92"/>
    </row>
    <row r="1587" spans="1:42" s="167" customFormat="1" ht="34.5" customHeight="1" thickTop="1">
      <c r="A1587" s="826" t="s">
        <v>33</v>
      </c>
      <c r="B1587" s="827" t="s">
        <v>86</v>
      </c>
      <c r="C1587" s="828" t="s">
        <v>956</v>
      </c>
      <c r="D1587" s="829"/>
      <c r="E1587" s="961">
        <v>44926</v>
      </c>
      <c r="F1587" s="831"/>
      <c r="G1587" s="830" t="s">
        <v>957</v>
      </c>
      <c r="H1587" s="831"/>
      <c r="I1587" s="1332"/>
      <c r="J1587" s="1224"/>
      <c r="K1587" s="1224"/>
      <c r="L1587" s="1224"/>
      <c r="M1587" s="151"/>
      <c r="N1587" s="151"/>
      <c r="O1587" s="166"/>
      <c r="P1587" s="166"/>
      <c r="Q1587" s="166"/>
      <c r="R1587" s="166"/>
      <c r="S1587" s="100"/>
      <c r="T1587" s="92"/>
      <c r="U1587" s="92"/>
      <c r="V1587" s="92"/>
      <c r="W1587" s="92"/>
      <c r="X1587" s="92"/>
      <c r="Y1587" s="92"/>
      <c r="Z1587" s="100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</row>
    <row r="1588" spans="1:25" s="94" customFormat="1" ht="34.5" customHeight="1">
      <c r="A1588" s="671" t="s">
        <v>961</v>
      </c>
      <c r="B1588" s="189" t="s">
        <v>778</v>
      </c>
      <c r="C1588" s="1083">
        <f>CEILING(20*$Z$1,0.1)</f>
        <v>25</v>
      </c>
      <c r="D1588" s="1084"/>
      <c r="E1588" s="1083">
        <f>CEILING(32*$Z$1,0.1)</f>
        <v>40</v>
      </c>
      <c r="F1588" s="1084"/>
      <c r="G1588" s="1083">
        <f>CEILING(22*$Z$1,0.1)</f>
        <v>27.5</v>
      </c>
      <c r="H1588" s="1084"/>
      <c r="I1588" s="638"/>
      <c r="J1588" s="638"/>
      <c r="K1588" s="638"/>
      <c r="L1588" s="638"/>
      <c r="M1588" s="92"/>
      <c r="N1588" s="92"/>
      <c r="O1588" s="92"/>
      <c r="P1588" s="92"/>
      <c r="Q1588" s="92"/>
      <c r="R1588" s="92"/>
      <c r="S1588" s="92"/>
      <c r="T1588" s="92"/>
      <c r="U1588" s="92"/>
      <c r="V1588" s="92"/>
      <c r="W1588" s="92"/>
      <c r="X1588" s="92"/>
      <c r="Y1588" s="92"/>
    </row>
    <row r="1589" spans="1:25" s="94" customFormat="1" ht="34.5" customHeight="1">
      <c r="A1589" s="124" t="s">
        <v>1299</v>
      </c>
      <c r="B1589" s="190" t="s">
        <v>779</v>
      </c>
      <c r="C1589" s="1085">
        <f>CEILING((C1588+10*$Z$1),0.1)</f>
        <v>37.5</v>
      </c>
      <c r="D1589" s="1086"/>
      <c r="E1589" s="1085">
        <f>CEILING((E1588+10*$Z$1),0.1)</f>
        <v>52.5</v>
      </c>
      <c r="F1589" s="1086"/>
      <c r="G1589" s="1085">
        <f>CEILING((G1588+10*$Z$1),0.1)</f>
        <v>40</v>
      </c>
      <c r="H1589" s="1086"/>
      <c r="I1589" s="638"/>
      <c r="J1589" s="638"/>
      <c r="K1589" s="638"/>
      <c r="L1589" s="638"/>
      <c r="M1589" s="92"/>
      <c r="N1589" s="92"/>
      <c r="O1589" s="92"/>
      <c r="P1589" s="92"/>
      <c r="Q1589" s="92"/>
      <c r="R1589" s="92"/>
      <c r="S1589" s="92"/>
      <c r="T1589" s="92"/>
      <c r="U1589" s="92"/>
      <c r="V1589" s="92"/>
      <c r="W1589" s="92"/>
      <c r="X1589" s="92"/>
      <c r="Y1589" s="92"/>
    </row>
    <row r="1590" spans="1:25" s="94" customFormat="1" ht="34.5" customHeight="1" thickBot="1">
      <c r="A1590" s="400" t="s">
        <v>388</v>
      </c>
      <c r="B1590" s="193" t="s">
        <v>61</v>
      </c>
      <c r="C1590" s="1103">
        <f>CEILING((C1588*0.5),0.1)</f>
        <v>12.5</v>
      </c>
      <c r="D1590" s="1098"/>
      <c r="E1590" s="1103">
        <f>CEILING((E1588*0.5),0.1)</f>
        <v>20</v>
      </c>
      <c r="F1590" s="1098"/>
      <c r="G1590" s="1103">
        <f>CEILING((G1588*0.5),0.1)</f>
        <v>13.8</v>
      </c>
      <c r="H1590" s="1098"/>
      <c r="I1590" s="638"/>
      <c r="J1590" s="638"/>
      <c r="K1590" s="638"/>
      <c r="L1590" s="638"/>
      <c r="M1590" s="92"/>
      <c r="N1590" s="92"/>
      <c r="O1590" s="92"/>
      <c r="P1590" s="92"/>
      <c r="Q1590" s="92"/>
      <c r="R1590" s="92"/>
      <c r="S1590" s="92"/>
      <c r="T1590" s="92"/>
      <c r="U1590" s="92"/>
      <c r="V1590" s="92"/>
      <c r="W1590" s="92"/>
      <c r="X1590" s="92"/>
      <c r="Y1590" s="92"/>
    </row>
    <row r="1591" spans="1:25" s="94" customFormat="1" ht="34.5" customHeight="1" thickTop="1">
      <c r="A1591" s="339" t="s">
        <v>960</v>
      </c>
      <c r="B1591" s="339"/>
      <c r="C1591" s="339"/>
      <c r="D1591" s="339"/>
      <c r="E1591" s="339"/>
      <c r="F1591" s="339"/>
      <c r="G1591" s="339"/>
      <c r="H1591" s="339"/>
      <c r="I1591" s="391"/>
      <c r="J1591" s="686"/>
      <c r="K1591" s="686"/>
      <c r="L1591" s="686"/>
      <c r="M1591" s="92"/>
      <c r="N1591" s="92"/>
      <c r="O1591" s="92"/>
      <c r="P1591" s="92"/>
      <c r="Q1591" s="92"/>
      <c r="R1591" s="92"/>
      <c r="S1591" s="92"/>
      <c r="T1591" s="92"/>
      <c r="U1591" s="92"/>
      <c r="V1591" s="92"/>
      <c r="W1591" s="92"/>
      <c r="X1591" s="92"/>
      <c r="Y1591" s="92"/>
    </row>
    <row r="1592" spans="1:25" s="94" customFormat="1" ht="34.5" customHeight="1">
      <c r="A1592" s="339" t="s">
        <v>671</v>
      </c>
      <c r="B1592" s="339"/>
      <c r="C1592" s="339"/>
      <c r="D1592" s="339"/>
      <c r="E1592" s="339"/>
      <c r="F1592" s="339"/>
      <c r="G1592" s="339"/>
      <c r="H1592" s="339"/>
      <c r="I1592" s="391"/>
      <c r="J1592" s="686"/>
      <c r="K1592" s="686"/>
      <c r="L1592" s="686"/>
      <c r="M1592" s="92"/>
      <c r="N1592" s="92"/>
      <c r="O1592" s="92"/>
      <c r="P1592" s="92"/>
      <c r="Q1592" s="92"/>
      <c r="R1592" s="92"/>
      <c r="S1592" s="92"/>
      <c r="T1592" s="92"/>
      <c r="U1592" s="92"/>
      <c r="V1592" s="92"/>
      <c r="W1592" s="92"/>
      <c r="X1592" s="92"/>
      <c r="Y1592" s="92"/>
    </row>
    <row r="1593" spans="1:51" s="94" customFormat="1" ht="34.5" customHeight="1" thickBot="1">
      <c r="A1593" s="483"/>
      <c r="B1593" s="369"/>
      <c r="C1593" s="347"/>
      <c r="D1593" s="347"/>
      <c r="E1593" s="347"/>
      <c r="F1593" s="347"/>
      <c r="G1593" s="347"/>
      <c r="H1593" s="347"/>
      <c r="I1593" s="127"/>
      <c r="J1593" s="686"/>
      <c r="K1593" s="686"/>
      <c r="L1593" s="686"/>
      <c r="M1593" s="657"/>
      <c r="N1593" s="657"/>
      <c r="O1593" s="657"/>
      <c r="P1593" s="657"/>
      <c r="Q1593" s="657"/>
      <c r="R1593" s="657"/>
      <c r="S1593" s="101"/>
      <c r="T1593" s="101"/>
      <c r="U1593" s="101"/>
      <c r="V1593" s="101"/>
      <c r="W1593" s="101"/>
      <c r="X1593" s="101"/>
      <c r="Y1593" s="10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21"/>
      <c r="AV1593" s="121"/>
      <c r="AW1593" s="121"/>
      <c r="AX1593" s="121"/>
      <c r="AY1593" s="121"/>
    </row>
    <row r="1594" spans="1:42" s="167" customFormat="1" ht="34.5" customHeight="1" thickTop="1">
      <c r="A1594" s="826" t="s">
        <v>33</v>
      </c>
      <c r="B1594" s="827" t="s">
        <v>86</v>
      </c>
      <c r="C1594" s="828" t="s">
        <v>956</v>
      </c>
      <c r="D1594" s="829"/>
      <c r="E1594" s="961">
        <v>44926</v>
      </c>
      <c r="F1594" s="831"/>
      <c r="G1594" s="830" t="s">
        <v>1300</v>
      </c>
      <c r="H1594" s="831"/>
      <c r="I1594" s="1224"/>
      <c r="J1594" s="1281"/>
      <c r="K1594" s="1224"/>
      <c r="L1594" s="1224"/>
      <c r="M1594" s="151"/>
      <c r="N1594" s="151"/>
      <c r="O1594" s="166"/>
      <c r="P1594" s="166"/>
      <c r="Q1594" s="166"/>
      <c r="R1594" s="166"/>
      <c r="S1594" s="100"/>
      <c r="T1594" s="92"/>
      <c r="U1594" s="92"/>
      <c r="V1594" s="92"/>
      <c r="W1594" s="92"/>
      <c r="X1594" s="92"/>
      <c r="Y1594" s="92"/>
      <c r="Z1594" s="100"/>
      <c r="AA1594" s="166"/>
      <c r="AB1594" s="166"/>
      <c r="AC1594" s="166"/>
      <c r="AD1594" s="166"/>
      <c r="AE1594" s="166"/>
      <c r="AF1594" s="166"/>
      <c r="AG1594" s="166"/>
      <c r="AH1594" s="166"/>
      <c r="AI1594" s="166"/>
      <c r="AJ1594" s="166"/>
      <c r="AK1594" s="166"/>
      <c r="AL1594" s="166"/>
      <c r="AM1594" s="166"/>
      <c r="AN1594" s="166"/>
      <c r="AO1594" s="166"/>
      <c r="AP1594" s="166"/>
    </row>
    <row r="1595" spans="1:51" s="94" customFormat="1" ht="34.5" customHeight="1">
      <c r="A1595" s="671" t="s">
        <v>773</v>
      </c>
      <c r="B1595" s="189" t="s">
        <v>528</v>
      </c>
      <c r="C1595" s="644">
        <f>CEILING(40*$Z$1,0.1)</f>
        <v>50</v>
      </c>
      <c r="D1595" s="645"/>
      <c r="E1595" s="644">
        <f>CEILING(50*$Z$1,0.1)</f>
        <v>62.5</v>
      </c>
      <c r="F1595" s="645"/>
      <c r="G1595" s="1083">
        <f>CEILING(20*$Z$1,0.1)</f>
        <v>25</v>
      </c>
      <c r="H1595" s="1084"/>
      <c r="I1595" s="638"/>
      <c r="J1595" s="638"/>
      <c r="K1595" s="638"/>
      <c r="L1595" s="638"/>
      <c r="M1595" s="657"/>
      <c r="N1595" s="657"/>
      <c r="O1595" s="657"/>
      <c r="P1595" s="657"/>
      <c r="Q1595" s="657"/>
      <c r="R1595" s="657"/>
      <c r="S1595" s="101"/>
      <c r="T1595" s="101"/>
      <c r="U1595" s="101"/>
      <c r="V1595" s="101"/>
      <c r="W1595" s="101"/>
      <c r="X1595" s="101"/>
      <c r="Y1595" s="10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21"/>
      <c r="AV1595" s="121"/>
      <c r="AW1595" s="121"/>
      <c r="AX1595" s="121"/>
      <c r="AY1595" s="121"/>
    </row>
    <row r="1596" spans="1:51" s="94" customFormat="1" ht="34.5" customHeight="1">
      <c r="A1596" s="124" t="s">
        <v>1257</v>
      </c>
      <c r="B1596" s="190" t="s">
        <v>466</v>
      </c>
      <c r="C1596" s="641">
        <f>CEILING((C1595+15*$Z$1),0.1)</f>
        <v>68.8</v>
      </c>
      <c r="D1596" s="646"/>
      <c r="E1596" s="641">
        <f>CEILING((E1595+15*$Z$1),0.1)</f>
        <v>81.30000000000001</v>
      </c>
      <c r="F1596" s="646"/>
      <c r="G1596" s="1085">
        <f>CEILING((G1595+10*$Z$1),0.1)</f>
        <v>37.5</v>
      </c>
      <c r="H1596" s="1086"/>
      <c r="I1596" s="638"/>
      <c r="J1596" s="638"/>
      <c r="K1596" s="638"/>
      <c r="L1596" s="638"/>
      <c r="M1596" s="657"/>
      <c r="N1596" s="657"/>
      <c r="O1596" s="657"/>
      <c r="P1596" s="657"/>
      <c r="Q1596" s="657"/>
      <c r="R1596" s="657"/>
      <c r="S1596" s="101"/>
      <c r="T1596" s="101"/>
      <c r="U1596" s="101"/>
      <c r="V1596" s="101"/>
      <c r="W1596" s="101"/>
      <c r="X1596" s="101"/>
      <c r="Y1596" s="10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21"/>
      <c r="AV1596" s="121"/>
      <c r="AW1596" s="121"/>
      <c r="AX1596" s="121"/>
      <c r="AY1596" s="121"/>
    </row>
    <row r="1597" spans="1:51" s="94" customFormat="1" ht="34.5" customHeight="1">
      <c r="A1597" s="124" t="s">
        <v>1299</v>
      </c>
      <c r="B1597" s="190" t="s">
        <v>37</v>
      </c>
      <c r="C1597" s="641">
        <f>CEILING((C1595*0.85),0.1)</f>
        <v>42.5</v>
      </c>
      <c r="D1597" s="646"/>
      <c r="E1597" s="641">
        <f>CEILING((E1595*0.85),0.1)</f>
        <v>53.2</v>
      </c>
      <c r="F1597" s="646"/>
      <c r="G1597" s="1085">
        <f>CEILING((G1595*0.85),0.1)</f>
        <v>21.3</v>
      </c>
      <c r="H1597" s="1086"/>
      <c r="I1597" s="638"/>
      <c r="J1597" s="638"/>
      <c r="K1597" s="638"/>
      <c r="L1597" s="638"/>
      <c r="M1597" s="657"/>
      <c r="N1597" s="657"/>
      <c r="O1597" s="657"/>
      <c r="P1597" s="657"/>
      <c r="Q1597" s="657"/>
      <c r="R1597" s="657"/>
      <c r="S1597" s="101"/>
      <c r="T1597" s="101"/>
      <c r="U1597" s="101"/>
      <c r="V1597" s="101"/>
      <c r="W1597" s="101"/>
      <c r="X1597" s="101"/>
      <c r="Y1597" s="10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21"/>
      <c r="AV1597" s="121"/>
      <c r="AW1597" s="121"/>
      <c r="AX1597" s="121"/>
      <c r="AY1597" s="121"/>
    </row>
    <row r="1598" spans="1:51" s="94" customFormat="1" ht="34.5" customHeight="1" thickBot="1">
      <c r="A1598" s="400" t="s">
        <v>294</v>
      </c>
      <c r="B1598" s="193" t="s">
        <v>61</v>
      </c>
      <c r="C1598" s="648">
        <f>CEILING((C1595*0.5),0.1)</f>
        <v>25</v>
      </c>
      <c r="D1598" s="649"/>
      <c r="E1598" s="648">
        <f>CEILING((E1595*0.5),0.1)</f>
        <v>31.3</v>
      </c>
      <c r="F1598" s="649"/>
      <c r="G1598" s="1103">
        <f>CEILING((G1595*0.5),0.1)</f>
        <v>12.5</v>
      </c>
      <c r="H1598" s="1098"/>
      <c r="I1598" s="638"/>
      <c r="J1598" s="638"/>
      <c r="K1598" s="638"/>
      <c r="L1598" s="638"/>
      <c r="M1598" s="657"/>
      <c r="N1598" s="657"/>
      <c r="O1598" s="657"/>
      <c r="P1598" s="657"/>
      <c r="Q1598" s="657"/>
      <c r="R1598" s="657"/>
      <c r="S1598" s="101"/>
      <c r="T1598" s="101"/>
      <c r="U1598" s="101"/>
      <c r="V1598" s="101"/>
      <c r="W1598" s="101"/>
      <c r="X1598" s="101"/>
      <c r="Y1598" s="10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21"/>
      <c r="AV1598" s="121"/>
      <c r="AW1598" s="121"/>
      <c r="AX1598" s="121"/>
      <c r="AY1598" s="121"/>
    </row>
    <row r="1599" spans="1:51" s="94" customFormat="1" ht="34.5" customHeight="1" thickTop="1">
      <c r="A1599" s="339" t="s">
        <v>960</v>
      </c>
      <c r="B1599" s="339"/>
      <c r="C1599" s="339"/>
      <c r="D1599" s="339"/>
      <c r="E1599" s="339"/>
      <c r="F1599" s="339"/>
      <c r="G1599" s="339"/>
      <c r="H1599" s="339"/>
      <c r="I1599" s="106"/>
      <c r="J1599" s="92"/>
      <c r="K1599" s="99"/>
      <c r="L1599" s="119"/>
      <c r="M1599" s="92"/>
      <c r="N1599" s="101"/>
      <c r="O1599" s="101"/>
      <c r="P1599" s="101"/>
      <c r="Q1599" s="101"/>
      <c r="R1599" s="101"/>
      <c r="S1599" s="101"/>
      <c r="T1599" s="101"/>
      <c r="U1599" s="101"/>
      <c r="V1599" s="101"/>
      <c r="W1599" s="101"/>
      <c r="X1599" s="101"/>
      <c r="Y1599" s="10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21"/>
      <c r="AV1599" s="121"/>
      <c r="AW1599" s="121"/>
      <c r="AX1599" s="121"/>
      <c r="AY1599" s="121"/>
    </row>
    <row r="1600" spans="1:51" s="94" customFormat="1" ht="34.5" customHeight="1">
      <c r="A1600" s="339" t="s">
        <v>962</v>
      </c>
      <c r="B1600" s="339"/>
      <c r="C1600" s="339"/>
      <c r="D1600" s="339"/>
      <c r="E1600" s="339"/>
      <c r="F1600" s="339"/>
      <c r="G1600" s="339"/>
      <c r="H1600" s="339"/>
      <c r="I1600" s="106"/>
      <c r="J1600" s="92"/>
      <c r="K1600" s="99"/>
      <c r="L1600" s="119"/>
      <c r="M1600" s="92"/>
      <c r="N1600" s="101"/>
      <c r="O1600" s="101"/>
      <c r="P1600" s="101"/>
      <c r="Q1600" s="101"/>
      <c r="R1600" s="101"/>
      <c r="S1600" s="101"/>
      <c r="T1600" s="101"/>
      <c r="U1600" s="101"/>
      <c r="V1600" s="101"/>
      <c r="W1600" s="101"/>
      <c r="X1600" s="101"/>
      <c r="Y1600" s="10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21"/>
      <c r="AV1600" s="121"/>
      <c r="AW1600" s="121"/>
      <c r="AX1600" s="121"/>
      <c r="AY1600" s="121"/>
    </row>
    <row r="1601" spans="1:47" s="166" customFormat="1" ht="29.25" customHeight="1" thickBot="1">
      <c r="A1601" s="966"/>
      <c r="B1601" s="969"/>
      <c r="C1601" s="966"/>
      <c r="D1601" s="966"/>
      <c r="E1601" s="966"/>
      <c r="F1601" s="966"/>
      <c r="G1601" s="966"/>
      <c r="H1601" s="966"/>
      <c r="I1601" s="960"/>
      <c r="J1601" s="960"/>
      <c r="K1601" s="952"/>
      <c r="L1601" s="952"/>
      <c r="M1601" s="317"/>
      <c r="N1601" s="317"/>
      <c r="O1601" s="951"/>
      <c r="P1601" s="951"/>
      <c r="Q1601" s="951"/>
      <c r="R1601" s="951"/>
      <c r="S1601" s="951"/>
      <c r="T1601" s="100"/>
      <c r="U1601" s="100"/>
      <c r="V1601" s="136"/>
      <c r="W1601" s="136"/>
      <c r="X1601" s="136"/>
      <c r="Y1601" s="136"/>
      <c r="Z1601" s="136"/>
      <c r="AA1601" s="951"/>
      <c r="AB1601" s="951"/>
      <c r="AC1601" s="951"/>
      <c r="AD1601" s="951"/>
      <c r="AE1601" s="951"/>
      <c r="AF1601" s="951"/>
      <c r="AG1601" s="951"/>
      <c r="AH1601" s="951"/>
      <c r="AI1601" s="951"/>
      <c r="AJ1601" s="951"/>
      <c r="AK1601" s="951"/>
      <c r="AL1601" s="951"/>
      <c r="AM1601" s="951"/>
      <c r="AN1601" s="951"/>
      <c r="AO1601" s="951"/>
      <c r="AP1601" s="951"/>
      <c r="AQ1601" s="951"/>
      <c r="AR1601" s="951"/>
      <c r="AS1601" s="951"/>
      <c r="AT1601" s="951"/>
      <c r="AU1601" s="951"/>
    </row>
    <row r="1602" spans="1:47" s="166" customFormat="1" ht="29.25" customHeight="1" thickTop="1">
      <c r="A1602" s="826" t="s">
        <v>33</v>
      </c>
      <c r="B1602" s="827" t="s">
        <v>86</v>
      </c>
      <c r="C1602" s="828" t="s">
        <v>924</v>
      </c>
      <c r="D1602" s="829"/>
      <c r="E1602" s="830" t="s">
        <v>925</v>
      </c>
      <c r="F1602" s="831"/>
      <c r="G1602" s="830" t="s">
        <v>974</v>
      </c>
      <c r="H1602" s="831"/>
      <c r="I1602" s="960"/>
      <c r="J1602" s="960"/>
      <c r="K1602" s="952"/>
      <c r="L1602" s="952"/>
      <c r="M1602" s="317"/>
      <c r="N1602" s="317"/>
      <c r="O1602" s="951"/>
      <c r="P1602" s="951"/>
      <c r="Q1602" s="951"/>
      <c r="R1602" s="951"/>
      <c r="S1602" s="951"/>
      <c r="T1602" s="100"/>
      <c r="U1602" s="100"/>
      <c r="V1602" s="136"/>
      <c r="W1602" s="136"/>
      <c r="X1602" s="136"/>
      <c r="Y1602" s="136"/>
      <c r="Z1602" s="136"/>
      <c r="AA1602" s="951"/>
      <c r="AB1602" s="951"/>
      <c r="AC1602" s="951"/>
      <c r="AD1602" s="951"/>
      <c r="AE1602" s="951"/>
      <c r="AF1602" s="951"/>
      <c r="AG1602" s="951"/>
      <c r="AH1602" s="951"/>
      <c r="AI1602" s="951"/>
      <c r="AJ1602" s="951"/>
      <c r="AK1602" s="951"/>
      <c r="AL1602" s="951"/>
      <c r="AM1602" s="951"/>
      <c r="AN1602" s="951"/>
      <c r="AO1602" s="951"/>
      <c r="AP1602" s="951"/>
      <c r="AQ1602" s="951"/>
      <c r="AR1602" s="951"/>
      <c r="AS1602" s="951"/>
      <c r="AT1602" s="951"/>
      <c r="AU1602" s="951"/>
    </row>
    <row r="1603" spans="1:47" s="166" customFormat="1" ht="29.25" customHeight="1">
      <c r="A1603" s="242" t="s">
        <v>970</v>
      </c>
      <c r="B1603" s="404" t="s">
        <v>152</v>
      </c>
      <c r="C1603" s="641">
        <f>CEILING(123*$Z$1,0.1)</f>
        <v>153.8</v>
      </c>
      <c r="D1603" s="646"/>
      <c r="E1603" s="641">
        <f>CEILING(136*$Z$1,0.1)</f>
        <v>170</v>
      </c>
      <c r="F1603" s="646"/>
      <c r="G1603" s="641">
        <f>CEILING(129*$Z$1,0.1)</f>
        <v>161.3</v>
      </c>
      <c r="H1603" s="646"/>
      <c r="I1603" s="960"/>
      <c r="J1603" s="960"/>
      <c r="K1603" s="952"/>
      <c r="L1603" s="952"/>
      <c r="M1603" s="317"/>
      <c r="N1603" s="317"/>
      <c r="O1603" s="951"/>
      <c r="P1603" s="951"/>
      <c r="Q1603" s="951"/>
      <c r="R1603" s="951"/>
      <c r="S1603" s="951"/>
      <c r="T1603" s="100"/>
      <c r="U1603" s="100"/>
      <c r="V1603" s="136"/>
      <c r="W1603" s="136"/>
      <c r="X1603" s="136"/>
      <c r="Y1603" s="136"/>
      <c r="Z1603" s="136"/>
      <c r="AA1603" s="951"/>
      <c r="AB1603" s="951"/>
      <c r="AC1603" s="951"/>
      <c r="AD1603" s="951"/>
      <c r="AE1603" s="951"/>
      <c r="AF1603" s="951"/>
      <c r="AG1603" s="951"/>
      <c r="AH1603" s="951"/>
      <c r="AI1603" s="951"/>
      <c r="AJ1603" s="951"/>
      <c r="AK1603" s="951"/>
      <c r="AL1603" s="951"/>
      <c r="AM1603" s="951"/>
      <c r="AN1603" s="951"/>
      <c r="AO1603" s="951"/>
      <c r="AP1603" s="951"/>
      <c r="AQ1603" s="951"/>
      <c r="AR1603" s="951"/>
      <c r="AS1603" s="951"/>
      <c r="AT1603" s="951"/>
      <c r="AU1603" s="951"/>
    </row>
    <row r="1604" spans="1:47" s="166" customFormat="1" ht="29.25" customHeight="1">
      <c r="A1604" s="244" t="s">
        <v>35</v>
      </c>
      <c r="B1604" s="340" t="s">
        <v>153</v>
      </c>
      <c r="C1604" s="641">
        <f>CEILING((C1603+30*$Z$1),0.1)</f>
        <v>191.3</v>
      </c>
      <c r="D1604" s="646"/>
      <c r="E1604" s="641">
        <f>CEILING((E1603+35*$Z$1),0.1)</f>
        <v>213.8</v>
      </c>
      <c r="F1604" s="646"/>
      <c r="G1604" s="641">
        <f>CEILING((G1603+35*$Z$1),0.1)</f>
        <v>205.10000000000002</v>
      </c>
      <c r="H1604" s="646"/>
      <c r="I1604" s="960"/>
      <c r="J1604" s="960"/>
      <c r="K1604" s="952"/>
      <c r="L1604" s="952"/>
      <c r="M1604" s="317"/>
      <c r="N1604" s="317"/>
      <c r="O1604" s="951"/>
      <c r="P1604" s="951"/>
      <c r="Q1604" s="951"/>
      <c r="R1604" s="951"/>
      <c r="S1604" s="951"/>
      <c r="T1604" s="100"/>
      <c r="U1604" s="100"/>
      <c r="V1604" s="136"/>
      <c r="W1604" s="136"/>
      <c r="X1604" s="136"/>
      <c r="Y1604" s="136"/>
      <c r="Z1604" s="136"/>
      <c r="AA1604" s="951"/>
      <c r="AB1604" s="951"/>
      <c r="AC1604" s="951"/>
      <c r="AD1604" s="951"/>
      <c r="AE1604" s="951"/>
      <c r="AF1604" s="951"/>
      <c r="AG1604" s="951"/>
      <c r="AH1604" s="951"/>
      <c r="AI1604" s="951"/>
      <c r="AJ1604" s="951"/>
      <c r="AK1604" s="951"/>
      <c r="AL1604" s="951"/>
      <c r="AM1604" s="951"/>
      <c r="AN1604" s="951"/>
      <c r="AO1604" s="951"/>
      <c r="AP1604" s="951"/>
      <c r="AQ1604" s="951"/>
      <c r="AR1604" s="951"/>
      <c r="AS1604" s="951"/>
      <c r="AT1604" s="951"/>
      <c r="AU1604" s="951"/>
    </row>
    <row r="1605" spans="1:47" s="166" customFormat="1" ht="29.25" customHeight="1">
      <c r="A1605" s="667"/>
      <c r="B1605" s="661" t="s">
        <v>67</v>
      </c>
      <c r="C1605" s="641">
        <f>CEILING((C1603*0.85),0.1)</f>
        <v>130.8</v>
      </c>
      <c r="D1605" s="646"/>
      <c r="E1605" s="641">
        <f>CEILING((E1603*0.85),0.1)</f>
        <v>144.5</v>
      </c>
      <c r="F1605" s="646"/>
      <c r="G1605" s="641">
        <f>CEILING((G1603*0.85),0.1)</f>
        <v>137.20000000000002</v>
      </c>
      <c r="H1605" s="646"/>
      <c r="I1605" s="960"/>
      <c r="J1605" s="960"/>
      <c r="K1605" s="952"/>
      <c r="L1605" s="952"/>
      <c r="M1605" s="317"/>
      <c r="N1605" s="317"/>
      <c r="O1605" s="951"/>
      <c r="P1605" s="951"/>
      <c r="Q1605" s="951"/>
      <c r="R1605" s="951"/>
      <c r="S1605" s="951"/>
      <c r="T1605" s="100"/>
      <c r="U1605" s="100"/>
      <c r="V1605" s="136"/>
      <c r="W1605" s="136"/>
      <c r="X1605" s="136"/>
      <c r="Y1605" s="136"/>
      <c r="Z1605" s="136"/>
      <c r="AA1605" s="951"/>
      <c r="AB1605" s="951"/>
      <c r="AC1605" s="951"/>
      <c r="AD1605" s="951"/>
      <c r="AE1605" s="951"/>
      <c r="AF1605" s="951"/>
      <c r="AG1605" s="951"/>
      <c r="AH1605" s="951"/>
      <c r="AI1605" s="951"/>
      <c r="AJ1605" s="951"/>
      <c r="AK1605" s="951"/>
      <c r="AL1605" s="951"/>
      <c r="AM1605" s="951"/>
      <c r="AN1605" s="951"/>
      <c r="AO1605" s="951"/>
      <c r="AP1605" s="951"/>
      <c r="AQ1605" s="951"/>
      <c r="AR1605" s="951"/>
      <c r="AS1605" s="951"/>
      <c r="AT1605" s="951"/>
      <c r="AU1605" s="951"/>
    </row>
    <row r="1606" spans="1:47" s="166" customFormat="1" ht="29.25" customHeight="1">
      <c r="A1606" s="141"/>
      <c r="B1606" s="340" t="s">
        <v>61</v>
      </c>
      <c r="C1606" s="641">
        <f>CEILING((C1603*0.5),0.1)</f>
        <v>76.9</v>
      </c>
      <c r="D1606" s="646"/>
      <c r="E1606" s="641">
        <f>CEILING((E1603*0.5),0.1)</f>
        <v>85</v>
      </c>
      <c r="F1606" s="646"/>
      <c r="G1606" s="641">
        <f>CEILING((G1603*0.5),0.1)</f>
        <v>80.7</v>
      </c>
      <c r="H1606" s="646"/>
      <c r="I1606" s="960"/>
      <c r="J1606" s="960"/>
      <c r="K1606" s="952"/>
      <c r="L1606" s="952"/>
      <c r="M1606" s="317"/>
      <c r="N1606" s="317"/>
      <c r="O1606" s="951"/>
      <c r="P1606" s="951"/>
      <c r="Q1606" s="951"/>
      <c r="R1606" s="951"/>
      <c r="S1606" s="951"/>
      <c r="T1606" s="100"/>
      <c r="U1606" s="100"/>
      <c r="V1606" s="136"/>
      <c r="W1606" s="136"/>
      <c r="X1606" s="136"/>
      <c r="Y1606" s="136"/>
      <c r="Z1606" s="136"/>
      <c r="AA1606" s="951"/>
      <c r="AB1606" s="951"/>
      <c r="AC1606" s="951"/>
      <c r="AD1606" s="951"/>
      <c r="AE1606" s="951"/>
      <c r="AF1606" s="951"/>
      <c r="AG1606" s="951"/>
      <c r="AH1606" s="951"/>
      <c r="AI1606" s="951"/>
      <c r="AJ1606" s="951"/>
      <c r="AK1606" s="951"/>
      <c r="AL1606" s="951"/>
      <c r="AM1606" s="951"/>
      <c r="AN1606" s="951"/>
      <c r="AO1606" s="951"/>
      <c r="AP1606" s="951"/>
      <c r="AQ1606" s="951"/>
      <c r="AR1606" s="951"/>
      <c r="AS1606" s="951"/>
      <c r="AT1606" s="951"/>
      <c r="AU1606" s="951"/>
    </row>
    <row r="1607" spans="1:47" s="166" customFormat="1" ht="29.25" customHeight="1">
      <c r="A1607" s="115" t="s">
        <v>1197</v>
      </c>
      <c r="B1607" s="340" t="s">
        <v>971</v>
      </c>
      <c r="C1607" s="641">
        <f>CEILING(128*$Z$1,0.1)</f>
        <v>160</v>
      </c>
      <c r="D1607" s="646"/>
      <c r="E1607" s="641">
        <f>CEILING(141*$Z$1,0.1)</f>
        <v>176.3</v>
      </c>
      <c r="F1607" s="646"/>
      <c r="G1607" s="641">
        <f>CEILING(134*$Z$1,0.1)</f>
        <v>167.5</v>
      </c>
      <c r="H1607" s="646"/>
      <c r="I1607" s="960"/>
      <c r="J1607" s="960"/>
      <c r="K1607" s="952"/>
      <c r="L1607" s="952"/>
      <c r="M1607" s="317"/>
      <c r="N1607" s="317"/>
      <c r="O1607" s="951"/>
      <c r="P1607" s="951"/>
      <c r="Q1607" s="951"/>
      <c r="R1607" s="951"/>
      <c r="S1607" s="951"/>
      <c r="T1607" s="100"/>
      <c r="U1607" s="100"/>
      <c r="V1607" s="136"/>
      <c r="W1607" s="136"/>
      <c r="X1607" s="136"/>
      <c r="Y1607" s="136"/>
      <c r="Z1607" s="136"/>
      <c r="AA1607" s="951"/>
      <c r="AB1607" s="951"/>
      <c r="AC1607" s="951"/>
      <c r="AD1607" s="951"/>
      <c r="AE1607" s="951"/>
      <c r="AF1607" s="951"/>
      <c r="AG1607" s="951"/>
      <c r="AH1607" s="951"/>
      <c r="AI1607" s="951"/>
      <c r="AJ1607" s="951"/>
      <c r="AK1607" s="951"/>
      <c r="AL1607" s="951"/>
      <c r="AM1607" s="951"/>
      <c r="AN1607" s="951"/>
      <c r="AO1607" s="951"/>
      <c r="AP1607" s="951"/>
      <c r="AQ1607" s="951"/>
      <c r="AR1607" s="951"/>
      <c r="AS1607" s="951"/>
      <c r="AT1607" s="951"/>
      <c r="AU1607" s="951"/>
    </row>
    <row r="1608" spans="1:47" s="166" customFormat="1" ht="29.25" customHeight="1">
      <c r="A1608" s="244"/>
      <c r="B1608" s="340" t="s">
        <v>972</v>
      </c>
      <c r="C1608" s="641">
        <f>CEILING((C1607+30*$Z$1),0.1)</f>
        <v>197.5</v>
      </c>
      <c r="D1608" s="646"/>
      <c r="E1608" s="641">
        <f>CEILING((E1607+35*$Z$1),0.1)</f>
        <v>220.10000000000002</v>
      </c>
      <c r="F1608" s="646"/>
      <c r="G1608" s="641">
        <f>CEILING((G1607+35*$Z$1),0.1)</f>
        <v>211.3</v>
      </c>
      <c r="H1608" s="646"/>
      <c r="I1608" s="960"/>
      <c r="J1608" s="960"/>
      <c r="K1608" s="952"/>
      <c r="L1608" s="952"/>
      <c r="M1608" s="317"/>
      <c r="N1608" s="317"/>
      <c r="O1608" s="951"/>
      <c r="P1608" s="951"/>
      <c r="Q1608" s="951"/>
      <c r="R1608" s="951"/>
      <c r="S1608" s="951"/>
      <c r="T1608" s="100"/>
      <c r="U1608" s="100"/>
      <c r="V1608" s="136"/>
      <c r="W1608" s="136"/>
      <c r="X1608" s="136"/>
      <c r="Y1608" s="136"/>
      <c r="Z1608" s="136"/>
      <c r="AA1608" s="951"/>
      <c r="AB1608" s="951"/>
      <c r="AC1608" s="951"/>
      <c r="AD1608" s="951"/>
      <c r="AE1608" s="951"/>
      <c r="AF1608" s="951"/>
      <c r="AG1608" s="951"/>
      <c r="AH1608" s="951"/>
      <c r="AI1608" s="951"/>
      <c r="AJ1608" s="951"/>
      <c r="AK1608" s="951"/>
      <c r="AL1608" s="951"/>
      <c r="AM1608" s="951"/>
      <c r="AN1608" s="951"/>
      <c r="AO1608" s="951"/>
      <c r="AP1608" s="951"/>
      <c r="AQ1608" s="951"/>
      <c r="AR1608" s="951"/>
      <c r="AS1608" s="951"/>
      <c r="AT1608" s="951"/>
      <c r="AU1608" s="951"/>
    </row>
    <row r="1609" spans="1:47" s="166" customFormat="1" ht="29.25" customHeight="1">
      <c r="A1609" s="667"/>
      <c r="B1609" s="340" t="s">
        <v>973</v>
      </c>
      <c r="C1609" s="641">
        <f>CEILING(138*$Z$1,0.1)</f>
        <v>172.5</v>
      </c>
      <c r="D1609" s="646"/>
      <c r="E1609" s="641">
        <f>CEILING(151*$Z$1,0.1)</f>
        <v>188.8</v>
      </c>
      <c r="F1609" s="646"/>
      <c r="G1609" s="641">
        <f>CEILING(144*$Z$1,0.1)</f>
        <v>180</v>
      </c>
      <c r="H1609" s="646"/>
      <c r="I1609" s="960"/>
      <c r="J1609" s="960"/>
      <c r="K1609" s="952"/>
      <c r="L1609" s="952"/>
      <c r="M1609" s="317"/>
      <c r="N1609" s="317"/>
      <c r="O1609" s="951"/>
      <c r="P1609" s="951"/>
      <c r="Q1609" s="951"/>
      <c r="R1609" s="951"/>
      <c r="S1609" s="951"/>
      <c r="T1609" s="100"/>
      <c r="U1609" s="100"/>
      <c r="V1609" s="136"/>
      <c r="W1609" s="136"/>
      <c r="X1609" s="136"/>
      <c r="Y1609" s="136"/>
      <c r="Z1609" s="136"/>
      <c r="AA1609" s="951"/>
      <c r="AB1609" s="951"/>
      <c r="AC1609" s="951"/>
      <c r="AD1609" s="951"/>
      <c r="AE1609" s="951"/>
      <c r="AF1609" s="951"/>
      <c r="AG1609" s="951"/>
      <c r="AH1609" s="951"/>
      <c r="AI1609" s="951"/>
      <c r="AJ1609" s="951"/>
      <c r="AK1609" s="951"/>
      <c r="AL1609" s="951"/>
      <c r="AM1609" s="951"/>
      <c r="AN1609" s="951"/>
      <c r="AO1609" s="951"/>
      <c r="AP1609" s="951"/>
      <c r="AQ1609" s="951"/>
      <c r="AR1609" s="951"/>
      <c r="AS1609" s="951"/>
      <c r="AT1609" s="951"/>
      <c r="AU1609" s="951"/>
    </row>
    <row r="1610" spans="1:47" s="166" customFormat="1" ht="29.25" customHeight="1" thickBot="1">
      <c r="A1610" s="483" t="s">
        <v>467</v>
      </c>
      <c r="B1610" s="407" t="s">
        <v>969</v>
      </c>
      <c r="C1610" s="648">
        <f>CEILING((C1609+30*$Z$1),0.1)</f>
        <v>210</v>
      </c>
      <c r="D1610" s="649"/>
      <c r="E1610" s="648">
        <f>CEILING((E1609+35*$Z$1),0.1)</f>
        <v>232.60000000000002</v>
      </c>
      <c r="F1610" s="649"/>
      <c r="G1610" s="648">
        <f>CEILING((G1609+35*$Z$1),0.1)</f>
        <v>223.8</v>
      </c>
      <c r="H1610" s="649"/>
      <c r="I1610" s="960"/>
      <c r="J1610" s="960"/>
      <c r="K1610" s="952"/>
      <c r="L1610" s="952"/>
      <c r="M1610" s="317"/>
      <c r="N1610" s="317"/>
      <c r="O1610" s="951"/>
      <c r="P1610" s="951"/>
      <c r="Q1610" s="951"/>
      <c r="R1610" s="951"/>
      <c r="S1610" s="951"/>
      <c r="T1610" s="100"/>
      <c r="U1610" s="100"/>
      <c r="V1610" s="136"/>
      <c r="W1610" s="136"/>
      <c r="X1610" s="136"/>
      <c r="Y1610" s="136"/>
      <c r="Z1610" s="136"/>
      <c r="AA1610" s="951"/>
      <c r="AB1610" s="951"/>
      <c r="AC1610" s="951"/>
      <c r="AD1610" s="951"/>
      <c r="AE1610" s="951"/>
      <c r="AF1610" s="951"/>
      <c r="AG1610" s="951"/>
      <c r="AH1610" s="951"/>
      <c r="AI1610" s="951"/>
      <c r="AJ1610" s="951"/>
      <c r="AK1610" s="951"/>
      <c r="AL1610" s="951"/>
      <c r="AM1610" s="951"/>
      <c r="AN1610" s="951"/>
      <c r="AO1610" s="951"/>
      <c r="AP1610" s="951"/>
      <c r="AQ1610" s="951"/>
      <c r="AR1610" s="951"/>
      <c r="AS1610" s="951"/>
      <c r="AT1610" s="951"/>
      <c r="AU1610" s="951"/>
    </row>
    <row r="1611" spans="1:47" s="166" customFormat="1" ht="29.25" customHeight="1" thickTop="1">
      <c r="A1611" s="387" t="s">
        <v>975</v>
      </c>
      <c r="B1611" s="90"/>
      <c r="C1611" s="638"/>
      <c r="D1611" s="638"/>
      <c r="E1611" s="638"/>
      <c r="F1611" s="638"/>
      <c r="G1611" s="638"/>
      <c r="H1611" s="638"/>
      <c r="I1611" s="960"/>
      <c r="J1611" s="960"/>
      <c r="K1611" s="952"/>
      <c r="L1611" s="952"/>
      <c r="M1611" s="317"/>
      <c r="N1611" s="317"/>
      <c r="O1611" s="951"/>
      <c r="P1611" s="951"/>
      <c r="Q1611" s="951"/>
      <c r="R1611" s="951"/>
      <c r="S1611" s="951"/>
      <c r="T1611" s="100"/>
      <c r="U1611" s="100"/>
      <c r="V1611" s="136"/>
      <c r="W1611" s="136"/>
      <c r="X1611" s="136"/>
      <c r="Y1611" s="136"/>
      <c r="Z1611" s="136"/>
      <c r="AA1611" s="951"/>
      <c r="AB1611" s="951"/>
      <c r="AC1611" s="951"/>
      <c r="AD1611" s="951"/>
      <c r="AE1611" s="951"/>
      <c r="AF1611" s="951"/>
      <c r="AG1611" s="951"/>
      <c r="AH1611" s="951"/>
      <c r="AI1611" s="951"/>
      <c r="AJ1611" s="951"/>
      <c r="AK1611" s="951"/>
      <c r="AL1611" s="951"/>
      <c r="AM1611" s="951"/>
      <c r="AN1611" s="951"/>
      <c r="AO1611" s="951"/>
      <c r="AP1611" s="951"/>
      <c r="AQ1611" s="951"/>
      <c r="AR1611" s="951"/>
      <c r="AS1611" s="951"/>
      <c r="AT1611" s="951"/>
      <c r="AU1611" s="951"/>
    </row>
    <row r="1612" spans="1:25" s="94" customFormat="1" ht="34.5" customHeight="1">
      <c r="A1612" s="339" t="s">
        <v>976</v>
      </c>
      <c r="B1612" s="339"/>
      <c r="C1612" s="339"/>
      <c r="D1612" s="339"/>
      <c r="E1612" s="339"/>
      <c r="F1612" s="339"/>
      <c r="G1612" s="339"/>
      <c r="H1612" s="339"/>
      <c r="I1612" s="965"/>
      <c r="J1612" s="686"/>
      <c r="K1612" s="686"/>
      <c r="L1612" s="686"/>
      <c r="M1612" s="92"/>
      <c r="N1612" s="92"/>
      <c r="O1612" s="92"/>
      <c r="P1612" s="92"/>
      <c r="Q1612" s="92"/>
      <c r="R1612" s="92"/>
      <c r="S1612" s="92"/>
      <c r="T1612" s="92"/>
      <c r="U1612" s="92"/>
      <c r="V1612" s="92"/>
      <c r="W1612" s="92"/>
      <c r="X1612" s="92"/>
      <c r="Y1612" s="92"/>
    </row>
    <row r="1613" spans="1:25" s="94" customFormat="1" ht="34.5" customHeight="1" thickBot="1">
      <c r="A1613" s="234"/>
      <c r="B1613" s="106"/>
      <c r="C1613" s="127"/>
      <c r="D1613" s="127"/>
      <c r="E1613" s="127"/>
      <c r="F1613" s="127"/>
      <c r="G1613" s="127"/>
      <c r="H1613" s="127"/>
      <c r="I1613" s="127"/>
      <c r="J1613" s="127"/>
      <c r="K1613" s="99"/>
      <c r="L1613" s="119"/>
      <c r="M1613" s="92"/>
      <c r="N1613" s="92"/>
      <c r="O1613" s="92"/>
      <c r="P1613" s="92"/>
      <c r="Q1613" s="92"/>
      <c r="R1613" s="92"/>
      <c r="S1613" s="92"/>
      <c r="T1613" s="92"/>
      <c r="U1613" s="92"/>
      <c r="V1613" s="92"/>
      <c r="W1613" s="92"/>
      <c r="X1613" s="92"/>
      <c r="Y1613" s="92"/>
    </row>
    <row r="1614" spans="1:42" s="167" customFormat="1" ht="34.5" customHeight="1" thickTop="1">
      <c r="A1614" s="826" t="s">
        <v>33</v>
      </c>
      <c r="B1614" s="827" t="s">
        <v>86</v>
      </c>
      <c r="C1614" s="828" t="s">
        <v>847</v>
      </c>
      <c r="D1614" s="829"/>
      <c r="E1614" s="961" t="s">
        <v>1171</v>
      </c>
      <c r="F1614" s="831"/>
      <c r="G1614" s="830" t="s">
        <v>1172</v>
      </c>
      <c r="H1614" s="831"/>
      <c r="I1614" s="830" t="s">
        <v>1173</v>
      </c>
      <c r="J1614" s="831"/>
      <c r="K1614" s="1224"/>
      <c r="L1614" s="1224"/>
      <c r="M1614" s="151"/>
      <c r="N1614" s="151"/>
      <c r="O1614" s="166"/>
      <c r="P1614" s="166"/>
      <c r="Q1614" s="166"/>
      <c r="R1614" s="166"/>
      <c r="S1614" s="100"/>
      <c r="T1614" s="92"/>
      <c r="U1614" s="92"/>
      <c r="V1614" s="92"/>
      <c r="W1614" s="92"/>
      <c r="X1614" s="92"/>
      <c r="Y1614" s="92"/>
      <c r="Z1614" s="100"/>
      <c r="AA1614" s="166"/>
      <c r="AB1614" s="166"/>
      <c r="AC1614" s="166"/>
      <c r="AD1614" s="166"/>
      <c r="AE1614" s="166"/>
      <c r="AF1614" s="166"/>
      <c r="AG1614" s="166"/>
      <c r="AH1614" s="166"/>
      <c r="AI1614" s="166"/>
      <c r="AJ1614" s="166"/>
      <c r="AK1614" s="166"/>
      <c r="AL1614" s="166"/>
      <c r="AM1614" s="166"/>
      <c r="AN1614" s="166"/>
      <c r="AO1614" s="166"/>
      <c r="AP1614" s="166"/>
    </row>
    <row r="1615" spans="1:25" s="94" customFormat="1" ht="34.5" customHeight="1">
      <c r="A1615" s="671" t="s">
        <v>1084</v>
      </c>
      <c r="B1615" s="189" t="s">
        <v>41</v>
      </c>
      <c r="C1615" s="1083">
        <f>CEILING(33*$Z$1,0.1)</f>
        <v>41.300000000000004</v>
      </c>
      <c r="D1615" s="1084"/>
      <c r="E1615" s="1083">
        <f>CEILING(39*$Z$1,0.1)</f>
        <v>48.800000000000004</v>
      </c>
      <c r="F1615" s="1084"/>
      <c r="G1615" s="1083">
        <f>CEILING(54*$Z$1,0.1)</f>
        <v>67.5</v>
      </c>
      <c r="H1615" s="1084"/>
      <c r="I1615" s="1083">
        <f>CEILING(39*$Z$1,0.1)</f>
        <v>48.800000000000004</v>
      </c>
      <c r="J1615" s="1084"/>
      <c r="K1615" s="638"/>
      <c r="L1615" s="638"/>
      <c r="M1615" s="92"/>
      <c r="N1615" s="92"/>
      <c r="O1615" s="92"/>
      <c r="P1615" s="92"/>
      <c r="Q1615" s="92"/>
      <c r="R1615" s="92"/>
      <c r="S1615" s="92"/>
      <c r="T1615" s="92"/>
      <c r="U1615" s="92"/>
      <c r="V1615" s="92"/>
      <c r="W1615" s="92"/>
      <c r="X1615" s="92"/>
      <c r="Y1615" s="92"/>
    </row>
    <row r="1616" spans="1:25" s="94" customFormat="1" ht="34.5" customHeight="1">
      <c r="A1616" s="1050" t="s">
        <v>1174</v>
      </c>
      <c r="B1616" s="190" t="s">
        <v>42</v>
      </c>
      <c r="C1616" s="1085">
        <f>CEILING((C1615+20*$Z$1),0.1)</f>
        <v>66.3</v>
      </c>
      <c r="D1616" s="1086"/>
      <c r="E1616" s="1085">
        <f>CEILING((E1615+20*$Z$1),0.1)</f>
        <v>73.8</v>
      </c>
      <c r="F1616" s="1086"/>
      <c r="G1616" s="1085">
        <f>CEILING((G1615+20*$Z$1),0.1)</f>
        <v>92.5</v>
      </c>
      <c r="H1616" s="1086"/>
      <c r="I1616" s="1085">
        <f>CEILING((I1615+20*$Z$1),0.1)</f>
        <v>73.8</v>
      </c>
      <c r="J1616" s="1086"/>
      <c r="K1616" s="638"/>
      <c r="L1616" s="638"/>
      <c r="M1616" s="92"/>
      <c r="N1616" s="92"/>
      <c r="O1616" s="92"/>
      <c r="P1616" s="92"/>
      <c r="Q1616" s="92"/>
      <c r="R1616" s="92"/>
      <c r="S1616" s="92"/>
      <c r="T1616" s="92"/>
      <c r="U1616" s="92"/>
      <c r="V1616" s="92"/>
      <c r="W1616" s="92"/>
      <c r="X1616" s="92"/>
      <c r="Y1616" s="92"/>
    </row>
    <row r="1617" spans="1:25" s="94" customFormat="1" ht="34.5" customHeight="1" thickBot="1">
      <c r="A1617" s="483" t="s">
        <v>467</v>
      </c>
      <c r="B1617" s="246" t="s">
        <v>375</v>
      </c>
      <c r="C1617" s="1103">
        <f>CEILING((C1615*0.5),0.1)</f>
        <v>20.700000000000003</v>
      </c>
      <c r="D1617" s="1098"/>
      <c r="E1617" s="1103">
        <f>CEILING((E1615*0.5),0.1)</f>
        <v>24.400000000000002</v>
      </c>
      <c r="F1617" s="1098"/>
      <c r="G1617" s="1103">
        <f>CEILING((G1615*0.5),0.1)</f>
        <v>33.800000000000004</v>
      </c>
      <c r="H1617" s="1098"/>
      <c r="I1617" s="1103">
        <f>CEILING((I1615*0.5),0.1)</f>
        <v>24.400000000000002</v>
      </c>
      <c r="J1617" s="1098"/>
      <c r="K1617" s="638"/>
      <c r="L1617" s="638"/>
      <c r="M1617" s="92"/>
      <c r="N1617" s="92"/>
      <c r="O1617" s="92"/>
      <c r="P1617" s="92"/>
      <c r="Q1617" s="92"/>
      <c r="R1617" s="92"/>
      <c r="S1617" s="92"/>
      <c r="T1617" s="92"/>
      <c r="U1617" s="92"/>
      <c r="V1617" s="92"/>
      <c r="W1617" s="92"/>
      <c r="X1617" s="92"/>
      <c r="Y1617" s="92"/>
    </row>
    <row r="1618" spans="1:25" s="94" customFormat="1" ht="34.5" customHeight="1" thickTop="1">
      <c r="A1618" s="339" t="s">
        <v>662</v>
      </c>
      <c r="B1618" s="339"/>
      <c r="C1618" s="339"/>
      <c r="D1618" s="339"/>
      <c r="E1618" s="339"/>
      <c r="F1618" s="339"/>
      <c r="G1618" s="339"/>
      <c r="H1618" s="339"/>
      <c r="I1618" s="391"/>
      <c r="J1618" s="686"/>
      <c r="K1618" s="686"/>
      <c r="L1618" s="686"/>
      <c r="M1618" s="92"/>
      <c r="N1618" s="92"/>
      <c r="O1618" s="92"/>
      <c r="P1618" s="92"/>
      <c r="Q1618" s="92"/>
      <c r="R1618" s="92"/>
      <c r="S1618" s="92"/>
      <c r="T1618" s="92"/>
      <c r="U1618" s="92"/>
      <c r="V1618" s="92"/>
      <c r="W1618" s="92"/>
      <c r="X1618" s="92"/>
      <c r="Y1618" s="92"/>
    </row>
    <row r="1619" spans="1:15" s="121" customFormat="1" ht="34.5" customHeight="1" thickBot="1">
      <c r="A1619" s="339"/>
      <c r="B1619" s="339"/>
      <c r="C1619" s="339"/>
      <c r="D1619" s="339"/>
      <c r="E1619" s="339"/>
      <c r="F1619" s="339"/>
      <c r="G1619" s="339"/>
      <c r="H1619" s="339"/>
      <c r="I1619" s="339"/>
      <c r="J1619" s="688"/>
      <c r="K1619" s="100"/>
      <c r="L1619" s="100"/>
      <c r="M1619" s="689"/>
      <c r="N1619" s="689"/>
      <c r="O1619" s="689"/>
    </row>
    <row r="1620" spans="1:42" s="167" customFormat="1" ht="34.5" customHeight="1" thickTop="1">
      <c r="A1620" s="826" t="s">
        <v>33</v>
      </c>
      <c r="B1620" s="827" t="s">
        <v>86</v>
      </c>
      <c r="C1620" s="828" t="s">
        <v>847</v>
      </c>
      <c r="D1620" s="829"/>
      <c r="E1620" s="961" t="s">
        <v>977</v>
      </c>
      <c r="F1620" s="831"/>
      <c r="G1620" s="830" t="s">
        <v>978</v>
      </c>
      <c r="H1620" s="831"/>
      <c r="I1620" s="830" t="s">
        <v>979</v>
      </c>
      <c r="J1620" s="831"/>
      <c r="K1620" s="830" t="s">
        <v>954</v>
      </c>
      <c r="L1620" s="831"/>
      <c r="M1620" s="151"/>
      <c r="N1620" s="151"/>
      <c r="O1620" s="166"/>
      <c r="P1620" s="166"/>
      <c r="Q1620" s="166"/>
      <c r="R1620" s="166"/>
      <c r="S1620" s="100"/>
      <c r="T1620" s="92"/>
      <c r="U1620" s="92"/>
      <c r="V1620" s="92"/>
      <c r="W1620" s="92"/>
      <c r="X1620" s="92"/>
      <c r="Y1620" s="92"/>
      <c r="Z1620" s="100"/>
      <c r="AA1620" s="166"/>
      <c r="AB1620" s="166"/>
      <c r="AC1620" s="166"/>
      <c r="AD1620" s="166"/>
      <c r="AE1620" s="166"/>
      <c r="AF1620" s="166"/>
      <c r="AG1620" s="166"/>
      <c r="AH1620" s="166"/>
      <c r="AI1620" s="166"/>
      <c r="AJ1620" s="166"/>
      <c r="AK1620" s="166"/>
      <c r="AL1620" s="166"/>
      <c r="AM1620" s="166"/>
      <c r="AN1620" s="166"/>
      <c r="AO1620" s="166"/>
      <c r="AP1620" s="166"/>
    </row>
    <row r="1621" spans="1:15" s="94" customFormat="1" ht="34.5" customHeight="1">
      <c r="A1621" s="690" t="s">
        <v>1195</v>
      </c>
      <c r="B1621" s="189" t="s">
        <v>41</v>
      </c>
      <c r="C1621" s="1083">
        <f>CEILING(29*$Z$1,0.1)</f>
        <v>36.300000000000004</v>
      </c>
      <c r="D1621" s="1084"/>
      <c r="E1621" s="1083">
        <f>CEILING(29*$Z$1,0.1)</f>
        <v>36.300000000000004</v>
      </c>
      <c r="F1621" s="1084"/>
      <c r="G1621" s="1083">
        <f>CEILING(29*$Z$1,0.1)</f>
        <v>36.300000000000004</v>
      </c>
      <c r="H1621" s="1084"/>
      <c r="I1621" s="1083">
        <f>CEILING(29*$Z$1,0.1)</f>
        <v>36.300000000000004</v>
      </c>
      <c r="J1621" s="1084"/>
      <c r="K1621" s="1083">
        <f>CEILING(29*$Z$1,0.1)</f>
        <v>36.300000000000004</v>
      </c>
      <c r="L1621" s="1084"/>
      <c r="M1621" s="118"/>
      <c r="N1621" s="118"/>
      <c r="O1621" s="118"/>
    </row>
    <row r="1622" spans="1:15" s="94" customFormat="1" ht="34.5" customHeight="1">
      <c r="A1622" s="320" t="s">
        <v>131</v>
      </c>
      <c r="B1622" s="190" t="s">
        <v>42</v>
      </c>
      <c r="C1622" s="1085">
        <f>CEILING((C1621+5*$Z$1),0.1)</f>
        <v>42.6</v>
      </c>
      <c r="D1622" s="1086"/>
      <c r="E1622" s="1085">
        <f>CEILING((E1621+5*$Z$1),0.1)</f>
        <v>42.6</v>
      </c>
      <c r="F1622" s="1086"/>
      <c r="G1622" s="1085">
        <f>CEILING((G1621+5*$Z$1),0.1)</f>
        <v>42.6</v>
      </c>
      <c r="H1622" s="1086"/>
      <c r="I1622" s="1085">
        <f>CEILING((I1621+5*$Z$1),0.1)</f>
        <v>42.6</v>
      </c>
      <c r="J1622" s="1086"/>
      <c r="K1622" s="1085">
        <f>CEILING((K1621+5*$Z$1),0.1)</f>
        <v>42.6</v>
      </c>
      <c r="L1622" s="1086"/>
      <c r="M1622" s="118"/>
      <c r="N1622" s="118"/>
      <c r="O1622" s="118"/>
    </row>
    <row r="1623" spans="1:15" s="94" customFormat="1" ht="34.5" customHeight="1" thickBot="1">
      <c r="A1623" s="483" t="s">
        <v>1194</v>
      </c>
      <c r="B1623" s="246" t="s">
        <v>672</v>
      </c>
      <c r="C1623" s="1103">
        <f>CEILING((C1621*0),0.1)</f>
        <v>0</v>
      </c>
      <c r="D1623" s="1098"/>
      <c r="E1623" s="1103">
        <f>CEILING((E1621*0),0.1)</f>
        <v>0</v>
      </c>
      <c r="F1623" s="1098"/>
      <c r="G1623" s="1103">
        <f>CEILING((G1621*0),0.1)</f>
        <v>0</v>
      </c>
      <c r="H1623" s="1098"/>
      <c r="I1623" s="1103">
        <f>CEILING((I1621*0),0.1)</f>
        <v>0</v>
      </c>
      <c r="J1623" s="1098"/>
      <c r="K1623" s="1103">
        <f>CEILING((K1621*0),0.1)</f>
        <v>0</v>
      </c>
      <c r="L1623" s="1098"/>
      <c r="M1623" s="118"/>
      <c r="N1623" s="118"/>
      <c r="O1623" s="118"/>
    </row>
    <row r="1624" spans="1:25" s="692" customFormat="1" ht="34.5" customHeight="1" thickTop="1">
      <c r="A1624" s="691"/>
      <c r="B1624" s="670"/>
      <c r="C1624" s="339"/>
      <c r="D1624" s="339"/>
      <c r="E1624" s="339"/>
      <c r="F1624" s="339"/>
      <c r="G1624" s="339"/>
      <c r="H1624" s="339"/>
      <c r="I1624" s="339"/>
      <c r="J1624" s="241"/>
      <c r="K1624" s="135"/>
      <c r="L1624" s="135"/>
      <c r="M1624" s="92"/>
      <c r="N1624" s="92"/>
      <c r="O1624" s="92"/>
      <c r="P1624" s="92"/>
      <c r="Q1624" s="92"/>
      <c r="R1624" s="92"/>
      <c r="S1624" s="92"/>
      <c r="T1624" s="92"/>
      <c r="U1624" s="92"/>
      <c r="V1624" s="92"/>
      <c r="W1624" s="92"/>
      <c r="X1624" s="92"/>
      <c r="Y1624" s="92"/>
    </row>
    <row r="1625" spans="1:15" s="15" customFormat="1" ht="34.5" customHeight="1">
      <c r="A1625" s="48"/>
      <c r="B1625" s="42"/>
      <c r="C1625" s="63"/>
      <c r="D1625" s="63"/>
      <c r="E1625" s="63"/>
      <c r="F1625" s="63"/>
      <c r="G1625" s="63"/>
      <c r="H1625" s="63"/>
      <c r="I1625" s="7"/>
      <c r="J1625" s="7"/>
      <c r="K1625" s="9"/>
      <c r="L1625" s="9"/>
      <c r="M1625" s="72"/>
      <c r="N1625" s="72"/>
      <c r="O1625" s="72"/>
    </row>
    <row r="1626" spans="1:15" s="15" customFormat="1" ht="34.5" customHeight="1">
      <c r="A1626" s="1326" t="s">
        <v>118</v>
      </c>
      <c r="B1626" s="1326"/>
      <c r="C1626" s="1326"/>
      <c r="D1626" s="1326"/>
      <c r="E1626" s="1326"/>
      <c r="F1626" s="1326"/>
      <c r="G1626" s="1326"/>
      <c r="H1626" s="1326"/>
      <c r="I1626" s="1326"/>
      <c r="J1626" s="14"/>
      <c r="K1626" s="9"/>
      <c r="L1626" s="9"/>
      <c r="M1626" s="72"/>
      <c r="N1626" s="72"/>
      <c r="O1626" s="72"/>
    </row>
    <row r="1627" spans="1:15" s="15" customFormat="1" ht="34.5" customHeight="1" thickBot="1">
      <c r="A1627" s="4"/>
      <c r="B1627" s="4"/>
      <c r="C1627" s="4"/>
      <c r="D1627" s="4"/>
      <c r="E1627" s="4"/>
      <c r="F1627" s="4"/>
      <c r="G1627" s="4"/>
      <c r="H1627" s="4"/>
      <c r="I1627" s="4"/>
      <c r="J1627" s="14"/>
      <c r="K1627" s="9"/>
      <c r="L1627" s="9"/>
      <c r="M1627" s="72"/>
      <c r="N1627" s="72"/>
      <c r="O1627" s="72"/>
    </row>
    <row r="1628" spans="1:42" s="167" customFormat="1" ht="34.5" customHeight="1" thickTop="1">
      <c r="A1628" s="826" t="s">
        <v>33</v>
      </c>
      <c r="B1628" s="827" t="s">
        <v>768</v>
      </c>
      <c r="C1628" s="828" t="s">
        <v>931</v>
      </c>
      <c r="D1628" s="829"/>
      <c r="E1628" s="830" t="s">
        <v>980</v>
      </c>
      <c r="F1628" s="831"/>
      <c r="G1628" s="830" t="s">
        <v>981</v>
      </c>
      <c r="H1628" s="831"/>
      <c r="I1628" s="830" t="s">
        <v>982</v>
      </c>
      <c r="J1628" s="831"/>
      <c r="K1628" s="830" t="s">
        <v>983</v>
      </c>
      <c r="L1628" s="831"/>
      <c r="M1628" s="151"/>
      <c r="N1628" s="151"/>
      <c r="O1628" s="166"/>
      <c r="P1628" s="166"/>
      <c r="Q1628" s="166"/>
      <c r="R1628" s="166"/>
      <c r="S1628" s="100"/>
      <c r="T1628" s="92"/>
      <c r="U1628" s="92"/>
      <c r="V1628" s="92"/>
      <c r="W1628" s="92"/>
      <c r="X1628" s="92"/>
      <c r="Y1628" s="92"/>
      <c r="Z1628" s="100"/>
      <c r="AA1628" s="166"/>
      <c r="AB1628" s="166"/>
      <c r="AC1628" s="166"/>
      <c r="AD1628" s="166"/>
      <c r="AE1628" s="166"/>
      <c r="AF1628" s="166"/>
      <c r="AG1628" s="166"/>
      <c r="AH1628" s="166"/>
      <c r="AI1628" s="166"/>
      <c r="AJ1628" s="166"/>
      <c r="AK1628" s="166"/>
      <c r="AL1628" s="166"/>
      <c r="AM1628" s="166"/>
      <c r="AN1628" s="166"/>
      <c r="AO1628" s="166"/>
      <c r="AP1628" s="166"/>
    </row>
    <row r="1629" spans="1:60" s="94" customFormat="1" ht="34.5" customHeight="1">
      <c r="A1629" s="693" t="s">
        <v>268</v>
      </c>
      <c r="B1629" s="618" t="s">
        <v>269</v>
      </c>
      <c r="C1629" s="644">
        <f>CEILING(165*$Z$1,0.1)</f>
        <v>206.3</v>
      </c>
      <c r="D1629" s="645"/>
      <c r="E1629" s="644">
        <f>CEILING(190*$Z$1,0.1)</f>
        <v>237.5</v>
      </c>
      <c r="F1629" s="645"/>
      <c r="G1629" s="644">
        <f>CEILING(245*$Z$1,0.1)</f>
        <v>306.3</v>
      </c>
      <c r="H1629" s="645"/>
      <c r="I1629" s="644">
        <f>CEILING(215*$Z$1,0.1)</f>
        <v>268.8</v>
      </c>
      <c r="J1629" s="645"/>
      <c r="K1629" s="644">
        <f>CEILING(170*$Z$1,0.1)</f>
        <v>212.5</v>
      </c>
      <c r="L1629" s="645"/>
      <c r="M1629" s="136"/>
      <c r="N1629" s="136"/>
      <c r="O1629" s="136"/>
      <c r="P1629" s="136"/>
      <c r="Q1629" s="136"/>
      <c r="R1629" s="136"/>
      <c r="S1629" s="136"/>
      <c r="T1629" s="136"/>
      <c r="U1629" s="136"/>
      <c r="V1629" s="136"/>
      <c r="W1629" s="136"/>
      <c r="X1629" s="136"/>
      <c r="Y1629" s="136"/>
      <c r="Z1629" s="136"/>
      <c r="AA1629" s="136"/>
      <c r="AB1629" s="136"/>
      <c r="AC1629" s="136"/>
      <c r="AD1629" s="136"/>
      <c r="AE1629" s="136"/>
      <c r="AF1629" s="136"/>
      <c r="AG1629" s="136"/>
      <c r="AH1629" s="136"/>
      <c r="AI1629" s="136"/>
      <c r="AJ1629" s="136"/>
      <c r="AK1629" s="136"/>
      <c r="AL1629" s="136"/>
      <c r="AM1629" s="136"/>
      <c r="AN1629" s="136"/>
      <c r="AO1629" s="136"/>
      <c r="AP1629" s="136"/>
      <c r="AQ1629" s="136"/>
      <c r="AR1629" s="136"/>
      <c r="AS1629" s="136"/>
      <c r="AT1629" s="136"/>
      <c r="AU1629" s="136"/>
      <c r="AV1629" s="136"/>
      <c r="AW1629" s="136"/>
      <c r="AX1629" s="136"/>
      <c r="AY1629" s="136"/>
      <c r="AZ1629" s="136"/>
      <c r="BA1629" s="136"/>
      <c r="BB1629" s="136"/>
      <c r="BC1629" s="136"/>
      <c r="BD1629" s="136"/>
      <c r="BE1629" s="136"/>
      <c r="BF1629" s="136"/>
      <c r="BG1629" s="136"/>
      <c r="BH1629" s="136"/>
    </row>
    <row r="1630" spans="1:60" s="94" customFormat="1" ht="34.5" customHeight="1">
      <c r="A1630" s="322" t="s">
        <v>35</v>
      </c>
      <c r="B1630" s="536" t="s">
        <v>270</v>
      </c>
      <c r="C1630" s="641">
        <f>CEILING(330*$Z$1,0.1)</f>
        <v>412.5</v>
      </c>
      <c r="D1630" s="646"/>
      <c r="E1630" s="641">
        <f>CEILING(380*$Z$1,0.1)</f>
        <v>475</v>
      </c>
      <c r="F1630" s="646"/>
      <c r="G1630" s="641">
        <f>CEILING(490*$Z$1,0.1)</f>
        <v>612.5</v>
      </c>
      <c r="H1630" s="646"/>
      <c r="I1630" s="641">
        <f>CEILING(430*$Z$1,0.1)</f>
        <v>537.5</v>
      </c>
      <c r="J1630" s="646"/>
      <c r="K1630" s="641">
        <f>CEILING(340*$Z$1,0.1)</f>
        <v>425</v>
      </c>
      <c r="L1630" s="646"/>
      <c r="M1630" s="136"/>
      <c r="N1630" s="136"/>
      <c r="O1630" s="136"/>
      <c r="P1630" s="136"/>
      <c r="Q1630" s="136"/>
      <c r="R1630" s="136"/>
      <c r="S1630" s="136"/>
      <c r="T1630" s="136"/>
      <c r="U1630" s="136"/>
      <c r="V1630" s="136"/>
      <c r="W1630" s="136"/>
      <c r="X1630" s="136"/>
      <c r="Y1630" s="136"/>
      <c r="Z1630" s="136"/>
      <c r="AA1630" s="136"/>
      <c r="AB1630" s="136"/>
      <c r="AC1630" s="136"/>
      <c r="AD1630" s="136"/>
      <c r="AE1630" s="136"/>
      <c r="AF1630" s="136"/>
      <c r="AG1630" s="136"/>
      <c r="AH1630" s="136"/>
      <c r="AI1630" s="136"/>
      <c r="AJ1630" s="136"/>
      <c r="AK1630" s="136"/>
      <c r="AL1630" s="136"/>
      <c r="AM1630" s="136"/>
      <c r="AN1630" s="136"/>
      <c r="AO1630" s="136"/>
      <c r="AP1630" s="136"/>
      <c r="AQ1630" s="136"/>
      <c r="AR1630" s="136"/>
      <c r="AS1630" s="136"/>
      <c r="AT1630" s="136"/>
      <c r="AU1630" s="136"/>
      <c r="AV1630" s="136"/>
      <c r="AW1630" s="136"/>
      <c r="AX1630" s="136"/>
      <c r="AY1630" s="136"/>
      <c r="AZ1630" s="136"/>
      <c r="BA1630" s="136"/>
      <c r="BB1630" s="136"/>
      <c r="BC1630" s="136"/>
      <c r="BD1630" s="136"/>
      <c r="BE1630" s="136"/>
      <c r="BF1630" s="136"/>
      <c r="BG1630" s="136"/>
      <c r="BH1630" s="136"/>
    </row>
    <row r="1631" spans="1:19" s="94" customFormat="1" ht="34.5" customHeight="1">
      <c r="A1631" s="320"/>
      <c r="B1631" s="536" t="s">
        <v>64</v>
      </c>
      <c r="C1631" s="641">
        <f>CEILING(175*$Z$1,0.1)</f>
        <v>218.8</v>
      </c>
      <c r="D1631" s="646"/>
      <c r="E1631" s="641">
        <f>CEILING(200*$Z$1,0.1)</f>
        <v>250</v>
      </c>
      <c r="F1631" s="646"/>
      <c r="G1631" s="641">
        <f>CEILING(255*$Z$1,0.1)</f>
        <v>318.8</v>
      </c>
      <c r="H1631" s="646"/>
      <c r="I1631" s="641">
        <f>CEILING(225*$Z$1,0.1)</f>
        <v>281.3</v>
      </c>
      <c r="J1631" s="646"/>
      <c r="K1631" s="641">
        <f>CEILING(180*$Z$1,0.1)</f>
        <v>225</v>
      </c>
      <c r="L1631" s="646"/>
      <c r="M1631" s="92"/>
      <c r="N1631" s="92"/>
      <c r="O1631" s="92"/>
      <c r="P1631" s="92"/>
      <c r="Q1631" s="92"/>
      <c r="R1631" s="92"/>
      <c r="S1631" s="92"/>
    </row>
    <row r="1632" spans="1:19" s="1028" customFormat="1" ht="34.5" customHeight="1">
      <c r="A1632" s="1023" t="s">
        <v>1027</v>
      </c>
      <c r="B1632" s="1024" t="s">
        <v>65</v>
      </c>
      <c r="C1632" s="1025">
        <f>CEILING(350*$Z$1,0.1)</f>
        <v>437.5</v>
      </c>
      <c r="D1632" s="1026"/>
      <c r="E1632" s="1025">
        <f>CEILING(400*$Z$1,0.1)</f>
        <v>500</v>
      </c>
      <c r="F1632" s="1026"/>
      <c r="G1632" s="1025">
        <f>CEILING(510*$Z$1,0.1)</f>
        <v>637.5</v>
      </c>
      <c r="H1632" s="1026"/>
      <c r="I1632" s="1025">
        <f>CEILING(450*$Z$1,0.1)</f>
        <v>562.5</v>
      </c>
      <c r="J1632" s="1026"/>
      <c r="K1632" s="1025">
        <f>CEILING(360*$Z$1,0.1)</f>
        <v>450</v>
      </c>
      <c r="L1632" s="1026"/>
      <c r="M1632" s="1027"/>
      <c r="N1632" s="1027"/>
      <c r="O1632" s="1027"/>
      <c r="P1632" s="1027"/>
      <c r="Q1632" s="1027"/>
      <c r="R1632" s="1027"/>
      <c r="S1632" s="1027"/>
    </row>
    <row r="1633" spans="1:19" s="94" customFormat="1" ht="34.5" customHeight="1">
      <c r="A1633" s="694" t="s">
        <v>1024</v>
      </c>
      <c r="B1633" s="536" t="s">
        <v>271</v>
      </c>
      <c r="C1633" s="641">
        <f>CEILING(190*$Z$1,0.1)</f>
        <v>237.5</v>
      </c>
      <c r="D1633" s="646"/>
      <c r="E1633" s="641">
        <f>CEILING(215*$Z$1,0.1)</f>
        <v>268.8</v>
      </c>
      <c r="F1633" s="646"/>
      <c r="G1633" s="641">
        <f>CEILING(275*$Z$1,0.1)</f>
        <v>343.8</v>
      </c>
      <c r="H1633" s="646"/>
      <c r="I1633" s="641">
        <f>CEILING(245*$Z$1,0.1)</f>
        <v>306.3</v>
      </c>
      <c r="J1633" s="646"/>
      <c r="K1633" s="641">
        <f>CEILING(195*$Z$1,0.1)</f>
        <v>243.8</v>
      </c>
      <c r="L1633" s="646"/>
      <c r="M1633" s="92"/>
      <c r="N1633" s="92"/>
      <c r="O1633" s="92"/>
      <c r="P1633" s="92"/>
      <c r="Q1633" s="92"/>
      <c r="R1633" s="92"/>
      <c r="S1633" s="92"/>
    </row>
    <row r="1634" spans="1:18" s="94" customFormat="1" ht="34.5" customHeight="1">
      <c r="A1634" s="695" t="s">
        <v>1085</v>
      </c>
      <c r="B1634" s="536" t="s">
        <v>272</v>
      </c>
      <c r="C1634" s="641">
        <f>CEILING(380*$Z$1,0.1)</f>
        <v>475</v>
      </c>
      <c r="D1634" s="646"/>
      <c r="E1634" s="641">
        <f>CEILING(430*$Z$1,0.1)</f>
        <v>537.5</v>
      </c>
      <c r="F1634" s="646"/>
      <c r="G1634" s="641">
        <f>CEILING(550*$Z$1,0.1)</f>
        <v>687.5</v>
      </c>
      <c r="H1634" s="646"/>
      <c r="I1634" s="641">
        <f>CEILING(490*$Z$1,0.1)</f>
        <v>612.5</v>
      </c>
      <c r="J1634" s="646"/>
      <c r="K1634" s="641">
        <f>CEILING(390*$Z$1,0.1)</f>
        <v>487.5</v>
      </c>
      <c r="L1634" s="646"/>
      <c r="M1634" s="92"/>
      <c r="N1634" s="92"/>
      <c r="O1634" s="92"/>
      <c r="P1634" s="92"/>
      <c r="Q1634" s="92"/>
      <c r="R1634" s="92"/>
    </row>
    <row r="1635" spans="1:20" s="94" customFormat="1" ht="72.75" customHeight="1">
      <c r="A1635" s="1029" t="s">
        <v>1025</v>
      </c>
      <c r="B1635" s="536" t="s">
        <v>273</v>
      </c>
      <c r="C1635" s="641">
        <f>CEILING(200*$Z$1,0.1)</f>
        <v>250</v>
      </c>
      <c r="D1635" s="646"/>
      <c r="E1635" s="641">
        <f>CEILING(230*$Z$1,0.1)</f>
        <v>287.5</v>
      </c>
      <c r="F1635" s="646"/>
      <c r="G1635" s="641">
        <f>CEILING(290*$Z$1,0.1)</f>
        <v>362.5</v>
      </c>
      <c r="H1635" s="646"/>
      <c r="I1635" s="641">
        <f>CEILING(260*$Z$1,0.1)</f>
        <v>325</v>
      </c>
      <c r="J1635" s="646"/>
      <c r="K1635" s="641">
        <f>CEILING(210*$Z$1,0.1)</f>
        <v>262.5</v>
      </c>
      <c r="L1635" s="646"/>
      <c r="M1635" s="92"/>
      <c r="N1635" s="92"/>
      <c r="O1635" s="92"/>
      <c r="P1635" s="92"/>
      <c r="Q1635" s="92"/>
      <c r="R1635" s="92"/>
      <c r="S1635" s="92"/>
      <c r="T1635" s="92"/>
    </row>
    <row r="1636" spans="1:21" s="94" customFormat="1" ht="34.5" customHeight="1">
      <c r="A1636" s="1029" t="s">
        <v>1026</v>
      </c>
      <c r="B1636" s="536" t="s">
        <v>274</v>
      </c>
      <c r="C1636" s="641">
        <f>CEILING(400*$Z$1,0.1)</f>
        <v>500</v>
      </c>
      <c r="D1636" s="646"/>
      <c r="E1636" s="641">
        <f>CEILING(460*$Z$1,0.1)</f>
        <v>575</v>
      </c>
      <c r="F1636" s="646"/>
      <c r="G1636" s="641">
        <f>CEILING(580*$Z$1,0.1)</f>
        <v>725</v>
      </c>
      <c r="H1636" s="646"/>
      <c r="I1636" s="641">
        <f>CEILING(520*$Z$1,0.1)</f>
        <v>650</v>
      </c>
      <c r="J1636" s="646"/>
      <c r="K1636" s="641">
        <f>CEILING(420*$Z$1,0.1)</f>
        <v>525</v>
      </c>
      <c r="L1636" s="646"/>
      <c r="M1636" s="92"/>
      <c r="N1636" s="92"/>
      <c r="O1636" s="92"/>
      <c r="P1636" s="92"/>
      <c r="Q1636" s="92"/>
      <c r="R1636" s="92"/>
      <c r="S1636" s="92"/>
      <c r="T1636" s="92"/>
      <c r="U1636" s="92"/>
    </row>
    <row r="1637" spans="1:21" s="94" customFormat="1" ht="34.5" customHeight="1">
      <c r="A1637" s="695"/>
      <c r="B1637" s="536" t="s">
        <v>275</v>
      </c>
      <c r="C1637" s="641">
        <f>CEILING(232.5*$Z$1,0.1)</f>
        <v>290.7</v>
      </c>
      <c r="D1637" s="646"/>
      <c r="E1637" s="641">
        <f>CEILING(260*$Z$1,0.1)</f>
        <v>325</v>
      </c>
      <c r="F1637" s="646"/>
      <c r="G1637" s="641">
        <f>CEILING(322.5*$Z$1,0.1)</f>
        <v>403.20000000000005</v>
      </c>
      <c r="H1637" s="646"/>
      <c r="I1637" s="641">
        <f>CEILING(305*$Z$1,0.1)</f>
        <v>381.3</v>
      </c>
      <c r="J1637" s="646"/>
      <c r="K1637" s="641">
        <f>CEILING(255*$Z$1,0.1)</f>
        <v>318.8</v>
      </c>
      <c r="L1637" s="646"/>
      <c r="M1637" s="97"/>
      <c r="N1637" s="106"/>
      <c r="O1637" s="92"/>
      <c r="P1637" s="92"/>
      <c r="Q1637" s="92"/>
      <c r="R1637" s="92"/>
      <c r="S1637" s="92"/>
      <c r="T1637" s="92"/>
      <c r="U1637" s="92"/>
    </row>
    <row r="1638" spans="1:21" s="94" customFormat="1" ht="34.5" customHeight="1">
      <c r="A1638" s="695"/>
      <c r="B1638" s="536" t="s">
        <v>500</v>
      </c>
      <c r="C1638" s="641">
        <f>CEILING(465*$Z$1,0.1)</f>
        <v>581.3000000000001</v>
      </c>
      <c r="D1638" s="646"/>
      <c r="E1638" s="641">
        <f>CEILING(520*$Z$1,0.1)</f>
        <v>650</v>
      </c>
      <c r="F1638" s="646"/>
      <c r="G1638" s="641">
        <f>CEILING(645*$Z$1,0.1)</f>
        <v>806.3000000000001</v>
      </c>
      <c r="H1638" s="646"/>
      <c r="I1638" s="641">
        <f>CEILING(620*$Z$1,0.1)</f>
        <v>775</v>
      </c>
      <c r="J1638" s="646"/>
      <c r="K1638" s="641">
        <f>CEILING(510*$Z$1,0.1)</f>
        <v>637.5</v>
      </c>
      <c r="L1638" s="646"/>
      <c r="M1638" s="611"/>
      <c r="N1638" s="611"/>
      <c r="O1638" s="92"/>
      <c r="P1638" s="92"/>
      <c r="Q1638" s="92"/>
      <c r="R1638" s="92"/>
      <c r="S1638" s="92"/>
      <c r="T1638" s="92"/>
      <c r="U1638" s="92"/>
    </row>
    <row r="1639" spans="1:21" s="94" customFormat="1" ht="34.5" customHeight="1">
      <c r="A1639" s="707"/>
      <c r="B1639" s="536" t="s">
        <v>369</v>
      </c>
      <c r="C1639" s="641">
        <f>CEILING(250*$Z$1,0.1)</f>
        <v>312.5</v>
      </c>
      <c r="D1639" s="646"/>
      <c r="E1639" s="641">
        <f>CEILING(280*$Z$1,0.1)</f>
        <v>350</v>
      </c>
      <c r="F1639" s="646"/>
      <c r="G1639" s="641">
        <f>CEILING(340*$Z$1,0.1)</f>
        <v>425</v>
      </c>
      <c r="H1639" s="646"/>
      <c r="I1639" s="641">
        <f>CEILING(305*$Z$1,0.1)</f>
        <v>381.3</v>
      </c>
      <c r="J1639" s="646"/>
      <c r="K1639" s="641">
        <f>CEILING(255*$Z$1,0.1)</f>
        <v>318.8</v>
      </c>
      <c r="L1639" s="646"/>
      <c r="M1639" s="92"/>
      <c r="N1639" s="92"/>
      <c r="O1639" s="92"/>
      <c r="P1639" s="92"/>
      <c r="Q1639" s="92"/>
      <c r="R1639" s="92"/>
      <c r="S1639" s="92"/>
      <c r="T1639" s="92"/>
      <c r="U1639" s="92"/>
    </row>
    <row r="1640" spans="1:21" s="265" customFormat="1" ht="34.5" customHeight="1">
      <c r="A1640" s="695"/>
      <c r="B1640" s="536" t="s">
        <v>276</v>
      </c>
      <c r="C1640" s="641">
        <f>CEILING(262.5*$Z$1,0.1)</f>
        <v>328.20000000000005</v>
      </c>
      <c r="D1640" s="646"/>
      <c r="E1640" s="641">
        <f>CEILING(290*$Z$1,0.1)</f>
        <v>362.5</v>
      </c>
      <c r="F1640" s="646"/>
      <c r="G1640" s="641">
        <f>CEILING(350*$Z$1,0.1)</f>
        <v>437.5</v>
      </c>
      <c r="H1640" s="646"/>
      <c r="I1640" s="641">
        <f>CEILING(335*$Z$1,0.1)</f>
        <v>418.8</v>
      </c>
      <c r="J1640" s="646"/>
      <c r="K1640" s="641">
        <f>CEILING(280*$Z$1,0.1)</f>
        <v>350</v>
      </c>
      <c r="L1640" s="646"/>
      <c r="M1640" s="264"/>
      <c r="N1640" s="264"/>
      <c r="O1640" s="264"/>
      <c r="P1640" s="264"/>
      <c r="Q1640" s="264"/>
      <c r="R1640" s="264"/>
      <c r="S1640" s="264"/>
      <c r="T1640" s="264"/>
      <c r="U1640" s="264"/>
    </row>
    <row r="1641" spans="1:21" s="94" customFormat="1" ht="34.5" customHeight="1">
      <c r="A1641" s="695"/>
      <c r="B1641" s="279" t="s">
        <v>277</v>
      </c>
      <c r="C1641" s="641">
        <f>CEILING(525*$Z$1,0.1)</f>
        <v>656.3000000000001</v>
      </c>
      <c r="D1641" s="646"/>
      <c r="E1641" s="641">
        <f>CEILING(580*$Z$1,0.1)</f>
        <v>725</v>
      </c>
      <c r="F1641" s="646"/>
      <c r="G1641" s="641">
        <f>CEILING(700*$Z$1,0.1)</f>
        <v>875</v>
      </c>
      <c r="H1641" s="646"/>
      <c r="I1641" s="641">
        <f>CEILING(670*$Z$1,0.1)</f>
        <v>837.5</v>
      </c>
      <c r="J1641" s="646"/>
      <c r="K1641" s="641">
        <f>CEILING(560*$Z$1,0.1)</f>
        <v>700</v>
      </c>
      <c r="L1641" s="646"/>
      <c r="M1641" s="92"/>
      <c r="N1641" s="92"/>
      <c r="O1641" s="92"/>
      <c r="P1641" s="92"/>
      <c r="Q1641" s="92"/>
      <c r="R1641" s="92"/>
      <c r="S1641" s="92"/>
      <c r="T1641" s="92"/>
      <c r="U1641" s="92"/>
    </row>
    <row r="1642" spans="1:21" s="94" customFormat="1" ht="34.5" customHeight="1">
      <c r="A1642" s="694"/>
      <c r="B1642" s="536" t="s">
        <v>278</v>
      </c>
      <c r="C1642" s="641">
        <f>CEILING(505*$Z$1,0.1)</f>
        <v>631.3000000000001</v>
      </c>
      <c r="D1642" s="646"/>
      <c r="E1642" s="641">
        <f>CEILING(535*$Z$1,0.1)</f>
        <v>668.8000000000001</v>
      </c>
      <c r="F1642" s="646"/>
      <c r="G1642" s="641">
        <f>CEILING(600*$Z$1,0.1)</f>
        <v>750</v>
      </c>
      <c r="H1642" s="646"/>
      <c r="I1642" s="641">
        <f>CEILING(600*$Z$1,0.1)</f>
        <v>750</v>
      </c>
      <c r="J1642" s="646"/>
      <c r="K1642" s="641">
        <f>CEILING(525*$Z$1,0.1)</f>
        <v>656.3000000000001</v>
      </c>
      <c r="L1642" s="646"/>
      <c r="M1642" s="92"/>
      <c r="N1642" s="92"/>
      <c r="O1642" s="92"/>
      <c r="P1642" s="92"/>
      <c r="Q1642" s="92"/>
      <c r="R1642" s="92"/>
      <c r="S1642" s="92"/>
      <c r="T1642" s="92"/>
      <c r="U1642" s="92"/>
    </row>
    <row r="1643" spans="1:21" s="94" customFormat="1" ht="34.5" customHeight="1">
      <c r="A1643" s="696"/>
      <c r="B1643" s="536" t="s">
        <v>279</v>
      </c>
      <c r="C1643" s="641">
        <f>CEILING(1010*$Z$1,0.1)</f>
        <v>1262.5</v>
      </c>
      <c r="D1643" s="646"/>
      <c r="E1643" s="641">
        <f>CEILING(1070*$Z$1,0.1)</f>
        <v>1337.5</v>
      </c>
      <c r="F1643" s="646"/>
      <c r="G1643" s="641">
        <f>CEILING(1200*$Z$1,0.1)</f>
        <v>1500</v>
      </c>
      <c r="H1643" s="646"/>
      <c r="I1643" s="641">
        <f>CEILING(1200*$Z$1,0.1)</f>
        <v>1500</v>
      </c>
      <c r="J1643" s="646"/>
      <c r="K1643" s="641">
        <f>CEILING(1050*$Z$1,0.1)</f>
        <v>1312.5</v>
      </c>
      <c r="L1643" s="646"/>
      <c r="M1643" s="92"/>
      <c r="N1643" s="92"/>
      <c r="O1643" s="92"/>
      <c r="P1643" s="92"/>
      <c r="Q1643" s="92"/>
      <c r="R1643" s="92"/>
      <c r="S1643" s="92"/>
      <c r="T1643" s="92"/>
      <c r="U1643" s="92"/>
    </row>
    <row r="1644" spans="1:21" s="94" customFormat="1" ht="34.5" customHeight="1">
      <c r="A1644" s="697"/>
      <c r="B1644" s="279" t="s">
        <v>280</v>
      </c>
      <c r="C1644" s="698">
        <v>0</v>
      </c>
      <c r="D1644" s="699"/>
      <c r="E1644" s="698">
        <v>0</v>
      </c>
      <c r="F1644" s="699"/>
      <c r="G1644" s="698">
        <v>0</v>
      </c>
      <c r="H1644" s="699"/>
      <c r="I1644" s="698">
        <v>0</v>
      </c>
      <c r="J1644" s="699"/>
      <c r="K1644" s="698">
        <v>0</v>
      </c>
      <c r="L1644" s="699"/>
      <c r="M1644" s="92"/>
      <c r="N1644" s="92"/>
      <c r="O1644" s="92"/>
      <c r="P1644" s="92"/>
      <c r="Q1644" s="92"/>
      <c r="R1644" s="92"/>
      <c r="S1644" s="92"/>
      <c r="T1644" s="92"/>
      <c r="U1644" s="92"/>
    </row>
    <row r="1645" spans="1:21" s="94" customFormat="1" ht="34.5" customHeight="1">
      <c r="A1645" s="700"/>
      <c r="B1645" s="279" t="s">
        <v>1067</v>
      </c>
      <c r="C1645" s="641">
        <f>CEILING(45*$Z$1,0.1)</f>
        <v>56.300000000000004</v>
      </c>
      <c r="D1645" s="646"/>
      <c r="E1645" s="641">
        <f>CEILING(45*$Z$1,0.1)</f>
        <v>56.300000000000004</v>
      </c>
      <c r="F1645" s="646"/>
      <c r="G1645" s="641">
        <f>CEILING(45*$Z$1,0.1)</f>
        <v>56.300000000000004</v>
      </c>
      <c r="H1645" s="646"/>
      <c r="I1645" s="641">
        <f>CEILING(45*$Z$1,0.1)</f>
        <v>56.300000000000004</v>
      </c>
      <c r="J1645" s="646"/>
      <c r="K1645" s="641">
        <f>CEILING(45*$Z$1,0.1)</f>
        <v>56.300000000000004</v>
      </c>
      <c r="L1645" s="646"/>
      <c r="M1645" s="92"/>
      <c r="N1645" s="92"/>
      <c r="O1645" s="92"/>
      <c r="P1645" s="92"/>
      <c r="Q1645" s="92"/>
      <c r="R1645" s="92"/>
      <c r="S1645" s="92"/>
      <c r="T1645" s="92"/>
      <c r="U1645" s="92"/>
    </row>
    <row r="1646" spans="1:21" s="94" customFormat="1" ht="34.5" customHeight="1" thickBot="1">
      <c r="A1646" s="701" t="s">
        <v>515</v>
      </c>
      <c r="B1646" s="419" t="s">
        <v>67</v>
      </c>
      <c r="C1646" s="648">
        <f>CEILING(90*$Z$1,0.1)</f>
        <v>112.5</v>
      </c>
      <c r="D1646" s="649"/>
      <c r="E1646" s="648">
        <f>CEILING(90*$Z$1,0.1)</f>
        <v>112.5</v>
      </c>
      <c r="F1646" s="649"/>
      <c r="G1646" s="648">
        <f>CEILING(90*$Z$1,0.1)</f>
        <v>112.5</v>
      </c>
      <c r="H1646" s="649"/>
      <c r="I1646" s="648">
        <f>CEILING(90*$Z$1,0.1)</f>
        <v>112.5</v>
      </c>
      <c r="J1646" s="649"/>
      <c r="K1646" s="648">
        <f>CEILING(90*$Z$1,0.1)</f>
        <v>112.5</v>
      </c>
      <c r="L1646" s="649"/>
      <c r="M1646" s="92"/>
      <c r="N1646" s="92"/>
      <c r="O1646" s="92"/>
      <c r="P1646" s="92"/>
      <c r="Q1646" s="92"/>
      <c r="R1646" s="92"/>
      <c r="S1646" s="92"/>
      <c r="T1646" s="92"/>
      <c r="U1646" s="92"/>
    </row>
    <row r="1647" spans="1:21" s="94" customFormat="1" ht="34.5" customHeight="1" thickTop="1">
      <c r="A1647" s="1335" t="s">
        <v>281</v>
      </c>
      <c r="B1647" s="1335"/>
      <c r="C1647" s="1336"/>
      <c r="D1647" s="1336"/>
      <c r="E1647" s="1335"/>
      <c r="F1647" s="1335"/>
      <c r="G1647" s="1336"/>
      <c r="H1647" s="1336"/>
      <c r="I1647" s="118"/>
      <c r="J1647" s="136"/>
      <c r="K1647" s="135"/>
      <c r="L1647" s="135"/>
      <c r="M1647" s="92"/>
      <c r="N1647" s="92"/>
      <c r="O1647" s="92"/>
      <c r="P1647" s="92"/>
      <c r="Q1647" s="92"/>
      <c r="R1647" s="92"/>
      <c r="S1647" s="92"/>
      <c r="T1647" s="92"/>
      <c r="U1647" s="92"/>
    </row>
    <row r="1648" spans="1:21" s="94" customFormat="1" ht="34.5" customHeight="1">
      <c r="A1648" s="702" t="s">
        <v>282</v>
      </c>
      <c r="B1648" s="703"/>
      <c r="C1648" s="703"/>
      <c r="D1648" s="703"/>
      <c r="E1648" s="703"/>
      <c r="F1648" s="703"/>
      <c r="G1648" s="703"/>
      <c r="H1648" s="703"/>
      <c r="I1648" s="118"/>
      <c r="J1648" s="136"/>
      <c r="K1648" s="135"/>
      <c r="L1648" s="135"/>
      <c r="M1648" s="92"/>
      <c r="N1648" s="92"/>
      <c r="O1648" s="92"/>
      <c r="P1648" s="92"/>
      <c r="Q1648" s="92"/>
      <c r="R1648" s="92"/>
      <c r="S1648" s="92"/>
      <c r="T1648" s="92"/>
      <c r="U1648" s="92"/>
    </row>
    <row r="1649" spans="1:21" s="94" customFormat="1" ht="34.5" customHeight="1">
      <c r="A1649" s="704" t="s">
        <v>501</v>
      </c>
      <c r="B1649" s="705"/>
      <c r="C1649" s="705"/>
      <c r="D1649" s="705"/>
      <c r="E1649" s="705"/>
      <c r="F1649" s="705"/>
      <c r="G1649" s="703"/>
      <c r="H1649" s="703"/>
      <c r="I1649" s="118"/>
      <c r="J1649" s="136"/>
      <c r="K1649" s="135"/>
      <c r="L1649" s="135"/>
      <c r="M1649" s="92"/>
      <c r="N1649" s="92"/>
      <c r="O1649" s="92"/>
      <c r="P1649" s="92"/>
      <c r="Q1649" s="92"/>
      <c r="R1649" s="92"/>
      <c r="S1649" s="92"/>
      <c r="T1649" s="92"/>
      <c r="U1649" s="92"/>
    </row>
    <row r="1650" spans="1:21" s="94" customFormat="1" ht="34.5" customHeight="1" thickBot="1">
      <c r="A1650" s="704"/>
      <c r="B1650" s="705"/>
      <c r="C1650" s="705"/>
      <c r="D1650" s="705"/>
      <c r="E1650" s="705"/>
      <c r="F1650" s="705"/>
      <c r="G1650" s="703"/>
      <c r="H1650" s="703"/>
      <c r="I1650" s="118"/>
      <c r="J1650" s="136"/>
      <c r="K1650" s="135"/>
      <c r="L1650" s="135"/>
      <c r="M1650" s="92"/>
      <c r="N1650" s="92"/>
      <c r="O1650" s="92"/>
      <c r="P1650" s="92"/>
      <c r="Q1650" s="92"/>
      <c r="R1650" s="92"/>
      <c r="S1650" s="92"/>
      <c r="T1650" s="92"/>
      <c r="U1650" s="92"/>
    </row>
    <row r="1651" spans="1:42" s="167" customFormat="1" ht="34.5" customHeight="1" thickTop="1">
      <c r="A1651" s="826" t="s">
        <v>33</v>
      </c>
      <c r="B1651" s="827" t="s">
        <v>86</v>
      </c>
      <c r="C1651" s="828" t="s">
        <v>931</v>
      </c>
      <c r="D1651" s="829"/>
      <c r="E1651" s="830" t="s">
        <v>980</v>
      </c>
      <c r="F1651" s="831"/>
      <c r="G1651" s="830" t="s">
        <v>981</v>
      </c>
      <c r="H1651" s="831"/>
      <c r="I1651" s="830" t="s">
        <v>1160</v>
      </c>
      <c r="J1651" s="831"/>
      <c r="K1651" s="830" t="s">
        <v>983</v>
      </c>
      <c r="L1651" s="831"/>
      <c r="M1651" s="151"/>
      <c r="N1651" s="151"/>
      <c r="O1651" s="166"/>
      <c r="P1651" s="166"/>
      <c r="Q1651" s="166"/>
      <c r="R1651" s="166"/>
      <c r="S1651" s="100"/>
      <c r="T1651" s="92"/>
      <c r="U1651" s="92"/>
      <c r="V1651" s="92"/>
      <c r="W1651" s="92"/>
      <c r="X1651" s="92"/>
      <c r="Y1651" s="92"/>
      <c r="Z1651" s="100"/>
      <c r="AA1651" s="166"/>
      <c r="AB1651" s="166"/>
      <c r="AC1651" s="166"/>
      <c r="AD1651" s="166"/>
      <c r="AE1651" s="166"/>
      <c r="AF1651" s="166"/>
      <c r="AG1651" s="166"/>
      <c r="AH1651" s="166"/>
      <c r="AI1651" s="166"/>
      <c r="AJ1651" s="166"/>
      <c r="AK1651" s="166"/>
      <c r="AL1651" s="166"/>
      <c r="AM1651" s="166"/>
      <c r="AN1651" s="166"/>
      <c r="AO1651" s="166"/>
      <c r="AP1651" s="166"/>
    </row>
    <row r="1652" spans="1:21" s="94" customFormat="1" ht="34.5" customHeight="1">
      <c r="A1652" s="693" t="s">
        <v>683</v>
      </c>
      <c r="B1652" s="618" t="s">
        <v>682</v>
      </c>
      <c r="C1652" s="644">
        <f>CEILING(77*$Z$1,0.1)</f>
        <v>96.30000000000001</v>
      </c>
      <c r="D1652" s="645"/>
      <c r="E1652" s="1083">
        <f>CEILING(76.5*$Z$1,0.1)</f>
        <v>95.7</v>
      </c>
      <c r="F1652" s="1084"/>
      <c r="G1652" s="1083">
        <f>CEILING(90*$Z$1,0.1)</f>
        <v>112.5</v>
      </c>
      <c r="H1652" s="1084"/>
      <c r="I1652" s="1083">
        <f>CEILING(76.5*$Z$1,0.1)</f>
        <v>95.7</v>
      </c>
      <c r="J1652" s="1084"/>
      <c r="K1652" s="644">
        <f>CEILING(110*$Z$1,0.1)</f>
        <v>137.5</v>
      </c>
      <c r="L1652" s="645"/>
      <c r="M1652" s="92"/>
      <c r="N1652" s="92"/>
      <c r="O1652" s="92"/>
      <c r="P1652" s="92"/>
      <c r="Q1652" s="92"/>
      <c r="R1652" s="92"/>
      <c r="S1652" s="92"/>
      <c r="T1652" s="92"/>
      <c r="U1652" s="92"/>
    </row>
    <row r="1653" spans="1:21" s="94" customFormat="1" ht="34.5" customHeight="1">
      <c r="A1653" s="322" t="s">
        <v>35</v>
      </c>
      <c r="B1653" s="536" t="s">
        <v>684</v>
      </c>
      <c r="C1653" s="641">
        <f>CEILING(99*$Z$1,0.1)</f>
        <v>123.80000000000001</v>
      </c>
      <c r="D1653" s="646"/>
      <c r="E1653" s="1085">
        <f>CEILING(153*$Z$1,0.1)</f>
        <v>191.3</v>
      </c>
      <c r="F1653" s="1086"/>
      <c r="G1653" s="1085">
        <f>CEILING(180*$Z$1,0.1)</f>
        <v>225</v>
      </c>
      <c r="H1653" s="1086"/>
      <c r="I1653" s="1085">
        <f>CEILING(153*$Z$1,0.1)</f>
        <v>191.3</v>
      </c>
      <c r="J1653" s="1086"/>
      <c r="K1653" s="641">
        <f>CEILING(220*$Z$1,0.1)</f>
        <v>275</v>
      </c>
      <c r="L1653" s="646"/>
      <c r="M1653" s="92"/>
      <c r="N1653" s="92"/>
      <c r="O1653" s="92"/>
      <c r="P1653" s="92"/>
      <c r="Q1653" s="92"/>
      <c r="R1653" s="92"/>
      <c r="S1653" s="92"/>
      <c r="T1653" s="92"/>
      <c r="U1653" s="92"/>
    </row>
    <row r="1654" spans="1:21" s="94" customFormat="1" ht="34.5" customHeight="1">
      <c r="A1654" s="320"/>
      <c r="B1654" s="536" t="s">
        <v>685</v>
      </c>
      <c r="C1654" s="641">
        <f>CEILING(113*$Z$1,0.1)</f>
        <v>141.3</v>
      </c>
      <c r="D1654" s="646"/>
      <c r="E1654" s="1085">
        <f>CEILING(85*$Z$1,0.1)</f>
        <v>106.30000000000001</v>
      </c>
      <c r="F1654" s="1086"/>
      <c r="G1654" s="1085">
        <f>CEILING(100*$Z$1,0.1)</f>
        <v>125</v>
      </c>
      <c r="H1654" s="1086"/>
      <c r="I1654" s="1085">
        <f>CEILING(85*$Z$1,0.1)</f>
        <v>106.30000000000001</v>
      </c>
      <c r="J1654" s="1086"/>
      <c r="K1654" s="641">
        <f>CEILING(125*$Z$1,0.1)</f>
        <v>156.3</v>
      </c>
      <c r="L1654" s="646"/>
      <c r="M1654" s="92"/>
      <c r="N1654" s="92"/>
      <c r="O1654" s="92"/>
      <c r="P1654" s="92"/>
      <c r="Q1654" s="92"/>
      <c r="R1654" s="92"/>
      <c r="S1654" s="92"/>
      <c r="T1654" s="92"/>
      <c r="U1654" s="92"/>
    </row>
    <row r="1655" spans="1:21" s="94" customFormat="1" ht="34.5" customHeight="1">
      <c r="A1655" s="320"/>
      <c r="B1655" s="536" t="s">
        <v>686</v>
      </c>
      <c r="C1655" s="641">
        <f>CEILING(225*$Z$1,0.1)</f>
        <v>281.3</v>
      </c>
      <c r="D1655" s="646"/>
      <c r="E1655" s="1085">
        <f>CEILING(170*$Z$1,0.1)</f>
        <v>212.5</v>
      </c>
      <c r="F1655" s="1086"/>
      <c r="G1655" s="1085">
        <f>CEILING(200*$Z$1,0.1)</f>
        <v>250</v>
      </c>
      <c r="H1655" s="1086"/>
      <c r="I1655" s="1085">
        <f>CEILING(170*$Z$1,0.1)</f>
        <v>212.5</v>
      </c>
      <c r="J1655" s="1086"/>
      <c r="K1655" s="641">
        <f>CEILING(250*$Z$1,0.1)</f>
        <v>312.5</v>
      </c>
      <c r="L1655" s="646"/>
      <c r="M1655" s="92"/>
      <c r="N1655" s="92"/>
      <c r="O1655" s="92"/>
      <c r="P1655" s="92"/>
      <c r="Q1655" s="92"/>
      <c r="R1655" s="92"/>
      <c r="S1655" s="92"/>
      <c r="T1655" s="92"/>
      <c r="U1655" s="92"/>
    </row>
    <row r="1656" spans="1:21" s="94" customFormat="1" ht="34.5" customHeight="1">
      <c r="A1656" s="694" t="s">
        <v>1183</v>
      </c>
      <c r="B1656" s="536" t="s">
        <v>687</v>
      </c>
      <c r="C1656" s="641">
        <f>CEILING(126*$Z$1,0.1)</f>
        <v>157.5</v>
      </c>
      <c r="D1656" s="646"/>
      <c r="E1656" s="1085">
        <f>CEILING(98*$Z$1,0.1)</f>
        <v>122.5</v>
      </c>
      <c r="F1656" s="1086"/>
      <c r="G1656" s="1085">
        <f>CEILING(115*$Z$1,0.1)</f>
        <v>143.8</v>
      </c>
      <c r="H1656" s="1086"/>
      <c r="I1656" s="1085">
        <f>CEILING(98*$Z$1,0.1)</f>
        <v>122.5</v>
      </c>
      <c r="J1656" s="1086"/>
      <c r="K1656" s="641">
        <f>CEILING(140*$Z$1,0.1)</f>
        <v>175</v>
      </c>
      <c r="L1656" s="646"/>
      <c r="M1656" s="92"/>
      <c r="N1656" s="92"/>
      <c r="O1656" s="92"/>
      <c r="P1656" s="92"/>
      <c r="Q1656" s="92"/>
      <c r="R1656" s="92"/>
      <c r="S1656" s="92"/>
      <c r="T1656" s="92"/>
      <c r="U1656" s="92"/>
    </row>
    <row r="1657" spans="1:21" s="94" customFormat="1" ht="34.5" customHeight="1">
      <c r="A1657" s="695"/>
      <c r="B1657" s="536" t="s">
        <v>688</v>
      </c>
      <c r="C1657" s="641">
        <f>CEILING(252*$Z$1,0.1)</f>
        <v>315</v>
      </c>
      <c r="D1657" s="646"/>
      <c r="E1657" s="1085">
        <f>CEILING(196*$Z$1,0.1)</f>
        <v>245</v>
      </c>
      <c r="F1657" s="1086"/>
      <c r="G1657" s="1085">
        <f>CEILING(230*$Z$1,0.1)</f>
        <v>287.5</v>
      </c>
      <c r="H1657" s="1086"/>
      <c r="I1657" s="1085">
        <f>CEILING(196*$Z$1,0.1)</f>
        <v>245</v>
      </c>
      <c r="J1657" s="1086"/>
      <c r="K1657" s="641">
        <f>CEILING(280*$Z$1,0.1)</f>
        <v>350</v>
      </c>
      <c r="L1657" s="646"/>
      <c r="M1657" s="92"/>
      <c r="N1657" s="92"/>
      <c r="O1657" s="92"/>
      <c r="P1657" s="92"/>
      <c r="Q1657" s="92"/>
      <c r="R1657" s="92"/>
      <c r="S1657" s="92"/>
      <c r="T1657" s="92"/>
      <c r="U1657" s="92"/>
    </row>
    <row r="1658" spans="1:21" s="94" customFormat="1" ht="34.5" customHeight="1">
      <c r="A1658" s="695" t="s">
        <v>1184</v>
      </c>
      <c r="B1658" s="536" t="s">
        <v>689</v>
      </c>
      <c r="C1658" s="641">
        <f>CEILING(140*$Z$1,0.1)</f>
        <v>175</v>
      </c>
      <c r="D1658" s="646"/>
      <c r="E1658" s="1085">
        <f>CEILING(110.5*$Z$1,0.1)</f>
        <v>138.20000000000002</v>
      </c>
      <c r="F1658" s="1086"/>
      <c r="G1658" s="1085">
        <f>CEILING(130*$Z$1,0.1)</f>
        <v>162.5</v>
      </c>
      <c r="H1658" s="1086"/>
      <c r="I1658" s="1085">
        <f>CEILING(110.5*$Z$1,0.1)</f>
        <v>138.20000000000002</v>
      </c>
      <c r="J1658" s="1086"/>
      <c r="K1658" s="641">
        <f>CEILING(155*$Z$1,0.1)</f>
        <v>193.8</v>
      </c>
      <c r="L1658" s="646"/>
      <c r="M1658" s="92"/>
      <c r="N1658" s="92"/>
      <c r="O1658" s="92"/>
      <c r="P1658" s="92"/>
      <c r="Q1658" s="92"/>
      <c r="R1658" s="92"/>
      <c r="S1658" s="92"/>
      <c r="T1658" s="92"/>
      <c r="U1658" s="92"/>
    </row>
    <row r="1659" spans="1:21" s="94" customFormat="1" ht="34.5" customHeight="1">
      <c r="A1659" s="695"/>
      <c r="B1659" s="536" t="s">
        <v>690</v>
      </c>
      <c r="C1659" s="641">
        <f>CEILING(280*$Z$1,0.1)</f>
        <v>350</v>
      </c>
      <c r="D1659" s="646"/>
      <c r="E1659" s="1085">
        <f>CEILING(221*$Z$1,0.1)</f>
        <v>276.3</v>
      </c>
      <c r="F1659" s="1086"/>
      <c r="G1659" s="1085">
        <f>CEILING(260*$Z$1,0.1)</f>
        <v>325</v>
      </c>
      <c r="H1659" s="1086"/>
      <c r="I1659" s="1085">
        <f>CEILING(221*$Z$1,0.1)</f>
        <v>276.3</v>
      </c>
      <c r="J1659" s="1086"/>
      <c r="K1659" s="641">
        <f>CEILING(310*$Z$1,0.1)</f>
        <v>387.5</v>
      </c>
      <c r="L1659" s="646"/>
      <c r="M1659" s="92"/>
      <c r="N1659" s="92"/>
      <c r="O1659" s="92"/>
      <c r="P1659" s="92"/>
      <c r="Q1659" s="92"/>
      <c r="R1659" s="92"/>
      <c r="S1659" s="92"/>
      <c r="T1659" s="92"/>
      <c r="U1659" s="92"/>
    </row>
    <row r="1660" spans="1:21" s="94" customFormat="1" ht="34.5" customHeight="1">
      <c r="A1660" s="695"/>
      <c r="B1660" s="536" t="s">
        <v>252</v>
      </c>
      <c r="C1660" s="641">
        <f>CEILING(153*$Z$1,0.1)</f>
        <v>191.3</v>
      </c>
      <c r="D1660" s="646"/>
      <c r="E1660" s="1085">
        <f>CEILING(123.2*$Z$1,0.1)</f>
        <v>154</v>
      </c>
      <c r="F1660" s="1086"/>
      <c r="G1660" s="1085">
        <f>CEILING(145*$Z$1,0.1)</f>
        <v>181.3</v>
      </c>
      <c r="H1660" s="1086"/>
      <c r="I1660" s="1085">
        <f>CEILING(123.2*$Z$1,0.1)</f>
        <v>154</v>
      </c>
      <c r="J1660" s="1086"/>
      <c r="K1660" s="641">
        <f>CEILING(170*$Z$1,0.1)</f>
        <v>212.5</v>
      </c>
      <c r="L1660" s="646"/>
      <c r="M1660" s="92"/>
      <c r="N1660" s="92"/>
      <c r="O1660" s="92"/>
      <c r="P1660" s="92"/>
      <c r="Q1660" s="92"/>
      <c r="R1660" s="92"/>
      <c r="S1660" s="92"/>
      <c r="T1660" s="92"/>
      <c r="U1660" s="92"/>
    </row>
    <row r="1661" spans="1:21" s="94" customFormat="1" ht="34.5" customHeight="1">
      <c r="A1661" s="695"/>
      <c r="B1661" s="536" t="s">
        <v>469</v>
      </c>
      <c r="C1661" s="641">
        <f>CEILING(306*$Z$1,0.1)</f>
        <v>382.5</v>
      </c>
      <c r="D1661" s="646"/>
      <c r="E1661" s="1085">
        <f>CEILING(246.5*$Z$1,0.1)</f>
        <v>308.20000000000005</v>
      </c>
      <c r="F1661" s="1086"/>
      <c r="G1661" s="1085">
        <f>CEILING(290*$Z$1,0.1)</f>
        <v>362.5</v>
      </c>
      <c r="H1661" s="1086"/>
      <c r="I1661" s="1085">
        <f>CEILING(246.5*$Z$1,0.1)</f>
        <v>308.20000000000005</v>
      </c>
      <c r="J1661" s="1086"/>
      <c r="K1661" s="641">
        <f>CEILING(340*$Z$1,0.1)</f>
        <v>425</v>
      </c>
      <c r="L1661" s="646"/>
      <c r="M1661" s="92"/>
      <c r="N1661" s="92"/>
      <c r="O1661" s="92"/>
      <c r="P1661" s="92"/>
      <c r="Q1661" s="92"/>
      <c r="R1661" s="92"/>
      <c r="S1661" s="92"/>
      <c r="T1661" s="92"/>
      <c r="U1661" s="92"/>
    </row>
    <row r="1662" spans="1:21" s="94" customFormat="1" ht="34.5" customHeight="1">
      <c r="A1662" s="706"/>
      <c r="B1662" s="536" t="s">
        <v>691</v>
      </c>
      <c r="C1662" s="641">
        <f>CEILING(198*$Z$1,0.1)</f>
        <v>247.5</v>
      </c>
      <c r="D1662" s="646"/>
      <c r="E1662" s="1085">
        <f>CEILING(161.5*$Z$1,0.1)</f>
        <v>201.9</v>
      </c>
      <c r="F1662" s="1086"/>
      <c r="G1662" s="1085">
        <f>CEILING(190*$Z$1,0.1)</f>
        <v>237.5</v>
      </c>
      <c r="H1662" s="1086"/>
      <c r="I1662" s="1085">
        <f>CEILING(161.5*$Z$1,0.1)</f>
        <v>201.9</v>
      </c>
      <c r="J1662" s="1086"/>
      <c r="K1662" s="641">
        <f>CEILING(220*$Z$1,0.1)</f>
        <v>275</v>
      </c>
      <c r="L1662" s="646"/>
      <c r="M1662" s="92"/>
      <c r="N1662" s="92"/>
      <c r="O1662" s="92"/>
      <c r="P1662" s="92"/>
      <c r="Q1662" s="92"/>
      <c r="R1662" s="92"/>
      <c r="S1662" s="92"/>
      <c r="T1662" s="92"/>
      <c r="U1662" s="92"/>
    </row>
    <row r="1663" spans="1:21" s="94" customFormat="1" ht="34.5" customHeight="1">
      <c r="A1663" s="707"/>
      <c r="B1663" s="536" t="s">
        <v>692</v>
      </c>
      <c r="C1663" s="641">
        <f>CEILING(396*$Z$1,0.1)</f>
        <v>495</v>
      </c>
      <c r="D1663" s="646"/>
      <c r="E1663" s="1085">
        <f>CEILING(323*$Z$1,0.1)</f>
        <v>403.8</v>
      </c>
      <c r="F1663" s="1086"/>
      <c r="G1663" s="1085">
        <f>CEILING(380*$Z$1,0.1)</f>
        <v>475</v>
      </c>
      <c r="H1663" s="1086"/>
      <c r="I1663" s="1085">
        <f>CEILING(323*$Z$1,0.1)</f>
        <v>403.8</v>
      </c>
      <c r="J1663" s="1086"/>
      <c r="K1663" s="641">
        <f>CEILING(440*$Z$1,0.1)</f>
        <v>550</v>
      </c>
      <c r="L1663" s="646"/>
      <c r="M1663" s="92"/>
      <c r="N1663" s="92"/>
      <c r="O1663" s="92"/>
      <c r="P1663" s="92"/>
      <c r="Q1663" s="92"/>
      <c r="R1663" s="92"/>
      <c r="S1663" s="92"/>
      <c r="T1663" s="92"/>
      <c r="U1663" s="92"/>
    </row>
    <row r="1664" spans="1:21" s="94" customFormat="1" ht="34.5" customHeight="1">
      <c r="A1664" s="708"/>
      <c r="B1664" s="279" t="s">
        <v>835</v>
      </c>
      <c r="C1664" s="641" t="s">
        <v>714</v>
      </c>
      <c r="D1664" s="646"/>
      <c r="E1664" s="641"/>
      <c r="F1664" s="646"/>
      <c r="G1664" s="641"/>
      <c r="H1664" s="646"/>
      <c r="I1664" s="641"/>
      <c r="J1664" s="646"/>
      <c r="K1664" s="641"/>
      <c r="L1664" s="646"/>
      <c r="M1664" s="92"/>
      <c r="N1664" s="92"/>
      <c r="O1664" s="92"/>
      <c r="P1664" s="92"/>
      <c r="Q1664" s="92"/>
      <c r="R1664" s="92"/>
      <c r="S1664" s="92"/>
      <c r="T1664" s="92"/>
      <c r="U1664" s="92"/>
    </row>
    <row r="1665" spans="1:21" s="94" customFormat="1" ht="34.5" customHeight="1">
      <c r="A1665" s="320"/>
      <c r="B1665" s="279" t="s">
        <v>280</v>
      </c>
      <c r="C1665" s="698">
        <v>0</v>
      </c>
      <c r="D1665" s="699"/>
      <c r="E1665" s="698">
        <v>0</v>
      </c>
      <c r="F1665" s="699"/>
      <c r="G1665" s="698">
        <v>0</v>
      </c>
      <c r="H1665" s="699"/>
      <c r="I1665" s="698">
        <v>0</v>
      </c>
      <c r="J1665" s="699"/>
      <c r="K1665" s="698">
        <v>0</v>
      </c>
      <c r="L1665" s="699"/>
      <c r="M1665" s="92"/>
      <c r="N1665" s="92"/>
      <c r="O1665" s="92"/>
      <c r="P1665" s="92"/>
      <c r="Q1665" s="92"/>
      <c r="R1665" s="92"/>
      <c r="S1665" s="92"/>
      <c r="T1665" s="92"/>
      <c r="U1665" s="92"/>
    </row>
    <row r="1666" spans="1:21" s="94" customFormat="1" ht="34.5" customHeight="1">
      <c r="A1666" s="320"/>
      <c r="B1666" s="279" t="s">
        <v>693</v>
      </c>
      <c r="C1666" s="641">
        <f>CEILING(35*$Z$1,0.1)</f>
        <v>43.800000000000004</v>
      </c>
      <c r="D1666" s="646"/>
      <c r="E1666" s="641">
        <f>CEILING(35*$Z$1,0.1)</f>
        <v>43.800000000000004</v>
      </c>
      <c r="F1666" s="646"/>
      <c r="G1666" s="641">
        <f>CEILING(35*$Z$1,0.1)</f>
        <v>43.800000000000004</v>
      </c>
      <c r="H1666" s="646"/>
      <c r="I1666" s="641">
        <f>CEILING(35*$Z$1,0.1)</f>
        <v>43.800000000000004</v>
      </c>
      <c r="J1666" s="646"/>
      <c r="K1666" s="641">
        <f>CEILING(35*$Z$1,0.1)</f>
        <v>43.800000000000004</v>
      </c>
      <c r="L1666" s="646"/>
      <c r="M1666" s="92"/>
      <c r="N1666" s="92"/>
      <c r="O1666" s="92"/>
      <c r="P1666" s="92"/>
      <c r="Q1666" s="92"/>
      <c r="R1666" s="92"/>
      <c r="S1666" s="92"/>
      <c r="T1666" s="92"/>
      <c r="U1666" s="92"/>
    </row>
    <row r="1667" spans="1:21" s="94" customFormat="1" ht="34.5" customHeight="1" thickBot="1">
      <c r="A1667" s="701" t="s">
        <v>515</v>
      </c>
      <c r="B1667" s="419" t="s">
        <v>67</v>
      </c>
      <c r="C1667" s="648">
        <f>CEILING(70*$Z$1,0.1)</f>
        <v>87.5</v>
      </c>
      <c r="D1667" s="649"/>
      <c r="E1667" s="648">
        <f>CEILING(70*$Z$1,0.1)</f>
        <v>87.5</v>
      </c>
      <c r="F1667" s="649"/>
      <c r="G1667" s="648">
        <f>CEILING(70*$Z$1,0.1)</f>
        <v>87.5</v>
      </c>
      <c r="H1667" s="649"/>
      <c r="I1667" s="648">
        <f>CEILING(70*$Z$1,0.1)</f>
        <v>87.5</v>
      </c>
      <c r="J1667" s="649"/>
      <c r="K1667" s="648">
        <f>CEILING(70*$Z$1,0.1)</f>
        <v>87.5</v>
      </c>
      <c r="L1667" s="649"/>
      <c r="M1667" s="92"/>
      <c r="N1667" s="92"/>
      <c r="O1667" s="92"/>
      <c r="P1667" s="92"/>
      <c r="Q1667" s="92"/>
      <c r="R1667" s="92"/>
      <c r="S1667" s="92"/>
      <c r="T1667" s="92"/>
      <c r="U1667" s="92"/>
    </row>
    <row r="1668" spans="1:21" s="94" customFormat="1" ht="34.5" customHeight="1" thickTop="1">
      <c r="A1668" s="975" t="s">
        <v>984</v>
      </c>
      <c r="B1668" s="205"/>
      <c r="C1668" s="638"/>
      <c r="D1668" s="638"/>
      <c r="E1668" s="638"/>
      <c r="F1668" s="638"/>
      <c r="G1668" s="638"/>
      <c r="H1668" s="638"/>
      <c r="I1668" s="638"/>
      <c r="J1668" s="638"/>
      <c r="K1668" s="638"/>
      <c r="L1668" s="638"/>
      <c r="M1668" s="92"/>
      <c r="N1668" s="92"/>
      <c r="O1668" s="92"/>
      <c r="P1668" s="92"/>
      <c r="Q1668" s="92"/>
      <c r="R1668" s="92"/>
      <c r="S1668" s="92"/>
      <c r="T1668" s="92"/>
      <c r="U1668" s="92"/>
    </row>
    <row r="1669" spans="1:25" s="94" customFormat="1" ht="34.5" customHeight="1" thickBot="1">
      <c r="A1669" s="712"/>
      <c r="B1669" s="713"/>
      <c r="C1669" s="714"/>
      <c r="D1669" s="714"/>
      <c r="E1669" s="714"/>
      <c r="F1669" s="714"/>
      <c r="G1669" s="714"/>
      <c r="H1669" s="714"/>
      <c r="I1669" s="715"/>
      <c r="J1669" s="565"/>
      <c r="K1669" s="99"/>
      <c r="L1669" s="99"/>
      <c r="M1669" s="97"/>
      <c r="N1669" s="106"/>
      <c r="O1669" s="92"/>
      <c r="P1669" s="92"/>
      <c r="Q1669" s="92"/>
      <c r="R1669" s="92"/>
      <c r="S1669" s="92"/>
      <c r="T1669" s="92"/>
      <c r="U1669" s="92"/>
      <c r="V1669" s="92"/>
      <c r="W1669" s="92"/>
      <c r="X1669" s="92"/>
      <c r="Y1669" s="92"/>
    </row>
    <row r="1670" spans="1:42" s="167" customFormat="1" ht="34.5" customHeight="1" thickTop="1">
      <c r="A1670" s="837" t="s">
        <v>33</v>
      </c>
      <c r="B1670" s="838" t="s">
        <v>800</v>
      </c>
      <c r="C1670" s="839" t="s">
        <v>847</v>
      </c>
      <c r="D1670" s="840"/>
      <c r="E1670" s="841" t="s">
        <v>870</v>
      </c>
      <c r="F1670" s="842"/>
      <c r="G1670" s="841" t="s">
        <v>850</v>
      </c>
      <c r="H1670" s="842"/>
      <c r="I1670" s="841" t="s">
        <v>851</v>
      </c>
      <c r="J1670" s="842"/>
      <c r="K1670" s="841" t="s">
        <v>852</v>
      </c>
      <c r="L1670" s="842"/>
      <c r="M1670" s="151"/>
      <c r="N1670" s="151"/>
      <c r="O1670" s="166"/>
      <c r="P1670" s="166"/>
      <c r="Q1670" s="166"/>
      <c r="R1670" s="166"/>
      <c r="S1670" s="100"/>
      <c r="T1670" s="92"/>
      <c r="U1670" s="92"/>
      <c r="V1670" s="92"/>
      <c r="W1670" s="92"/>
      <c r="X1670" s="92"/>
      <c r="Y1670" s="92"/>
      <c r="Z1670" s="100"/>
      <c r="AA1670" s="166"/>
      <c r="AB1670" s="166"/>
      <c r="AC1670" s="166"/>
      <c r="AD1670" s="166"/>
      <c r="AE1670" s="166"/>
      <c r="AF1670" s="166"/>
      <c r="AG1670" s="166"/>
      <c r="AH1670" s="166"/>
      <c r="AI1670" s="166"/>
      <c r="AJ1670" s="166"/>
      <c r="AK1670" s="166"/>
      <c r="AL1670" s="166"/>
      <c r="AM1670" s="166"/>
      <c r="AN1670" s="166"/>
      <c r="AO1670" s="166"/>
      <c r="AP1670" s="166"/>
    </row>
    <row r="1671" spans="1:25" s="94" customFormat="1" ht="34.5" customHeight="1">
      <c r="A1671" s="716" t="s">
        <v>119</v>
      </c>
      <c r="B1671" s="618" t="s">
        <v>18</v>
      </c>
      <c r="C1671" s="1083">
        <f>CEILING(88*$Z$1,0.1)</f>
        <v>110</v>
      </c>
      <c r="D1671" s="1084"/>
      <c r="E1671" s="1083">
        <f>CEILING(110.5*$Z$1,0.1)</f>
        <v>138.20000000000002</v>
      </c>
      <c r="F1671" s="1084"/>
      <c r="G1671" s="1083">
        <f>CEILING(91*$Z$1,0.1)</f>
        <v>113.80000000000001</v>
      </c>
      <c r="H1671" s="1084"/>
      <c r="I1671" s="1083">
        <f>CEILING(91*$Z$1,0.1)</f>
        <v>113.80000000000001</v>
      </c>
      <c r="J1671" s="1084"/>
      <c r="K1671" s="1083">
        <f>CEILING(81.25*$Z$1,0.1)</f>
        <v>101.60000000000001</v>
      </c>
      <c r="L1671" s="1084"/>
      <c r="M1671" s="106"/>
      <c r="N1671" s="98"/>
      <c r="O1671" s="92"/>
      <c r="P1671" s="92"/>
      <c r="Q1671" s="92"/>
      <c r="R1671" s="101"/>
      <c r="S1671" s="101"/>
      <c r="T1671" s="92"/>
      <c r="U1671" s="92"/>
      <c r="V1671" s="92"/>
      <c r="W1671" s="92"/>
      <c r="X1671" s="92"/>
      <c r="Y1671" s="92"/>
    </row>
    <row r="1672" spans="1:25" s="94" customFormat="1" ht="34.5" customHeight="1">
      <c r="A1672" s="373" t="s">
        <v>35</v>
      </c>
      <c r="B1672" s="279" t="s">
        <v>19</v>
      </c>
      <c r="C1672" s="1085">
        <f>CEILING((C1671+44*$Z$1),0.1)</f>
        <v>165</v>
      </c>
      <c r="D1672" s="1086"/>
      <c r="E1672" s="1085">
        <f>CEILING((E1671+55.25*$Z$1),0.1)</f>
        <v>207.3</v>
      </c>
      <c r="F1672" s="1086"/>
      <c r="G1672" s="1085">
        <f>CEILING((G1671+45.5*$Z$1),0.1)</f>
        <v>170.70000000000002</v>
      </c>
      <c r="H1672" s="1086"/>
      <c r="I1672" s="1085">
        <f>CEILING((I1671+45.5*$Z$1),0.1)</f>
        <v>170.70000000000002</v>
      </c>
      <c r="J1672" s="1086"/>
      <c r="K1672" s="1085">
        <f>CEILING((K1671+41*$Z$1),0.1)</f>
        <v>152.9</v>
      </c>
      <c r="L1672" s="1086"/>
      <c r="M1672" s="106"/>
      <c r="N1672" s="98"/>
      <c r="O1672" s="92"/>
      <c r="P1672" s="92"/>
      <c r="Q1672" s="92"/>
      <c r="R1672" s="101"/>
      <c r="S1672" s="101"/>
      <c r="T1672" s="92"/>
      <c r="U1672" s="92"/>
      <c r="V1672" s="92"/>
      <c r="W1672" s="92"/>
      <c r="X1672" s="92"/>
      <c r="Y1672" s="92"/>
    </row>
    <row r="1673" spans="1:21" s="94" customFormat="1" ht="34.5" customHeight="1">
      <c r="A1673" s="373"/>
      <c r="B1673" s="298" t="s">
        <v>67</v>
      </c>
      <c r="C1673" s="1085">
        <f>CEILING((C1671*0.85),0.1)</f>
        <v>93.5</v>
      </c>
      <c r="D1673" s="1086"/>
      <c r="E1673" s="1085">
        <f>CEILING((E1671*0.85),0.1)</f>
        <v>117.5</v>
      </c>
      <c r="F1673" s="1086"/>
      <c r="G1673" s="1085">
        <f>CEILING((G1671*0.85),0.1)</f>
        <v>96.80000000000001</v>
      </c>
      <c r="H1673" s="1086"/>
      <c r="I1673" s="1085">
        <f>CEILING((I1671*0.85),0.1)</f>
        <v>96.80000000000001</v>
      </c>
      <c r="J1673" s="1086"/>
      <c r="K1673" s="1085">
        <f>CEILING((K1671*0.85),0.1)</f>
        <v>86.4</v>
      </c>
      <c r="L1673" s="1086"/>
      <c r="M1673" s="92"/>
      <c r="N1673" s="92"/>
      <c r="O1673" s="92"/>
      <c r="P1673" s="92"/>
      <c r="Q1673" s="92"/>
      <c r="R1673" s="92"/>
      <c r="S1673" s="92"/>
      <c r="T1673" s="92"/>
      <c r="U1673" s="92"/>
    </row>
    <row r="1674" spans="1:21" s="94" customFormat="1" ht="34.5" customHeight="1">
      <c r="A1674" s="373"/>
      <c r="B1674" s="717" t="s">
        <v>673</v>
      </c>
      <c r="C1674" s="1085">
        <f>CEILING((C1671*0.5),0.1)</f>
        <v>55</v>
      </c>
      <c r="D1674" s="1086"/>
      <c r="E1674" s="1085">
        <f>CEILING((E1671*0.5),0.1)</f>
        <v>69.10000000000001</v>
      </c>
      <c r="F1674" s="1086"/>
      <c r="G1674" s="1085">
        <f>CEILING((G1671*0.5),0.1)</f>
        <v>56.900000000000006</v>
      </c>
      <c r="H1674" s="1086"/>
      <c r="I1674" s="1085">
        <f>CEILING((I1671*0.5),0.1)</f>
        <v>56.900000000000006</v>
      </c>
      <c r="J1674" s="1086"/>
      <c r="K1674" s="1085">
        <f>CEILING((K1671*0.5),0.1)</f>
        <v>50.800000000000004</v>
      </c>
      <c r="L1674" s="1086"/>
      <c r="M1674" s="92"/>
      <c r="N1674" s="92"/>
      <c r="O1674" s="92"/>
      <c r="P1674" s="92"/>
      <c r="Q1674" s="92"/>
      <c r="R1674" s="92"/>
      <c r="S1674" s="92"/>
      <c r="T1674" s="92"/>
      <c r="U1674" s="92"/>
    </row>
    <row r="1675" spans="1:21" s="94" customFormat="1" ht="34.5" customHeight="1">
      <c r="A1675" s="373"/>
      <c r="B1675" s="190" t="s">
        <v>22</v>
      </c>
      <c r="C1675" s="1085">
        <f>CEILING(97*$Z$1,0.1)</f>
        <v>121.30000000000001</v>
      </c>
      <c r="D1675" s="1086"/>
      <c r="E1675" s="1085">
        <f>CEILING(121.5*$Z$1,0.1)</f>
        <v>151.9</v>
      </c>
      <c r="F1675" s="1086"/>
      <c r="G1675" s="1085">
        <f>CEILING(100*$Z$1,0.1)</f>
        <v>125</v>
      </c>
      <c r="H1675" s="1086"/>
      <c r="I1675" s="1085">
        <f>CEILING(100*$Z$1,0.1)</f>
        <v>125</v>
      </c>
      <c r="J1675" s="1086"/>
      <c r="K1675" s="1085">
        <f>CEILING(90*$Z$1,0.1)</f>
        <v>112.5</v>
      </c>
      <c r="L1675" s="1086"/>
      <c r="M1675" s="92"/>
      <c r="N1675" s="92"/>
      <c r="O1675" s="92"/>
      <c r="P1675" s="92"/>
      <c r="Q1675" s="92"/>
      <c r="R1675" s="92"/>
      <c r="S1675" s="92"/>
      <c r="T1675" s="92"/>
      <c r="U1675" s="92"/>
    </row>
    <row r="1676" spans="1:21" s="94" customFormat="1" ht="34.5" customHeight="1">
      <c r="A1676" s="1120" t="s">
        <v>1198</v>
      </c>
      <c r="B1676" s="190" t="s">
        <v>23</v>
      </c>
      <c r="C1676" s="1085">
        <f>CEILING((C1675+48.5*$Z$1),0.1)</f>
        <v>182</v>
      </c>
      <c r="D1676" s="1086"/>
      <c r="E1676" s="1085">
        <f>CEILING((E1675+60.7*$Z$1),0.1)</f>
        <v>227.8</v>
      </c>
      <c r="F1676" s="1086"/>
      <c r="G1676" s="1085">
        <f>CEILING((G1675+50*$Z$1),0.1)</f>
        <v>187.5</v>
      </c>
      <c r="H1676" s="1086"/>
      <c r="I1676" s="1085">
        <f>CEILING((I1675+50*$Z$1),0.1)</f>
        <v>187.5</v>
      </c>
      <c r="J1676" s="1086"/>
      <c r="K1676" s="1085">
        <f>CEILING((K1675+45*$Z$1),0.1)</f>
        <v>168.8</v>
      </c>
      <c r="L1676" s="1086"/>
      <c r="M1676" s="92"/>
      <c r="N1676" s="92"/>
      <c r="O1676" s="92"/>
      <c r="P1676" s="92"/>
      <c r="Q1676" s="92"/>
      <c r="R1676" s="92"/>
      <c r="S1676" s="92"/>
      <c r="T1676" s="92"/>
      <c r="U1676" s="92"/>
    </row>
    <row r="1677" spans="1:21" s="94" customFormat="1" ht="34.5" customHeight="1">
      <c r="A1677" s="1121" t="s">
        <v>1309</v>
      </c>
      <c r="B1677" s="190" t="s">
        <v>26</v>
      </c>
      <c r="C1677" s="1085">
        <f>CEILING(101*$Z$1,0.1)</f>
        <v>126.30000000000001</v>
      </c>
      <c r="D1677" s="1086"/>
      <c r="E1677" s="1085">
        <f>CEILING(127.4*$Z$1,0.1)</f>
        <v>159.3</v>
      </c>
      <c r="F1677" s="1086"/>
      <c r="G1677" s="1085">
        <f>CEILING(105*$Z$1,0.1)</f>
        <v>131.3</v>
      </c>
      <c r="H1677" s="1086"/>
      <c r="I1677" s="1085">
        <f>CEILING(105*$Z$1,0.1)</f>
        <v>131.3</v>
      </c>
      <c r="J1677" s="1086"/>
      <c r="K1677" s="1085">
        <f>CEILING(94*$Z$1,0.1)</f>
        <v>117.5</v>
      </c>
      <c r="L1677" s="1086"/>
      <c r="M1677" s="92"/>
      <c r="N1677" s="92"/>
      <c r="O1677" s="92"/>
      <c r="P1677" s="92"/>
      <c r="Q1677" s="92"/>
      <c r="R1677" s="92"/>
      <c r="S1677" s="92"/>
      <c r="T1677" s="92"/>
      <c r="U1677" s="92"/>
    </row>
    <row r="1678" spans="1:21" s="94" customFormat="1" ht="34.5" customHeight="1">
      <c r="A1678" s="718"/>
      <c r="B1678" s="281" t="s">
        <v>27</v>
      </c>
      <c r="C1678" s="1085">
        <f>CEILING((C1677+50.5*$Z$1),0.1)</f>
        <v>189.5</v>
      </c>
      <c r="D1678" s="1086"/>
      <c r="E1678" s="1085">
        <f>CEILING((E1677+63.7*$Z$1),0.1)</f>
        <v>239</v>
      </c>
      <c r="F1678" s="1086"/>
      <c r="G1678" s="1085">
        <f>CEILING((G1677+52.3*$Z$1),0.1)</f>
        <v>196.70000000000002</v>
      </c>
      <c r="H1678" s="1086"/>
      <c r="I1678" s="1085">
        <f>CEILING((I1677+52.3*$Z$1),0.1)</f>
        <v>196.70000000000002</v>
      </c>
      <c r="J1678" s="1086"/>
      <c r="K1678" s="1085">
        <f>CEILING((K1677+47*$Z$1),0.1)</f>
        <v>176.3</v>
      </c>
      <c r="L1678" s="1086"/>
      <c r="M1678" s="92"/>
      <c r="N1678" s="92"/>
      <c r="O1678" s="92"/>
      <c r="P1678" s="92"/>
      <c r="Q1678" s="92"/>
      <c r="R1678" s="92"/>
      <c r="S1678" s="92"/>
      <c r="T1678" s="92"/>
      <c r="U1678" s="92"/>
    </row>
    <row r="1679" spans="1:21" s="94" customFormat="1" ht="34.5" customHeight="1">
      <c r="A1679" s="718"/>
      <c r="B1679" s="190" t="s">
        <v>20</v>
      </c>
      <c r="C1679" s="1083">
        <f>CEILING(97*$Z$1,0.1)</f>
        <v>121.30000000000001</v>
      </c>
      <c r="D1679" s="1084"/>
      <c r="E1679" s="1083">
        <f>CEILING(121.5*$Z$1,0.1)</f>
        <v>151.9</v>
      </c>
      <c r="F1679" s="1084"/>
      <c r="G1679" s="1083">
        <f>CEILING(100*$Z$1,0.1)</f>
        <v>125</v>
      </c>
      <c r="H1679" s="1084"/>
      <c r="I1679" s="1083">
        <f>CEILING(100*$Z$1,0.1)</f>
        <v>125</v>
      </c>
      <c r="J1679" s="1084"/>
      <c r="K1679" s="1083">
        <f>CEILING(90*$Z$1,0.1)</f>
        <v>112.5</v>
      </c>
      <c r="L1679" s="1084"/>
      <c r="M1679" s="92"/>
      <c r="N1679" s="92"/>
      <c r="O1679" s="92"/>
      <c r="P1679" s="92"/>
      <c r="Q1679" s="92"/>
      <c r="R1679" s="92"/>
      <c r="S1679" s="92"/>
      <c r="T1679" s="92"/>
      <c r="U1679" s="92"/>
    </row>
    <row r="1680" spans="1:21" s="94" customFormat="1" ht="34.5" customHeight="1">
      <c r="A1680" s="373"/>
      <c r="B1680" s="190" t="s">
        <v>21</v>
      </c>
      <c r="C1680" s="1085">
        <f>CEILING((C1679+48.5*$Z$1),0.1)</f>
        <v>182</v>
      </c>
      <c r="D1680" s="1086"/>
      <c r="E1680" s="1085">
        <f>CEILING((E1679+34.45*$Z$1),0.1)</f>
        <v>195</v>
      </c>
      <c r="F1680" s="1086"/>
      <c r="G1680" s="1085">
        <f>CEILING((G1679+30*$Z$1),0.1)</f>
        <v>162.5</v>
      </c>
      <c r="H1680" s="1086"/>
      <c r="I1680" s="1085">
        <f>CEILING((I1679+30*$Z$1),0.1)</f>
        <v>162.5</v>
      </c>
      <c r="J1680" s="1086"/>
      <c r="K1680" s="1085">
        <f>CEILING((K1679+27*$Z$1),0.1)</f>
        <v>146.3</v>
      </c>
      <c r="L1680" s="1086"/>
      <c r="M1680" s="92"/>
      <c r="N1680" s="92"/>
      <c r="O1680" s="92"/>
      <c r="P1680" s="92"/>
      <c r="Q1680" s="92"/>
      <c r="R1680" s="92"/>
      <c r="S1680" s="92"/>
      <c r="T1680" s="92"/>
      <c r="U1680" s="92"/>
    </row>
    <row r="1681" spans="1:21" s="94" customFormat="1" ht="34.5" customHeight="1">
      <c r="A1681" s="113"/>
      <c r="B1681" s="190" t="s">
        <v>37</v>
      </c>
      <c r="C1681" s="1085">
        <f>CEILING((C1679*0.85),0.1)</f>
        <v>103.2</v>
      </c>
      <c r="D1681" s="1086"/>
      <c r="E1681" s="1085">
        <f>CEILING((E1679*0.85),0.1)</f>
        <v>129.20000000000002</v>
      </c>
      <c r="F1681" s="1086"/>
      <c r="G1681" s="1085">
        <f>CEILING((G1679*0.85),0.1)</f>
        <v>106.30000000000001</v>
      </c>
      <c r="H1681" s="1086"/>
      <c r="I1681" s="1085">
        <f>CEILING((I1679*0.85),0.1)</f>
        <v>106.30000000000001</v>
      </c>
      <c r="J1681" s="1086"/>
      <c r="K1681" s="1085">
        <f>CEILING((K1679*0.85),0.1)</f>
        <v>95.7</v>
      </c>
      <c r="L1681" s="1086"/>
      <c r="M1681" s="92"/>
      <c r="N1681" s="92"/>
      <c r="O1681" s="92"/>
      <c r="P1681" s="92"/>
      <c r="Q1681" s="92"/>
      <c r="R1681" s="92"/>
      <c r="S1681" s="92"/>
      <c r="T1681" s="92"/>
      <c r="U1681" s="92"/>
    </row>
    <row r="1682" spans="1:21" s="94" customFormat="1" ht="34.5" customHeight="1">
      <c r="A1682" s="373"/>
      <c r="B1682" s="717" t="s">
        <v>673</v>
      </c>
      <c r="C1682" s="1085">
        <f>CEILING((C1679*0.5),0.1)</f>
        <v>60.7</v>
      </c>
      <c r="D1682" s="1086"/>
      <c r="E1682" s="1085">
        <f>CEILING((E1679*0.5),0.1)</f>
        <v>76</v>
      </c>
      <c r="F1682" s="1086"/>
      <c r="G1682" s="1085">
        <f>CEILING((G1679*0.5),0.1)</f>
        <v>62.5</v>
      </c>
      <c r="H1682" s="1086"/>
      <c r="I1682" s="1085">
        <f>CEILING((I1679*0.5),0.1)</f>
        <v>62.5</v>
      </c>
      <c r="J1682" s="1086"/>
      <c r="K1682" s="1085">
        <f>CEILING((K1679*0.5),0.1)</f>
        <v>56.300000000000004</v>
      </c>
      <c r="L1682" s="1086"/>
      <c r="M1682" s="92"/>
      <c r="N1682" s="92"/>
      <c r="O1682" s="92"/>
      <c r="P1682" s="92"/>
      <c r="Q1682" s="92"/>
      <c r="R1682" s="92"/>
      <c r="S1682" s="92"/>
      <c r="T1682" s="92"/>
      <c r="U1682" s="92"/>
    </row>
    <row r="1683" spans="1:21" s="94" customFormat="1" ht="34.5" customHeight="1">
      <c r="A1683" s="373"/>
      <c r="B1683" s="190" t="s">
        <v>436</v>
      </c>
      <c r="C1683" s="1085">
        <f>CEILING(101*$Z$1,0.1)</f>
        <v>126.30000000000001</v>
      </c>
      <c r="D1683" s="1086"/>
      <c r="E1683" s="1085">
        <f>CEILING(127.4*$Z$1,0.1)</f>
        <v>159.3</v>
      </c>
      <c r="F1683" s="1086"/>
      <c r="G1683" s="1085">
        <f>CEILING(105*$Z$1,0.1)</f>
        <v>131.3</v>
      </c>
      <c r="H1683" s="1086"/>
      <c r="I1683" s="1085">
        <f>CEILING(105*$Z$1,0.1)</f>
        <v>131.3</v>
      </c>
      <c r="J1683" s="1086"/>
      <c r="K1683" s="1085">
        <f>CEILING(94*$Z$1,0.1)</f>
        <v>117.5</v>
      </c>
      <c r="L1683" s="1086"/>
      <c r="M1683" s="92"/>
      <c r="N1683" s="92"/>
      <c r="O1683" s="92"/>
      <c r="P1683" s="92"/>
      <c r="Q1683" s="92"/>
      <c r="R1683" s="92"/>
      <c r="S1683" s="92"/>
      <c r="T1683" s="92"/>
      <c r="U1683" s="92"/>
    </row>
    <row r="1684" spans="1:21" s="94" customFormat="1" ht="34.5" customHeight="1">
      <c r="A1684" s="113"/>
      <c r="B1684" s="190" t="s">
        <v>437</v>
      </c>
      <c r="C1684" s="1085">
        <f>CEILING((C1683+50.5*$Z$1),0.1)</f>
        <v>189.5</v>
      </c>
      <c r="D1684" s="1086"/>
      <c r="E1684" s="1085">
        <f>CEILING((E1683+38.22*$Z$1),0.1)</f>
        <v>207.10000000000002</v>
      </c>
      <c r="F1684" s="1086"/>
      <c r="G1684" s="1085">
        <f>CEILING((G1683+32*$Z$1),0.1)</f>
        <v>171.3</v>
      </c>
      <c r="H1684" s="1086"/>
      <c r="I1684" s="1085">
        <f>CEILING((I1683+32*$Z$1),0.1)</f>
        <v>171.3</v>
      </c>
      <c r="J1684" s="1086"/>
      <c r="K1684" s="1085">
        <f>CEILING((K1683+28*$Z$1),0.1)</f>
        <v>152.5</v>
      </c>
      <c r="L1684" s="1086"/>
      <c r="M1684" s="92"/>
      <c r="N1684" s="92"/>
      <c r="O1684" s="92"/>
      <c r="P1684" s="92"/>
      <c r="Q1684" s="92"/>
      <c r="R1684" s="92"/>
      <c r="S1684" s="92"/>
      <c r="T1684" s="92"/>
      <c r="U1684" s="92"/>
    </row>
    <row r="1685" spans="1:25" s="94" customFormat="1" ht="34.5" customHeight="1">
      <c r="A1685" s="113"/>
      <c r="B1685" s="190" t="s">
        <v>37</v>
      </c>
      <c r="C1685" s="1085">
        <f>CEILING((C1683*0.85),0.1)</f>
        <v>107.4</v>
      </c>
      <c r="D1685" s="1086"/>
      <c r="E1685" s="1085">
        <f>CEILING((E1683*0.85),0.1)</f>
        <v>135.5</v>
      </c>
      <c r="F1685" s="1086"/>
      <c r="G1685" s="1085">
        <f>CEILING((G1683*0.85),0.1)</f>
        <v>111.7</v>
      </c>
      <c r="H1685" s="1086"/>
      <c r="I1685" s="1085">
        <f>CEILING((I1683*0.85),0.1)</f>
        <v>111.7</v>
      </c>
      <c r="J1685" s="1086"/>
      <c r="K1685" s="1085">
        <f>CEILING((K1683*0.85),0.1)</f>
        <v>99.9</v>
      </c>
      <c r="L1685" s="1086"/>
      <c r="M1685" s="92"/>
      <c r="N1685" s="92"/>
      <c r="O1685" s="92"/>
      <c r="P1685" s="92"/>
      <c r="Q1685" s="92"/>
      <c r="R1685" s="92"/>
      <c r="S1685" s="92"/>
      <c r="T1685" s="92"/>
      <c r="U1685" s="92"/>
      <c r="V1685" s="92"/>
      <c r="W1685" s="92"/>
      <c r="X1685" s="92"/>
      <c r="Y1685" s="92"/>
    </row>
    <row r="1686" spans="1:25" s="94" customFormat="1" ht="34.5" customHeight="1">
      <c r="A1686" s="373"/>
      <c r="B1686" s="717" t="s">
        <v>673</v>
      </c>
      <c r="C1686" s="1085">
        <f>CEILING((C1683*0.5),0.1)</f>
        <v>63.2</v>
      </c>
      <c r="D1686" s="1086"/>
      <c r="E1686" s="1085">
        <f>CEILING((E1683*0.5),0.1)</f>
        <v>79.7</v>
      </c>
      <c r="F1686" s="1086"/>
      <c r="G1686" s="1085">
        <f>CEILING((G1683*0.5),0.1)</f>
        <v>65.7</v>
      </c>
      <c r="H1686" s="1086"/>
      <c r="I1686" s="1085">
        <f>CEILING((I1683*0.5),0.1)</f>
        <v>65.7</v>
      </c>
      <c r="J1686" s="1086"/>
      <c r="K1686" s="1085">
        <f>CEILING((K1683*0.5),0.1)</f>
        <v>58.800000000000004</v>
      </c>
      <c r="L1686" s="1086"/>
      <c r="M1686" s="92"/>
      <c r="N1686" s="92"/>
      <c r="O1686" s="92"/>
      <c r="P1686" s="92"/>
      <c r="Q1686" s="92"/>
      <c r="R1686" s="92"/>
      <c r="S1686" s="92"/>
      <c r="T1686" s="92"/>
      <c r="U1686" s="92"/>
      <c r="V1686" s="92"/>
      <c r="W1686" s="92"/>
      <c r="X1686" s="92"/>
      <c r="Y1686" s="92"/>
    </row>
    <row r="1687" spans="1:25" s="94" customFormat="1" ht="34.5" customHeight="1">
      <c r="A1687" s="113"/>
      <c r="B1687" s="190" t="s">
        <v>24</v>
      </c>
      <c r="C1687" s="1085">
        <f>CEILING(105*$Z$1,0.1)</f>
        <v>131.3</v>
      </c>
      <c r="D1687" s="1086"/>
      <c r="E1687" s="1085">
        <f>CEILING(132.6*$Z$1,0.1)</f>
        <v>165.8</v>
      </c>
      <c r="F1687" s="1086"/>
      <c r="G1687" s="1085">
        <f>CEILING(109.2*$Z$1,0.1)</f>
        <v>136.5</v>
      </c>
      <c r="H1687" s="1086"/>
      <c r="I1687" s="1085">
        <f>CEILING(109.2*$Z$1,0.1)</f>
        <v>136.5</v>
      </c>
      <c r="J1687" s="1086"/>
      <c r="K1687" s="1085">
        <f>CEILING(98*$Z$1,0.1)</f>
        <v>122.5</v>
      </c>
      <c r="L1687" s="1086"/>
      <c r="M1687" s="92"/>
      <c r="N1687" s="92"/>
      <c r="O1687" s="92"/>
      <c r="P1687" s="92"/>
      <c r="Q1687" s="92"/>
      <c r="R1687" s="92"/>
      <c r="S1687" s="92"/>
      <c r="T1687" s="92"/>
      <c r="U1687" s="92"/>
      <c r="V1687" s="92"/>
      <c r="W1687" s="92"/>
      <c r="X1687" s="92"/>
      <c r="Y1687" s="92"/>
    </row>
    <row r="1688" spans="1:25" s="94" customFormat="1" ht="34.5" customHeight="1">
      <c r="A1688" s="373"/>
      <c r="B1688" s="190" t="s">
        <v>25</v>
      </c>
      <c r="C1688" s="1085">
        <f>CEILING((C1687+52.5*$Z$1),0.1)</f>
        <v>197</v>
      </c>
      <c r="D1688" s="1086"/>
      <c r="E1688" s="1085">
        <f>CEILING((E1687+40*$Z$1),0.1)</f>
        <v>215.8</v>
      </c>
      <c r="F1688" s="1086"/>
      <c r="G1688" s="1085">
        <f>CEILING((G1687+33*$Z$1),0.1)</f>
        <v>177.8</v>
      </c>
      <c r="H1688" s="1086"/>
      <c r="I1688" s="1085">
        <f>CEILING((I1687+33*$Z$1),0.1)</f>
        <v>177.8</v>
      </c>
      <c r="J1688" s="1086"/>
      <c r="K1688" s="1085">
        <f>CEILING((K1687+29.2*$Z$1),0.1)</f>
        <v>159</v>
      </c>
      <c r="L1688" s="1086"/>
      <c r="M1688" s="92"/>
      <c r="N1688" s="92"/>
      <c r="O1688" s="92"/>
      <c r="P1688" s="92"/>
      <c r="Q1688" s="92"/>
      <c r="R1688" s="92"/>
      <c r="S1688" s="92"/>
      <c r="T1688" s="92"/>
      <c r="U1688" s="92"/>
      <c r="V1688" s="92"/>
      <c r="W1688" s="92"/>
      <c r="X1688" s="92"/>
      <c r="Y1688" s="92"/>
    </row>
    <row r="1689" spans="1:25" s="94" customFormat="1" ht="34.5" customHeight="1">
      <c r="A1689" s="373"/>
      <c r="B1689" s="190" t="s">
        <v>434</v>
      </c>
      <c r="C1689" s="1085">
        <f>CEILING(109*$Z$1,0.1)</f>
        <v>136.3</v>
      </c>
      <c r="D1689" s="1086"/>
      <c r="E1689" s="1085">
        <f>CEILING(138.45*$Z$1,0.1)</f>
        <v>173.10000000000002</v>
      </c>
      <c r="F1689" s="1086"/>
      <c r="G1689" s="1085">
        <f>CEILING(114*$Z$1,0.1)</f>
        <v>142.5</v>
      </c>
      <c r="H1689" s="1086"/>
      <c r="I1689" s="1085">
        <f>CEILING(114*$Z$1,0.1)</f>
        <v>142.5</v>
      </c>
      <c r="J1689" s="1086"/>
      <c r="K1689" s="1085">
        <f>CEILING(101.4*$Z$1,0.1)</f>
        <v>126.80000000000001</v>
      </c>
      <c r="L1689" s="1086"/>
      <c r="M1689" s="92"/>
      <c r="N1689" s="92"/>
      <c r="O1689" s="92"/>
      <c r="P1689" s="92"/>
      <c r="Q1689" s="92"/>
      <c r="R1689" s="92"/>
      <c r="S1689" s="92"/>
      <c r="T1689" s="92"/>
      <c r="U1689" s="92"/>
      <c r="V1689" s="92"/>
      <c r="W1689" s="92"/>
      <c r="X1689" s="92"/>
      <c r="Y1689" s="92"/>
    </row>
    <row r="1690" spans="1:25" s="94" customFormat="1" ht="34.5" customHeight="1">
      <c r="A1690" s="718"/>
      <c r="B1690" s="190" t="s">
        <v>435</v>
      </c>
      <c r="C1690" s="1085">
        <f>CEILING((C1689+54.5*$Z$1),0.1)</f>
        <v>204.5</v>
      </c>
      <c r="D1690" s="1086"/>
      <c r="E1690" s="1085">
        <f>CEILING((E1689+42*$Z$1),0.1)</f>
        <v>225.60000000000002</v>
      </c>
      <c r="F1690" s="1086"/>
      <c r="G1690" s="1085">
        <f>CEILING((G1689+34.1*$Z$1),0.1)</f>
        <v>185.20000000000002</v>
      </c>
      <c r="H1690" s="1086"/>
      <c r="I1690" s="1085">
        <f>CEILING((I1689+34.1*$Z$1),0.1)</f>
        <v>185.20000000000002</v>
      </c>
      <c r="J1690" s="1086"/>
      <c r="K1690" s="1085">
        <f>CEILING((K1689+30.4*$Z$1),0.1)</f>
        <v>164.8</v>
      </c>
      <c r="L1690" s="1086"/>
      <c r="M1690" s="92"/>
      <c r="N1690" s="92"/>
      <c r="O1690" s="92"/>
      <c r="P1690" s="92"/>
      <c r="Q1690" s="92"/>
      <c r="R1690" s="92"/>
      <c r="S1690" s="92"/>
      <c r="T1690" s="92"/>
      <c r="U1690" s="92"/>
      <c r="V1690" s="92"/>
      <c r="W1690" s="92"/>
      <c r="X1690" s="92"/>
      <c r="Y1690" s="92"/>
    </row>
    <row r="1691" spans="1:25" s="94" customFormat="1" ht="34.5" customHeight="1">
      <c r="A1691" s="373"/>
      <c r="B1691" s="190" t="s">
        <v>28</v>
      </c>
      <c r="C1691" s="1085">
        <f>CEILING(114*$Z$1,0.1)</f>
        <v>142.5</v>
      </c>
      <c r="D1691" s="1086"/>
      <c r="E1691" s="1085">
        <f>CEILING(144*$Z$1,0.1)</f>
        <v>180</v>
      </c>
      <c r="F1691" s="1086"/>
      <c r="G1691" s="1085">
        <f>CEILING(118.3*$Z$1,0.1)</f>
        <v>147.9</v>
      </c>
      <c r="H1691" s="1086"/>
      <c r="I1691" s="1085">
        <f>CEILING(118.3*$Z$1,0.1)</f>
        <v>147.9</v>
      </c>
      <c r="J1691" s="1086"/>
      <c r="K1691" s="1085">
        <f>CEILING(106*$Z$1,0.1)</f>
        <v>132.5</v>
      </c>
      <c r="L1691" s="1086"/>
      <c r="M1691" s="97"/>
      <c r="N1691" s="106"/>
      <c r="O1691" s="92"/>
      <c r="P1691" s="92"/>
      <c r="Q1691" s="92"/>
      <c r="R1691" s="92"/>
      <c r="S1691" s="92"/>
      <c r="T1691" s="92"/>
      <c r="U1691" s="92"/>
      <c r="V1691" s="92"/>
      <c r="W1691" s="92"/>
      <c r="X1691" s="92"/>
      <c r="Y1691" s="92"/>
    </row>
    <row r="1692" spans="1:25" s="94" customFormat="1" ht="34.5" customHeight="1">
      <c r="A1692" s="373"/>
      <c r="B1692" s="190" t="s">
        <v>29</v>
      </c>
      <c r="C1692" s="1085">
        <f>CEILING((C1691+57*$Z$1),0.1)</f>
        <v>213.8</v>
      </c>
      <c r="D1692" s="1086"/>
      <c r="E1692" s="1085">
        <f>CEILING((E1691+43*$Z$1),0.1)</f>
        <v>233.8</v>
      </c>
      <c r="F1692" s="1086"/>
      <c r="G1692" s="1085">
        <f>CEILING((G1691+35.5*$Z$1),0.1)</f>
        <v>192.3</v>
      </c>
      <c r="H1692" s="1086"/>
      <c r="I1692" s="1085">
        <f>CEILING((I1691+35.5*$Z$1),0.1)</f>
        <v>192.3</v>
      </c>
      <c r="J1692" s="1086"/>
      <c r="K1692" s="1085">
        <f>CEILING((K1691+32*$Z$1),0.1)</f>
        <v>172.5</v>
      </c>
      <c r="L1692" s="1086"/>
      <c r="M1692" s="97"/>
      <c r="N1692" s="106"/>
      <c r="O1692" s="92"/>
      <c r="P1692" s="92"/>
      <c r="Q1692" s="92"/>
      <c r="R1692" s="92"/>
      <c r="S1692" s="92"/>
      <c r="T1692" s="92"/>
      <c r="U1692" s="92"/>
      <c r="V1692" s="92"/>
      <c r="W1692" s="92"/>
      <c r="X1692" s="92"/>
      <c r="Y1692" s="92"/>
    </row>
    <row r="1693" spans="1:25" s="94" customFormat="1" ht="34.5" customHeight="1">
      <c r="A1693" s="113"/>
      <c r="B1693" s="190" t="s">
        <v>432</v>
      </c>
      <c r="C1693" s="1085">
        <f>CEILING(118*$Z$1,0.1)</f>
        <v>147.5</v>
      </c>
      <c r="D1693" s="1086"/>
      <c r="E1693" s="1085">
        <f>CEILING(150*$Z$1,0.1)</f>
        <v>187.5</v>
      </c>
      <c r="F1693" s="1086"/>
      <c r="G1693" s="1085">
        <f>CEILING(123*$Z$1,0.1)</f>
        <v>153.8</v>
      </c>
      <c r="H1693" s="1086"/>
      <c r="I1693" s="1085">
        <f>CEILING(123*$Z$1,0.1)</f>
        <v>153.8</v>
      </c>
      <c r="J1693" s="1086"/>
      <c r="K1693" s="1085">
        <f>CEILING(110*$Z$1,0.1)</f>
        <v>137.5</v>
      </c>
      <c r="L1693" s="1086"/>
      <c r="M1693" s="97"/>
      <c r="N1693" s="106"/>
      <c r="O1693" s="92"/>
      <c r="P1693" s="92"/>
      <c r="Q1693" s="92"/>
      <c r="R1693" s="92"/>
      <c r="S1693" s="92"/>
      <c r="T1693" s="92"/>
      <c r="U1693" s="92"/>
      <c r="V1693" s="92"/>
      <c r="W1693" s="92"/>
      <c r="X1693" s="92"/>
      <c r="Y1693" s="92"/>
    </row>
    <row r="1694" spans="1:25" s="94" customFormat="1" ht="34.5" customHeight="1" thickBot="1">
      <c r="A1694" s="719" t="s">
        <v>655</v>
      </c>
      <c r="B1694" s="720" t="s">
        <v>433</v>
      </c>
      <c r="C1694" s="1087">
        <f>CEILING((C1693+59*$Z$1),0.1)</f>
        <v>221.3</v>
      </c>
      <c r="D1694" s="1088"/>
      <c r="E1694" s="1087">
        <f>CEILING((E1693+45*$Z$1),0.1)</f>
        <v>243.8</v>
      </c>
      <c r="F1694" s="1088"/>
      <c r="G1694" s="1087">
        <f>CEILING((G1693+37*$Z$1),0.1)</f>
        <v>200.10000000000002</v>
      </c>
      <c r="H1694" s="1088"/>
      <c r="I1694" s="1087">
        <f>CEILING((I1693+37*$Z$1),0.1)</f>
        <v>200.10000000000002</v>
      </c>
      <c r="J1694" s="1088"/>
      <c r="K1694" s="1087">
        <f>CEILING((K1693+33*$Z$1),0.1)</f>
        <v>178.8</v>
      </c>
      <c r="L1694" s="1088"/>
      <c r="M1694" s="97"/>
      <c r="N1694" s="106"/>
      <c r="O1694" s="92"/>
      <c r="P1694" s="92"/>
      <c r="Q1694" s="92"/>
      <c r="R1694" s="92"/>
      <c r="S1694" s="92"/>
      <c r="T1694" s="92"/>
      <c r="U1694" s="92"/>
      <c r="V1694" s="92"/>
      <c r="W1694" s="92"/>
      <c r="X1694" s="92"/>
      <c r="Y1694" s="92"/>
    </row>
    <row r="1695" spans="1:61" s="94" customFormat="1" ht="34.5" customHeight="1" thickTop="1">
      <c r="A1695" s="1335" t="s">
        <v>674</v>
      </c>
      <c r="B1695" s="1335"/>
      <c r="C1695" s="1336"/>
      <c r="D1695" s="1336"/>
      <c r="E1695" s="1335"/>
      <c r="F1695" s="1335"/>
      <c r="G1695" s="1336"/>
      <c r="H1695" s="1336"/>
      <c r="I1695" s="118"/>
      <c r="J1695" s="136"/>
      <c r="K1695" s="135"/>
      <c r="L1695" s="135"/>
      <c r="M1695" s="136"/>
      <c r="N1695" s="136"/>
      <c r="O1695" s="136"/>
      <c r="P1695" s="136"/>
      <c r="Q1695" s="136"/>
      <c r="R1695" s="136"/>
      <c r="S1695" s="136"/>
      <c r="T1695" s="136"/>
      <c r="U1695" s="136"/>
      <c r="V1695" s="136"/>
      <c r="W1695" s="136"/>
      <c r="X1695" s="136"/>
      <c r="Y1695" s="136"/>
      <c r="Z1695" s="136"/>
      <c r="AA1695" s="136"/>
      <c r="AB1695" s="136"/>
      <c r="AC1695" s="136"/>
      <c r="AD1695" s="136"/>
      <c r="AE1695" s="136"/>
      <c r="AF1695" s="136"/>
      <c r="AG1695" s="136"/>
      <c r="AH1695" s="136"/>
      <c r="AI1695" s="136"/>
      <c r="AJ1695" s="136"/>
      <c r="AK1695" s="136"/>
      <c r="AL1695" s="136"/>
      <c r="AM1695" s="136"/>
      <c r="AN1695" s="136"/>
      <c r="AO1695" s="136"/>
      <c r="AP1695" s="136"/>
      <c r="AQ1695" s="136"/>
      <c r="AR1695" s="136"/>
      <c r="AS1695" s="136"/>
      <c r="AT1695" s="136"/>
      <c r="AU1695" s="136"/>
      <c r="AV1695" s="136"/>
      <c r="AW1695" s="136"/>
      <c r="AX1695" s="136"/>
      <c r="AY1695" s="136"/>
      <c r="AZ1695" s="136"/>
      <c r="BA1695" s="136"/>
      <c r="BB1695" s="136"/>
      <c r="BC1695" s="136"/>
      <c r="BD1695" s="136"/>
      <c r="BE1695" s="136"/>
      <c r="BF1695" s="136"/>
      <c r="BG1695" s="136"/>
      <c r="BH1695" s="136"/>
      <c r="BI1695" s="136"/>
    </row>
    <row r="1696" spans="1:21" s="94" customFormat="1" ht="34.5" customHeight="1">
      <c r="A1696" s="704" t="s">
        <v>781</v>
      </c>
      <c r="B1696" s="705"/>
      <c r="C1696" s="705"/>
      <c r="D1696" s="705"/>
      <c r="E1696" s="705"/>
      <c r="F1696" s="705"/>
      <c r="G1696" s="703"/>
      <c r="H1696" s="703"/>
      <c r="I1696" s="118"/>
      <c r="J1696" s="136"/>
      <c r="K1696" s="135"/>
      <c r="L1696" s="135"/>
      <c r="M1696" s="92"/>
      <c r="N1696" s="92"/>
      <c r="O1696" s="92"/>
      <c r="P1696" s="92"/>
      <c r="Q1696" s="92"/>
      <c r="R1696" s="92"/>
      <c r="S1696" s="92"/>
      <c r="T1696" s="92"/>
      <c r="U1696" s="92"/>
    </row>
    <row r="1697" spans="1:21" s="94" customFormat="1" ht="34.5" customHeight="1">
      <c r="A1697" s="704"/>
      <c r="B1697" s="705"/>
      <c r="C1697" s="705"/>
      <c r="D1697" s="705"/>
      <c r="E1697" s="705"/>
      <c r="F1697" s="705"/>
      <c r="G1697" s="703"/>
      <c r="H1697" s="703"/>
      <c r="I1697" s="118"/>
      <c r="J1697" s="136"/>
      <c r="K1697" s="135"/>
      <c r="L1697" s="135"/>
      <c r="M1697" s="92"/>
      <c r="N1697" s="92"/>
      <c r="O1697" s="92"/>
      <c r="P1697" s="92"/>
      <c r="Q1697" s="92"/>
      <c r="R1697" s="92"/>
      <c r="S1697" s="92"/>
      <c r="T1697" s="92"/>
      <c r="U1697" s="92"/>
    </row>
    <row r="1698" spans="1:42" s="167" customFormat="1" ht="34.5" customHeight="1">
      <c r="A1698" s="837" t="s">
        <v>33</v>
      </c>
      <c r="B1698" s="838" t="s">
        <v>800</v>
      </c>
      <c r="C1698" s="839" t="s">
        <v>847</v>
      </c>
      <c r="D1698" s="840"/>
      <c r="E1698" s="841" t="s">
        <v>870</v>
      </c>
      <c r="F1698" s="842"/>
      <c r="G1698" s="841" t="s">
        <v>850</v>
      </c>
      <c r="H1698" s="842"/>
      <c r="I1698" s="841" t="s">
        <v>851</v>
      </c>
      <c r="J1698" s="842"/>
      <c r="K1698" s="841" t="s">
        <v>852</v>
      </c>
      <c r="L1698" s="842"/>
      <c r="M1698" s="151"/>
      <c r="N1698" s="151"/>
      <c r="O1698" s="166"/>
      <c r="P1698" s="166"/>
      <c r="Q1698" s="166"/>
      <c r="R1698" s="166"/>
      <c r="S1698" s="100"/>
      <c r="T1698" s="92"/>
      <c r="U1698" s="92"/>
      <c r="V1698" s="92"/>
      <c r="W1698" s="92"/>
      <c r="X1698" s="92"/>
      <c r="Y1698" s="92"/>
      <c r="Z1698" s="100"/>
      <c r="AA1698" s="166"/>
      <c r="AB1698" s="166"/>
      <c r="AC1698" s="166"/>
      <c r="AD1698" s="166"/>
      <c r="AE1698" s="166"/>
      <c r="AF1698" s="166"/>
      <c r="AG1698" s="166"/>
      <c r="AH1698" s="166"/>
      <c r="AI1698" s="166"/>
      <c r="AJ1698" s="166"/>
      <c r="AK1698" s="166"/>
      <c r="AL1698" s="166"/>
      <c r="AM1698" s="166"/>
      <c r="AN1698" s="166"/>
      <c r="AO1698" s="166"/>
      <c r="AP1698" s="166"/>
    </row>
    <row r="1699" spans="1:21" s="94" customFormat="1" ht="34.5" customHeight="1">
      <c r="A1699" s="671" t="s">
        <v>316</v>
      </c>
      <c r="B1699" s="978" t="s">
        <v>17</v>
      </c>
      <c r="C1699" s="1083">
        <f>CEILING(105*$Z$1,0.1)</f>
        <v>131.3</v>
      </c>
      <c r="D1699" s="1084"/>
      <c r="E1699" s="1083">
        <f>CEILING(130*$Z$1,0.1)</f>
        <v>162.5</v>
      </c>
      <c r="F1699" s="1084"/>
      <c r="G1699" s="1083">
        <f>CEILING(116*$Z$1,0.1)</f>
        <v>145</v>
      </c>
      <c r="H1699" s="1084"/>
      <c r="I1699" s="1083">
        <f>CEILING(99*$Z$1,0.1)</f>
        <v>123.80000000000001</v>
      </c>
      <c r="J1699" s="1084"/>
      <c r="K1699" s="1083">
        <f>CEILING(90*$Z$1,0.1)</f>
        <v>112.5</v>
      </c>
      <c r="L1699" s="1084"/>
      <c r="M1699" s="106"/>
      <c r="N1699" s="106"/>
      <c r="O1699" s="92"/>
      <c r="P1699" s="92"/>
      <c r="Q1699" s="92"/>
      <c r="R1699" s="92"/>
      <c r="S1699" s="92"/>
      <c r="T1699" s="92"/>
      <c r="U1699" s="92"/>
    </row>
    <row r="1700" spans="1:21" s="94" customFormat="1" ht="34.5" customHeight="1">
      <c r="A1700" s="373" t="s">
        <v>35</v>
      </c>
      <c r="B1700" s="215" t="s">
        <v>438</v>
      </c>
      <c r="C1700" s="1085">
        <f>CEILING((C1699+52.5*$Z$1),0.1)</f>
        <v>197</v>
      </c>
      <c r="D1700" s="1086"/>
      <c r="E1700" s="1085">
        <f>CEILING((E1699+65*$Z$1),0.1)</f>
        <v>243.8</v>
      </c>
      <c r="F1700" s="1086"/>
      <c r="G1700" s="1085">
        <f>CEILING((G1699+58*$Z$1),0.1)</f>
        <v>217.5</v>
      </c>
      <c r="H1700" s="1086"/>
      <c r="I1700" s="1085">
        <f>CEILING((I1699+50*$Z$1),0.1)</f>
        <v>186.3</v>
      </c>
      <c r="J1700" s="1086"/>
      <c r="K1700" s="1085">
        <f>CEILING((K1699+45*$Z$1),0.1)</f>
        <v>168.8</v>
      </c>
      <c r="L1700" s="1086"/>
      <c r="M1700" s="106"/>
      <c r="N1700" s="106"/>
      <c r="O1700" s="92"/>
      <c r="P1700" s="92"/>
      <c r="Q1700" s="92"/>
      <c r="R1700" s="96"/>
      <c r="S1700" s="96"/>
      <c r="T1700" s="92"/>
      <c r="U1700" s="92"/>
    </row>
    <row r="1701" spans="1:21" s="94" customFormat="1" ht="34.5" customHeight="1">
      <c r="A1701" s="373"/>
      <c r="B1701" s="270" t="s">
        <v>67</v>
      </c>
      <c r="C1701" s="1085">
        <f>CEILING((C1699*0.85),0.1)</f>
        <v>111.7</v>
      </c>
      <c r="D1701" s="1086"/>
      <c r="E1701" s="1085">
        <f>CEILING((E1699*0.85),0.1)</f>
        <v>138.20000000000002</v>
      </c>
      <c r="F1701" s="1086"/>
      <c r="G1701" s="1085">
        <f>CEILING((G1699*0.85),0.1)</f>
        <v>123.30000000000001</v>
      </c>
      <c r="H1701" s="1086"/>
      <c r="I1701" s="1085">
        <f>CEILING((I1699*0.85),0.1)</f>
        <v>105.30000000000001</v>
      </c>
      <c r="J1701" s="1086"/>
      <c r="K1701" s="1085">
        <f>CEILING((K1699*0.85),0.1)</f>
        <v>95.7</v>
      </c>
      <c r="L1701" s="1086"/>
      <c r="M1701" s="106"/>
      <c r="N1701" s="92"/>
      <c r="O1701" s="92"/>
      <c r="P1701" s="92"/>
      <c r="Q1701" s="92"/>
      <c r="R1701" s="635"/>
      <c r="S1701" s="635"/>
      <c r="T1701" s="92"/>
      <c r="U1701" s="92"/>
    </row>
    <row r="1702" spans="1:21" s="94" customFormat="1" ht="34.5" customHeight="1">
      <c r="A1702" s="1120" t="s">
        <v>1198</v>
      </c>
      <c r="B1702" s="979" t="s">
        <v>673</v>
      </c>
      <c r="C1702" s="1085">
        <f>CEILING((C1699*0.3),0.1)</f>
        <v>39.400000000000006</v>
      </c>
      <c r="D1702" s="1089"/>
      <c r="E1702" s="1085">
        <f>CEILING((E1699*0.3),0.1)</f>
        <v>48.800000000000004</v>
      </c>
      <c r="F1702" s="1086"/>
      <c r="G1702" s="1085">
        <f>CEILING((G1699*0.3),0.1)</f>
        <v>43.5</v>
      </c>
      <c r="H1702" s="1086"/>
      <c r="I1702" s="1085">
        <f>CEILING((I1699*0.3),0.1)</f>
        <v>37.2</v>
      </c>
      <c r="J1702" s="1086"/>
      <c r="K1702" s="1085">
        <f>CEILING((K1699*0.3),0.1)</f>
        <v>33.800000000000004</v>
      </c>
      <c r="L1702" s="1086"/>
      <c r="M1702" s="92"/>
      <c r="N1702" s="92"/>
      <c r="O1702" s="92"/>
      <c r="P1702" s="92"/>
      <c r="Q1702" s="92"/>
      <c r="R1702" s="127"/>
      <c r="S1702" s="127"/>
      <c r="T1702" s="92"/>
      <c r="U1702" s="92"/>
    </row>
    <row r="1703" spans="1:21" s="94" customFormat="1" ht="34.5" customHeight="1">
      <c r="A1703" s="1121" t="s">
        <v>1309</v>
      </c>
      <c r="B1703" s="979" t="s">
        <v>842</v>
      </c>
      <c r="C1703" s="1085">
        <f>CEILING(111*$Z$1,0.1)</f>
        <v>138.8</v>
      </c>
      <c r="D1703" s="1089"/>
      <c r="E1703" s="1085">
        <f>CEILING(136.5*$Z$1,0.1)</f>
        <v>170.70000000000002</v>
      </c>
      <c r="F1703" s="1086"/>
      <c r="G1703" s="1085">
        <f>CEILING(121.1*$Z$1,0.1)</f>
        <v>151.4</v>
      </c>
      <c r="H1703" s="1086"/>
      <c r="I1703" s="1085">
        <f>CEILING(104*$Z$1,0.1)</f>
        <v>130</v>
      </c>
      <c r="J1703" s="1086"/>
      <c r="K1703" s="1085">
        <f>CEILING(70*$Z$1,0.1)</f>
        <v>87.5</v>
      </c>
      <c r="L1703" s="1086"/>
      <c r="M1703" s="92"/>
      <c r="N1703" s="92"/>
      <c r="O1703" s="92"/>
      <c r="P1703" s="92"/>
      <c r="Q1703" s="92"/>
      <c r="R1703" s="812"/>
      <c r="S1703" s="812"/>
      <c r="T1703" s="92"/>
      <c r="U1703" s="92"/>
    </row>
    <row r="1704" spans="1:21" s="94" customFormat="1" ht="34.5" customHeight="1">
      <c r="A1704" s="718"/>
      <c r="B1704" s="979" t="s">
        <v>843</v>
      </c>
      <c r="C1704" s="1085">
        <f>CEILING((C1703+55.5*$Z$1),0.1)</f>
        <v>208.20000000000002</v>
      </c>
      <c r="D1704" s="1089"/>
      <c r="E1704" s="1085">
        <f>CEILING((E1703+68.2*$Z$1),0.1)</f>
        <v>256</v>
      </c>
      <c r="F1704" s="1086"/>
      <c r="G1704" s="1085">
        <f>CEILING((G1703+60.6*$Z$1),0.1)</f>
        <v>227.20000000000002</v>
      </c>
      <c r="H1704" s="1086"/>
      <c r="I1704" s="1085">
        <f>CEILING((I1703+52*$Z$1),0.1)</f>
        <v>195</v>
      </c>
      <c r="J1704" s="1086"/>
      <c r="K1704" s="1085">
        <f>CEILING((K1703+35*$Z$1),0.1)</f>
        <v>131.3</v>
      </c>
      <c r="L1704" s="1086"/>
      <c r="M1704" s="92"/>
      <c r="N1704" s="92"/>
      <c r="O1704" s="92"/>
      <c r="P1704" s="92"/>
      <c r="Q1704" s="92"/>
      <c r="R1704" s="812"/>
      <c r="S1704" s="812"/>
      <c r="T1704" s="92"/>
      <c r="U1704" s="92"/>
    </row>
    <row r="1705" spans="1:21" s="94" customFormat="1" ht="34.5" customHeight="1">
      <c r="A1705" s="718"/>
      <c r="B1705" s="979" t="s">
        <v>439</v>
      </c>
      <c r="C1705" s="1085">
        <f>CEILING(111*$Z$1,0.1)</f>
        <v>138.8</v>
      </c>
      <c r="D1705" s="1089"/>
      <c r="E1705" s="1085">
        <f>CEILING(136.5*$Z$1,0.1)</f>
        <v>170.70000000000002</v>
      </c>
      <c r="F1705" s="1086"/>
      <c r="G1705" s="1085">
        <f>CEILING(121.1*$Z$1,0.1)</f>
        <v>151.4</v>
      </c>
      <c r="H1705" s="1086"/>
      <c r="I1705" s="1085">
        <f>CEILING(104*$Z$1,0.1)</f>
        <v>130</v>
      </c>
      <c r="J1705" s="1086"/>
      <c r="K1705" s="1085">
        <f>CEILING(70*$Z$1,0.1)</f>
        <v>87.5</v>
      </c>
      <c r="L1705" s="1086"/>
      <c r="M1705" s="92"/>
      <c r="N1705" s="92"/>
      <c r="O1705" s="92"/>
      <c r="P1705" s="92"/>
      <c r="Q1705" s="92"/>
      <c r="R1705" s="812"/>
      <c r="S1705" s="812"/>
      <c r="T1705" s="92"/>
      <c r="U1705" s="92"/>
    </row>
    <row r="1706" spans="1:21" s="94" customFormat="1" ht="34.5" customHeight="1">
      <c r="A1706" s="718"/>
      <c r="B1706" s="979" t="s">
        <v>841</v>
      </c>
      <c r="C1706" s="1085">
        <f>CEILING((C1705+55.5*$Z$1),0.1)</f>
        <v>208.20000000000002</v>
      </c>
      <c r="D1706" s="1086"/>
      <c r="E1706" s="1085">
        <f>CEILING((E1705+68.2*$Z$1),0.1)</f>
        <v>256</v>
      </c>
      <c r="F1706" s="1086"/>
      <c r="G1706" s="1085">
        <f>CEILING((G1705+60.6*$Z$1),0.1)</f>
        <v>227.20000000000002</v>
      </c>
      <c r="H1706" s="1086"/>
      <c r="I1706" s="1085">
        <f>CEILING((I1705+52*$Z$1),0.1)</f>
        <v>195</v>
      </c>
      <c r="J1706" s="1086"/>
      <c r="K1706" s="1085">
        <f>CEILING((K1705+35*$Z$1),0.1)</f>
        <v>131.3</v>
      </c>
      <c r="L1706" s="1086"/>
      <c r="M1706" s="92"/>
      <c r="N1706" s="92"/>
      <c r="O1706" s="92"/>
      <c r="P1706" s="92"/>
      <c r="Q1706" s="92"/>
      <c r="R1706" s="812"/>
      <c r="S1706" s="812"/>
      <c r="T1706" s="92"/>
      <c r="U1706" s="92"/>
    </row>
    <row r="1707" spans="1:256" s="94" customFormat="1" ht="34.5" customHeight="1" thickBot="1">
      <c r="A1707" s="718"/>
      <c r="B1707" s="192" t="s">
        <v>839</v>
      </c>
      <c r="C1707" s="1085">
        <f>CEILING(116*$Z$1,0.1)</f>
        <v>145</v>
      </c>
      <c r="D1707" s="1086"/>
      <c r="E1707" s="1085">
        <f>CEILING(143*$Z$1,0.1)</f>
        <v>178.8</v>
      </c>
      <c r="F1707" s="1086"/>
      <c r="G1707" s="1085">
        <f>CEILING(127.4*$Z$1,0.1)</f>
        <v>159.3</v>
      </c>
      <c r="H1707" s="1086"/>
      <c r="I1707" s="1085">
        <f>CEILING(109.2*$Z$1,0.1)</f>
        <v>136.5</v>
      </c>
      <c r="J1707" s="1086"/>
      <c r="K1707" s="1085">
        <f>CEILING(99*$Z$1,0.1)</f>
        <v>123.80000000000001</v>
      </c>
      <c r="L1707" s="1086"/>
      <c r="M1707" s="127"/>
      <c r="N1707" s="127"/>
      <c r="O1707" s="127"/>
      <c r="P1707" s="127"/>
      <c r="Q1707" s="723"/>
      <c r="R1707" s="724"/>
      <c r="S1707" s="724"/>
      <c r="T1707" s="724"/>
      <c r="U1707" s="127"/>
      <c r="V1707" s="127"/>
      <c r="W1707" s="127"/>
      <c r="X1707" s="127"/>
      <c r="Y1707" s="723" t="s">
        <v>389</v>
      </c>
      <c r="Z1707" s="724"/>
      <c r="AA1707" s="724"/>
      <c r="AB1707" s="724"/>
      <c r="AC1707" s="127"/>
      <c r="AD1707" s="127"/>
      <c r="AE1707" s="127"/>
      <c r="AF1707" s="127"/>
      <c r="AG1707" s="723" t="s">
        <v>389</v>
      </c>
      <c r="AH1707" s="724"/>
      <c r="AI1707" s="724"/>
      <c r="AJ1707" s="724"/>
      <c r="AK1707" s="127"/>
      <c r="AL1707" s="127"/>
      <c r="AM1707" s="127"/>
      <c r="AN1707" s="127"/>
      <c r="AO1707" s="723" t="s">
        <v>389</v>
      </c>
      <c r="AP1707" s="724"/>
      <c r="AQ1707" s="724"/>
      <c r="AR1707" s="724"/>
      <c r="AS1707" s="127"/>
      <c r="AT1707" s="127"/>
      <c r="AU1707" s="725"/>
      <c r="AV1707" s="725"/>
      <c r="AW1707" s="621" t="s">
        <v>389</v>
      </c>
      <c r="AX1707" s="726"/>
      <c r="AY1707" s="727"/>
      <c r="AZ1707" s="726"/>
      <c r="BA1707" s="725"/>
      <c r="BB1707" s="725"/>
      <c r="BC1707" s="725"/>
      <c r="BD1707" s="725"/>
      <c r="BE1707" s="621" t="s">
        <v>389</v>
      </c>
      <c r="BF1707" s="726"/>
      <c r="BG1707" s="727"/>
      <c r="BH1707" s="726"/>
      <c r="BI1707" s="725"/>
      <c r="BJ1707" s="725"/>
      <c r="BK1707" s="725"/>
      <c r="BL1707" s="725"/>
      <c r="BM1707" s="621" t="s">
        <v>389</v>
      </c>
      <c r="BN1707" s="726"/>
      <c r="BO1707" s="727"/>
      <c r="BP1707" s="726"/>
      <c r="BQ1707" s="725"/>
      <c r="BR1707" s="725"/>
      <c r="BS1707" s="725"/>
      <c r="BT1707" s="725"/>
      <c r="BU1707" s="621" t="s">
        <v>389</v>
      </c>
      <c r="BV1707" s="726"/>
      <c r="BW1707" s="727"/>
      <c r="BX1707" s="726"/>
      <c r="BY1707" s="725"/>
      <c r="BZ1707" s="725"/>
      <c r="CA1707" s="725"/>
      <c r="CB1707" s="725"/>
      <c r="CC1707" s="621" t="s">
        <v>389</v>
      </c>
      <c r="CD1707" s="726"/>
      <c r="CE1707" s="727"/>
      <c r="CF1707" s="726"/>
      <c r="CG1707" s="725"/>
      <c r="CH1707" s="725"/>
      <c r="CI1707" s="725"/>
      <c r="CJ1707" s="725"/>
      <c r="CK1707" s="621" t="s">
        <v>389</v>
      </c>
      <c r="CL1707" s="726"/>
      <c r="CM1707" s="727"/>
      <c r="CN1707" s="726"/>
      <c r="CO1707" s="725"/>
      <c r="CP1707" s="725"/>
      <c r="CQ1707" s="725"/>
      <c r="CR1707" s="725"/>
      <c r="CS1707" s="621" t="s">
        <v>389</v>
      </c>
      <c r="CT1707" s="726"/>
      <c r="CU1707" s="727"/>
      <c r="CV1707" s="726"/>
      <c r="CW1707" s="725"/>
      <c r="CX1707" s="725"/>
      <c r="CY1707" s="725"/>
      <c r="CZ1707" s="725"/>
      <c r="DA1707" s="621" t="s">
        <v>389</v>
      </c>
      <c r="DB1707" s="726"/>
      <c r="DC1707" s="727"/>
      <c r="DD1707" s="726"/>
      <c r="DE1707" s="725"/>
      <c r="DF1707" s="725"/>
      <c r="DG1707" s="725"/>
      <c r="DH1707" s="725"/>
      <c r="DI1707" s="621" t="s">
        <v>389</v>
      </c>
      <c r="DJ1707" s="726"/>
      <c r="DK1707" s="727"/>
      <c r="DL1707" s="726"/>
      <c r="DM1707" s="725"/>
      <c r="DN1707" s="725"/>
      <c r="DO1707" s="725"/>
      <c r="DP1707" s="725"/>
      <c r="DQ1707" s="621" t="s">
        <v>389</v>
      </c>
      <c r="DR1707" s="726"/>
      <c r="DS1707" s="727"/>
      <c r="DT1707" s="726"/>
      <c r="DU1707" s="725"/>
      <c r="DV1707" s="725"/>
      <c r="DW1707" s="725"/>
      <c r="DX1707" s="725"/>
      <c r="DY1707" s="621" t="s">
        <v>389</v>
      </c>
      <c r="DZ1707" s="726"/>
      <c r="EA1707" s="727"/>
      <c r="EB1707" s="726"/>
      <c r="EC1707" s="725"/>
      <c r="ED1707" s="725"/>
      <c r="EE1707" s="725"/>
      <c r="EF1707" s="725"/>
      <c r="EG1707" s="621" t="s">
        <v>389</v>
      </c>
      <c r="EH1707" s="726"/>
      <c r="EI1707" s="727"/>
      <c r="EJ1707" s="726"/>
      <c r="EK1707" s="725"/>
      <c r="EL1707" s="725"/>
      <c r="EM1707" s="725"/>
      <c r="EN1707" s="725"/>
      <c r="EO1707" s="621" t="s">
        <v>389</v>
      </c>
      <c r="EP1707" s="726"/>
      <c r="EQ1707" s="727"/>
      <c r="ER1707" s="726"/>
      <c r="ES1707" s="725"/>
      <c r="ET1707" s="725"/>
      <c r="EU1707" s="725"/>
      <c r="EV1707" s="725"/>
      <c r="EW1707" s="621" t="s">
        <v>389</v>
      </c>
      <c r="EX1707" s="726"/>
      <c r="EY1707" s="727"/>
      <c r="EZ1707" s="726"/>
      <c r="FA1707" s="725"/>
      <c r="FB1707" s="725"/>
      <c r="FC1707" s="725"/>
      <c r="FD1707" s="725"/>
      <c r="FE1707" s="621" t="s">
        <v>389</v>
      </c>
      <c r="FF1707" s="726"/>
      <c r="FG1707" s="727"/>
      <c r="FH1707" s="726"/>
      <c r="FI1707" s="725"/>
      <c r="FJ1707" s="725"/>
      <c r="FK1707" s="725"/>
      <c r="FL1707" s="725"/>
      <c r="FM1707" s="621" t="s">
        <v>389</v>
      </c>
      <c r="FN1707" s="726"/>
      <c r="FO1707" s="727"/>
      <c r="FP1707" s="726"/>
      <c r="FQ1707" s="725"/>
      <c r="FR1707" s="725"/>
      <c r="FS1707" s="725"/>
      <c r="FT1707" s="725"/>
      <c r="FU1707" s="621" t="s">
        <v>389</v>
      </c>
      <c r="FV1707" s="726"/>
      <c r="FW1707" s="727"/>
      <c r="FX1707" s="726"/>
      <c r="FY1707" s="725"/>
      <c r="FZ1707" s="725"/>
      <c r="GA1707" s="725"/>
      <c r="GB1707" s="725"/>
      <c r="GC1707" s="621" t="s">
        <v>389</v>
      </c>
      <c r="GD1707" s="726"/>
      <c r="GE1707" s="727"/>
      <c r="GF1707" s="726"/>
      <c r="GG1707" s="725"/>
      <c r="GH1707" s="725"/>
      <c r="GI1707" s="725"/>
      <c r="GJ1707" s="725"/>
      <c r="GK1707" s="621" t="s">
        <v>389</v>
      </c>
      <c r="GL1707" s="726"/>
      <c r="GM1707" s="727"/>
      <c r="GN1707" s="726"/>
      <c r="GO1707" s="725"/>
      <c r="GP1707" s="725"/>
      <c r="GQ1707" s="725"/>
      <c r="GR1707" s="725"/>
      <c r="GS1707" s="621" t="s">
        <v>389</v>
      </c>
      <c r="GT1707" s="726"/>
      <c r="GU1707" s="727"/>
      <c r="GV1707" s="726"/>
      <c r="GW1707" s="725"/>
      <c r="GX1707" s="725"/>
      <c r="GY1707" s="725"/>
      <c r="GZ1707" s="725"/>
      <c r="HA1707" s="621" t="s">
        <v>389</v>
      </c>
      <c r="HB1707" s="726"/>
      <c r="HC1707" s="727"/>
      <c r="HD1707" s="726"/>
      <c r="HE1707" s="725"/>
      <c r="HF1707" s="725"/>
      <c r="HG1707" s="725"/>
      <c r="HH1707" s="725"/>
      <c r="HI1707" s="621" t="s">
        <v>389</v>
      </c>
      <c r="HJ1707" s="726"/>
      <c r="HK1707" s="727"/>
      <c r="HL1707" s="726"/>
      <c r="HM1707" s="725"/>
      <c r="HN1707" s="725"/>
      <c r="HO1707" s="725"/>
      <c r="HP1707" s="725"/>
      <c r="HQ1707" s="621" t="s">
        <v>389</v>
      </c>
      <c r="HR1707" s="726"/>
      <c r="HS1707" s="727"/>
      <c r="HT1707" s="726"/>
      <c r="HU1707" s="725"/>
      <c r="HV1707" s="725"/>
      <c r="HW1707" s="725"/>
      <c r="HX1707" s="725"/>
      <c r="HY1707" s="621" t="s">
        <v>389</v>
      </c>
      <c r="HZ1707" s="726"/>
      <c r="IA1707" s="727"/>
      <c r="IB1707" s="726"/>
      <c r="IC1707" s="725"/>
      <c r="ID1707" s="725"/>
      <c r="IE1707" s="725"/>
      <c r="IF1707" s="725"/>
      <c r="IG1707" s="621" t="s">
        <v>389</v>
      </c>
      <c r="IH1707" s="726"/>
      <c r="II1707" s="727"/>
      <c r="IJ1707" s="726"/>
      <c r="IK1707" s="725"/>
      <c r="IL1707" s="725"/>
      <c r="IM1707" s="725"/>
      <c r="IN1707" s="725"/>
      <c r="IO1707" s="621" t="s">
        <v>389</v>
      </c>
      <c r="IP1707" s="726"/>
      <c r="IQ1707" s="727"/>
      <c r="IR1707" s="726"/>
      <c r="IS1707" s="725"/>
      <c r="IT1707" s="725"/>
      <c r="IU1707" s="725"/>
      <c r="IV1707" s="725"/>
    </row>
    <row r="1708" spans="1:46" s="94" customFormat="1" ht="34.5" customHeight="1" thickTop="1">
      <c r="A1708" s="718"/>
      <c r="B1708" s="192" t="s">
        <v>840</v>
      </c>
      <c r="C1708" s="1085">
        <f>CEILING((C1707+58*$Z$1),0.1)</f>
        <v>217.5</v>
      </c>
      <c r="D1708" s="1086"/>
      <c r="E1708" s="1085">
        <f>CEILING((E1707+71.5*$Z$1),0.1)</f>
        <v>268.2</v>
      </c>
      <c r="F1708" s="1086"/>
      <c r="G1708" s="1085">
        <f>CEILING((G1707+64*$Z$1),0.1)</f>
        <v>239.3</v>
      </c>
      <c r="H1708" s="1086"/>
      <c r="I1708" s="1085">
        <f>CEILING((I1707+55*$Z$1),0.1)</f>
        <v>205.3</v>
      </c>
      <c r="J1708" s="1086"/>
      <c r="K1708" s="1085">
        <f>CEILING((K1707+49.5*$Z$1),0.1)</f>
        <v>185.70000000000002</v>
      </c>
      <c r="L1708" s="1086"/>
      <c r="M1708" s="100"/>
      <c r="N1708" s="100"/>
      <c r="O1708" s="100"/>
      <c r="P1708" s="100"/>
      <c r="Q1708" s="100"/>
      <c r="R1708" s="127"/>
      <c r="S1708" s="127"/>
      <c r="T1708" s="100"/>
      <c r="U1708" s="100"/>
      <c r="V1708" s="100"/>
      <c r="W1708" s="100"/>
      <c r="X1708" s="100"/>
      <c r="Y1708" s="100"/>
      <c r="Z1708" s="100"/>
      <c r="AA1708" s="100"/>
      <c r="AB1708" s="100"/>
      <c r="AC1708" s="100"/>
      <c r="AD1708" s="100"/>
      <c r="AE1708" s="100"/>
      <c r="AF1708" s="100"/>
      <c r="AG1708" s="100"/>
      <c r="AH1708" s="100"/>
      <c r="AI1708" s="100"/>
      <c r="AJ1708" s="100"/>
      <c r="AK1708" s="100"/>
      <c r="AL1708" s="100"/>
      <c r="AM1708" s="100"/>
      <c r="AN1708" s="100"/>
      <c r="AO1708" s="100"/>
      <c r="AP1708" s="100"/>
      <c r="AQ1708" s="100"/>
      <c r="AR1708" s="100"/>
      <c r="AS1708" s="100"/>
      <c r="AT1708" s="100"/>
    </row>
    <row r="1709" spans="1:16" s="94" customFormat="1" ht="34.5" customHeight="1">
      <c r="A1709" s="718"/>
      <c r="B1709" s="192" t="s">
        <v>440</v>
      </c>
      <c r="C1709" s="1085">
        <f>CEILING(121*$Z$1,0.1)</f>
        <v>151.3</v>
      </c>
      <c r="D1709" s="1086"/>
      <c r="E1709" s="1085">
        <f>CEILING(149.5*$Z$1,0.1)</f>
        <v>186.9</v>
      </c>
      <c r="F1709" s="1086"/>
      <c r="G1709" s="1085">
        <f>CEILING(133*$Z$1,0.1)</f>
        <v>166.3</v>
      </c>
      <c r="H1709" s="1086"/>
      <c r="I1709" s="1085">
        <f>CEILING(114*$Z$1,0.1)</f>
        <v>142.5</v>
      </c>
      <c r="J1709" s="1086"/>
      <c r="K1709" s="1085">
        <f>CEILING(104*$Z$1,0.1)</f>
        <v>130</v>
      </c>
      <c r="L1709" s="1086"/>
      <c r="M1709" s="101"/>
      <c r="N1709" s="92"/>
      <c r="O1709" s="92"/>
      <c r="P1709" s="92"/>
    </row>
    <row r="1710" spans="1:17" s="94" customFormat="1" ht="34.5" customHeight="1">
      <c r="A1710" s="113"/>
      <c r="B1710" s="192" t="s">
        <v>441</v>
      </c>
      <c r="C1710" s="1085">
        <f>CEILING((C1709+60.5*$Z$1),0.1)</f>
        <v>227</v>
      </c>
      <c r="D1710" s="1086"/>
      <c r="E1710" s="1085">
        <f>CEILING((E1709+74.75*$Z$1),0.1)</f>
        <v>280.40000000000003</v>
      </c>
      <c r="F1710" s="1086"/>
      <c r="G1710" s="1085">
        <f>CEILING((G1709+66.5*$Z$1),0.1)</f>
        <v>249.5</v>
      </c>
      <c r="H1710" s="1086"/>
      <c r="I1710" s="1085">
        <f>CEILING((I1709+57*$Z$1),0.1)</f>
        <v>213.8</v>
      </c>
      <c r="J1710" s="1086"/>
      <c r="K1710" s="1085">
        <f>CEILING((K1709+52*$Z$1),0.1)</f>
        <v>195</v>
      </c>
      <c r="L1710" s="1086"/>
      <c r="M1710" s="101"/>
      <c r="N1710" s="92"/>
      <c r="O1710" s="92"/>
      <c r="P1710" s="92"/>
      <c r="Q1710" s="92"/>
    </row>
    <row r="1711" spans="1:16" s="94" customFormat="1" ht="34.5" customHeight="1">
      <c r="A1711" s="373"/>
      <c r="B1711" s="192" t="s">
        <v>676</v>
      </c>
      <c r="C1711" s="1085">
        <f>CEILING(118*$Z$1,0.1)</f>
        <v>147.5</v>
      </c>
      <c r="D1711" s="1086"/>
      <c r="E1711" s="1085">
        <f>CEILING(143*$Z$1,0.1)</f>
        <v>178.8</v>
      </c>
      <c r="F1711" s="1086"/>
      <c r="G1711" s="1085">
        <f>CEILING(128.1*$Z$1,0.1)</f>
        <v>160.20000000000002</v>
      </c>
      <c r="H1711" s="1086"/>
      <c r="I1711" s="1085">
        <f>CEILING(110*$Z$1,0.1)</f>
        <v>137.5</v>
      </c>
      <c r="J1711" s="1086"/>
      <c r="K1711" s="1085">
        <f>CEILING(101*$Z$1,0.1)</f>
        <v>126.30000000000001</v>
      </c>
      <c r="L1711" s="1086"/>
      <c r="M1711" s="101"/>
      <c r="N1711" s="92"/>
      <c r="O1711" s="92"/>
      <c r="P1711" s="92"/>
    </row>
    <row r="1712" spans="1:21" s="94" customFormat="1" ht="34.5" customHeight="1">
      <c r="A1712" s="373"/>
      <c r="B1712" s="192" t="s">
        <v>677</v>
      </c>
      <c r="C1712" s="1085">
        <f>CEILING((C1711+59*$Z$1),0.1)</f>
        <v>221.3</v>
      </c>
      <c r="D1712" s="1086"/>
      <c r="E1712" s="1085">
        <f>CEILING((E1711+71.5*$Z$1),0.1)</f>
        <v>268.2</v>
      </c>
      <c r="F1712" s="1086"/>
      <c r="G1712" s="1085">
        <f>CEILING((G1711+64*$Z$1),0.1)</f>
        <v>240.20000000000002</v>
      </c>
      <c r="H1712" s="1086"/>
      <c r="I1712" s="1085">
        <f>CEILING((I1711+55*$Z$1),0.1)</f>
        <v>206.3</v>
      </c>
      <c r="J1712" s="1086"/>
      <c r="K1712" s="1085">
        <f>CEILING((K1711+50.5*$Z$1),0.1)</f>
        <v>189.5</v>
      </c>
      <c r="L1712" s="1086"/>
      <c r="M1712" s="101"/>
      <c r="N1712" s="92"/>
      <c r="O1712" s="709"/>
      <c r="P1712" s="728"/>
      <c r="Q1712" s="92"/>
      <c r="R1712" s="92"/>
      <c r="S1712" s="92"/>
      <c r="T1712" s="92"/>
      <c r="U1712" s="92"/>
    </row>
    <row r="1713" spans="1:25" s="94" customFormat="1" ht="34.5" customHeight="1">
      <c r="A1713" s="718"/>
      <c r="B1713" s="192" t="s">
        <v>678</v>
      </c>
      <c r="C1713" s="1085">
        <f>CEILING(128*$Z$1,0.1)</f>
        <v>160</v>
      </c>
      <c r="D1713" s="1086"/>
      <c r="E1713" s="1085">
        <f>CEILING(156*$Z$1,0.1)</f>
        <v>195</v>
      </c>
      <c r="F1713" s="1086"/>
      <c r="G1713" s="1085">
        <f>CEILING(140*$Z$1,0.1)</f>
        <v>175</v>
      </c>
      <c r="H1713" s="1086"/>
      <c r="I1713" s="1085">
        <f>CEILING(120*$Z$1,0.1)</f>
        <v>150</v>
      </c>
      <c r="J1713" s="1086"/>
      <c r="K1713" s="1085">
        <f>CEILING(110*$Z$1,0.1)</f>
        <v>137.5</v>
      </c>
      <c r="L1713" s="1086"/>
      <c r="M1713" s="101"/>
      <c r="N1713" s="92"/>
      <c r="O1713" s="709"/>
      <c r="P1713" s="728"/>
      <c r="Q1713" s="92"/>
      <c r="R1713" s="92"/>
      <c r="S1713" s="92"/>
      <c r="T1713" s="92"/>
      <c r="U1713" s="92"/>
      <c r="V1713" s="92"/>
      <c r="W1713" s="92"/>
      <c r="X1713" s="92"/>
      <c r="Y1713" s="92"/>
    </row>
    <row r="1714" spans="1:25" s="94" customFormat="1" ht="34.5" customHeight="1">
      <c r="A1714" s="394"/>
      <c r="B1714" s="192" t="s">
        <v>679</v>
      </c>
      <c r="C1714" s="1085">
        <f>CEILING((C1713+64*$Z$1),0.1)</f>
        <v>240</v>
      </c>
      <c r="D1714" s="1086"/>
      <c r="E1714" s="1085">
        <f>CEILING((E1713+78*$Z$1),0.1)</f>
        <v>292.5</v>
      </c>
      <c r="F1714" s="1086"/>
      <c r="G1714" s="1085">
        <f>CEILING((G1713+70*$Z$1),0.1)</f>
        <v>262.5</v>
      </c>
      <c r="H1714" s="1086"/>
      <c r="I1714" s="1085">
        <f>CEILING((I1713+60*$Z$1),0.1)</f>
        <v>225</v>
      </c>
      <c r="J1714" s="1086"/>
      <c r="K1714" s="1085">
        <f>CEILING((K1713+55*$Z$1),0.1)</f>
        <v>206.3</v>
      </c>
      <c r="L1714" s="1086"/>
      <c r="M1714" s="101"/>
      <c r="N1714" s="92"/>
      <c r="O1714" s="92"/>
      <c r="P1714" s="92"/>
      <c r="Q1714" s="92"/>
      <c r="R1714" s="92"/>
      <c r="S1714" s="92"/>
      <c r="T1714" s="92"/>
      <c r="U1714" s="92"/>
      <c r="V1714" s="92"/>
      <c r="W1714" s="92"/>
      <c r="X1714" s="92"/>
      <c r="Y1714" s="92"/>
    </row>
    <row r="1715" spans="1:25" s="94" customFormat="1" ht="34.5" customHeight="1">
      <c r="A1715" s="113"/>
      <c r="B1715" s="192" t="s">
        <v>1167</v>
      </c>
      <c r="C1715" s="641">
        <f>CEILING(225*$Z$1,0.1)</f>
        <v>281.3</v>
      </c>
      <c r="D1715" s="646"/>
      <c r="E1715" s="1085">
        <f>CEILING(195*$Z$1,0.1)</f>
        <v>243.8</v>
      </c>
      <c r="F1715" s="1086"/>
      <c r="G1715" s="1085">
        <f>CEILING(174*$Z$1,0.1)</f>
        <v>217.5</v>
      </c>
      <c r="H1715" s="1086"/>
      <c r="I1715" s="1085">
        <f>CEILING(149*$Z$1,0.1)</f>
        <v>186.3</v>
      </c>
      <c r="J1715" s="1086"/>
      <c r="K1715" s="1085">
        <f>CEILING(135*$Z$1,0.1)</f>
        <v>168.8</v>
      </c>
      <c r="L1715" s="1086"/>
      <c r="M1715" s="101"/>
      <c r="N1715" s="92"/>
      <c r="O1715" s="709"/>
      <c r="P1715" s="728"/>
      <c r="Q1715" s="92"/>
      <c r="R1715" s="92"/>
      <c r="S1715" s="92"/>
      <c r="T1715" s="92"/>
      <c r="U1715" s="92"/>
      <c r="V1715" s="92"/>
      <c r="W1715" s="92"/>
      <c r="X1715" s="92"/>
      <c r="Y1715" s="92"/>
    </row>
    <row r="1716" spans="1:25" s="94" customFormat="1" ht="34.5" customHeight="1">
      <c r="A1716" s="113"/>
      <c r="B1716" s="192" t="s">
        <v>1166</v>
      </c>
      <c r="C1716" s="641">
        <f>CEILING((C1715+112.5*$Z$1),0.1)</f>
        <v>422</v>
      </c>
      <c r="D1716" s="646"/>
      <c r="E1716" s="1085">
        <f>CEILING((E1715+98.5*$Z$1),0.1)</f>
        <v>367</v>
      </c>
      <c r="F1716" s="1086"/>
      <c r="G1716" s="1085">
        <f>CEILING((G1715+87*$Z$1),0.1)</f>
        <v>326.3</v>
      </c>
      <c r="H1716" s="1086"/>
      <c r="I1716" s="1085">
        <f>CEILING((I1715+74.5*$Z$1),0.1)</f>
        <v>279.5</v>
      </c>
      <c r="J1716" s="1086"/>
      <c r="K1716" s="1085">
        <f>CEILING((K1715+67.5*$Z$1),0.1)</f>
        <v>253.20000000000002</v>
      </c>
      <c r="L1716" s="1086"/>
      <c r="M1716" s="101"/>
      <c r="N1716" s="92"/>
      <c r="O1716" s="709"/>
      <c r="P1716" s="728"/>
      <c r="Q1716" s="92"/>
      <c r="R1716" s="92"/>
      <c r="S1716" s="92"/>
      <c r="T1716" s="92"/>
      <c r="U1716" s="92"/>
      <c r="V1716" s="92"/>
      <c r="W1716" s="92"/>
      <c r="X1716" s="92"/>
      <c r="Y1716" s="92"/>
    </row>
    <row r="1717" spans="1:25" s="94" customFormat="1" ht="34.5" customHeight="1">
      <c r="A1717" s="373"/>
      <c r="B1717" s="192" t="s">
        <v>489</v>
      </c>
      <c r="C1717" s="641">
        <f>CEILING(375*$Z$1,0.1)</f>
        <v>468.8</v>
      </c>
      <c r="D1717" s="646"/>
      <c r="E1717" s="1085">
        <f>CEILING(325*$Z$1,0.1)</f>
        <v>406.3</v>
      </c>
      <c r="F1717" s="1086"/>
      <c r="G1717" s="1085">
        <f>CEILING(336*$Z$1,0.1)</f>
        <v>420</v>
      </c>
      <c r="H1717" s="1086"/>
      <c r="I1717" s="1085">
        <f>CEILING(288*$Z$1,0.1)</f>
        <v>360</v>
      </c>
      <c r="J1717" s="1086"/>
      <c r="K1717" s="1085">
        <f>CEILING(225*$Z$1,0.1)</f>
        <v>281.3</v>
      </c>
      <c r="L1717" s="1086"/>
      <c r="M1717" s="101"/>
      <c r="N1717" s="92"/>
      <c r="O1717" s="92"/>
      <c r="P1717" s="92"/>
      <c r="Q1717" s="92"/>
      <c r="R1717" s="92"/>
      <c r="S1717" s="92"/>
      <c r="T1717" s="92"/>
      <c r="U1717" s="92"/>
      <c r="V1717" s="92"/>
      <c r="W1717" s="92"/>
      <c r="X1717" s="92"/>
      <c r="Y1717" s="92"/>
    </row>
    <row r="1718" spans="1:25" s="94" customFormat="1" ht="34.5" customHeight="1" thickBot="1">
      <c r="A1718" s="719" t="s">
        <v>655</v>
      </c>
      <c r="B1718" s="980" t="s">
        <v>490</v>
      </c>
      <c r="C1718" s="721">
        <f>CEILING((C1717+187.5*$Z$1),0.1)</f>
        <v>703.2</v>
      </c>
      <c r="D1718" s="722"/>
      <c r="E1718" s="1087">
        <f>CEILING((E1717+162.5*$Z$1),0.1)</f>
        <v>609.5</v>
      </c>
      <c r="F1718" s="1088"/>
      <c r="G1718" s="1087">
        <f>CEILING((G1717+168*$Z$1),0.1)</f>
        <v>630</v>
      </c>
      <c r="H1718" s="1088"/>
      <c r="I1718" s="1087">
        <f>CEILING((I1717+144*$Z$1),0.1)</f>
        <v>540</v>
      </c>
      <c r="J1718" s="1088"/>
      <c r="K1718" s="1087">
        <f>CEILING((K1717+113*$Z$1),0.1)</f>
        <v>422.6</v>
      </c>
      <c r="L1718" s="1088"/>
      <c r="M1718" s="101"/>
      <c r="N1718" s="92"/>
      <c r="O1718" s="92"/>
      <c r="P1718" s="92"/>
      <c r="Q1718" s="92"/>
      <c r="R1718" s="92"/>
      <c r="S1718" s="92"/>
      <c r="T1718" s="92"/>
      <c r="U1718" s="92"/>
      <c r="V1718" s="92"/>
      <c r="W1718" s="92"/>
      <c r="X1718" s="92"/>
      <c r="Y1718" s="92"/>
    </row>
    <row r="1719" spans="1:25" s="94" customFormat="1" ht="34.5" customHeight="1">
      <c r="A1719" s="1222" t="s">
        <v>675</v>
      </c>
      <c r="B1719" s="1222"/>
      <c r="C1719" s="1222"/>
      <c r="D1719" s="1222"/>
      <c r="E1719" s="1222"/>
      <c r="F1719" s="1222"/>
      <c r="G1719" s="1222"/>
      <c r="H1719" s="1222"/>
      <c r="I1719" s="1222"/>
      <c r="J1719" s="1222"/>
      <c r="K1719" s="135"/>
      <c r="L1719" s="135"/>
      <c r="M1719" s="101"/>
      <c r="N1719" s="92"/>
      <c r="O1719" s="92"/>
      <c r="P1719" s="92"/>
      <c r="Q1719" s="92"/>
      <c r="R1719" s="92"/>
      <c r="S1719" s="92"/>
      <c r="T1719" s="92"/>
      <c r="U1719" s="92"/>
      <c r="V1719" s="92"/>
      <c r="W1719" s="92"/>
      <c r="X1719" s="92"/>
      <c r="Y1719" s="92"/>
    </row>
    <row r="1720" spans="1:21" s="94" customFormat="1" ht="34.5" customHeight="1">
      <c r="A1720" s="704" t="s">
        <v>781</v>
      </c>
      <c r="B1720" s="705"/>
      <c r="C1720" s="705"/>
      <c r="D1720" s="705"/>
      <c r="E1720" s="705"/>
      <c r="F1720" s="705"/>
      <c r="G1720" s="703"/>
      <c r="H1720" s="703"/>
      <c r="I1720" s="118"/>
      <c r="J1720" s="136"/>
      <c r="K1720" s="135"/>
      <c r="L1720" s="135"/>
      <c r="M1720" s="92"/>
      <c r="N1720" s="92"/>
      <c r="O1720" s="92"/>
      <c r="P1720" s="92"/>
      <c r="Q1720" s="92"/>
      <c r="R1720" s="92"/>
      <c r="S1720" s="92"/>
      <c r="T1720" s="92"/>
      <c r="U1720" s="92"/>
    </row>
    <row r="1721" spans="1:25" s="94" customFormat="1" ht="34.5" customHeight="1" thickBot="1">
      <c r="A1721" s="234"/>
      <c r="B1721" s="106"/>
      <c r="C1721" s="127"/>
      <c r="D1721" s="127"/>
      <c r="E1721" s="127"/>
      <c r="F1721" s="127"/>
      <c r="G1721" s="127"/>
      <c r="H1721" s="127"/>
      <c r="I1721" s="127"/>
      <c r="J1721" s="106"/>
      <c r="K1721" s="135"/>
      <c r="L1721" s="135"/>
      <c r="M1721" s="101"/>
      <c r="N1721" s="92"/>
      <c r="O1721" s="92"/>
      <c r="P1721" s="92"/>
      <c r="Q1721" s="92"/>
      <c r="R1721" s="92"/>
      <c r="S1721" s="92"/>
      <c r="T1721" s="92"/>
      <c r="U1721" s="92"/>
      <c r="V1721" s="92"/>
      <c r="W1721" s="92"/>
      <c r="X1721" s="92"/>
      <c r="Y1721" s="92"/>
    </row>
    <row r="1722" spans="1:48" s="711" customFormat="1" ht="34.5" customHeight="1" thickTop="1">
      <c r="A1722" s="976" t="s">
        <v>33</v>
      </c>
      <c r="B1722" s="827" t="s">
        <v>86</v>
      </c>
      <c r="C1722" s="828" t="s">
        <v>985</v>
      </c>
      <c r="D1722" s="829"/>
      <c r="E1722" s="244"/>
      <c r="F1722" s="632"/>
      <c r="G1722" s="632"/>
      <c r="H1722" s="632"/>
      <c r="I1722" s="632"/>
      <c r="J1722" s="632"/>
      <c r="K1722" s="148"/>
      <c r="L1722" s="315"/>
      <c r="M1722" s="136"/>
      <c r="N1722" s="136"/>
      <c r="O1722" s="136"/>
      <c r="P1722" s="136"/>
      <c r="Q1722" s="136"/>
      <c r="R1722" s="136"/>
      <c r="S1722" s="136"/>
      <c r="T1722" s="136"/>
      <c r="U1722" s="136"/>
      <c r="V1722" s="136"/>
      <c r="W1722" s="136"/>
      <c r="X1722" s="136"/>
      <c r="Y1722" s="136"/>
      <c r="Z1722" s="136"/>
      <c r="AA1722" s="136"/>
      <c r="AB1722" s="136"/>
      <c r="AC1722" s="136"/>
      <c r="AD1722" s="136"/>
      <c r="AE1722" s="136"/>
      <c r="AF1722" s="136"/>
      <c r="AG1722" s="136"/>
      <c r="AH1722" s="136"/>
      <c r="AI1722" s="136"/>
      <c r="AJ1722" s="136"/>
      <c r="AK1722" s="136"/>
      <c r="AL1722" s="136"/>
      <c r="AM1722" s="136"/>
      <c r="AN1722" s="136"/>
      <c r="AO1722" s="136"/>
      <c r="AP1722" s="136"/>
      <c r="AQ1722" s="136"/>
      <c r="AR1722" s="136"/>
      <c r="AS1722" s="136"/>
      <c r="AT1722" s="136"/>
      <c r="AU1722" s="136"/>
      <c r="AV1722" s="136"/>
    </row>
    <row r="1723" spans="1:25" s="94" customFormat="1" ht="34.5" customHeight="1">
      <c r="A1723" s="482" t="s">
        <v>120</v>
      </c>
      <c r="B1723" s="219" t="s">
        <v>41</v>
      </c>
      <c r="C1723" s="358">
        <f>CEILING(75*$Z$1,0.1)</f>
        <v>93.80000000000001</v>
      </c>
      <c r="D1723" s="729"/>
      <c r="E1723" s="730"/>
      <c r="F1723" s="127"/>
      <c r="G1723" s="127"/>
      <c r="H1723" s="127"/>
      <c r="I1723" s="127"/>
      <c r="J1723" s="127"/>
      <c r="K1723" s="135"/>
      <c r="L1723" s="135"/>
      <c r="M1723" s="101"/>
      <c r="N1723" s="92"/>
      <c r="O1723" s="92"/>
      <c r="P1723" s="92"/>
      <c r="Q1723" s="92"/>
      <c r="R1723" s="92"/>
      <c r="S1723" s="92"/>
      <c r="T1723" s="92"/>
      <c r="U1723" s="92"/>
      <c r="V1723" s="92"/>
      <c r="W1723" s="92"/>
      <c r="X1723" s="92"/>
      <c r="Y1723" s="92"/>
    </row>
    <row r="1724" spans="1:25" s="94" customFormat="1" ht="42.75" customHeight="1">
      <c r="A1724" s="731" t="s">
        <v>711</v>
      </c>
      <c r="B1724" s="215" t="s">
        <v>42</v>
      </c>
      <c r="C1724" s="358">
        <f>CEILING(116*$Z$1,0.1)</f>
        <v>145</v>
      </c>
      <c r="D1724" s="730"/>
      <c r="E1724" s="730"/>
      <c r="F1724" s="127"/>
      <c r="G1724" s="127"/>
      <c r="H1724" s="127"/>
      <c r="I1724" s="127"/>
      <c r="J1724" s="127"/>
      <c r="K1724" s="135"/>
      <c r="L1724" s="135"/>
      <c r="M1724" s="101"/>
      <c r="N1724" s="92"/>
      <c r="O1724" s="92"/>
      <c r="P1724" s="92"/>
      <c r="Q1724" s="92"/>
      <c r="R1724" s="92"/>
      <c r="S1724" s="92"/>
      <c r="T1724" s="92"/>
      <c r="U1724" s="92"/>
      <c r="V1724" s="92"/>
      <c r="W1724" s="92"/>
      <c r="X1724" s="92"/>
      <c r="Y1724" s="92"/>
    </row>
    <row r="1725" spans="1:25" s="94" customFormat="1" ht="34.5" customHeight="1">
      <c r="A1725" s="732" t="s">
        <v>1169</v>
      </c>
      <c r="B1725" s="298"/>
      <c r="C1725" s="358"/>
      <c r="D1725" s="730"/>
      <c r="E1725" s="730"/>
      <c r="F1725" s="127"/>
      <c r="G1725" s="127"/>
      <c r="H1725" s="127"/>
      <c r="I1725" s="127"/>
      <c r="J1725" s="127"/>
      <c r="K1725" s="135"/>
      <c r="L1725" s="135"/>
      <c r="M1725" s="101"/>
      <c r="N1725" s="92"/>
      <c r="O1725" s="92"/>
      <c r="P1725" s="92"/>
      <c r="Q1725" s="92"/>
      <c r="R1725" s="92"/>
      <c r="S1725" s="92"/>
      <c r="T1725" s="92"/>
      <c r="U1725" s="92"/>
      <c r="V1725" s="92"/>
      <c r="W1725" s="92"/>
      <c r="X1725" s="92"/>
      <c r="Y1725" s="92"/>
    </row>
    <row r="1726" spans="1:25" s="94" customFormat="1" ht="34.5" customHeight="1">
      <c r="A1726" s="732" t="s">
        <v>423</v>
      </c>
      <c r="B1726" s="192" t="s">
        <v>66</v>
      </c>
      <c r="C1726" s="358">
        <f>CEILING((C1723*0.5),0.1)</f>
        <v>46.900000000000006</v>
      </c>
      <c r="D1726" s="730"/>
      <c r="E1726" s="730"/>
      <c r="F1726" s="127"/>
      <c r="G1726" s="127"/>
      <c r="H1726" s="127"/>
      <c r="I1726" s="127"/>
      <c r="J1726" s="127"/>
      <c r="K1726" s="135"/>
      <c r="L1726" s="135"/>
      <c r="M1726" s="101"/>
      <c r="N1726" s="92"/>
      <c r="O1726" s="92"/>
      <c r="P1726" s="92"/>
      <c r="Q1726" s="92"/>
      <c r="R1726" s="92"/>
      <c r="S1726" s="92"/>
      <c r="T1726" s="92"/>
      <c r="U1726" s="92"/>
      <c r="V1726" s="92"/>
      <c r="W1726" s="92"/>
      <c r="X1726" s="92"/>
      <c r="Y1726" s="92"/>
    </row>
    <row r="1727" spans="1:25" s="121" customFormat="1" ht="34.5" customHeight="1">
      <c r="A1727" s="732" t="s">
        <v>769</v>
      </c>
      <c r="B1727" s="215" t="s">
        <v>770</v>
      </c>
      <c r="C1727" s="358">
        <f>CEILING(101*$Z$1,0.1)</f>
        <v>126.30000000000001</v>
      </c>
      <c r="D1727" s="730"/>
      <c r="E1727" s="730"/>
      <c r="F1727" s="127"/>
      <c r="G1727" s="127"/>
      <c r="H1727" s="127"/>
      <c r="I1727" s="127"/>
      <c r="J1727" s="127"/>
      <c r="K1727" s="489"/>
      <c r="L1727" s="489"/>
      <c r="M1727" s="101"/>
      <c r="N1727" s="101"/>
      <c r="O1727" s="101"/>
      <c r="P1727" s="101"/>
      <c r="Q1727" s="101"/>
      <c r="R1727" s="101"/>
      <c r="S1727" s="101"/>
      <c r="T1727" s="101"/>
      <c r="U1727" s="101"/>
      <c r="V1727" s="101"/>
      <c r="W1727" s="101"/>
      <c r="X1727" s="101"/>
      <c r="Y1727" s="101"/>
    </row>
    <row r="1728" spans="1:25" s="94" customFormat="1" ht="34.5" customHeight="1">
      <c r="A1728" s="733"/>
      <c r="B1728" s="279" t="s">
        <v>771</v>
      </c>
      <c r="C1728" s="358">
        <f>CEILING(142*$Z$1,0.1)</f>
        <v>177.5</v>
      </c>
      <c r="D1728" s="730"/>
      <c r="E1728" s="730"/>
      <c r="F1728" s="127"/>
      <c r="G1728" s="127"/>
      <c r="H1728" s="127"/>
      <c r="I1728" s="127"/>
      <c r="J1728" s="127"/>
      <c r="K1728" s="489"/>
      <c r="L1728" s="489"/>
      <c r="M1728" s="101"/>
      <c r="N1728" s="92"/>
      <c r="O1728" s="92"/>
      <c r="P1728" s="92"/>
      <c r="Q1728" s="92"/>
      <c r="R1728" s="92"/>
      <c r="S1728" s="92"/>
      <c r="T1728" s="92"/>
      <c r="U1728" s="92"/>
      <c r="V1728" s="92"/>
      <c r="W1728" s="92"/>
      <c r="X1728" s="92"/>
      <c r="Y1728" s="92"/>
    </row>
    <row r="1729" spans="1:25" s="94" customFormat="1" ht="34.5" customHeight="1">
      <c r="A1729" s="372" t="s">
        <v>387</v>
      </c>
      <c r="B1729" s="215" t="s">
        <v>986</v>
      </c>
      <c r="C1729" s="734">
        <f>CEILING(122*$Z$1,0.1)</f>
        <v>152.5</v>
      </c>
      <c r="D1729" s="730"/>
      <c r="E1729" s="730"/>
      <c r="F1729" s="127"/>
      <c r="G1729" s="127"/>
      <c r="H1729" s="127"/>
      <c r="I1729" s="127"/>
      <c r="J1729" s="127"/>
      <c r="K1729" s="344"/>
      <c r="L1729" s="344"/>
      <c r="M1729" s="101"/>
      <c r="N1729" s="92"/>
      <c r="O1729" s="92"/>
      <c r="P1729" s="92"/>
      <c r="Q1729" s="92"/>
      <c r="R1729" s="92"/>
      <c r="S1729" s="92"/>
      <c r="T1729" s="92"/>
      <c r="U1729" s="92"/>
      <c r="V1729" s="92"/>
      <c r="W1729" s="92"/>
      <c r="X1729" s="92"/>
      <c r="Y1729" s="92"/>
    </row>
    <row r="1730" spans="1:25" s="94" customFormat="1" ht="34.5" customHeight="1" thickBot="1">
      <c r="A1730" s="400" t="s">
        <v>292</v>
      </c>
      <c r="B1730" s="453" t="s">
        <v>987</v>
      </c>
      <c r="C1730" s="735">
        <f>CEILING(163*$Z$1,0.1)</f>
        <v>203.8</v>
      </c>
      <c r="D1730" s="736"/>
      <c r="E1730" s="730"/>
      <c r="F1730" s="127"/>
      <c r="G1730" s="127"/>
      <c r="H1730" s="127"/>
      <c r="I1730" s="127"/>
      <c r="J1730" s="127"/>
      <c r="K1730" s="135"/>
      <c r="L1730" s="135"/>
      <c r="M1730" s="101"/>
      <c r="N1730" s="92"/>
      <c r="O1730" s="92"/>
      <c r="P1730" s="92"/>
      <c r="Q1730" s="92"/>
      <c r="R1730" s="92"/>
      <c r="S1730" s="92"/>
      <c r="T1730" s="92"/>
      <c r="U1730" s="92"/>
      <c r="V1730" s="92"/>
      <c r="W1730" s="92"/>
      <c r="X1730" s="92"/>
      <c r="Y1730" s="92"/>
    </row>
    <row r="1731" spans="1:25" s="94" customFormat="1" ht="34.5" customHeight="1" thickTop="1">
      <c r="A1731" s="387" t="s">
        <v>1121</v>
      </c>
      <c r="B1731" s="205"/>
      <c r="C1731" s="191"/>
      <c r="D1731" s="127"/>
      <c r="E1731" s="127"/>
      <c r="F1731" s="127"/>
      <c r="G1731" s="127"/>
      <c r="H1731" s="127"/>
      <c r="I1731" s="127"/>
      <c r="J1731" s="127"/>
      <c r="K1731" s="135"/>
      <c r="L1731" s="135"/>
      <c r="M1731" s="101"/>
      <c r="N1731" s="92"/>
      <c r="O1731" s="92"/>
      <c r="P1731" s="92"/>
      <c r="Q1731" s="92"/>
      <c r="R1731" s="92"/>
      <c r="S1731" s="92"/>
      <c r="T1731" s="92"/>
      <c r="U1731" s="92"/>
      <c r="V1731" s="92"/>
      <c r="W1731" s="92"/>
      <c r="X1731" s="92"/>
      <c r="Y1731" s="92"/>
    </row>
    <row r="1732" spans="1:25" s="94" customFormat="1" ht="34.5" customHeight="1" thickBot="1">
      <c r="A1732" s="397"/>
      <c r="B1732" s="724"/>
      <c r="C1732" s="737"/>
      <c r="D1732" s="724"/>
      <c r="E1732" s="127"/>
      <c r="F1732" s="127"/>
      <c r="G1732" s="127"/>
      <c r="H1732" s="127"/>
      <c r="I1732" s="397"/>
      <c r="J1732" s="724"/>
      <c r="K1732" s="135"/>
      <c r="L1732" s="135"/>
      <c r="M1732" s="101"/>
      <c r="N1732" s="92"/>
      <c r="O1732" s="92"/>
      <c r="P1732" s="92"/>
      <c r="Q1732" s="92"/>
      <c r="R1732" s="92"/>
      <c r="S1732" s="92"/>
      <c r="T1732" s="92"/>
      <c r="U1732" s="92"/>
      <c r="V1732" s="92"/>
      <c r="W1732" s="92"/>
      <c r="X1732" s="92"/>
      <c r="Y1732" s="92"/>
    </row>
    <row r="1733" spans="1:42" s="167" customFormat="1" ht="34.5" customHeight="1" thickTop="1">
      <c r="A1733" s="826" t="s">
        <v>33</v>
      </c>
      <c r="B1733" s="827" t="s">
        <v>86</v>
      </c>
      <c r="C1733" s="828" t="s">
        <v>1113</v>
      </c>
      <c r="D1733" s="829"/>
      <c r="E1733" s="961">
        <v>44926</v>
      </c>
      <c r="F1733" s="831"/>
      <c r="G1733" s="830" t="s">
        <v>1301</v>
      </c>
      <c r="H1733" s="831"/>
      <c r="I1733" s="1332"/>
      <c r="J1733" s="1224"/>
      <c r="K1733" s="1224"/>
      <c r="L1733" s="1224"/>
      <c r="M1733" s="151"/>
      <c r="N1733" s="151"/>
      <c r="O1733" s="166"/>
      <c r="P1733" s="166"/>
      <c r="Q1733" s="166"/>
      <c r="R1733" s="166"/>
      <c r="S1733" s="100"/>
      <c r="T1733" s="92"/>
      <c r="U1733" s="92"/>
      <c r="V1733" s="92"/>
      <c r="W1733" s="92"/>
      <c r="X1733" s="92"/>
      <c r="Y1733" s="92"/>
      <c r="Z1733" s="100"/>
      <c r="AA1733" s="166"/>
      <c r="AB1733" s="166"/>
      <c r="AC1733" s="166"/>
      <c r="AD1733" s="166"/>
      <c r="AE1733" s="166"/>
      <c r="AF1733" s="166"/>
      <c r="AG1733" s="166"/>
      <c r="AH1733" s="166"/>
      <c r="AI1733" s="166"/>
      <c r="AJ1733" s="166"/>
      <c r="AK1733" s="166"/>
      <c r="AL1733" s="166"/>
      <c r="AM1733" s="166"/>
      <c r="AN1733" s="166"/>
      <c r="AO1733" s="166"/>
      <c r="AP1733" s="166"/>
    </row>
    <row r="1734" spans="1:21" s="94" customFormat="1" ht="34.5" customHeight="1">
      <c r="A1734" s="499" t="s">
        <v>838</v>
      </c>
      <c r="B1734" s="190" t="s">
        <v>41</v>
      </c>
      <c r="C1734" s="644">
        <f>CEILING(95*$Z$1,0.1)</f>
        <v>118.80000000000001</v>
      </c>
      <c r="D1734" s="645"/>
      <c r="E1734" s="644">
        <f>CEILING(121*$Z$1,0.1)</f>
        <v>151.3</v>
      </c>
      <c r="F1734" s="645"/>
      <c r="G1734" s="1083">
        <f>CEILING(57*$Z$1,0.1)</f>
        <v>71.3</v>
      </c>
      <c r="H1734" s="1084"/>
      <c r="I1734" s="638"/>
      <c r="J1734" s="638"/>
      <c r="K1734" s="638"/>
      <c r="L1734" s="638"/>
      <c r="M1734" s="97"/>
      <c r="N1734" s="106"/>
      <c r="O1734" s="92"/>
      <c r="P1734" s="92"/>
      <c r="Q1734" s="92"/>
      <c r="R1734" s="92"/>
      <c r="S1734" s="92"/>
      <c r="T1734" s="92"/>
      <c r="U1734" s="92"/>
    </row>
    <row r="1735" spans="1:21" s="94" customFormat="1" ht="34.5" customHeight="1">
      <c r="A1735" s="115" t="s">
        <v>1258</v>
      </c>
      <c r="B1735" s="190" t="s">
        <v>42</v>
      </c>
      <c r="C1735" s="641">
        <f>CEILING(130*$Z$1,0.1)</f>
        <v>162.5</v>
      </c>
      <c r="D1735" s="646"/>
      <c r="E1735" s="641">
        <f>CEILING(156*$Z$1,0.1)</f>
        <v>195</v>
      </c>
      <c r="F1735" s="646"/>
      <c r="G1735" s="1085">
        <f>CEILING(78*$Z$1,0.1)</f>
        <v>97.5</v>
      </c>
      <c r="H1735" s="1086"/>
      <c r="I1735" s="638"/>
      <c r="J1735" s="638"/>
      <c r="K1735" s="638"/>
      <c r="L1735" s="638"/>
      <c r="M1735" s="97"/>
      <c r="N1735" s="106"/>
      <c r="O1735" s="92"/>
      <c r="P1735" s="92"/>
      <c r="Q1735" s="92"/>
      <c r="R1735" s="92"/>
      <c r="S1735" s="92"/>
      <c r="T1735" s="92"/>
      <c r="U1735" s="92"/>
    </row>
    <row r="1736" spans="1:21" s="94" customFormat="1" ht="34.5" customHeight="1">
      <c r="A1736" s="115" t="s">
        <v>1302</v>
      </c>
      <c r="B1736" s="298" t="s">
        <v>67</v>
      </c>
      <c r="C1736" s="641">
        <f>CEILING((C1734*0.85),0.1)</f>
        <v>101</v>
      </c>
      <c r="D1736" s="646"/>
      <c r="E1736" s="641">
        <f>CEILING((E1734*0.85),0.1)</f>
        <v>128.70000000000002</v>
      </c>
      <c r="F1736" s="646"/>
      <c r="G1736" s="1085">
        <f>CEILING((G1734*0.85),0.1)</f>
        <v>60.7</v>
      </c>
      <c r="H1736" s="1086"/>
      <c r="I1736" s="638"/>
      <c r="J1736" s="638"/>
      <c r="K1736" s="638"/>
      <c r="L1736" s="638"/>
      <c r="M1736" s="97"/>
      <c r="N1736" s="106"/>
      <c r="O1736" s="92"/>
      <c r="P1736" s="92"/>
      <c r="Q1736" s="92"/>
      <c r="R1736" s="92"/>
      <c r="S1736" s="92"/>
      <c r="T1736" s="92"/>
      <c r="U1736" s="92"/>
    </row>
    <row r="1737" spans="1:21" s="94" customFormat="1" ht="34.5" customHeight="1">
      <c r="A1737" s="601" t="s">
        <v>291</v>
      </c>
      <c r="B1737" s="281" t="s">
        <v>534</v>
      </c>
      <c r="C1737" s="665">
        <f>CEILING((C1734*0.5),0.1)</f>
        <v>59.400000000000006</v>
      </c>
      <c r="D1737" s="666"/>
      <c r="E1737" s="665">
        <f>CEILING((E1734*0.5),0.1)</f>
        <v>75.7</v>
      </c>
      <c r="F1737" s="666"/>
      <c r="G1737" s="1183">
        <f>CEILING((G1734*0.5),0.1)</f>
        <v>35.7</v>
      </c>
      <c r="H1737" s="1114"/>
      <c r="I1737" s="638"/>
      <c r="J1737" s="638"/>
      <c r="K1737" s="638"/>
      <c r="L1737" s="638"/>
      <c r="M1737" s="106"/>
      <c r="N1737" s="106"/>
      <c r="O1737" s="92"/>
      <c r="P1737" s="92"/>
      <c r="Q1737" s="92"/>
      <c r="R1737" s="92"/>
      <c r="S1737" s="92"/>
      <c r="T1737" s="92"/>
      <c r="U1737" s="92"/>
    </row>
    <row r="1738" spans="1:25" s="94" customFormat="1" ht="34.5" customHeight="1">
      <c r="A1738" s="387" t="s">
        <v>989</v>
      </c>
      <c r="B1738" s="205"/>
      <c r="C1738" s="964"/>
      <c r="D1738" s="967"/>
      <c r="E1738" s="967"/>
      <c r="F1738" s="967"/>
      <c r="G1738" s="967"/>
      <c r="H1738" s="967"/>
      <c r="I1738" s="967"/>
      <c r="J1738" s="967"/>
      <c r="K1738" s="135"/>
      <c r="L1738" s="135"/>
      <c r="M1738" s="101"/>
      <c r="N1738" s="92"/>
      <c r="O1738" s="92"/>
      <c r="P1738" s="92"/>
      <c r="Q1738" s="92"/>
      <c r="R1738" s="92"/>
      <c r="S1738" s="92"/>
      <c r="T1738" s="92"/>
      <c r="U1738" s="92"/>
      <c r="V1738" s="92"/>
      <c r="W1738" s="92"/>
      <c r="X1738" s="92"/>
      <c r="Y1738" s="92"/>
    </row>
    <row r="1739" spans="1:47" s="166" customFormat="1" ht="29.25" customHeight="1" thickBot="1">
      <c r="A1739" s="1047"/>
      <c r="B1739" s="969"/>
      <c r="C1739" s="1047"/>
      <c r="D1739" s="1047"/>
      <c r="E1739" s="1047"/>
      <c r="F1739" s="1047"/>
      <c r="G1739" s="1047"/>
      <c r="H1739" s="1047"/>
      <c r="I1739" s="960"/>
      <c r="J1739" s="960"/>
      <c r="K1739" s="952"/>
      <c r="L1739" s="952"/>
      <c r="M1739" s="317"/>
      <c r="N1739" s="317"/>
      <c r="O1739" s="951"/>
      <c r="P1739" s="951"/>
      <c r="Q1739" s="951"/>
      <c r="R1739" s="951"/>
      <c r="S1739" s="951"/>
      <c r="T1739" s="100"/>
      <c r="U1739" s="100"/>
      <c r="V1739" s="136"/>
      <c r="W1739" s="136"/>
      <c r="X1739" s="136"/>
      <c r="Y1739" s="136"/>
      <c r="Z1739" s="136"/>
      <c r="AA1739" s="951"/>
      <c r="AB1739" s="951"/>
      <c r="AC1739" s="951"/>
      <c r="AD1739" s="951"/>
      <c r="AE1739" s="951"/>
      <c r="AF1739" s="951"/>
      <c r="AG1739" s="951"/>
      <c r="AH1739" s="951"/>
      <c r="AI1739" s="951"/>
      <c r="AJ1739" s="951"/>
      <c r="AK1739" s="951"/>
      <c r="AL1739" s="951"/>
      <c r="AM1739" s="951"/>
      <c r="AN1739" s="951"/>
      <c r="AO1739" s="951"/>
      <c r="AP1739" s="951"/>
      <c r="AQ1739" s="951"/>
      <c r="AR1739" s="951"/>
      <c r="AS1739" s="951"/>
      <c r="AT1739" s="951"/>
      <c r="AU1739" s="951"/>
    </row>
    <row r="1740" spans="1:21" s="133" customFormat="1" ht="34.5" customHeight="1" thickTop="1">
      <c r="A1740" s="826" t="s">
        <v>33</v>
      </c>
      <c r="B1740" s="827" t="s">
        <v>86</v>
      </c>
      <c r="C1740" s="948" t="s">
        <v>1076</v>
      </c>
      <c r="D1740" s="949"/>
      <c r="E1740" s="961" t="s">
        <v>1077</v>
      </c>
      <c r="F1740" s="831"/>
      <c r="G1740" s="830" t="s">
        <v>1078</v>
      </c>
      <c r="H1740" s="831"/>
      <c r="I1740" s="830" t="s">
        <v>852</v>
      </c>
      <c r="J1740" s="831"/>
      <c r="K1740" s="135"/>
      <c r="L1740" s="135"/>
      <c r="M1740" s="106"/>
      <c r="N1740" s="106"/>
      <c r="O1740" s="129"/>
      <c r="P1740" s="129"/>
      <c r="Q1740" s="129"/>
      <c r="R1740" s="129"/>
      <c r="S1740" s="129"/>
      <c r="T1740" s="129"/>
      <c r="U1740" s="129"/>
    </row>
    <row r="1741" spans="1:21" s="133" customFormat="1" ht="34.5" customHeight="1">
      <c r="A1741" s="499" t="s">
        <v>1068</v>
      </c>
      <c r="B1741" s="190" t="s">
        <v>1069</v>
      </c>
      <c r="C1741" s="644">
        <f>CEILING(85*$Z$1,0.1)</f>
        <v>106.30000000000001</v>
      </c>
      <c r="D1741" s="645"/>
      <c r="E1741" s="644">
        <f>CEILING(100*$Z$1,0.1)</f>
        <v>125</v>
      </c>
      <c r="F1741" s="645"/>
      <c r="G1741" s="644">
        <f>CEILING(85*$Z$1,0.1)</f>
        <v>106.30000000000001</v>
      </c>
      <c r="H1741" s="645"/>
      <c r="I1741" s="644">
        <f>CEILING(70*$Z$1,0.1)</f>
        <v>87.5</v>
      </c>
      <c r="J1741" s="645"/>
      <c r="K1741" s="135"/>
      <c r="L1741" s="135"/>
      <c r="M1741" s="106"/>
      <c r="N1741" s="106"/>
      <c r="O1741" s="129"/>
      <c r="P1741" s="129"/>
      <c r="Q1741" s="129"/>
      <c r="R1741" s="129"/>
      <c r="S1741" s="129"/>
      <c r="T1741" s="129"/>
      <c r="U1741" s="129"/>
    </row>
    <row r="1742" spans="1:21" s="133" customFormat="1" ht="34.5" customHeight="1">
      <c r="A1742" s="244" t="s">
        <v>49</v>
      </c>
      <c r="B1742" s="190" t="s">
        <v>1070</v>
      </c>
      <c r="C1742" s="641">
        <f>CEILING(139*$Z$1,0.1)</f>
        <v>173.8</v>
      </c>
      <c r="D1742" s="646"/>
      <c r="E1742" s="641">
        <f>CEILING(169*$Z$1,0.1)</f>
        <v>211.3</v>
      </c>
      <c r="F1742" s="646"/>
      <c r="G1742" s="641">
        <f>CEILING(139*$Z$1,0.1)</f>
        <v>173.8</v>
      </c>
      <c r="H1742" s="646"/>
      <c r="I1742" s="641">
        <f>CEILING(119*$Z$1,0.1)</f>
        <v>148.8</v>
      </c>
      <c r="J1742" s="646"/>
      <c r="K1742" s="135"/>
      <c r="L1742" s="135"/>
      <c r="M1742" s="106"/>
      <c r="N1742" s="106"/>
      <c r="O1742" s="129"/>
      <c r="P1742" s="129"/>
      <c r="Q1742" s="129"/>
      <c r="R1742" s="129"/>
      <c r="S1742" s="129"/>
      <c r="T1742" s="129"/>
      <c r="U1742" s="129"/>
    </row>
    <row r="1743" spans="1:21" s="133" customFormat="1" ht="34.5" customHeight="1">
      <c r="A1743" s="244" t="s">
        <v>1071</v>
      </c>
      <c r="B1743" s="298" t="s">
        <v>1072</v>
      </c>
      <c r="C1743" s="641">
        <f>CEILING(100*$Z$1,0.1)</f>
        <v>125</v>
      </c>
      <c r="D1743" s="646"/>
      <c r="E1743" s="641">
        <f>CEILING(120*$Z$1,0.1)</f>
        <v>150</v>
      </c>
      <c r="F1743" s="646"/>
      <c r="G1743" s="641">
        <f>CEILING(100*$Z$1,0.1)</f>
        <v>125</v>
      </c>
      <c r="H1743" s="646"/>
      <c r="I1743" s="641">
        <f>CEILING(80*$Z$1,0.1)</f>
        <v>100</v>
      </c>
      <c r="J1743" s="646"/>
      <c r="K1743" s="135"/>
      <c r="L1743" s="135"/>
      <c r="M1743" s="106"/>
      <c r="N1743" s="106"/>
      <c r="O1743" s="129"/>
      <c r="P1743" s="129"/>
      <c r="Q1743" s="129"/>
      <c r="R1743" s="129"/>
      <c r="S1743" s="129"/>
      <c r="T1743" s="129"/>
      <c r="U1743" s="129"/>
    </row>
    <row r="1744" spans="1:21" s="133" customFormat="1" ht="34.5" customHeight="1">
      <c r="A1744" s="338" t="s">
        <v>1073</v>
      </c>
      <c r="B1744" s="281" t="s">
        <v>1074</v>
      </c>
      <c r="C1744" s="665">
        <f>CEILING(179*$Z$1,0.1)</f>
        <v>223.8</v>
      </c>
      <c r="D1744" s="666"/>
      <c r="E1744" s="665">
        <f>CEILING(219*$Z$1,0.1)</f>
        <v>273.8</v>
      </c>
      <c r="F1744" s="666"/>
      <c r="G1744" s="665">
        <f>CEILING(179*$Z$1,0.1)</f>
        <v>223.8</v>
      </c>
      <c r="H1744" s="666"/>
      <c r="I1744" s="665">
        <f>CEILING(149*$Z$1,0.1)</f>
        <v>186.3</v>
      </c>
      <c r="J1744" s="666"/>
      <c r="K1744" s="135"/>
      <c r="L1744" s="135"/>
      <c r="M1744" s="106"/>
      <c r="N1744" s="106"/>
      <c r="O1744" s="129"/>
      <c r="P1744" s="129"/>
      <c r="Q1744" s="129"/>
      <c r="R1744" s="129"/>
      <c r="S1744" s="129"/>
      <c r="T1744" s="129"/>
      <c r="U1744" s="129"/>
    </row>
    <row r="1745" spans="1:21" s="133" customFormat="1" ht="34.5" customHeight="1">
      <c r="A1745" s="387" t="s">
        <v>1075</v>
      </c>
      <c r="B1745" s="106"/>
      <c r="C1745" s="1045"/>
      <c r="D1745" s="1045"/>
      <c r="E1745" s="1045"/>
      <c r="F1745" s="1045"/>
      <c r="G1745" s="1045"/>
      <c r="H1745" s="1045"/>
      <c r="I1745" s="1046"/>
      <c r="J1745" s="1046"/>
      <c r="K1745" s="135"/>
      <c r="L1745" s="135"/>
      <c r="M1745" s="106"/>
      <c r="N1745" s="106"/>
      <c r="O1745" s="129"/>
      <c r="P1745" s="129"/>
      <c r="Q1745" s="129"/>
      <c r="R1745" s="129"/>
      <c r="S1745" s="129"/>
      <c r="T1745" s="129"/>
      <c r="U1745" s="129"/>
    </row>
    <row r="1746" spans="1:21" s="133" customFormat="1" ht="34.5" customHeight="1">
      <c r="A1746" s="387" t="s">
        <v>669</v>
      </c>
      <c r="B1746" s="106"/>
      <c r="C1746" s="1045"/>
      <c r="D1746" s="1045"/>
      <c r="E1746" s="1045"/>
      <c r="F1746" s="1045"/>
      <c r="G1746" s="1045"/>
      <c r="H1746" s="1045"/>
      <c r="I1746" s="1046"/>
      <c r="J1746" s="1046"/>
      <c r="K1746" s="135"/>
      <c r="L1746" s="135"/>
      <c r="M1746" s="106"/>
      <c r="N1746" s="106"/>
      <c r="O1746" s="129"/>
      <c r="P1746" s="129"/>
      <c r="Q1746" s="129"/>
      <c r="R1746" s="129"/>
      <c r="S1746" s="129"/>
      <c r="T1746" s="129"/>
      <c r="U1746" s="129"/>
    </row>
    <row r="1747" spans="1:21" s="133" customFormat="1" ht="34.5" customHeight="1">
      <c r="A1747" s="1033" t="s">
        <v>1079</v>
      </c>
      <c r="B1747" s="963"/>
      <c r="C1747" s="1045"/>
      <c r="D1747" s="1045"/>
      <c r="E1747" s="1045"/>
      <c r="F1747" s="1045"/>
      <c r="G1747" s="1045"/>
      <c r="H1747" s="1045"/>
      <c r="I1747" s="1046"/>
      <c r="J1747" s="1046"/>
      <c r="K1747" s="135"/>
      <c r="L1747" s="135"/>
      <c r="M1747" s="106"/>
      <c r="N1747" s="106"/>
      <c r="O1747" s="129"/>
      <c r="P1747" s="129"/>
      <c r="Q1747" s="129"/>
      <c r="R1747" s="129"/>
      <c r="S1747" s="129"/>
      <c r="T1747" s="129"/>
      <c r="U1747" s="129"/>
    </row>
    <row r="1748" spans="1:21" s="133" customFormat="1" ht="34.5" customHeight="1">
      <c r="A1748" s="1033" t="s">
        <v>1080</v>
      </c>
      <c r="B1748" s="963"/>
      <c r="C1748" s="1045"/>
      <c r="D1748" s="1045"/>
      <c r="E1748" s="1045"/>
      <c r="F1748" s="1045"/>
      <c r="G1748" s="1045"/>
      <c r="H1748" s="1045"/>
      <c r="I1748" s="1046"/>
      <c r="J1748" s="1046"/>
      <c r="K1748" s="135"/>
      <c r="L1748" s="135"/>
      <c r="M1748" s="106"/>
      <c r="N1748" s="106"/>
      <c r="O1748" s="129"/>
      <c r="P1748" s="129"/>
      <c r="Q1748" s="129"/>
      <c r="R1748" s="129"/>
      <c r="S1748" s="129"/>
      <c r="T1748" s="129"/>
      <c r="U1748" s="129"/>
    </row>
    <row r="1749" spans="1:21" s="133" customFormat="1" ht="34.5" customHeight="1">
      <c r="A1749" s="1033" t="s">
        <v>1081</v>
      </c>
      <c r="B1749" s="963"/>
      <c r="C1749" s="1045"/>
      <c r="D1749" s="1045"/>
      <c r="E1749" s="1045"/>
      <c r="F1749" s="1045"/>
      <c r="G1749" s="1045"/>
      <c r="H1749" s="1045"/>
      <c r="I1749" s="1046"/>
      <c r="J1749" s="1046"/>
      <c r="K1749" s="135"/>
      <c r="L1749" s="135"/>
      <c r="M1749" s="106"/>
      <c r="N1749" s="106"/>
      <c r="O1749" s="129"/>
      <c r="P1749" s="129"/>
      <c r="Q1749" s="129"/>
      <c r="R1749" s="129"/>
      <c r="S1749" s="129"/>
      <c r="T1749" s="129"/>
      <c r="U1749" s="129"/>
    </row>
    <row r="1750" spans="1:21" s="133" customFormat="1" ht="34.5" customHeight="1">
      <c r="A1750" s="1033" t="s">
        <v>1082</v>
      </c>
      <c r="B1750" s="963"/>
      <c r="C1750" s="1045"/>
      <c r="D1750" s="1045"/>
      <c r="E1750" s="1045"/>
      <c r="F1750" s="1045"/>
      <c r="G1750" s="1045"/>
      <c r="H1750" s="1045"/>
      <c r="I1750" s="1046"/>
      <c r="J1750" s="1046"/>
      <c r="K1750" s="135"/>
      <c r="L1750" s="135"/>
      <c r="M1750" s="106"/>
      <c r="N1750" s="106"/>
      <c r="O1750" s="129"/>
      <c r="P1750" s="129"/>
      <c r="Q1750" s="129"/>
      <c r="R1750" s="129"/>
      <c r="S1750" s="129"/>
      <c r="T1750" s="129"/>
      <c r="U1750" s="129"/>
    </row>
    <row r="1751" spans="1:21" s="133" customFormat="1" ht="34.5" customHeight="1">
      <c r="A1751" s="1033" t="s">
        <v>1083</v>
      </c>
      <c r="B1751" s="963"/>
      <c r="C1751" s="1045"/>
      <c r="D1751" s="1045"/>
      <c r="E1751" s="1045"/>
      <c r="F1751" s="1045"/>
      <c r="G1751" s="1045"/>
      <c r="H1751" s="1045"/>
      <c r="I1751" s="1046"/>
      <c r="J1751" s="1046"/>
      <c r="K1751" s="135"/>
      <c r="L1751" s="135"/>
      <c r="M1751" s="106"/>
      <c r="N1751" s="106"/>
      <c r="O1751" s="129"/>
      <c r="P1751" s="129"/>
      <c r="Q1751" s="129"/>
      <c r="R1751" s="129"/>
      <c r="S1751" s="129"/>
      <c r="T1751" s="129"/>
      <c r="U1751" s="129"/>
    </row>
    <row r="1752" spans="1:256" s="121" customFormat="1" ht="34.5" customHeight="1" thickBot="1">
      <c r="A1752" s="234"/>
      <c r="B1752" s="106"/>
      <c r="C1752" s="127"/>
      <c r="D1752" s="379"/>
      <c r="E1752" s="379"/>
      <c r="F1752" s="379"/>
      <c r="G1752" s="379"/>
      <c r="H1752" s="379"/>
      <c r="I1752" s="379"/>
      <c r="J1752" s="101"/>
      <c r="K1752" s="135"/>
      <c r="L1752" s="135"/>
      <c r="M1752" s="127"/>
      <c r="N1752" s="127"/>
      <c r="O1752" s="127"/>
      <c r="P1752" s="127"/>
      <c r="Q1752" s="397"/>
      <c r="R1752" s="724"/>
      <c r="S1752" s="737"/>
      <c r="T1752" s="724"/>
      <c r="U1752" s="127"/>
      <c r="V1752" s="127"/>
      <c r="W1752" s="127"/>
      <c r="X1752" s="127"/>
      <c r="Y1752" s="397"/>
      <c r="Z1752" s="724"/>
      <c r="AA1752" s="737"/>
      <c r="AB1752" s="724"/>
      <c r="AC1752" s="127"/>
      <c r="AD1752" s="127"/>
      <c r="AE1752" s="127"/>
      <c r="AF1752" s="127"/>
      <c r="AG1752" s="397"/>
      <c r="AH1752" s="724"/>
      <c r="AI1752" s="737"/>
      <c r="AJ1752" s="724"/>
      <c r="AK1752" s="127"/>
      <c r="AL1752" s="127"/>
      <c r="AM1752" s="127"/>
      <c r="AN1752" s="127"/>
      <c r="AO1752" s="397"/>
      <c r="AP1752" s="724"/>
      <c r="AQ1752" s="737"/>
      <c r="AR1752" s="724"/>
      <c r="AS1752" s="127"/>
      <c r="AT1752" s="127"/>
      <c r="AU1752" s="127"/>
      <c r="AV1752" s="127"/>
      <c r="AW1752" s="397"/>
      <c r="AX1752" s="724"/>
      <c r="AY1752" s="737"/>
      <c r="AZ1752" s="724"/>
      <c r="BA1752" s="127"/>
      <c r="BB1752" s="127"/>
      <c r="BC1752" s="127"/>
      <c r="BD1752" s="127"/>
      <c r="BE1752" s="397"/>
      <c r="BF1752" s="724"/>
      <c r="BG1752" s="737"/>
      <c r="BH1752" s="724"/>
      <c r="BI1752" s="127"/>
      <c r="BJ1752" s="127"/>
      <c r="BK1752" s="127"/>
      <c r="BL1752" s="127"/>
      <c r="BM1752" s="397"/>
      <c r="BN1752" s="724"/>
      <c r="BO1752" s="737"/>
      <c r="BP1752" s="724"/>
      <c r="BQ1752" s="127"/>
      <c r="BR1752" s="127"/>
      <c r="BS1752" s="127"/>
      <c r="BT1752" s="127"/>
      <c r="BU1752" s="397"/>
      <c r="BV1752" s="724"/>
      <c r="BW1752" s="737"/>
      <c r="BX1752" s="724"/>
      <c r="BY1752" s="127"/>
      <c r="BZ1752" s="127"/>
      <c r="CA1752" s="127"/>
      <c r="CB1752" s="127"/>
      <c r="CC1752" s="397"/>
      <c r="CD1752" s="724"/>
      <c r="CE1752" s="737"/>
      <c r="CF1752" s="724"/>
      <c r="CG1752" s="127"/>
      <c r="CH1752" s="127"/>
      <c r="CI1752" s="127"/>
      <c r="CJ1752" s="127"/>
      <c r="CK1752" s="397"/>
      <c r="CL1752" s="724"/>
      <c r="CM1752" s="737"/>
      <c r="CN1752" s="724"/>
      <c r="CO1752" s="127"/>
      <c r="CP1752" s="127"/>
      <c r="CQ1752" s="127"/>
      <c r="CR1752" s="127"/>
      <c r="CS1752" s="397"/>
      <c r="CT1752" s="724"/>
      <c r="CU1752" s="737"/>
      <c r="CV1752" s="724"/>
      <c r="CW1752" s="127"/>
      <c r="CX1752" s="127"/>
      <c r="CY1752" s="127"/>
      <c r="CZ1752" s="127"/>
      <c r="DA1752" s="397"/>
      <c r="DB1752" s="724"/>
      <c r="DC1752" s="737"/>
      <c r="DD1752" s="724"/>
      <c r="DE1752" s="127"/>
      <c r="DF1752" s="127"/>
      <c r="DG1752" s="127"/>
      <c r="DH1752" s="127"/>
      <c r="DI1752" s="397"/>
      <c r="DJ1752" s="724"/>
      <c r="DK1752" s="737"/>
      <c r="DL1752" s="724"/>
      <c r="DM1752" s="127"/>
      <c r="DN1752" s="127"/>
      <c r="DO1752" s="127"/>
      <c r="DP1752" s="127"/>
      <c r="DQ1752" s="397"/>
      <c r="DR1752" s="724"/>
      <c r="DS1752" s="737"/>
      <c r="DT1752" s="724"/>
      <c r="DU1752" s="127"/>
      <c r="DV1752" s="127"/>
      <c r="DW1752" s="127"/>
      <c r="DX1752" s="127"/>
      <c r="DY1752" s="397"/>
      <c r="DZ1752" s="724"/>
      <c r="EA1752" s="737"/>
      <c r="EB1752" s="724"/>
      <c r="EC1752" s="127"/>
      <c r="ED1752" s="127"/>
      <c r="EE1752" s="127"/>
      <c r="EF1752" s="127"/>
      <c r="EG1752" s="397"/>
      <c r="EH1752" s="724"/>
      <c r="EI1752" s="737"/>
      <c r="EJ1752" s="724"/>
      <c r="EK1752" s="127"/>
      <c r="EL1752" s="127"/>
      <c r="EM1752" s="127"/>
      <c r="EN1752" s="127"/>
      <c r="EO1752" s="397"/>
      <c r="EP1752" s="724"/>
      <c r="EQ1752" s="737"/>
      <c r="ER1752" s="724"/>
      <c r="ES1752" s="127"/>
      <c r="ET1752" s="127"/>
      <c r="EU1752" s="127"/>
      <c r="EV1752" s="127"/>
      <c r="EW1752" s="397"/>
      <c r="EX1752" s="724"/>
      <c r="EY1752" s="737"/>
      <c r="EZ1752" s="724"/>
      <c r="FA1752" s="127"/>
      <c r="FB1752" s="127"/>
      <c r="FC1752" s="127"/>
      <c r="FD1752" s="127"/>
      <c r="FE1752" s="397"/>
      <c r="FF1752" s="724"/>
      <c r="FG1752" s="737"/>
      <c r="FH1752" s="724"/>
      <c r="FI1752" s="127"/>
      <c r="FJ1752" s="127"/>
      <c r="FK1752" s="127"/>
      <c r="FL1752" s="127"/>
      <c r="FM1752" s="397"/>
      <c r="FN1752" s="724"/>
      <c r="FO1752" s="737"/>
      <c r="FP1752" s="724"/>
      <c r="FQ1752" s="127"/>
      <c r="FR1752" s="127"/>
      <c r="FS1752" s="127"/>
      <c r="FT1752" s="127"/>
      <c r="FU1752" s="397"/>
      <c r="FV1752" s="724"/>
      <c r="FW1752" s="737"/>
      <c r="FX1752" s="724"/>
      <c r="FY1752" s="127"/>
      <c r="FZ1752" s="127"/>
      <c r="GA1752" s="127"/>
      <c r="GB1752" s="127"/>
      <c r="GC1752" s="397"/>
      <c r="GD1752" s="724"/>
      <c r="GE1752" s="737"/>
      <c r="GF1752" s="724"/>
      <c r="GG1752" s="127"/>
      <c r="GH1752" s="127"/>
      <c r="GI1752" s="127"/>
      <c r="GJ1752" s="127"/>
      <c r="GK1752" s="397"/>
      <c r="GL1752" s="724"/>
      <c r="GM1752" s="737"/>
      <c r="GN1752" s="724"/>
      <c r="GO1752" s="127"/>
      <c r="GP1752" s="127"/>
      <c r="GQ1752" s="127"/>
      <c r="GR1752" s="127"/>
      <c r="GS1752" s="397"/>
      <c r="GT1752" s="724"/>
      <c r="GU1752" s="737"/>
      <c r="GV1752" s="724"/>
      <c r="GW1752" s="127"/>
      <c r="GX1752" s="127"/>
      <c r="GY1752" s="127"/>
      <c r="GZ1752" s="127"/>
      <c r="HA1752" s="397"/>
      <c r="HB1752" s="724"/>
      <c r="HC1752" s="737"/>
      <c r="HD1752" s="724"/>
      <c r="HE1752" s="127"/>
      <c r="HF1752" s="127"/>
      <c r="HG1752" s="127"/>
      <c r="HH1752" s="127"/>
      <c r="HI1752" s="397"/>
      <c r="HJ1752" s="724"/>
      <c r="HK1752" s="737"/>
      <c r="HL1752" s="724"/>
      <c r="HM1752" s="127"/>
      <c r="HN1752" s="127"/>
      <c r="HO1752" s="127"/>
      <c r="HP1752" s="127"/>
      <c r="HQ1752" s="397"/>
      <c r="HR1752" s="724"/>
      <c r="HS1752" s="737"/>
      <c r="HT1752" s="724"/>
      <c r="HU1752" s="127"/>
      <c r="HV1752" s="127"/>
      <c r="HW1752" s="127"/>
      <c r="HX1752" s="127"/>
      <c r="HY1752" s="397"/>
      <c r="HZ1752" s="724"/>
      <c r="IA1752" s="737"/>
      <c r="IB1752" s="724"/>
      <c r="IC1752" s="127"/>
      <c r="ID1752" s="127"/>
      <c r="IE1752" s="127"/>
      <c r="IF1752" s="127"/>
      <c r="IG1752" s="397"/>
      <c r="IH1752" s="724"/>
      <c r="II1752" s="737"/>
      <c r="IJ1752" s="724"/>
      <c r="IK1752" s="127"/>
      <c r="IL1752" s="127"/>
      <c r="IM1752" s="127"/>
      <c r="IN1752" s="127"/>
      <c r="IO1752" s="397"/>
      <c r="IP1752" s="724"/>
      <c r="IQ1752" s="737"/>
      <c r="IR1752" s="724"/>
      <c r="IS1752" s="127"/>
      <c r="IT1752" s="127"/>
      <c r="IU1752" s="127"/>
      <c r="IV1752" s="127"/>
    </row>
    <row r="1753" spans="1:42" s="167" customFormat="1" ht="34.5" customHeight="1" thickTop="1">
      <c r="A1753" s="826" t="s">
        <v>33</v>
      </c>
      <c r="B1753" s="827" t="s">
        <v>86</v>
      </c>
      <c r="C1753" s="828" t="s">
        <v>956</v>
      </c>
      <c r="D1753" s="829"/>
      <c r="E1753" s="961">
        <v>44926</v>
      </c>
      <c r="F1753" s="831"/>
      <c r="G1753" s="830" t="s">
        <v>957</v>
      </c>
      <c r="H1753" s="831"/>
      <c r="I1753" s="1224"/>
      <c r="J1753" s="1281"/>
      <c r="K1753" s="1224"/>
      <c r="L1753" s="1224"/>
      <c r="M1753" s="151"/>
      <c r="N1753" s="151"/>
      <c r="O1753" s="166"/>
      <c r="P1753" s="166"/>
      <c r="Q1753" s="166"/>
      <c r="R1753" s="166"/>
      <c r="S1753" s="100"/>
      <c r="T1753" s="92"/>
      <c r="U1753" s="92"/>
      <c r="V1753" s="92"/>
      <c r="W1753" s="92"/>
      <c r="X1753" s="92"/>
      <c r="Y1753" s="92"/>
      <c r="Z1753" s="100"/>
      <c r="AA1753" s="166"/>
      <c r="AB1753" s="166"/>
      <c r="AC1753" s="166"/>
      <c r="AD1753" s="166"/>
      <c r="AE1753" s="166"/>
      <c r="AF1753" s="166"/>
      <c r="AG1753" s="166"/>
      <c r="AH1753" s="166"/>
      <c r="AI1753" s="166"/>
      <c r="AJ1753" s="166"/>
      <c r="AK1753" s="166"/>
      <c r="AL1753" s="166"/>
      <c r="AM1753" s="166"/>
      <c r="AN1753" s="166"/>
      <c r="AO1753" s="166"/>
      <c r="AP1753" s="166"/>
    </row>
    <row r="1754" spans="1:21" s="121" customFormat="1" ht="34.5" customHeight="1">
      <c r="A1754" s="499" t="s">
        <v>121</v>
      </c>
      <c r="B1754" s="190" t="s">
        <v>233</v>
      </c>
      <c r="C1754" s="644">
        <f>CEILING(85*$Z$1,0.1)</f>
        <v>106.30000000000001</v>
      </c>
      <c r="D1754" s="645"/>
      <c r="E1754" s="644">
        <f>CEILING(125*$Z$1,0.1)</f>
        <v>156.3</v>
      </c>
      <c r="F1754" s="645"/>
      <c r="G1754" s="644">
        <f>CEILING(85*$Z$1,0.1)</f>
        <v>106.30000000000001</v>
      </c>
      <c r="H1754" s="645"/>
      <c r="I1754" s="638"/>
      <c r="J1754" s="638"/>
      <c r="K1754" s="638"/>
      <c r="L1754" s="638"/>
      <c r="M1754" s="106"/>
      <c r="N1754" s="106"/>
      <c r="O1754" s="101"/>
      <c r="P1754" s="101"/>
      <c r="Q1754" s="101"/>
      <c r="R1754" s="101"/>
      <c r="S1754" s="101"/>
      <c r="T1754" s="101"/>
      <c r="U1754" s="101"/>
    </row>
    <row r="1755" spans="1:21" s="121" customFormat="1" ht="34.5" customHeight="1">
      <c r="A1755" s="244" t="s">
        <v>49</v>
      </c>
      <c r="B1755" s="190" t="s">
        <v>234</v>
      </c>
      <c r="C1755" s="641">
        <f>CEILING(120*$Z$1,0.1)</f>
        <v>150</v>
      </c>
      <c r="D1755" s="646"/>
      <c r="E1755" s="641">
        <f>CEILING(135*$Z$1,0.1)</f>
        <v>168.8</v>
      </c>
      <c r="F1755" s="646"/>
      <c r="G1755" s="641">
        <f>CEILING(120*$Z$1,0.1)</f>
        <v>150</v>
      </c>
      <c r="H1755" s="646"/>
      <c r="I1755" s="638"/>
      <c r="J1755" s="638"/>
      <c r="K1755" s="638"/>
      <c r="L1755" s="638"/>
      <c r="M1755" s="106"/>
      <c r="N1755" s="106"/>
      <c r="O1755" s="101"/>
      <c r="P1755" s="101"/>
      <c r="Q1755" s="101"/>
      <c r="R1755" s="101"/>
      <c r="S1755" s="101"/>
      <c r="T1755" s="101"/>
      <c r="U1755" s="101"/>
    </row>
    <row r="1756" spans="1:21" s="121" customFormat="1" ht="34.5" customHeight="1">
      <c r="A1756" s="244"/>
      <c r="B1756" s="298" t="s">
        <v>235</v>
      </c>
      <c r="C1756" s="641">
        <f>CEILING((C1754*0.85),0.1)</f>
        <v>90.4</v>
      </c>
      <c r="D1756" s="646"/>
      <c r="E1756" s="641">
        <f>CEILING((E1754*0.85),0.1)</f>
        <v>132.9</v>
      </c>
      <c r="F1756" s="646"/>
      <c r="G1756" s="641">
        <f>CEILING((G1754*0.85),0.1)</f>
        <v>90.4</v>
      </c>
      <c r="H1756" s="646"/>
      <c r="I1756" s="638"/>
      <c r="J1756" s="638"/>
      <c r="K1756" s="638"/>
      <c r="L1756" s="638"/>
      <c r="M1756" s="106"/>
      <c r="N1756" s="106"/>
      <c r="O1756" s="101"/>
      <c r="P1756" s="101"/>
      <c r="Q1756" s="101"/>
      <c r="R1756" s="101"/>
      <c r="S1756" s="101"/>
      <c r="T1756" s="101"/>
      <c r="U1756" s="101"/>
    </row>
    <row r="1757" spans="1:21" s="121" customFormat="1" ht="34.5" customHeight="1">
      <c r="A1757" s="115"/>
      <c r="B1757" s="298" t="s">
        <v>1111</v>
      </c>
      <c r="C1757" s="641">
        <f>CEILING((C1754*0.5),0.1)</f>
        <v>53.2</v>
      </c>
      <c r="D1757" s="646"/>
      <c r="E1757" s="641">
        <f>CEILING((E1754*0.5),0.1)</f>
        <v>78.2</v>
      </c>
      <c r="F1757" s="646"/>
      <c r="G1757" s="641">
        <f>CEILING((G1754*0.5),0.1)</f>
        <v>53.2</v>
      </c>
      <c r="H1757" s="646"/>
      <c r="I1757" s="638"/>
      <c r="J1757" s="638"/>
      <c r="K1757" s="638"/>
      <c r="L1757" s="638"/>
      <c r="M1757" s="106"/>
      <c r="N1757" s="106"/>
      <c r="O1757" s="101"/>
      <c r="P1757" s="101"/>
      <c r="Q1757" s="101"/>
      <c r="R1757" s="101"/>
      <c r="S1757" s="101"/>
      <c r="T1757" s="101"/>
      <c r="U1757" s="101"/>
    </row>
    <row r="1758" spans="1:21" s="121" customFormat="1" ht="34.5" customHeight="1">
      <c r="A1758" s="244"/>
      <c r="B1758" s="298" t="s">
        <v>236</v>
      </c>
      <c r="C1758" s="641">
        <f>CEILING(90*$Z$1,0.1)</f>
        <v>112.5</v>
      </c>
      <c r="D1758" s="646"/>
      <c r="E1758" s="641">
        <f>CEILING(105*$Z$1,0.1)</f>
        <v>131.3</v>
      </c>
      <c r="F1758" s="646"/>
      <c r="G1758" s="641">
        <f>CEILING(90*$Z$1,0.1)</f>
        <v>112.5</v>
      </c>
      <c r="H1758" s="646"/>
      <c r="I1758" s="638"/>
      <c r="J1758" s="638"/>
      <c r="K1758" s="638"/>
      <c r="L1758" s="638"/>
      <c r="M1758" s="106"/>
      <c r="N1758" s="106"/>
      <c r="O1758" s="101"/>
      <c r="P1758" s="101"/>
      <c r="Q1758" s="101"/>
      <c r="R1758" s="101"/>
      <c r="S1758" s="101"/>
      <c r="T1758" s="101"/>
      <c r="U1758" s="101"/>
    </row>
    <row r="1759" spans="1:21" s="121" customFormat="1" ht="34.5" customHeight="1">
      <c r="A1759" s="115"/>
      <c r="B1759" s="190" t="s">
        <v>237</v>
      </c>
      <c r="C1759" s="641">
        <f>CEILING(130*$Z$1,0.1)</f>
        <v>162.5</v>
      </c>
      <c r="D1759" s="646"/>
      <c r="E1759" s="641">
        <f>CEILING(145*$Z$1,0.1)</f>
        <v>181.3</v>
      </c>
      <c r="F1759" s="646"/>
      <c r="G1759" s="641">
        <f>CEILING(130*$Z$1,0.1)</f>
        <v>162.5</v>
      </c>
      <c r="H1759" s="646"/>
      <c r="I1759" s="638"/>
      <c r="J1759" s="638"/>
      <c r="K1759" s="638"/>
      <c r="L1759" s="638"/>
      <c r="M1759" s="106"/>
      <c r="N1759" s="106"/>
      <c r="O1759" s="101"/>
      <c r="P1759" s="101"/>
      <c r="Q1759" s="101"/>
      <c r="R1759" s="96"/>
      <c r="S1759" s="96"/>
      <c r="T1759" s="101"/>
      <c r="U1759" s="101"/>
    </row>
    <row r="1760" spans="1:21" s="121" customFormat="1" ht="34.5" customHeight="1">
      <c r="A1760" s="244"/>
      <c r="B1760" s="298" t="s">
        <v>238</v>
      </c>
      <c r="C1760" s="641">
        <f>CEILING((C1758*0.85),0.1)</f>
        <v>95.7</v>
      </c>
      <c r="D1760" s="646"/>
      <c r="E1760" s="641">
        <f>CEILING((E1758*0.85),0.1)</f>
        <v>111.7</v>
      </c>
      <c r="F1760" s="646"/>
      <c r="G1760" s="641">
        <f>CEILING((G1758*0.85),0.1)</f>
        <v>95.7</v>
      </c>
      <c r="H1760" s="646"/>
      <c r="I1760" s="638"/>
      <c r="J1760" s="638"/>
      <c r="K1760" s="638"/>
      <c r="L1760" s="638"/>
      <c r="M1760" s="106"/>
      <c r="N1760" s="101"/>
      <c r="O1760" s="101"/>
      <c r="P1760" s="101"/>
      <c r="Q1760" s="101"/>
      <c r="R1760" s="635"/>
      <c r="S1760" s="635"/>
      <c r="T1760" s="101"/>
      <c r="U1760" s="101"/>
    </row>
    <row r="1761" spans="1:21" s="121" customFormat="1" ht="34.5" customHeight="1">
      <c r="A1761" s="244"/>
      <c r="B1761" s="298" t="s">
        <v>1112</v>
      </c>
      <c r="C1761" s="641">
        <f>CEILING((C1758*0.5),0.1)</f>
        <v>56.300000000000004</v>
      </c>
      <c r="D1761" s="646"/>
      <c r="E1761" s="641">
        <f>CEILING((E1758*0.5),0.1)</f>
        <v>65.7</v>
      </c>
      <c r="F1761" s="646"/>
      <c r="G1761" s="641">
        <f>CEILING((G1758*0.5),0.1)</f>
        <v>56.300000000000004</v>
      </c>
      <c r="H1761" s="646"/>
      <c r="I1761" s="638"/>
      <c r="J1761" s="638"/>
      <c r="K1761" s="638"/>
      <c r="L1761" s="638"/>
      <c r="M1761" s="101"/>
      <c r="N1761" s="101"/>
      <c r="O1761" s="101"/>
      <c r="P1761" s="101"/>
      <c r="Q1761" s="101"/>
      <c r="R1761" s="127"/>
      <c r="S1761" s="127"/>
      <c r="T1761" s="101"/>
      <c r="U1761" s="101"/>
    </row>
    <row r="1762" spans="1:256" s="121" customFormat="1" ht="34.5" customHeight="1">
      <c r="A1762" s="601" t="s">
        <v>290</v>
      </c>
      <c r="B1762" s="281" t="s">
        <v>229</v>
      </c>
      <c r="C1762" s="665">
        <f>CEILING(105*$Z$1,0.1)</f>
        <v>131.3</v>
      </c>
      <c r="D1762" s="666"/>
      <c r="E1762" s="665">
        <f>CEILING(120*$Z$1,0.1)</f>
        <v>150</v>
      </c>
      <c r="F1762" s="666"/>
      <c r="G1762" s="665">
        <f>CEILING(105*$Z$1,0.1)</f>
        <v>131.3</v>
      </c>
      <c r="H1762" s="666"/>
      <c r="I1762" s="638"/>
      <c r="J1762" s="638"/>
      <c r="K1762" s="638"/>
      <c r="L1762" s="638"/>
      <c r="M1762" s="127"/>
      <c r="N1762" s="127"/>
      <c r="O1762" s="127"/>
      <c r="P1762" s="127"/>
      <c r="Q1762" s="397"/>
      <c r="R1762" s="724"/>
      <c r="S1762" s="737"/>
      <c r="T1762" s="724"/>
      <c r="U1762" s="127"/>
      <c r="V1762" s="127"/>
      <c r="W1762" s="127"/>
      <c r="X1762" s="127"/>
      <c r="Y1762" s="397"/>
      <c r="Z1762" s="724"/>
      <c r="AA1762" s="737"/>
      <c r="AB1762" s="724"/>
      <c r="AC1762" s="127"/>
      <c r="AD1762" s="127"/>
      <c r="AE1762" s="127"/>
      <c r="AF1762" s="127"/>
      <c r="AG1762" s="397"/>
      <c r="AH1762" s="724"/>
      <c r="AI1762" s="737"/>
      <c r="AJ1762" s="724"/>
      <c r="AK1762" s="127"/>
      <c r="AL1762" s="127"/>
      <c r="AM1762" s="127"/>
      <c r="AN1762" s="127"/>
      <c r="AO1762" s="397"/>
      <c r="AP1762" s="724"/>
      <c r="AQ1762" s="737"/>
      <c r="AR1762" s="724"/>
      <c r="AS1762" s="127"/>
      <c r="AT1762" s="127"/>
      <c r="AU1762" s="127"/>
      <c r="AV1762" s="127"/>
      <c r="AW1762" s="397"/>
      <c r="AX1762" s="724"/>
      <c r="AY1762" s="737"/>
      <c r="AZ1762" s="724"/>
      <c r="BA1762" s="127"/>
      <c r="BB1762" s="127"/>
      <c r="BC1762" s="127"/>
      <c r="BD1762" s="127"/>
      <c r="BE1762" s="397"/>
      <c r="BF1762" s="724"/>
      <c r="BG1762" s="737"/>
      <c r="BH1762" s="724"/>
      <c r="BI1762" s="127"/>
      <c r="BJ1762" s="127"/>
      <c r="BK1762" s="127"/>
      <c r="BL1762" s="127"/>
      <c r="BM1762" s="397"/>
      <c r="BN1762" s="724"/>
      <c r="BO1762" s="737"/>
      <c r="BP1762" s="724"/>
      <c r="BQ1762" s="127"/>
      <c r="BR1762" s="127"/>
      <c r="BS1762" s="127"/>
      <c r="BT1762" s="127"/>
      <c r="BU1762" s="397"/>
      <c r="BV1762" s="724"/>
      <c r="BW1762" s="737"/>
      <c r="BX1762" s="724"/>
      <c r="BY1762" s="127"/>
      <c r="BZ1762" s="127"/>
      <c r="CA1762" s="127"/>
      <c r="CB1762" s="127"/>
      <c r="CC1762" s="397"/>
      <c r="CD1762" s="724"/>
      <c r="CE1762" s="737"/>
      <c r="CF1762" s="724"/>
      <c r="CG1762" s="127"/>
      <c r="CH1762" s="127"/>
      <c r="CI1762" s="127"/>
      <c r="CJ1762" s="127"/>
      <c r="CK1762" s="397"/>
      <c r="CL1762" s="724"/>
      <c r="CM1762" s="737"/>
      <c r="CN1762" s="724"/>
      <c r="CO1762" s="127"/>
      <c r="CP1762" s="127"/>
      <c r="CQ1762" s="127"/>
      <c r="CR1762" s="127"/>
      <c r="CS1762" s="397"/>
      <c r="CT1762" s="724"/>
      <c r="CU1762" s="737"/>
      <c r="CV1762" s="724"/>
      <c r="CW1762" s="127"/>
      <c r="CX1762" s="127"/>
      <c r="CY1762" s="127"/>
      <c r="CZ1762" s="127"/>
      <c r="DA1762" s="397"/>
      <c r="DB1762" s="724"/>
      <c r="DC1762" s="737"/>
      <c r="DD1762" s="724"/>
      <c r="DE1762" s="127"/>
      <c r="DF1762" s="127"/>
      <c r="DG1762" s="127"/>
      <c r="DH1762" s="127"/>
      <c r="DI1762" s="397"/>
      <c r="DJ1762" s="724"/>
      <c r="DK1762" s="737"/>
      <c r="DL1762" s="724"/>
      <c r="DM1762" s="127"/>
      <c r="DN1762" s="127"/>
      <c r="DO1762" s="127"/>
      <c r="DP1762" s="127"/>
      <c r="DQ1762" s="397"/>
      <c r="DR1762" s="724"/>
      <c r="DS1762" s="737"/>
      <c r="DT1762" s="724"/>
      <c r="DU1762" s="127"/>
      <c r="DV1762" s="127"/>
      <c r="DW1762" s="127"/>
      <c r="DX1762" s="127"/>
      <c r="DY1762" s="397"/>
      <c r="DZ1762" s="724"/>
      <c r="EA1762" s="737"/>
      <c r="EB1762" s="724"/>
      <c r="EC1762" s="127"/>
      <c r="ED1762" s="127"/>
      <c r="EE1762" s="127"/>
      <c r="EF1762" s="127"/>
      <c r="EG1762" s="397"/>
      <c r="EH1762" s="724"/>
      <c r="EI1762" s="737"/>
      <c r="EJ1762" s="724"/>
      <c r="EK1762" s="127"/>
      <c r="EL1762" s="127"/>
      <c r="EM1762" s="127"/>
      <c r="EN1762" s="127"/>
      <c r="EO1762" s="397"/>
      <c r="EP1762" s="724"/>
      <c r="EQ1762" s="737"/>
      <c r="ER1762" s="724"/>
      <c r="ES1762" s="127"/>
      <c r="ET1762" s="127"/>
      <c r="EU1762" s="127"/>
      <c r="EV1762" s="127"/>
      <c r="EW1762" s="397"/>
      <c r="EX1762" s="724"/>
      <c r="EY1762" s="737"/>
      <c r="EZ1762" s="724"/>
      <c r="FA1762" s="127"/>
      <c r="FB1762" s="127"/>
      <c r="FC1762" s="127"/>
      <c r="FD1762" s="127"/>
      <c r="FE1762" s="397"/>
      <c r="FF1762" s="724"/>
      <c r="FG1762" s="737"/>
      <c r="FH1762" s="724"/>
      <c r="FI1762" s="127"/>
      <c r="FJ1762" s="127"/>
      <c r="FK1762" s="127"/>
      <c r="FL1762" s="127"/>
      <c r="FM1762" s="397"/>
      <c r="FN1762" s="724"/>
      <c r="FO1762" s="737"/>
      <c r="FP1762" s="724"/>
      <c r="FQ1762" s="127"/>
      <c r="FR1762" s="127"/>
      <c r="FS1762" s="127"/>
      <c r="FT1762" s="127"/>
      <c r="FU1762" s="397"/>
      <c r="FV1762" s="724"/>
      <c r="FW1762" s="737"/>
      <c r="FX1762" s="724"/>
      <c r="FY1762" s="127"/>
      <c r="FZ1762" s="127"/>
      <c r="GA1762" s="127"/>
      <c r="GB1762" s="127"/>
      <c r="GC1762" s="397"/>
      <c r="GD1762" s="724"/>
      <c r="GE1762" s="737"/>
      <c r="GF1762" s="724"/>
      <c r="GG1762" s="127"/>
      <c r="GH1762" s="127"/>
      <c r="GI1762" s="127"/>
      <c r="GJ1762" s="127"/>
      <c r="GK1762" s="397"/>
      <c r="GL1762" s="724"/>
      <c r="GM1762" s="737"/>
      <c r="GN1762" s="724"/>
      <c r="GO1762" s="127"/>
      <c r="GP1762" s="127"/>
      <c r="GQ1762" s="127"/>
      <c r="GR1762" s="127"/>
      <c r="GS1762" s="397"/>
      <c r="GT1762" s="724"/>
      <c r="GU1762" s="737"/>
      <c r="GV1762" s="724"/>
      <c r="GW1762" s="127"/>
      <c r="GX1762" s="127"/>
      <c r="GY1762" s="127"/>
      <c r="GZ1762" s="127"/>
      <c r="HA1762" s="397"/>
      <c r="HB1762" s="724"/>
      <c r="HC1762" s="737"/>
      <c r="HD1762" s="724"/>
      <c r="HE1762" s="127"/>
      <c r="HF1762" s="127"/>
      <c r="HG1762" s="127"/>
      <c r="HH1762" s="127"/>
      <c r="HI1762" s="397"/>
      <c r="HJ1762" s="724"/>
      <c r="HK1762" s="737"/>
      <c r="HL1762" s="724"/>
      <c r="HM1762" s="127"/>
      <c r="HN1762" s="127"/>
      <c r="HO1762" s="127"/>
      <c r="HP1762" s="127"/>
      <c r="HQ1762" s="397"/>
      <c r="HR1762" s="724"/>
      <c r="HS1762" s="737"/>
      <c r="HT1762" s="724"/>
      <c r="HU1762" s="127"/>
      <c r="HV1762" s="127"/>
      <c r="HW1762" s="127"/>
      <c r="HX1762" s="127"/>
      <c r="HY1762" s="397"/>
      <c r="HZ1762" s="724"/>
      <c r="IA1762" s="737"/>
      <c r="IB1762" s="724"/>
      <c r="IC1762" s="127"/>
      <c r="ID1762" s="127"/>
      <c r="IE1762" s="127"/>
      <c r="IF1762" s="127"/>
      <c r="IG1762" s="397"/>
      <c r="IH1762" s="724"/>
      <c r="II1762" s="737"/>
      <c r="IJ1762" s="724"/>
      <c r="IK1762" s="127"/>
      <c r="IL1762" s="127"/>
      <c r="IM1762" s="127"/>
      <c r="IN1762" s="127"/>
      <c r="IO1762" s="397"/>
      <c r="IP1762" s="724"/>
      <c r="IQ1762" s="737"/>
      <c r="IR1762" s="724"/>
      <c r="IS1762" s="127"/>
      <c r="IT1762" s="127"/>
      <c r="IU1762" s="127"/>
      <c r="IV1762" s="127"/>
    </row>
    <row r="1763" spans="1:21" s="133" customFormat="1" ht="34.5" customHeight="1">
      <c r="A1763" s="387" t="s">
        <v>669</v>
      </c>
      <c r="B1763" s="106"/>
      <c r="C1763" s="191"/>
      <c r="D1763" s="191"/>
      <c r="E1763" s="191"/>
      <c r="F1763" s="191"/>
      <c r="G1763" s="191"/>
      <c r="H1763" s="191"/>
      <c r="I1763" s="127"/>
      <c r="J1763" s="127"/>
      <c r="K1763" s="135"/>
      <c r="L1763" s="135"/>
      <c r="M1763" s="106"/>
      <c r="N1763" s="106"/>
      <c r="O1763" s="129"/>
      <c r="P1763" s="129"/>
      <c r="Q1763" s="129"/>
      <c r="R1763" s="129"/>
      <c r="S1763" s="129"/>
      <c r="T1763" s="129"/>
      <c r="U1763" s="129"/>
    </row>
    <row r="1764" spans="1:47" s="166" customFormat="1" ht="29.25" customHeight="1" thickBot="1">
      <c r="A1764" s="966"/>
      <c r="B1764" s="969"/>
      <c r="C1764" s="966"/>
      <c r="D1764" s="966"/>
      <c r="E1764" s="966"/>
      <c r="F1764" s="966"/>
      <c r="G1764" s="966"/>
      <c r="H1764" s="966"/>
      <c r="I1764" s="960"/>
      <c r="J1764" s="960"/>
      <c r="K1764" s="952"/>
      <c r="L1764" s="952"/>
      <c r="M1764" s="317"/>
      <c r="N1764" s="317"/>
      <c r="O1764" s="951"/>
      <c r="P1764" s="951"/>
      <c r="Q1764" s="951"/>
      <c r="R1764" s="951"/>
      <c r="S1764" s="951"/>
      <c r="T1764" s="100"/>
      <c r="U1764" s="100"/>
      <c r="V1764" s="136"/>
      <c r="W1764" s="136"/>
      <c r="X1764" s="136"/>
      <c r="Y1764" s="136"/>
      <c r="Z1764" s="136"/>
      <c r="AA1764" s="951"/>
      <c r="AB1764" s="951"/>
      <c r="AC1764" s="951"/>
      <c r="AD1764" s="951"/>
      <c r="AE1764" s="951"/>
      <c r="AF1764" s="951"/>
      <c r="AG1764" s="951"/>
      <c r="AH1764" s="951"/>
      <c r="AI1764" s="951"/>
      <c r="AJ1764" s="951"/>
      <c r="AK1764" s="951"/>
      <c r="AL1764" s="951"/>
      <c r="AM1764" s="951"/>
      <c r="AN1764" s="951"/>
      <c r="AO1764" s="951"/>
      <c r="AP1764" s="951"/>
      <c r="AQ1764" s="951"/>
      <c r="AR1764" s="951"/>
      <c r="AS1764" s="951"/>
      <c r="AT1764" s="951"/>
      <c r="AU1764" s="951"/>
    </row>
    <row r="1765" spans="1:42" s="167" customFormat="1" ht="34.5" customHeight="1" thickTop="1">
      <c r="A1765" s="826" t="s">
        <v>33</v>
      </c>
      <c r="B1765" s="827" t="s">
        <v>86</v>
      </c>
      <c r="C1765" s="828" t="s">
        <v>956</v>
      </c>
      <c r="D1765" s="829"/>
      <c r="E1765" s="961">
        <v>44926</v>
      </c>
      <c r="F1765" s="831"/>
      <c r="G1765" s="830" t="s">
        <v>1208</v>
      </c>
      <c r="H1765" s="831"/>
      <c r="I1765" s="1224"/>
      <c r="J1765" s="1224"/>
      <c r="K1765" s="1224"/>
      <c r="L1765" s="1224"/>
      <c r="M1765" s="151"/>
      <c r="N1765" s="151"/>
      <c r="O1765" s="166"/>
      <c r="P1765" s="166"/>
      <c r="Q1765" s="166"/>
      <c r="R1765" s="166"/>
      <c r="S1765" s="100"/>
      <c r="T1765" s="101"/>
      <c r="U1765" s="101"/>
      <c r="V1765" s="101"/>
      <c r="W1765" s="101"/>
      <c r="X1765" s="101"/>
      <c r="Y1765" s="101"/>
      <c r="Z1765" s="100"/>
      <c r="AA1765" s="166"/>
      <c r="AB1765" s="166"/>
      <c r="AC1765" s="166"/>
      <c r="AD1765" s="166"/>
      <c r="AE1765" s="166"/>
      <c r="AF1765" s="166"/>
      <c r="AG1765" s="166"/>
      <c r="AH1765" s="166"/>
      <c r="AI1765" s="166"/>
      <c r="AJ1765" s="166"/>
      <c r="AK1765" s="166"/>
      <c r="AL1765" s="166"/>
      <c r="AM1765" s="166"/>
      <c r="AN1765" s="166"/>
      <c r="AO1765" s="166"/>
      <c r="AP1765" s="166"/>
    </row>
    <row r="1766" spans="1:48" s="94" customFormat="1" ht="34.5" customHeight="1">
      <c r="A1766" s="499" t="s">
        <v>990</v>
      </c>
      <c r="B1766" s="190" t="s">
        <v>528</v>
      </c>
      <c r="C1766" s="644">
        <f>CEILING(59*$Z$1,0.1)</f>
        <v>73.8</v>
      </c>
      <c r="D1766" s="645"/>
      <c r="E1766" s="644">
        <f>CEILING(70*$Z$1,0.1)</f>
        <v>87.5</v>
      </c>
      <c r="F1766" s="645"/>
      <c r="G1766" s="1083">
        <f>CEILING(38*$Z$1,0.1)</f>
        <v>47.5</v>
      </c>
      <c r="H1766" s="1084"/>
      <c r="I1766" s="638"/>
      <c r="J1766" s="638"/>
      <c r="K1766" s="638"/>
      <c r="L1766" s="638"/>
      <c r="M1766" s="106"/>
      <c r="N1766" s="106"/>
      <c r="O1766" s="101"/>
      <c r="P1766" s="101"/>
      <c r="Q1766" s="101"/>
      <c r="R1766" s="101"/>
      <c r="S1766" s="101"/>
      <c r="T1766" s="101"/>
      <c r="U1766" s="101"/>
      <c r="V1766" s="121"/>
      <c r="W1766" s="121"/>
      <c r="X1766" s="121"/>
      <c r="Y1766" s="121"/>
      <c r="Z1766" s="121"/>
      <c r="AA1766" s="121"/>
      <c r="AB1766" s="121"/>
      <c r="AC1766" s="121"/>
      <c r="AD1766" s="121"/>
      <c r="AE1766" s="121"/>
      <c r="AF1766" s="121"/>
      <c r="AG1766" s="121"/>
      <c r="AH1766" s="121"/>
      <c r="AI1766" s="121"/>
      <c r="AJ1766" s="121"/>
      <c r="AK1766" s="121"/>
      <c r="AL1766" s="121"/>
      <c r="AM1766" s="121"/>
      <c r="AN1766" s="121"/>
      <c r="AO1766" s="121"/>
      <c r="AP1766" s="121"/>
      <c r="AQ1766" s="121"/>
      <c r="AR1766" s="121"/>
      <c r="AS1766" s="121"/>
      <c r="AT1766" s="121"/>
      <c r="AU1766" s="121"/>
      <c r="AV1766" s="121"/>
    </row>
    <row r="1767" spans="1:48" s="94" customFormat="1" ht="34.5" customHeight="1">
      <c r="A1767" s="115" t="s">
        <v>1259</v>
      </c>
      <c r="B1767" s="190" t="s">
        <v>466</v>
      </c>
      <c r="C1767" s="641">
        <f>CEILING(79*$Z$1,0.1)</f>
        <v>98.80000000000001</v>
      </c>
      <c r="D1767" s="646"/>
      <c r="E1767" s="641">
        <f>CEILING(90*$Z$1,0.1)</f>
        <v>112.5</v>
      </c>
      <c r="F1767" s="646"/>
      <c r="G1767" s="1085">
        <f>CEILING(51*$Z$1,0.1)</f>
        <v>63.800000000000004</v>
      </c>
      <c r="H1767" s="1086"/>
      <c r="I1767" s="638"/>
      <c r="J1767" s="638"/>
      <c r="K1767" s="638"/>
      <c r="L1767" s="638"/>
      <c r="M1767" s="106"/>
      <c r="N1767" s="106"/>
      <c r="O1767" s="101"/>
      <c r="P1767" s="101"/>
      <c r="Q1767" s="101"/>
      <c r="R1767" s="101"/>
      <c r="S1767" s="101"/>
      <c r="T1767" s="101"/>
      <c r="U1767" s="101"/>
      <c r="V1767" s="121"/>
      <c r="W1767" s="121"/>
      <c r="X1767" s="121"/>
      <c r="Y1767" s="121"/>
      <c r="Z1767" s="121"/>
      <c r="AA1767" s="121"/>
      <c r="AB1767" s="121"/>
      <c r="AC1767" s="121"/>
      <c r="AD1767" s="121"/>
      <c r="AE1767" s="121"/>
      <c r="AF1767" s="121"/>
      <c r="AG1767" s="121"/>
      <c r="AH1767" s="121"/>
      <c r="AI1767" s="121"/>
      <c r="AJ1767" s="121"/>
      <c r="AK1767" s="121"/>
      <c r="AL1767" s="121"/>
      <c r="AM1767" s="121"/>
      <c r="AN1767" s="121"/>
      <c r="AO1767" s="121"/>
      <c r="AP1767" s="121"/>
      <c r="AQ1767" s="121"/>
      <c r="AR1767" s="121"/>
      <c r="AS1767" s="121"/>
      <c r="AT1767" s="121"/>
      <c r="AU1767" s="121"/>
      <c r="AV1767" s="121"/>
    </row>
    <row r="1768" spans="1:48" s="94" customFormat="1" ht="34.5" customHeight="1">
      <c r="A1768" s="115" t="s">
        <v>1302</v>
      </c>
      <c r="B1768" s="298" t="s">
        <v>67</v>
      </c>
      <c r="C1768" s="641">
        <f>CEILING((C1766*0.85),0.1)</f>
        <v>62.800000000000004</v>
      </c>
      <c r="D1768" s="646"/>
      <c r="E1768" s="641">
        <f>CEILING((E1766*0.85),0.1)</f>
        <v>74.4</v>
      </c>
      <c r="F1768" s="646"/>
      <c r="G1768" s="1085">
        <f>CEILING((G1766*0.85),0.1)</f>
        <v>40.400000000000006</v>
      </c>
      <c r="H1768" s="1086"/>
      <c r="I1768" s="638"/>
      <c r="J1768" s="638"/>
      <c r="K1768" s="638"/>
      <c r="L1768" s="638"/>
      <c r="M1768" s="106"/>
      <c r="N1768" s="106"/>
      <c r="O1768" s="101"/>
      <c r="P1768" s="101"/>
      <c r="Q1768" s="101"/>
      <c r="R1768" s="101"/>
      <c r="S1768" s="101"/>
      <c r="T1768" s="101"/>
      <c r="U1768" s="101"/>
      <c r="V1768" s="121"/>
      <c r="W1768" s="121"/>
      <c r="X1768" s="121"/>
      <c r="Y1768" s="121"/>
      <c r="Z1768" s="121"/>
      <c r="AA1768" s="121"/>
      <c r="AB1768" s="121"/>
      <c r="AC1768" s="121"/>
      <c r="AD1768" s="121"/>
      <c r="AE1768" s="121"/>
      <c r="AF1768" s="121"/>
      <c r="AG1768" s="121"/>
      <c r="AH1768" s="121"/>
      <c r="AI1768" s="121"/>
      <c r="AJ1768" s="121"/>
      <c r="AK1768" s="121"/>
      <c r="AL1768" s="121"/>
      <c r="AM1768" s="121"/>
      <c r="AN1768" s="121"/>
      <c r="AO1768" s="121"/>
      <c r="AP1768" s="121"/>
      <c r="AQ1768" s="121"/>
      <c r="AR1768" s="121"/>
      <c r="AS1768" s="121"/>
      <c r="AT1768" s="121"/>
      <c r="AU1768" s="121"/>
      <c r="AV1768" s="121"/>
    </row>
    <row r="1769" spans="1:256" s="94" customFormat="1" ht="34.5" customHeight="1">
      <c r="A1769" s="601"/>
      <c r="B1769" s="281" t="s">
        <v>534</v>
      </c>
      <c r="C1769" s="641">
        <f>CEILING((C1766*0.5),0.1)</f>
        <v>36.9</v>
      </c>
      <c r="D1769" s="666"/>
      <c r="E1769" s="641">
        <f>CEILING((E1766*0.5),0.1)</f>
        <v>43.800000000000004</v>
      </c>
      <c r="F1769" s="666"/>
      <c r="G1769" s="1085">
        <f>CEILING((G1766*0.5),0.1)</f>
        <v>23.8</v>
      </c>
      <c r="H1769" s="1114"/>
      <c r="I1769" s="387"/>
      <c r="J1769" s="106"/>
      <c r="K1769" s="638"/>
      <c r="L1769" s="638"/>
      <c r="M1769" s="638"/>
      <c r="N1769" s="638"/>
      <c r="O1769" s="638"/>
      <c r="P1769" s="638"/>
      <c r="Q1769" s="387"/>
      <c r="R1769" s="106"/>
      <c r="S1769" s="638"/>
      <c r="T1769" s="638"/>
      <c r="U1769" s="638"/>
      <c r="V1769" s="638"/>
      <c r="W1769" s="638"/>
      <c r="X1769" s="638"/>
      <c r="Y1769" s="387" t="s">
        <v>291</v>
      </c>
      <c r="Z1769" s="106" t="s">
        <v>61</v>
      </c>
      <c r="AA1769" s="638"/>
      <c r="AB1769" s="638"/>
      <c r="AC1769" s="638"/>
      <c r="AD1769" s="638"/>
      <c r="AE1769" s="638" t="e">
        <f>CEILING((#REF!*0.5),0.1)</f>
        <v>#REF!</v>
      </c>
      <c r="AF1769" s="638"/>
      <c r="AG1769" s="387"/>
      <c r="AH1769" s="106"/>
      <c r="AI1769" s="638" t="e">
        <f>CEILING((#REF!*0.5),0.1)</f>
        <v>#REF!</v>
      </c>
      <c r="AJ1769" s="638"/>
      <c r="AK1769" s="638" t="e">
        <f>CEILING((#REF!*0.5),0.1)</f>
        <v>#REF!</v>
      </c>
      <c r="AL1769" s="638"/>
      <c r="AM1769" s="638" t="e">
        <f>CEILING((#REF!*0.5),0.1)</f>
        <v>#REF!</v>
      </c>
      <c r="AN1769" s="638"/>
      <c r="AO1769" s="387" t="s">
        <v>291</v>
      </c>
      <c r="AP1769" s="106" t="s">
        <v>61</v>
      </c>
      <c r="AQ1769" s="638" t="e">
        <f>CEILING((#REF!*0.5),0.1)</f>
        <v>#REF!</v>
      </c>
      <c r="AR1769" s="638"/>
      <c r="AS1769" s="638" t="e">
        <f>CEILING((#REF!*0.5),0.1)</f>
        <v>#REF!</v>
      </c>
      <c r="AT1769" s="638"/>
      <c r="AU1769" s="638" t="e">
        <f>CEILING((#REF!*0.5),0.1)</f>
        <v>#REF!</v>
      </c>
      <c r="AV1769" s="638"/>
      <c r="AW1769" s="1070" t="s">
        <v>291</v>
      </c>
      <c r="AX1769" s="281" t="s">
        <v>61</v>
      </c>
      <c r="AY1769" s="665" t="e">
        <f>CEILING((#REF!*0.5),0.1)</f>
        <v>#REF!</v>
      </c>
      <c r="AZ1769" s="666"/>
      <c r="BA1769" s="665" t="e">
        <f>CEILING((#REF!*0.5),0.1)</f>
        <v>#REF!</v>
      </c>
      <c r="BB1769" s="666"/>
      <c r="BC1769" s="665" t="e">
        <f>CEILING((#REF!*0.5),0.1)</f>
        <v>#REF!</v>
      </c>
      <c r="BD1769" s="666"/>
      <c r="BE1769" s="601" t="s">
        <v>291</v>
      </c>
      <c r="BF1769" s="281" t="s">
        <v>61</v>
      </c>
      <c r="BG1769" s="665" t="e">
        <f>CEILING((#REF!*0.5),0.1)</f>
        <v>#REF!</v>
      </c>
      <c r="BH1769" s="666"/>
      <c r="BI1769" s="665" t="e">
        <f>CEILING((#REF!*0.5),0.1)</f>
        <v>#REF!</v>
      </c>
      <c r="BJ1769" s="666"/>
      <c r="BK1769" s="665" t="e">
        <f>CEILING((#REF!*0.5),0.1)</f>
        <v>#REF!</v>
      </c>
      <c r="BL1769" s="666"/>
      <c r="BM1769" s="601" t="s">
        <v>291</v>
      </c>
      <c r="BN1769" s="281" t="s">
        <v>61</v>
      </c>
      <c r="BO1769" s="665" t="e">
        <f>CEILING((#REF!*0.5),0.1)</f>
        <v>#REF!</v>
      </c>
      <c r="BP1769" s="666"/>
      <c r="BQ1769" s="665" t="e">
        <f>CEILING((#REF!*0.5),0.1)</f>
        <v>#REF!</v>
      </c>
      <c r="BR1769" s="666"/>
      <c r="BS1769" s="665" t="e">
        <f>CEILING((#REF!*0.5),0.1)</f>
        <v>#REF!</v>
      </c>
      <c r="BT1769" s="666"/>
      <c r="BU1769" s="601" t="s">
        <v>291</v>
      </c>
      <c r="BV1769" s="281" t="s">
        <v>61</v>
      </c>
      <c r="BW1769" s="665" t="e">
        <f>CEILING((#REF!*0.5),0.1)</f>
        <v>#REF!</v>
      </c>
      <c r="BX1769" s="666"/>
      <c r="BY1769" s="665" t="e">
        <f>CEILING((#REF!*0.5),0.1)</f>
        <v>#REF!</v>
      </c>
      <c r="BZ1769" s="666"/>
      <c r="CA1769" s="665" t="e">
        <f>CEILING((#REF!*0.5),0.1)</f>
        <v>#REF!</v>
      </c>
      <c r="CB1769" s="666"/>
      <c r="CC1769" s="601" t="s">
        <v>291</v>
      </c>
      <c r="CD1769" s="281" t="s">
        <v>61</v>
      </c>
      <c r="CE1769" s="665" t="e">
        <f>CEILING((#REF!*0.5),0.1)</f>
        <v>#REF!</v>
      </c>
      <c r="CF1769" s="666"/>
      <c r="CG1769" s="665" t="e">
        <f>CEILING((#REF!*0.5),0.1)</f>
        <v>#REF!</v>
      </c>
      <c r="CH1769" s="666"/>
      <c r="CI1769" s="665" t="e">
        <f>CEILING((#REF!*0.5),0.1)</f>
        <v>#REF!</v>
      </c>
      <c r="CJ1769" s="666"/>
      <c r="CK1769" s="601" t="s">
        <v>291</v>
      </c>
      <c r="CL1769" s="281" t="s">
        <v>61</v>
      </c>
      <c r="CM1769" s="665" t="e">
        <f>CEILING((#REF!*0.5),0.1)</f>
        <v>#REF!</v>
      </c>
      <c r="CN1769" s="666"/>
      <c r="CO1769" s="665" t="e">
        <f>CEILING((#REF!*0.5),0.1)</f>
        <v>#REF!</v>
      </c>
      <c r="CP1769" s="666"/>
      <c r="CQ1769" s="665" t="e">
        <f>CEILING((#REF!*0.5),0.1)</f>
        <v>#REF!</v>
      </c>
      <c r="CR1769" s="666"/>
      <c r="CS1769" s="601" t="s">
        <v>291</v>
      </c>
      <c r="CT1769" s="281" t="s">
        <v>61</v>
      </c>
      <c r="CU1769" s="665" t="e">
        <f>CEILING((#REF!*0.5),0.1)</f>
        <v>#REF!</v>
      </c>
      <c r="CV1769" s="666"/>
      <c r="CW1769" s="665" t="e">
        <f>CEILING((#REF!*0.5),0.1)</f>
        <v>#REF!</v>
      </c>
      <c r="CX1769" s="666"/>
      <c r="CY1769" s="665" t="e">
        <f>CEILING((#REF!*0.5),0.1)</f>
        <v>#REF!</v>
      </c>
      <c r="CZ1769" s="666"/>
      <c r="DA1769" s="601" t="s">
        <v>291</v>
      </c>
      <c r="DB1769" s="281" t="s">
        <v>61</v>
      </c>
      <c r="DC1769" s="665" t="e">
        <f>CEILING((#REF!*0.5),0.1)</f>
        <v>#REF!</v>
      </c>
      <c r="DD1769" s="666"/>
      <c r="DE1769" s="665" t="e">
        <f>CEILING((#REF!*0.5),0.1)</f>
        <v>#REF!</v>
      </c>
      <c r="DF1769" s="666"/>
      <c r="DG1769" s="665" t="e">
        <f>CEILING((#REF!*0.5),0.1)</f>
        <v>#REF!</v>
      </c>
      <c r="DH1769" s="666"/>
      <c r="DI1769" s="601" t="s">
        <v>291</v>
      </c>
      <c r="DJ1769" s="281" t="s">
        <v>61</v>
      </c>
      <c r="DK1769" s="665" t="e">
        <f>CEILING((#REF!*0.5),0.1)</f>
        <v>#REF!</v>
      </c>
      <c r="DL1769" s="666"/>
      <c r="DM1769" s="665" t="e">
        <f>CEILING((#REF!*0.5),0.1)</f>
        <v>#REF!</v>
      </c>
      <c r="DN1769" s="666"/>
      <c r="DO1769" s="665" t="e">
        <f>CEILING((#REF!*0.5),0.1)</f>
        <v>#REF!</v>
      </c>
      <c r="DP1769" s="666"/>
      <c r="DQ1769" s="601" t="s">
        <v>291</v>
      </c>
      <c r="DR1769" s="281" t="s">
        <v>61</v>
      </c>
      <c r="DS1769" s="665" t="e">
        <f>CEILING((#REF!*0.5),0.1)</f>
        <v>#REF!</v>
      </c>
      <c r="DT1769" s="666"/>
      <c r="DU1769" s="665" t="e">
        <f>CEILING((#REF!*0.5),0.1)</f>
        <v>#REF!</v>
      </c>
      <c r="DV1769" s="666"/>
      <c r="DW1769" s="665" t="e">
        <f>CEILING((#REF!*0.5),0.1)</f>
        <v>#REF!</v>
      </c>
      <c r="DX1769" s="666"/>
      <c r="DY1769" s="601" t="s">
        <v>291</v>
      </c>
      <c r="DZ1769" s="281" t="s">
        <v>61</v>
      </c>
      <c r="EA1769" s="665" t="e">
        <f>CEILING((#REF!*0.5),0.1)</f>
        <v>#REF!</v>
      </c>
      <c r="EB1769" s="666"/>
      <c r="EC1769" s="665" t="e">
        <f>CEILING((#REF!*0.5),0.1)</f>
        <v>#REF!</v>
      </c>
      <c r="ED1769" s="666"/>
      <c r="EE1769" s="665" t="e">
        <f>CEILING((#REF!*0.5),0.1)</f>
        <v>#REF!</v>
      </c>
      <c r="EF1769" s="666"/>
      <c r="EG1769" s="601" t="s">
        <v>291</v>
      </c>
      <c r="EH1769" s="281" t="s">
        <v>61</v>
      </c>
      <c r="EI1769" s="665" t="e">
        <f>CEILING((#REF!*0.5),0.1)</f>
        <v>#REF!</v>
      </c>
      <c r="EJ1769" s="666"/>
      <c r="EK1769" s="665" t="e">
        <f>CEILING((#REF!*0.5),0.1)</f>
        <v>#REF!</v>
      </c>
      <c r="EL1769" s="666"/>
      <c r="EM1769" s="665" t="e">
        <f>CEILING((#REF!*0.5),0.1)</f>
        <v>#REF!</v>
      </c>
      <c r="EN1769" s="666"/>
      <c r="EO1769" s="601" t="s">
        <v>291</v>
      </c>
      <c r="EP1769" s="281" t="s">
        <v>61</v>
      </c>
      <c r="EQ1769" s="665" t="e">
        <f>CEILING((#REF!*0.5),0.1)</f>
        <v>#REF!</v>
      </c>
      <c r="ER1769" s="666"/>
      <c r="ES1769" s="665" t="e">
        <f>CEILING((#REF!*0.5),0.1)</f>
        <v>#REF!</v>
      </c>
      <c r="ET1769" s="666"/>
      <c r="EU1769" s="665" t="e">
        <f>CEILING((#REF!*0.5),0.1)</f>
        <v>#REF!</v>
      </c>
      <c r="EV1769" s="666"/>
      <c r="EW1769" s="601" t="s">
        <v>291</v>
      </c>
      <c r="EX1769" s="281" t="s">
        <v>61</v>
      </c>
      <c r="EY1769" s="665" t="e">
        <f>CEILING((#REF!*0.5),0.1)</f>
        <v>#REF!</v>
      </c>
      <c r="EZ1769" s="666"/>
      <c r="FA1769" s="665" t="e">
        <f>CEILING((#REF!*0.5),0.1)</f>
        <v>#REF!</v>
      </c>
      <c r="FB1769" s="666"/>
      <c r="FC1769" s="665" t="e">
        <f>CEILING((#REF!*0.5),0.1)</f>
        <v>#REF!</v>
      </c>
      <c r="FD1769" s="666"/>
      <c r="FE1769" s="601" t="s">
        <v>291</v>
      </c>
      <c r="FF1769" s="281" t="s">
        <v>61</v>
      </c>
      <c r="FG1769" s="665" t="e">
        <f>CEILING((#REF!*0.5),0.1)</f>
        <v>#REF!</v>
      </c>
      <c r="FH1769" s="666"/>
      <c r="FI1769" s="665" t="e">
        <f>CEILING((#REF!*0.5),0.1)</f>
        <v>#REF!</v>
      </c>
      <c r="FJ1769" s="666"/>
      <c r="FK1769" s="665" t="e">
        <f>CEILING((#REF!*0.5),0.1)</f>
        <v>#REF!</v>
      </c>
      <c r="FL1769" s="666"/>
      <c r="FM1769" s="601" t="s">
        <v>291</v>
      </c>
      <c r="FN1769" s="281" t="s">
        <v>61</v>
      </c>
      <c r="FO1769" s="665" t="e">
        <f>CEILING((#REF!*0.5),0.1)</f>
        <v>#REF!</v>
      </c>
      <c r="FP1769" s="666"/>
      <c r="FQ1769" s="665" t="e">
        <f>CEILING((#REF!*0.5),0.1)</f>
        <v>#REF!</v>
      </c>
      <c r="FR1769" s="666"/>
      <c r="FS1769" s="665" t="e">
        <f>CEILING((#REF!*0.5),0.1)</f>
        <v>#REF!</v>
      </c>
      <c r="FT1769" s="666"/>
      <c r="FU1769" s="601" t="s">
        <v>291</v>
      </c>
      <c r="FV1769" s="281" t="s">
        <v>61</v>
      </c>
      <c r="FW1769" s="665" t="e">
        <f>CEILING((#REF!*0.5),0.1)</f>
        <v>#REF!</v>
      </c>
      <c r="FX1769" s="666"/>
      <c r="FY1769" s="665" t="e">
        <f>CEILING((#REF!*0.5),0.1)</f>
        <v>#REF!</v>
      </c>
      <c r="FZ1769" s="666"/>
      <c r="GA1769" s="665" t="e">
        <f>CEILING((#REF!*0.5),0.1)</f>
        <v>#REF!</v>
      </c>
      <c r="GB1769" s="666"/>
      <c r="GC1769" s="601" t="s">
        <v>291</v>
      </c>
      <c r="GD1769" s="281" t="s">
        <v>61</v>
      </c>
      <c r="GE1769" s="665" t="e">
        <f>CEILING((#REF!*0.5),0.1)</f>
        <v>#REF!</v>
      </c>
      <c r="GF1769" s="666"/>
      <c r="GG1769" s="665" t="e">
        <f>CEILING((#REF!*0.5),0.1)</f>
        <v>#REF!</v>
      </c>
      <c r="GH1769" s="666"/>
      <c r="GI1769" s="665" t="e">
        <f>CEILING((#REF!*0.5),0.1)</f>
        <v>#REF!</v>
      </c>
      <c r="GJ1769" s="666"/>
      <c r="GK1769" s="601" t="s">
        <v>291</v>
      </c>
      <c r="GL1769" s="281" t="s">
        <v>61</v>
      </c>
      <c r="GM1769" s="665" t="e">
        <f>CEILING((#REF!*0.5),0.1)</f>
        <v>#REF!</v>
      </c>
      <c r="GN1769" s="666"/>
      <c r="GO1769" s="665" t="e">
        <f>CEILING((#REF!*0.5),0.1)</f>
        <v>#REF!</v>
      </c>
      <c r="GP1769" s="666"/>
      <c r="GQ1769" s="665" t="e">
        <f>CEILING((#REF!*0.5),0.1)</f>
        <v>#REF!</v>
      </c>
      <c r="GR1769" s="666"/>
      <c r="GS1769" s="601" t="s">
        <v>291</v>
      </c>
      <c r="GT1769" s="281" t="s">
        <v>61</v>
      </c>
      <c r="GU1769" s="665" t="e">
        <f>CEILING((#REF!*0.5),0.1)</f>
        <v>#REF!</v>
      </c>
      <c r="GV1769" s="666"/>
      <c r="GW1769" s="665" t="e">
        <f>CEILING((#REF!*0.5),0.1)</f>
        <v>#REF!</v>
      </c>
      <c r="GX1769" s="666"/>
      <c r="GY1769" s="665" t="e">
        <f>CEILING((#REF!*0.5),0.1)</f>
        <v>#REF!</v>
      </c>
      <c r="GZ1769" s="666"/>
      <c r="HA1769" s="601" t="s">
        <v>291</v>
      </c>
      <c r="HB1769" s="281" t="s">
        <v>61</v>
      </c>
      <c r="HC1769" s="665" t="e">
        <f>CEILING((#REF!*0.5),0.1)</f>
        <v>#REF!</v>
      </c>
      <c r="HD1769" s="666"/>
      <c r="HE1769" s="665" t="e">
        <f>CEILING((#REF!*0.5),0.1)</f>
        <v>#REF!</v>
      </c>
      <c r="HF1769" s="666"/>
      <c r="HG1769" s="665" t="e">
        <f>CEILING((#REF!*0.5),0.1)</f>
        <v>#REF!</v>
      </c>
      <c r="HH1769" s="666"/>
      <c r="HI1769" s="601" t="s">
        <v>291</v>
      </c>
      <c r="HJ1769" s="281" t="s">
        <v>61</v>
      </c>
      <c r="HK1769" s="665" t="e">
        <f>CEILING((#REF!*0.5),0.1)</f>
        <v>#REF!</v>
      </c>
      <c r="HL1769" s="666"/>
      <c r="HM1769" s="665" t="e">
        <f>CEILING((#REF!*0.5),0.1)</f>
        <v>#REF!</v>
      </c>
      <c r="HN1769" s="666"/>
      <c r="HO1769" s="665" t="e">
        <f>CEILING((#REF!*0.5),0.1)</f>
        <v>#REF!</v>
      </c>
      <c r="HP1769" s="666"/>
      <c r="HQ1769" s="601" t="s">
        <v>291</v>
      </c>
      <c r="HR1769" s="281" t="s">
        <v>61</v>
      </c>
      <c r="HS1769" s="665" t="e">
        <f>CEILING((#REF!*0.5),0.1)</f>
        <v>#REF!</v>
      </c>
      <c r="HT1769" s="666"/>
      <c r="HU1769" s="665" t="e">
        <f>CEILING((#REF!*0.5),0.1)</f>
        <v>#REF!</v>
      </c>
      <c r="HV1769" s="666"/>
      <c r="HW1769" s="665" t="e">
        <f>CEILING((#REF!*0.5),0.1)</f>
        <v>#REF!</v>
      </c>
      <c r="HX1769" s="666"/>
      <c r="HY1769" s="601" t="s">
        <v>291</v>
      </c>
      <c r="HZ1769" s="281" t="s">
        <v>61</v>
      </c>
      <c r="IA1769" s="665" t="e">
        <f>CEILING((#REF!*0.5),0.1)</f>
        <v>#REF!</v>
      </c>
      <c r="IB1769" s="666"/>
      <c r="IC1769" s="665" t="e">
        <f>CEILING((#REF!*0.5),0.1)</f>
        <v>#REF!</v>
      </c>
      <c r="ID1769" s="666"/>
      <c r="IE1769" s="665" t="e">
        <f>CEILING((#REF!*0.5),0.1)</f>
        <v>#REF!</v>
      </c>
      <c r="IF1769" s="666"/>
      <c r="IG1769" s="601" t="s">
        <v>291</v>
      </c>
      <c r="IH1769" s="281" t="s">
        <v>61</v>
      </c>
      <c r="II1769" s="665" t="e">
        <f>CEILING((#REF!*0.5),0.1)</f>
        <v>#REF!</v>
      </c>
      <c r="IJ1769" s="666"/>
      <c r="IK1769" s="665" t="e">
        <f>CEILING((#REF!*0.5),0.1)</f>
        <v>#REF!</v>
      </c>
      <c r="IL1769" s="666"/>
      <c r="IM1769" s="665" t="e">
        <f>CEILING((#REF!*0.5),0.1)</f>
        <v>#REF!</v>
      </c>
      <c r="IN1769" s="666"/>
      <c r="IO1769" s="601" t="s">
        <v>291</v>
      </c>
      <c r="IP1769" s="281" t="s">
        <v>61</v>
      </c>
      <c r="IQ1769" s="665" t="e">
        <f>CEILING((#REF!*0.5),0.1)</f>
        <v>#REF!</v>
      </c>
      <c r="IR1769" s="666"/>
      <c r="IS1769" s="665" t="e">
        <f>CEILING((#REF!*0.5),0.1)</f>
        <v>#REF!</v>
      </c>
      <c r="IT1769" s="666"/>
      <c r="IU1769" s="665" t="e">
        <f>CEILING((#REF!*0.5),0.1)</f>
        <v>#REF!</v>
      </c>
      <c r="IV1769" s="666"/>
    </row>
    <row r="1770" spans="1:256" s="94" customFormat="1" ht="34.5" customHeight="1">
      <c r="A1770" s="301"/>
      <c r="B1770" s="190" t="s">
        <v>1155</v>
      </c>
      <c r="C1770" s="644">
        <f>CEILING(72*$Z$1,0.1)</f>
        <v>90</v>
      </c>
      <c r="D1770" s="645"/>
      <c r="E1770" s="644">
        <f>CEILING(83*$Z$1,0.1)</f>
        <v>103.80000000000001</v>
      </c>
      <c r="F1770" s="645"/>
      <c r="G1770" s="644">
        <f>CEILING(72*$Z$1,0.1)</f>
        <v>90</v>
      </c>
      <c r="H1770" s="645"/>
      <c r="I1770" s="387"/>
      <c r="J1770" s="106"/>
      <c r="K1770" s="638"/>
      <c r="L1770" s="638"/>
      <c r="M1770" s="638"/>
      <c r="N1770" s="638"/>
      <c r="O1770" s="638"/>
      <c r="P1770" s="638"/>
      <c r="Q1770" s="387"/>
      <c r="R1770" s="106"/>
      <c r="S1770" s="638"/>
      <c r="T1770" s="638"/>
      <c r="U1770" s="638"/>
      <c r="V1770" s="638"/>
      <c r="W1770" s="638"/>
      <c r="X1770" s="638"/>
      <c r="Y1770" s="387"/>
      <c r="Z1770" s="106"/>
      <c r="AA1770" s="638"/>
      <c r="AB1770" s="638"/>
      <c r="AC1770" s="638"/>
      <c r="AD1770" s="638"/>
      <c r="AE1770" s="638"/>
      <c r="AF1770" s="638"/>
      <c r="AG1770" s="387"/>
      <c r="AH1770" s="106"/>
      <c r="AI1770" s="638"/>
      <c r="AJ1770" s="638"/>
      <c r="AK1770" s="638"/>
      <c r="AL1770" s="638"/>
      <c r="AM1770" s="638"/>
      <c r="AN1770" s="638"/>
      <c r="AO1770" s="387"/>
      <c r="AP1770" s="106"/>
      <c r="AQ1770" s="638"/>
      <c r="AR1770" s="638"/>
      <c r="AS1770" s="638"/>
      <c r="AT1770" s="638"/>
      <c r="AU1770" s="638"/>
      <c r="AV1770" s="638"/>
      <c r="AW1770" s="387"/>
      <c r="AX1770" s="106"/>
      <c r="AY1770" s="638"/>
      <c r="AZ1770" s="638"/>
      <c r="BA1770" s="638"/>
      <c r="BB1770" s="638"/>
      <c r="BC1770" s="638"/>
      <c r="BD1770" s="638"/>
      <c r="BE1770" s="387"/>
      <c r="BF1770" s="106"/>
      <c r="BG1770" s="638"/>
      <c r="BH1770" s="638"/>
      <c r="BI1770" s="638"/>
      <c r="BJ1770" s="638"/>
      <c r="BK1770" s="638"/>
      <c r="BL1770" s="638"/>
      <c r="BM1770" s="387"/>
      <c r="BN1770" s="106"/>
      <c r="BO1770" s="638"/>
      <c r="BP1770" s="638"/>
      <c r="BQ1770" s="638"/>
      <c r="BR1770" s="638"/>
      <c r="BS1770" s="638"/>
      <c r="BT1770" s="638"/>
      <c r="BU1770" s="387"/>
      <c r="BV1770" s="106"/>
      <c r="BW1770" s="638"/>
      <c r="BX1770" s="638"/>
      <c r="BY1770" s="638"/>
      <c r="BZ1770" s="638"/>
      <c r="CA1770" s="638"/>
      <c r="CB1770" s="638"/>
      <c r="CC1770" s="387"/>
      <c r="CD1770" s="106"/>
      <c r="CE1770" s="638"/>
      <c r="CF1770" s="638"/>
      <c r="CG1770" s="638"/>
      <c r="CH1770" s="638"/>
      <c r="CI1770" s="638"/>
      <c r="CJ1770" s="638"/>
      <c r="CK1770" s="387"/>
      <c r="CL1770" s="106"/>
      <c r="CM1770" s="638"/>
      <c r="CN1770" s="638"/>
      <c r="CO1770" s="638"/>
      <c r="CP1770" s="638"/>
      <c r="CQ1770" s="638"/>
      <c r="CR1770" s="638"/>
      <c r="CS1770" s="387"/>
      <c r="CT1770" s="106"/>
      <c r="CU1770" s="638"/>
      <c r="CV1770" s="638"/>
      <c r="CW1770" s="638"/>
      <c r="CX1770" s="638"/>
      <c r="CY1770" s="638"/>
      <c r="CZ1770" s="638"/>
      <c r="DA1770" s="387"/>
      <c r="DB1770" s="106"/>
      <c r="DC1770" s="638"/>
      <c r="DD1770" s="638"/>
      <c r="DE1770" s="638"/>
      <c r="DF1770" s="638"/>
      <c r="DG1770" s="638"/>
      <c r="DH1770" s="638"/>
      <c r="DI1770" s="387"/>
      <c r="DJ1770" s="106"/>
      <c r="DK1770" s="638"/>
      <c r="DL1770" s="638"/>
      <c r="DM1770" s="638"/>
      <c r="DN1770" s="638"/>
      <c r="DO1770" s="638"/>
      <c r="DP1770" s="638"/>
      <c r="DQ1770" s="387"/>
      <c r="DR1770" s="106"/>
      <c r="DS1770" s="638"/>
      <c r="DT1770" s="638"/>
      <c r="DU1770" s="638"/>
      <c r="DV1770" s="638"/>
      <c r="DW1770" s="638"/>
      <c r="DX1770" s="638"/>
      <c r="DY1770" s="387"/>
      <c r="DZ1770" s="106"/>
      <c r="EA1770" s="638"/>
      <c r="EB1770" s="638"/>
      <c r="EC1770" s="638"/>
      <c r="ED1770" s="638"/>
      <c r="EE1770" s="638"/>
      <c r="EF1770" s="638"/>
      <c r="EG1770" s="387"/>
      <c r="EH1770" s="106"/>
      <c r="EI1770" s="638"/>
      <c r="EJ1770" s="638"/>
      <c r="EK1770" s="638"/>
      <c r="EL1770" s="638"/>
      <c r="EM1770" s="638"/>
      <c r="EN1770" s="638"/>
      <c r="EO1770" s="387"/>
      <c r="EP1770" s="106"/>
      <c r="EQ1770" s="638"/>
      <c r="ER1770" s="638"/>
      <c r="ES1770" s="638"/>
      <c r="ET1770" s="638"/>
      <c r="EU1770" s="638"/>
      <c r="EV1770" s="638"/>
      <c r="EW1770" s="387"/>
      <c r="EX1770" s="106"/>
      <c r="EY1770" s="638"/>
      <c r="EZ1770" s="638"/>
      <c r="FA1770" s="638"/>
      <c r="FB1770" s="638"/>
      <c r="FC1770" s="638"/>
      <c r="FD1770" s="638"/>
      <c r="FE1770" s="387"/>
      <c r="FF1770" s="106"/>
      <c r="FG1770" s="638"/>
      <c r="FH1770" s="638"/>
      <c r="FI1770" s="638"/>
      <c r="FJ1770" s="638"/>
      <c r="FK1770" s="638"/>
      <c r="FL1770" s="638"/>
      <c r="FM1770" s="387"/>
      <c r="FN1770" s="106"/>
      <c r="FO1770" s="638"/>
      <c r="FP1770" s="638"/>
      <c r="FQ1770" s="638"/>
      <c r="FR1770" s="638"/>
      <c r="FS1770" s="638"/>
      <c r="FT1770" s="638"/>
      <c r="FU1770" s="387"/>
      <c r="FV1770" s="106"/>
      <c r="FW1770" s="638"/>
      <c r="FX1770" s="638"/>
      <c r="FY1770" s="638"/>
      <c r="FZ1770" s="638"/>
      <c r="GA1770" s="638"/>
      <c r="GB1770" s="638"/>
      <c r="GC1770" s="387"/>
      <c r="GD1770" s="106"/>
      <c r="GE1770" s="638"/>
      <c r="GF1770" s="638"/>
      <c r="GG1770" s="638"/>
      <c r="GH1770" s="638"/>
      <c r="GI1770" s="638"/>
      <c r="GJ1770" s="638"/>
      <c r="GK1770" s="387"/>
      <c r="GL1770" s="106"/>
      <c r="GM1770" s="638"/>
      <c r="GN1770" s="638"/>
      <c r="GO1770" s="638"/>
      <c r="GP1770" s="638"/>
      <c r="GQ1770" s="638"/>
      <c r="GR1770" s="638"/>
      <c r="GS1770" s="387"/>
      <c r="GT1770" s="106"/>
      <c r="GU1770" s="638"/>
      <c r="GV1770" s="638"/>
      <c r="GW1770" s="638"/>
      <c r="GX1770" s="638"/>
      <c r="GY1770" s="638"/>
      <c r="GZ1770" s="638"/>
      <c r="HA1770" s="387"/>
      <c r="HB1770" s="106"/>
      <c r="HC1770" s="638"/>
      <c r="HD1770" s="638"/>
      <c r="HE1770" s="638"/>
      <c r="HF1770" s="638"/>
      <c r="HG1770" s="638"/>
      <c r="HH1770" s="638"/>
      <c r="HI1770" s="387"/>
      <c r="HJ1770" s="106"/>
      <c r="HK1770" s="638"/>
      <c r="HL1770" s="638"/>
      <c r="HM1770" s="638"/>
      <c r="HN1770" s="638"/>
      <c r="HO1770" s="638"/>
      <c r="HP1770" s="638"/>
      <c r="HQ1770" s="387"/>
      <c r="HR1770" s="106"/>
      <c r="HS1770" s="638"/>
      <c r="HT1770" s="638"/>
      <c r="HU1770" s="638"/>
      <c r="HV1770" s="638"/>
      <c r="HW1770" s="638"/>
      <c r="HX1770" s="638"/>
      <c r="HY1770" s="387"/>
      <c r="HZ1770" s="106"/>
      <c r="IA1770" s="638"/>
      <c r="IB1770" s="638"/>
      <c r="IC1770" s="638"/>
      <c r="ID1770" s="638"/>
      <c r="IE1770" s="638"/>
      <c r="IF1770" s="638"/>
      <c r="IG1770" s="387"/>
      <c r="IH1770" s="106"/>
      <c r="II1770" s="638"/>
      <c r="IJ1770" s="638"/>
      <c r="IK1770" s="638"/>
      <c r="IL1770" s="638"/>
      <c r="IM1770" s="638"/>
      <c r="IN1770" s="638"/>
      <c r="IO1770" s="387"/>
      <c r="IP1770" s="106"/>
      <c r="IQ1770" s="638"/>
      <c r="IR1770" s="638"/>
      <c r="IS1770" s="638"/>
      <c r="IT1770" s="638"/>
      <c r="IU1770" s="638"/>
      <c r="IV1770" s="638"/>
    </row>
    <row r="1771" spans="1:48" s="94" customFormat="1" ht="34.5" customHeight="1">
      <c r="A1771" s="115"/>
      <c r="B1771" s="190" t="s">
        <v>153</v>
      </c>
      <c r="C1771" s="641">
        <f>CEILING(105*$Z$1,0.1)</f>
        <v>131.3</v>
      </c>
      <c r="D1771" s="646"/>
      <c r="E1771" s="641">
        <f>CEILING(116*$Z$1,0.1)</f>
        <v>145</v>
      </c>
      <c r="F1771" s="646"/>
      <c r="G1771" s="641">
        <f>CEILING(105*$Z$1,0.1)</f>
        <v>131.3</v>
      </c>
      <c r="H1771" s="646"/>
      <c r="I1771" s="638"/>
      <c r="J1771" s="638"/>
      <c r="K1771" s="638"/>
      <c r="L1771" s="638"/>
      <c r="M1771" s="106"/>
      <c r="N1771" s="106"/>
      <c r="O1771" s="101"/>
      <c r="P1771" s="101"/>
      <c r="Q1771" s="101"/>
      <c r="R1771" s="101"/>
      <c r="S1771" s="101"/>
      <c r="T1771" s="101"/>
      <c r="U1771" s="101"/>
      <c r="V1771" s="121"/>
      <c r="W1771" s="121"/>
      <c r="X1771" s="121"/>
      <c r="Y1771" s="121"/>
      <c r="Z1771" s="121"/>
      <c r="AA1771" s="121"/>
      <c r="AB1771" s="121"/>
      <c r="AC1771" s="121"/>
      <c r="AD1771" s="121"/>
      <c r="AE1771" s="121"/>
      <c r="AF1771" s="121"/>
      <c r="AG1771" s="121"/>
      <c r="AH1771" s="121"/>
      <c r="AI1771" s="121"/>
      <c r="AJ1771" s="121"/>
      <c r="AK1771" s="121"/>
      <c r="AL1771" s="121"/>
      <c r="AM1771" s="121"/>
      <c r="AN1771" s="121"/>
      <c r="AO1771" s="121"/>
      <c r="AP1771" s="121"/>
      <c r="AQ1771" s="121"/>
      <c r="AR1771" s="121"/>
      <c r="AS1771" s="121"/>
      <c r="AT1771" s="121"/>
      <c r="AU1771" s="121"/>
      <c r="AV1771" s="121"/>
    </row>
    <row r="1772" spans="1:21" s="94" customFormat="1" ht="34.5" customHeight="1">
      <c r="A1772" s="115"/>
      <c r="B1772" s="298" t="s">
        <v>67</v>
      </c>
      <c r="C1772" s="641">
        <f>CEILING((C1770*0.85),0.1)</f>
        <v>76.5</v>
      </c>
      <c r="D1772" s="646"/>
      <c r="E1772" s="641">
        <f>CEILING((E1770*0.85),0.1)</f>
        <v>88.30000000000001</v>
      </c>
      <c r="F1772" s="646"/>
      <c r="G1772" s="641">
        <f>CEILING((G1770*0.85),0.1)</f>
        <v>76.5</v>
      </c>
      <c r="H1772" s="646"/>
      <c r="I1772" s="638"/>
      <c r="J1772" s="638"/>
      <c r="K1772" s="638"/>
      <c r="L1772" s="638"/>
      <c r="M1772" s="97"/>
      <c r="N1772" s="106"/>
      <c r="O1772" s="92"/>
      <c r="P1772" s="92"/>
      <c r="Q1772" s="92"/>
      <c r="R1772" s="92"/>
      <c r="S1772" s="92"/>
      <c r="T1772" s="92"/>
      <c r="U1772" s="92"/>
    </row>
    <row r="1773" spans="1:21" s="94" customFormat="1" ht="34.5" customHeight="1">
      <c r="A1773" s="601" t="s">
        <v>291</v>
      </c>
      <c r="B1773" s="281" t="s">
        <v>534</v>
      </c>
      <c r="C1773" s="665">
        <f>CEILING((C1767*0.5),0.1)</f>
        <v>49.400000000000006</v>
      </c>
      <c r="D1773" s="666"/>
      <c r="E1773" s="665">
        <f>CEILING((E1767*0.5),0.1)</f>
        <v>56.300000000000004</v>
      </c>
      <c r="F1773" s="666"/>
      <c r="G1773" s="665">
        <f>CEILING((G1767*0.5),0.1)</f>
        <v>31.900000000000002</v>
      </c>
      <c r="H1773" s="666"/>
      <c r="I1773" s="638"/>
      <c r="J1773" s="638"/>
      <c r="K1773" s="638"/>
      <c r="L1773" s="638"/>
      <c r="M1773" s="106"/>
      <c r="N1773" s="106"/>
      <c r="O1773" s="92"/>
      <c r="P1773" s="92"/>
      <c r="Q1773" s="92"/>
      <c r="R1773" s="92"/>
      <c r="S1773" s="92"/>
      <c r="T1773" s="92"/>
      <c r="U1773" s="92"/>
    </row>
    <row r="1774" spans="1:25" s="94" customFormat="1" ht="34.5" customHeight="1">
      <c r="A1774" s="387" t="s">
        <v>989</v>
      </c>
      <c r="B1774" s="205"/>
      <c r="C1774" s="964"/>
      <c r="D1774" s="967"/>
      <c r="E1774" s="967"/>
      <c r="F1774" s="967"/>
      <c r="G1774" s="967"/>
      <c r="H1774" s="967"/>
      <c r="I1774" s="967"/>
      <c r="J1774" s="967"/>
      <c r="K1774" s="135"/>
      <c r="L1774" s="135"/>
      <c r="M1774" s="101"/>
      <c r="N1774" s="92"/>
      <c r="O1774" s="92"/>
      <c r="P1774" s="92"/>
      <c r="Q1774" s="92"/>
      <c r="R1774" s="92"/>
      <c r="S1774" s="92"/>
      <c r="T1774" s="92"/>
      <c r="U1774" s="92"/>
      <c r="V1774" s="92"/>
      <c r="W1774" s="92"/>
      <c r="X1774" s="92"/>
      <c r="Y1774" s="92"/>
    </row>
    <row r="1775" spans="1:25" s="121" customFormat="1" ht="34.5" customHeight="1" thickBot="1">
      <c r="A1775" s="234"/>
      <c r="B1775" s="106"/>
      <c r="C1775" s="127"/>
      <c r="D1775" s="127"/>
      <c r="E1775" s="191"/>
      <c r="F1775" s="191"/>
      <c r="G1775" s="191"/>
      <c r="H1775" s="191"/>
      <c r="I1775" s="127"/>
      <c r="J1775" s="127"/>
      <c r="K1775" s="99"/>
      <c r="L1775" s="99"/>
      <c r="M1775" s="106"/>
      <c r="N1775" s="106"/>
      <c r="O1775" s="101"/>
      <c r="P1775" s="101"/>
      <c r="Q1775" s="101"/>
      <c r="R1775" s="101"/>
      <c r="S1775" s="101"/>
      <c r="T1775" s="101"/>
      <c r="U1775" s="101"/>
      <c r="V1775" s="101"/>
      <c r="W1775" s="101"/>
      <c r="X1775" s="101"/>
      <c r="Y1775" s="101"/>
    </row>
    <row r="1776" spans="1:48" s="711" customFormat="1" ht="34.5" customHeight="1" thickTop="1">
      <c r="A1776" s="977" t="s">
        <v>33</v>
      </c>
      <c r="B1776" s="827" t="s">
        <v>86</v>
      </c>
      <c r="C1776" s="828" t="s">
        <v>985</v>
      </c>
      <c r="D1776" s="829"/>
      <c r="E1776" s="1337"/>
      <c r="F1776" s="1338"/>
      <c r="G1776" s="1338"/>
      <c r="H1776" s="1338"/>
      <c r="I1776" s="709"/>
      <c r="J1776" s="709"/>
      <c r="K1776" s="710"/>
      <c r="L1776" s="710"/>
      <c r="M1776" s="136"/>
      <c r="N1776" s="136"/>
      <c r="O1776" s="136"/>
      <c r="P1776" s="136"/>
      <c r="Q1776" s="136"/>
      <c r="R1776" s="136"/>
      <c r="S1776" s="136"/>
      <c r="T1776" s="136"/>
      <c r="U1776" s="136"/>
      <c r="V1776" s="136"/>
      <c r="W1776" s="136"/>
      <c r="X1776" s="136"/>
      <c r="Y1776" s="136"/>
      <c r="Z1776" s="136"/>
      <c r="AA1776" s="136"/>
      <c r="AB1776" s="136"/>
      <c r="AC1776" s="136"/>
      <c r="AD1776" s="136"/>
      <c r="AE1776" s="136"/>
      <c r="AF1776" s="136"/>
      <c r="AG1776" s="136"/>
      <c r="AH1776" s="136"/>
      <c r="AI1776" s="136"/>
      <c r="AJ1776" s="136"/>
      <c r="AK1776" s="136"/>
      <c r="AL1776" s="136"/>
      <c r="AM1776" s="136"/>
      <c r="AN1776" s="136"/>
      <c r="AO1776" s="136"/>
      <c r="AP1776" s="136"/>
      <c r="AQ1776" s="136"/>
      <c r="AR1776" s="136"/>
      <c r="AS1776" s="136"/>
      <c r="AT1776" s="136"/>
      <c r="AU1776" s="136"/>
      <c r="AV1776" s="136"/>
    </row>
    <row r="1777" spans="1:25" s="121" customFormat="1" ht="34.5" customHeight="1">
      <c r="A1777" s="738"/>
      <c r="B1777" s="219" t="s">
        <v>41</v>
      </c>
      <c r="C1777" s="358">
        <f>CEILING(59*$Z$1,0.1)</f>
        <v>73.8</v>
      </c>
      <c r="D1777" s="739"/>
      <c r="E1777" s="730"/>
      <c r="F1777" s="127"/>
      <c r="G1777" s="127"/>
      <c r="H1777" s="127"/>
      <c r="I1777" s="127"/>
      <c r="J1777" s="127"/>
      <c r="K1777" s="99"/>
      <c r="L1777" s="99"/>
      <c r="M1777" s="106"/>
      <c r="N1777" s="106"/>
      <c r="O1777" s="101"/>
      <c r="P1777" s="101"/>
      <c r="Q1777" s="101"/>
      <c r="R1777" s="101"/>
      <c r="S1777" s="101"/>
      <c r="T1777" s="101"/>
      <c r="U1777" s="101"/>
      <c r="V1777" s="101"/>
      <c r="W1777" s="101"/>
      <c r="X1777" s="101"/>
      <c r="Y1777" s="101"/>
    </row>
    <row r="1778" spans="1:25" s="121" customFormat="1" ht="34.5" customHeight="1">
      <c r="A1778" s="732" t="s">
        <v>266</v>
      </c>
      <c r="B1778" s="215" t="s">
        <v>42</v>
      </c>
      <c r="C1778" s="358">
        <f>CEILING(90*$Z$1,0.1)</f>
        <v>112.5</v>
      </c>
      <c r="D1778" s="740"/>
      <c r="E1778" s="730"/>
      <c r="F1778" s="127"/>
      <c r="G1778" s="127"/>
      <c r="H1778" s="127"/>
      <c r="I1778" s="127"/>
      <c r="J1778" s="127"/>
      <c r="K1778" s="99"/>
      <c r="L1778" s="99"/>
      <c r="M1778" s="106"/>
      <c r="N1778" s="106"/>
      <c r="O1778" s="101"/>
      <c r="P1778" s="101"/>
      <c r="Q1778" s="101"/>
      <c r="R1778" s="101"/>
      <c r="S1778" s="101"/>
      <c r="T1778" s="101"/>
      <c r="U1778" s="101"/>
      <c r="V1778" s="101"/>
      <c r="W1778" s="101"/>
      <c r="X1778" s="101"/>
      <c r="Y1778" s="101"/>
    </row>
    <row r="1779" spans="1:256" s="121" customFormat="1" ht="34.5" customHeight="1">
      <c r="A1779" s="732" t="s">
        <v>122</v>
      </c>
      <c r="B1779" s="298"/>
      <c r="C1779" s="358"/>
      <c r="D1779" s="740"/>
      <c r="E1779" s="730"/>
      <c r="F1779" s="127"/>
      <c r="G1779" s="127"/>
      <c r="H1779" s="127"/>
      <c r="I1779" s="127"/>
      <c r="J1779" s="127"/>
      <c r="K1779" s="99"/>
      <c r="L1779" s="99"/>
      <c r="M1779" s="127"/>
      <c r="N1779" s="127"/>
      <c r="O1779" s="127"/>
      <c r="P1779" s="127"/>
      <c r="Q1779" s="397"/>
      <c r="R1779" s="724"/>
      <c r="S1779" s="737"/>
      <c r="T1779" s="724"/>
      <c r="U1779" s="127"/>
      <c r="V1779" s="127"/>
      <c r="W1779" s="127"/>
      <c r="X1779" s="127"/>
      <c r="Y1779" s="397"/>
      <c r="Z1779" s="724"/>
      <c r="AA1779" s="737"/>
      <c r="AB1779" s="724"/>
      <c r="AC1779" s="127"/>
      <c r="AD1779" s="127"/>
      <c r="AE1779" s="127"/>
      <c r="AF1779" s="127"/>
      <c r="AG1779" s="397"/>
      <c r="AH1779" s="724"/>
      <c r="AI1779" s="737"/>
      <c r="AJ1779" s="724"/>
      <c r="AK1779" s="127"/>
      <c r="AL1779" s="127"/>
      <c r="AM1779" s="127"/>
      <c r="AN1779" s="127"/>
      <c r="AO1779" s="397"/>
      <c r="AP1779" s="724"/>
      <c r="AQ1779" s="737"/>
      <c r="AR1779" s="724"/>
      <c r="AS1779" s="127"/>
      <c r="AT1779" s="127"/>
      <c r="AU1779" s="127"/>
      <c r="AV1779" s="127"/>
      <c r="AW1779" s="397"/>
      <c r="AX1779" s="724"/>
      <c r="AY1779" s="737"/>
      <c r="AZ1779" s="724"/>
      <c r="BA1779" s="127"/>
      <c r="BB1779" s="127"/>
      <c r="BC1779" s="127"/>
      <c r="BD1779" s="127"/>
      <c r="BE1779" s="397"/>
      <c r="BF1779" s="724"/>
      <c r="BG1779" s="737"/>
      <c r="BH1779" s="724"/>
      <c r="BI1779" s="127"/>
      <c r="BJ1779" s="127"/>
      <c r="BK1779" s="127"/>
      <c r="BL1779" s="127"/>
      <c r="BM1779" s="397"/>
      <c r="BN1779" s="724"/>
      <c r="BO1779" s="737"/>
      <c r="BP1779" s="724"/>
      <c r="BQ1779" s="127"/>
      <c r="BR1779" s="127"/>
      <c r="BS1779" s="127"/>
      <c r="BT1779" s="127"/>
      <c r="BU1779" s="397"/>
      <c r="BV1779" s="724"/>
      <c r="BW1779" s="737"/>
      <c r="BX1779" s="724"/>
      <c r="BY1779" s="127"/>
      <c r="BZ1779" s="127"/>
      <c r="CA1779" s="127"/>
      <c r="CB1779" s="127"/>
      <c r="CC1779" s="397"/>
      <c r="CD1779" s="724"/>
      <c r="CE1779" s="737"/>
      <c r="CF1779" s="724"/>
      <c r="CG1779" s="127"/>
      <c r="CH1779" s="127"/>
      <c r="CI1779" s="127"/>
      <c r="CJ1779" s="127"/>
      <c r="CK1779" s="397"/>
      <c r="CL1779" s="724"/>
      <c r="CM1779" s="737"/>
      <c r="CN1779" s="724"/>
      <c r="CO1779" s="127"/>
      <c r="CP1779" s="127"/>
      <c r="CQ1779" s="127"/>
      <c r="CR1779" s="127"/>
      <c r="CS1779" s="397"/>
      <c r="CT1779" s="724"/>
      <c r="CU1779" s="737"/>
      <c r="CV1779" s="724"/>
      <c r="CW1779" s="127"/>
      <c r="CX1779" s="127"/>
      <c r="CY1779" s="127"/>
      <c r="CZ1779" s="127"/>
      <c r="DA1779" s="397"/>
      <c r="DB1779" s="724"/>
      <c r="DC1779" s="737"/>
      <c r="DD1779" s="724"/>
      <c r="DE1779" s="127"/>
      <c r="DF1779" s="127"/>
      <c r="DG1779" s="127"/>
      <c r="DH1779" s="127"/>
      <c r="DI1779" s="397"/>
      <c r="DJ1779" s="724"/>
      <c r="DK1779" s="737"/>
      <c r="DL1779" s="724"/>
      <c r="DM1779" s="127"/>
      <c r="DN1779" s="127"/>
      <c r="DO1779" s="127"/>
      <c r="DP1779" s="127"/>
      <c r="DQ1779" s="397"/>
      <c r="DR1779" s="724"/>
      <c r="DS1779" s="737"/>
      <c r="DT1779" s="724"/>
      <c r="DU1779" s="127"/>
      <c r="DV1779" s="127"/>
      <c r="DW1779" s="127"/>
      <c r="DX1779" s="127"/>
      <c r="DY1779" s="397"/>
      <c r="DZ1779" s="724"/>
      <c r="EA1779" s="737"/>
      <c r="EB1779" s="724"/>
      <c r="EC1779" s="127"/>
      <c r="ED1779" s="127"/>
      <c r="EE1779" s="127"/>
      <c r="EF1779" s="127"/>
      <c r="EG1779" s="397"/>
      <c r="EH1779" s="724"/>
      <c r="EI1779" s="737"/>
      <c r="EJ1779" s="724"/>
      <c r="EK1779" s="127"/>
      <c r="EL1779" s="127"/>
      <c r="EM1779" s="127"/>
      <c r="EN1779" s="127"/>
      <c r="EO1779" s="397"/>
      <c r="EP1779" s="724"/>
      <c r="EQ1779" s="737"/>
      <c r="ER1779" s="724"/>
      <c r="ES1779" s="127"/>
      <c r="ET1779" s="127"/>
      <c r="EU1779" s="127"/>
      <c r="EV1779" s="127"/>
      <c r="EW1779" s="397"/>
      <c r="EX1779" s="724"/>
      <c r="EY1779" s="737"/>
      <c r="EZ1779" s="724"/>
      <c r="FA1779" s="127"/>
      <c r="FB1779" s="127"/>
      <c r="FC1779" s="127"/>
      <c r="FD1779" s="127"/>
      <c r="FE1779" s="397"/>
      <c r="FF1779" s="724"/>
      <c r="FG1779" s="737"/>
      <c r="FH1779" s="724"/>
      <c r="FI1779" s="127"/>
      <c r="FJ1779" s="127"/>
      <c r="FK1779" s="127"/>
      <c r="FL1779" s="127"/>
      <c r="FM1779" s="397"/>
      <c r="FN1779" s="724"/>
      <c r="FO1779" s="737"/>
      <c r="FP1779" s="724"/>
      <c r="FQ1779" s="127"/>
      <c r="FR1779" s="127"/>
      <c r="FS1779" s="127"/>
      <c r="FT1779" s="127"/>
      <c r="FU1779" s="397"/>
      <c r="FV1779" s="724"/>
      <c r="FW1779" s="737"/>
      <c r="FX1779" s="724"/>
      <c r="FY1779" s="127"/>
      <c r="FZ1779" s="127"/>
      <c r="GA1779" s="127"/>
      <c r="GB1779" s="127"/>
      <c r="GC1779" s="397"/>
      <c r="GD1779" s="724"/>
      <c r="GE1779" s="737"/>
      <c r="GF1779" s="724"/>
      <c r="GG1779" s="127"/>
      <c r="GH1779" s="127"/>
      <c r="GI1779" s="127"/>
      <c r="GJ1779" s="127"/>
      <c r="GK1779" s="397"/>
      <c r="GL1779" s="724"/>
      <c r="GM1779" s="737"/>
      <c r="GN1779" s="724"/>
      <c r="GO1779" s="127"/>
      <c r="GP1779" s="127"/>
      <c r="GQ1779" s="127"/>
      <c r="GR1779" s="127"/>
      <c r="GS1779" s="397"/>
      <c r="GT1779" s="724"/>
      <c r="GU1779" s="737"/>
      <c r="GV1779" s="724"/>
      <c r="GW1779" s="127"/>
      <c r="GX1779" s="127"/>
      <c r="GY1779" s="127"/>
      <c r="GZ1779" s="127"/>
      <c r="HA1779" s="397"/>
      <c r="HB1779" s="724"/>
      <c r="HC1779" s="737"/>
      <c r="HD1779" s="724"/>
      <c r="HE1779" s="127"/>
      <c r="HF1779" s="127"/>
      <c r="HG1779" s="127"/>
      <c r="HH1779" s="127"/>
      <c r="HI1779" s="397"/>
      <c r="HJ1779" s="724"/>
      <c r="HK1779" s="737"/>
      <c r="HL1779" s="724"/>
      <c r="HM1779" s="127"/>
      <c r="HN1779" s="127"/>
      <c r="HO1779" s="127"/>
      <c r="HP1779" s="127"/>
      <c r="HQ1779" s="397"/>
      <c r="HR1779" s="724"/>
      <c r="HS1779" s="737"/>
      <c r="HT1779" s="724"/>
      <c r="HU1779" s="127"/>
      <c r="HV1779" s="127"/>
      <c r="HW1779" s="127"/>
      <c r="HX1779" s="127"/>
      <c r="HY1779" s="397"/>
      <c r="HZ1779" s="724"/>
      <c r="IA1779" s="737"/>
      <c r="IB1779" s="724"/>
      <c r="IC1779" s="127"/>
      <c r="ID1779" s="127"/>
      <c r="IE1779" s="127"/>
      <c r="IF1779" s="127"/>
      <c r="IG1779" s="397"/>
      <c r="IH1779" s="724"/>
      <c r="II1779" s="737"/>
      <c r="IJ1779" s="724"/>
      <c r="IK1779" s="127"/>
      <c r="IL1779" s="127"/>
      <c r="IM1779" s="127"/>
      <c r="IN1779" s="127"/>
      <c r="IO1779" s="397"/>
      <c r="IP1779" s="724"/>
      <c r="IQ1779" s="737"/>
      <c r="IR1779" s="724"/>
      <c r="IS1779" s="127"/>
      <c r="IT1779" s="127"/>
      <c r="IU1779" s="127"/>
      <c r="IV1779" s="127"/>
    </row>
    <row r="1780" spans="1:25" s="121" customFormat="1" ht="34.5" customHeight="1">
      <c r="A1780" s="296" t="s">
        <v>127</v>
      </c>
      <c r="B1780" s="192" t="s">
        <v>66</v>
      </c>
      <c r="C1780" s="358">
        <f>CEILING((C1777*0.5),0.1)</f>
        <v>36.9</v>
      </c>
      <c r="D1780" s="740"/>
      <c r="E1780" s="730"/>
      <c r="F1780" s="127"/>
      <c r="G1780" s="127"/>
      <c r="H1780" s="127"/>
      <c r="I1780" s="127"/>
      <c r="J1780" s="127"/>
      <c r="K1780" s="99"/>
      <c r="L1780" s="99"/>
      <c r="M1780" s="642"/>
      <c r="N1780" s="642"/>
      <c r="O1780" s="101"/>
      <c r="P1780" s="101"/>
      <c r="Q1780" s="101"/>
      <c r="R1780" s="101"/>
      <c r="S1780" s="101"/>
      <c r="T1780" s="101"/>
      <c r="U1780" s="101"/>
      <c r="V1780" s="101"/>
      <c r="W1780" s="101"/>
      <c r="X1780" s="101"/>
      <c r="Y1780" s="101"/>
    </row>
    <row r="1781" spans="1:25" s="121" customFormat="1" ht="34.5" customHeight="1">
      <c r="A1781" s="296" t="s">
        <v>124</v>
      </c>
      <c r="B1781" s="215" t="s">
        <v>169</v>
      </c>
      <c r="C1781" s="358">
        <f>CEILING(84*$Z$1,0.1)</f>
        <v>105</v>
      </c>
      <c r="D1781" s="740"/>
      <c r="E1781" s="730"/>
      <c r="F1781" s="127"/>
      <c r="G1781" s="127"/>
      <c r="H1781" s="127"/>
      <c r="I1781" s="127"/>
      <c r="J1781" s="127"/>
      <c r="K1781" s="737"/>
      <c r="L1781" s="724"/>
      <c r="M1781" s="642"/>
      <c r="N1781" s="642"/>
      <c r="O1781" s="101"/>
      <c r="P1781" s="101"/>
      <c r="Q1781" s="101"/>
      <c r="R1781" s="101"/>
      <c r="S1781" s="101"/>
      <c r="T1781" s="101"/>
      <c r="U1781" s="101"/>
      <c r="V1781" s="101"/>
      <c r="W1781" s="101"/>
      <c r="X1781" s="101"/>
      <c r="Y1781" s="101"/>
    </row>
    <row r="1782" spans="1:25" s="121" customFormat="1" ht="34.5" customHeight="1">
      <c r="A1782" s="741" t="s">
        <v>168</v>
      </c>
      <c r="B1782" s="419" t="s">
        <v>170</v>
      </c>
      <c r="C1782" s="742">
        <f>CEILING(115*$Z$1,0.1)</f>
        <v>143.8</v>
      </c>
      <c r="D1782" s="743"/>
      <c r="E1782" s="730"/>
      <c r="F1782" s="127"/>
      <c r="G1782" s="127"/>
      <c r="H1782" s="127"/>
      <c r="I1782" s="127"/>
      <c r="J1782" s="127"/>
      <c r="K1782" s="99"/>
      <c r="L1782" s="99"/>
      <c r="M1782" s="642"/>
      <c r="N1782" s="642"/>
      <c r="O1782" s="101"/>
      <c r="P1782" s="101"/>
      <c r="Q1782" s="101"/>
      <c r="R1782" s="101"/>
      <c r="S1782" s="101"/>
      <c r="T1782" s="101"/>
      <c r="U1782" s="101"/>
      <c r="V1782" s="101"/>
      <c r="W1782" s="101"/>
      <c r="X1782" s="101"/>
      <c r="Y1782" s="101"/>
    </row>
    <row r="1783" spans="1:25" s="121" customFormat="1" ht="34.5" customHeight="1">
      <c r="A1783" s="387" t="s">
        <v>1122</v>
      </c>
      <c r="B1783" s="205"/>
      <c r="C1783" s="191"/>
      <c r="D1783" s="127"/>
      <c r="E1783" s="127"/>
      <c r="F1783" s="127"/>
      <c r="G1783" s="127"/>
      <c r="H1783" s="127"/>
      <c r="I1783" s="127"/>
      <c r="J1783" s="127"/>
      <c r="K1783" s="99"/>
      <c r="L1783" s="99"/>
      <c r="M1783" s="642"/>
      <c r="N1783" s="642"/>
      <c r="O1783" s="101"/>
      <c r="P1783" s="101"/>
      <c r="Q1783" s="101"/>
      <c r="R1783" s="101"/>
      <c r="S1783" s="101"/>
      <c r="T1783" s="101"/>
      <c r="U1783" s="101"/>
      <c r="V1783" s="101"/>
      <c r="W1783" s="101"/>
      <c r="X1783" s="101"/>
      <c r="Y1783" s="101"/>
    </row>
    <row r="1784" spans="1:47" s="94" customFormat="1" ht="34.5" customHeight="1" thickBot="1">
      <c r="A1784" s="397"/>
      <c r="B1784" s="724"/>
      <c r="C1784" s="737"/>
      <c r="D1784" s="724"/>
      <c r="E1784" s="127"/>
      <c r="F1784" s="127"/>
      <c r="G1784" s="127"/>
      <c r="H1784" s="127"/>
      <c r="I1784" s="723"/>
      <c r="J1784" s="724"/>
      <c r="K1784" s="105"/>
      <c r="L1784" s="105"/>
      <c r="M1784" s="642"/>
      <c r="N1784" s="642"/>
      <c r="O1784" s="136"/>
      <c r="P1784" s="136"/>
      <c r="Q1784" s="136"/>
      <c r="R1784" s="136"/>
      <c r="S1784" s="136"/>
      <c r="T1784" s="136"/>
      <c r="U1784" s="136"/>
      <c r="V1784" s="136"/>
      <c r="W1784" s="136"/>
      <c r="X1784" s="136"/>
      <c r="Y1784" s="136"/>
      <c r="Z1784" s="136"/>
      <c r="AA1784" s="136"/>
      <c r="AB1784" s="136"/>
      <c r="AC1784" s="136"/>
      <c r="AD1784" s="136"/>
      <c r="AE1784" s="136"/>
      <c r="AF1784" s="136"/>
      <c r="AG1784" s="136"/>
      <c r="AH1784" s="136"/>
      <c r="AI1784" s="136"/>
      <c r="AJ1784" s="136"/>
      <c r="AK1784" s="136"/>
      <c r="AL1784" s="136"/>
      <c r="AM1784" s="136"/>
      <c r="AN1784" s="136"/>
      <c r="AO1784" s="136"/>
      <c r="AP1784" s="136"/>
      <c r="AQ1784" s="136"/>
      <c r="AR1784" s="136"/>
      <c r="AS1784" s="136"/>
      <c r="AT1784" s="136"/>
      <c r="AU1784" s="136"/>
    </row>
    <row r="1785" spans="1:48" s="711" customFormat="1" ht="34.5" customHeight="1" thickTop="1">
      <c r="A1785" s="977" t="s">
        <v>33</v>
      </c>
      <c r="B1785" s="827" t="s">
        <v>86</v>
      </c>
      <c r="C1785" s="828" t="s">
        <v>985</v>
      </c>
      <c r="D1785" s="829"/>
      <c r="E1785" s="1337"/>
      <c r="F1785" s="1338"/>
      <c r="G1785" s="1338"/>
      <c r="H1785" s="1338"/>
      <c r="I1785" s="709"/>
      <c r="J1785" s="709"/>
      <c r="K1785" s="710"/>
      <c r="L1785" s="710"/>
      <c r="M1785" s="136"/>
      <c r="N1785" s="136"/>
      <c r="O1785" s="136"/>
      <c r="P1785" s="136"/>
      <c r="Q1785" s="136"/>
      <c r="R1785" s="136"/>
      <c r="S1785" s="136"/>
      <c r="T1785" s="136"/>
      <c r="U1785" s="136"/>
      <c r="V1785" s="136"/>
      <c r="W1785" s="136"/>
      <c r="X1785" s="136"/>
      <c r="Y1785" s="136"/>
      <c r="Z1785" s="136"/>
      <c r="AA1785" s="136"/>
      <c r="AB1785" s="136"/>
      <c r="AC1785" s="136"/>
      <c r="AD1785" s="136"/>
      <c r="AE1785" s="136"/>
      <c r="AF1785" s="136"/>
      <c r="AG1785" s="136"/>
      <c r="AH1785" s="136"/>
      <c r="AI1785" s="136"/>
      <c r="AJ1785" s="136"/>
      <c r="AK1785" s="136"/>
      <c r="AL1785" s="136"/>
      <c r="AM1785" s="136"/>
      <c r="AN1785" s="136"/>
      <c r="AO1785" s="136"/>
      <c r="AP1785" s="136"/>
      <c r="AQ1785" s="136"/>
      <c r="AR1785" s="136"/>
      <c r="AS1785" s="136"/>
      <c r="AT1785" s="136"/>
      <c r="AU1785" s="136"/>
      <c r="AV1785" s="136"/>
    </row>
    <row r="1786" spans="1:25" s="94" customFormat="1" ht="34.5" customHeight="1">
      <c r="A1786" s="732" t="s">
        <v>123</v>
      </c>
      <c r="B1786" s="219" t="s">
        <v>41</v>
      </c>
      <c r="C1786" s="358">
        <f>CEILING(55*$Z$1,0.1)</f>
        <v>68.8</v>
      </c>
      <c r="D1786" s="739"/>
      <c r="E1786" s="730"/>
      <c r="F1786" s="127"/>
      <c r="G1786" s="127"/>
      <c r="H1786" s="127"/>
      <c r="I1786" s="127"/>
      <c r="J1786" s="127"/>
      <c r="K1786" s="99"/>
      <c r="L1786" s="99"/>
      <c r="M1786" s="744"/>
      <c r="N1786" s="744"/>
      <c r="O1786" s="92"/>
      <c r="P1786" s="92"/>
      <c r="Q1786" s="92"/>
      <c r="R1786" s="92"/>
      <c r="S1786" s="92"/>
      <c r="T1786" s="92"/>
      <c r="U1786" s="92"/>
      <c r="V1786" s="92"/>
      <c r="W1786" s="92"/>
      <c r="X1786" s="92"/>
      <c r="Y1786" s="92"/>
    </row>
    <row r="1787" spans="1:25" s="94" customFormat="1" ht="34.5" customHeight="1">
      <c r="A1787" s="732" t="s">
        <v>125</v>
      </c>
      <c r="B1787" s="215" t="s">
        <v>42</v>
      </c>
      <c r="C1787" s="358">
        <f>CEILING(85*$Z$1,0.1)</f>
        <v>106.30000000000001</v>
      </c>
      <c r="D1787" s="740"/>
      <c r="E1787" s="730"/>
      <c r="F1787" s="127"/>
      <c r="G1787" s="127"/>
      <c r="H1787" s="127"/>
      <c r="I1787" s="127"/>
      <c r="J1787" s="127"/>
      <c r="K1787" s="99"/>
      <c r="L1787" s="99"/>
      <c r="M1787" s="632"/>
      <c r="N1787" s="632"/>
      <c r="O1787" s="92"/>
      <c r="P1787" s="92"/>
      <c r="Q1787" s="92"/>
      <c r="R1787" s="92"/>
      <c r="S1787" s="92"/>
      <c r="T1787" s="92"/>
      <c r="U1787" s="92"/>
      <c r="V1787" s="92"/>
      <c r="W1787" s="92"/>
      <c r="X1787" s="92"/>
      <c r="Y1787" s="92"/>
    </row>
    <row r="1788" spans="1:25" s="94" customFormat="1" ht="34.5" customHeight="1">
      <c r="A1788" s="732" t="s">
        <v>126</v>
      </c>
      <c r="B1788" s="298"/>
      <c r="C1788" s="358"/>
      <c r="D1788" s="740"/>
      <c r="E1788" s="730"/>
      <c r="F1788" s="127"/>
      <c r="G1788" s="127"/>
      <c r="H1788" s="127"/>
      <c r="I1788" s="127"/>
      <c r="J1788" s="127"/>
      <c r="K1788" s="371"/>
      <c r="L1788" s="99"/>
      <c r="M1788" s="127"/>
      <c r="N1788" s="127"/>
      <c r="O1788" s="92"/>
      <c r="P1788" s="92"/>
      <c r="Q1788" s="92"/>
      <c r="R1788" s="92"/>
      <c r="S1788" s="92"/>
      <c r="T1788" s="92"/>
      <c r="U1788" s="92"/>
      <c r="V1788" s="92"/>
      <c r="W1788" s="92"/>
      <c r="X1788" s="92"/>
      <c r="Y1788" s="92"/>
    </row>
    <row r="1789" spans="1:25" s="94" customFormat="1" ht="34.5" customHeight="1">
      <c r="A1789" s="296" t="s">
        <v>326</v>
      </c>
      <c r="B1789" s="192" t="s">
        <v>66</v>
      </c>
      <c r="C1789" s="358">
        <f>CEILING((C1786*0.5),0.1)</f>
        <v>34.4</v>
      </c>
      <c r="D1789" s="740"/>
      <c r="E1789" s="730"/>
      <c r="F1789" s="127"/>
      <c r="G1789" s="127"/>
      <c r="H1789" s="127"/>
      <c r="I1789" s="127"/>
      <c r="J1789" s="127"/>
      <c r="K1789" s="737"/>
      <c r="L1789" s="724"/>
      <c r="M1789" s="127"/>
      <c r="N1789" s="127"/>
      <c r="O1789" s="92"/>
      <c r="P1789" s="92"/>
      <c r="Q1789" s="92"/>
      <c r="R1789" s="92"/>
      <c r="S1789" s="92"/>
      <c r="T1789" s="92"/>
      <c r="U1789" s="92"/>
      <c r="V1789" s="92"/>
      <c r="W1789" s="92"/>
      <c r="X1789" s="92"/>
      <c r="Y1789" s="92"/>
    </row>
    <row r="1790" spans="1:25" s="94" customFormat="1" ht="34.5" customHeight="1">
      <c r="A1790" s="296" t="s">
        <v>130</v>
      </c>
      <c r="B1790" s="215" t="s">
        <v>34</v>
      </c>
      <c r="C1790" s="358">
        <f>CEILING(80*$Z$1,0.1)</f>
        <v>100</v>
      </c>
      <c r="D1790" s="740"/>
      <c r="E1790" s="730"/>
      <c r="F1790" s="127"/>
      <c r="G1790" s="127"/>
      <c r="H1790" s="127"/>
      <c r="I1790" s="127"/>
      <c r="J1790" s="127"/>
      <c r="K1790" s="135"/>
      <c r="L1790" s="135"/>
      <c r="M1790" s="127"/>
      <c r="N1790" s="127"/>
      <c r="O1790" s="92"/>
      <c r="P1790" s="92"/>
      <c r="Q1790" s="92"/>
      <c r="R1790" s="92"/>
      <c r="S1790" s="92"/>
      <c r="T1790" s="92"/>
      <c r="U1790" s="92"/>
      <c r="V1790" s="92"/>
      <c r="W1790" s="92"/>
      <c r="X1790" s="92"/>
      <c r="Y1790" s="92"/>
    </row>
    <row r="1791" spans="1:25" s="94" customFormat="1" ht="34.5" customHeight="1">
      <c r="A1791" s="296" t="s">
        <v>167</v>
      </c>
      <c r="B1791" s="279" t="s">
        <v>36</v>
      </c>
      <c r="C1791" s="358">
        <f>CEILING(111*$Z$1,0.1)</f>
        <v>138.8</v>
      </c>
      <c r="D1791" s="740"/>
      <c r="E1791" s="730"/>
      <c r="F1791" s="127"/>
      <c r="G1791" s="127"/>
      <c r="H1791" s="127"/>
      <c r="I1791" s="127"/>
      <c r="J1791" s="127"/>
      <c r="K1791" s="135"/>
      <c r="L1791" s="135"/>
      <c r="M1791" s="127"/>
      <c r="N1791" s="127"/>
      <c r="O1791" s="92"/>
      <c r="P1791" s="92"/>
      <c r="Q1791" s="92"/>
      <c r="R1791" s="92"/>
      <c r="S1791" s="92"/>
      <c r="T1791" s="92"/>
      <c r="U1791" s="92"/>
      <c r="V1791" s="92"/>
      <c r="W1791" s="92"/>
      <c r="X1791" s="92"/>
      <c r="Y1791" s="92"/>
    </row>
    <row r="1792" spans="1:25" s="94" customFormat="1" ht="34.5" customHeight="1">
      <c r="A1792" s="296" t="s">
        <v>988</v>
      </c>
      <c r="B1792" s="215" t="s">
        <v>329</v>
      </c>
      <c r="C1792" s="734">
        <f>CEILING(101*$Z$1,0.1)</f>
        <v>126.30000000000001</v>
      </c>
      <c r="D1792" s="740"/>
      <c r="E1792" s="730"/>
      <c r="F1792" s="127"/>
      <c r="G1792" s="127"/>
      <c r="H1792" s="127"/>
      <c r="I1792" s="127"/>
      <c r="J1792" s="127"/>
      <c r="K1792" s="135"/>
      <c r="L1792" s="135"/>
      <c r="M1792" s="90"/>
      <c r="N1792" s="98"/>
      <c r="O1792" s="92"/>
      <c r="P1792" s="92"/>
      <c r="Q1792" s="92"/>
      <c r="R1792" s="92"/>
      <c r="S1792" s="92"/>
      <c r="T1792" s="92"/>
      <c r="U1792" s="92"/>
      <c r="V1792" s="92"/>
      <c r="W1792" s="92"/>
      <c r="X1792" s="92"/>
      <c r="Y1792" s="92"/>
    </row>
    <row r="1793" spans="1:25" s="94" customFormat="1" ht="34.5" customHeight="1">
      <c r="A1793" s="601" t="s">
        <v>292</v>
      </c>
      <c r="B1793" s="237" t="s">
        <v>330</v>
      </c>
      <c r="C1793" s="745">
        <f>CEILING(132*$Z$1,0.1)</f>
        <v>165</v>
      </c>
      <c r="D1793" s="743"/>
      <c r="E1793" s="730"/>
      <c r="F1793" s="127"/>
      <c r="G1793" s="127"/>
      <c r="H1793" s="127"/>
      <c r="I1793" s="127"/>
      <c r="J1793" s="127"/>
      <c r="K1793" s="135"/>
      <c r="L1793" s="135"/>
      <c r="M1793" s="90"/>
      <c r="N1793" s="98"/>
      <c r="O1793" s="92"/>
      <c r="P1793" s="92"/>
      <c r="Q1793" s="92"/>
      <c r="R1793" s="92"/>
      <c r="S1793" s="92"/>
      <c r="T1793" s="92"/>
      <c r="U1793" s="92"/>
      <c r="V1793" s="92"/>
      <c r="W1793" s="92"/>
      <c r="X1793" s="92"/>
      <c r="Y1793" s="92"/>
    </row>
    <row r="1794" spans="1:25" s="94" customFormat="1" ht="34.5" customHeight="1">
      <c r="A1794" s="387" t="s">
        <v>1123</v>
      </c>
      <c r="B1794" s="205"/>
      <c r="C1794" s="191"/>
      <c r="D1794" s="127"/>
      <c r="E1794" s="127"/>
      <c r="F1794" s="127"/>
      <c r="G1794" s="127"/>
      <c r="H1794" s="127"/>
      <c r="I1794" s="127"/>
      <c r="J1794" s="127"/>
      <c r="K1794" s="135"/>
      <c r="L1794" s="135"/>
      <c r="M1794" s="90"/>
      <c r="N1794" s="98"/>
      <c r="O1794" s="92"/>
      <c r="P1794" s="92"/>
      <c r="Q1794" s="92"/>
      <c r="R1794" s="92"/>
      <c r="S1794" s="92"/>
      <c r="T1794" s="92"/>
      <c r="U1794" s="92"/>
      <c r="V1794" s="92"/>
      <c r="W1794" s="92"/>
      <c r="X1794" s="92"/>
      <c r="Y1794" s="92"/>
    </row>
    <row r="1795" spans="1:25" s="94" customFormat="1" ht="34.5" customHeight="1" thickBot="1">
      <c r="A1795" s="397"/>
      <c r="B1795" s="724"/>
      <c r="C1795" s="737"/>
      <c r="D1795" s="724"/>
      <c r="E1795" s="127"/>
      <c r="F1795" s="127"/>
      <c r="G1795" s="127"/>
      <c r="H1795" s="127"/>
      <c r="I1795" s="397"/>
      <c r="J1795" s="724"/>
      <c r="K1795" s="135"/>
      <c r="L1795" s="135"/>
      <c r="M1795" s="90"/>
      <c r="N1795" s="98"/>
      <c r="O1795" s="92"/>
      <c r="P1795" s="92"/>
      <c r="Q1795" s="92"/>
      <c r="R1795" s="92"/>
      <c r="S1795" s="92"/>
      <c r="T1795" s="92"/>
      <c r="U1795" s="92"/>
      <c r="V1795" s="92"/>
      <c r="W1795" s="92"/>
      <c r="X1795" s="92"/>
      <c r="Y1795" s="92"/>
    </row>
    <row r="1796" spans="1:48" s="711" customFormat="1" ht="34.5" customHeight="1" thickTop="1">
      <c r="A1796" s="977" t="s">
        <v>33</v>
      </c>
      <c r="B1796" s="827" t="s">
        <v>86</v>
      </c>
      <c r="C1796" s="828" t="s">
        <v>985</v>
      </c>
      <c r="D1796" s="829"/>
      <c r="E1796" s="1337"/>
      <c r="F1796" s="1338"/>
      <c r="G1796" s="1338"/>
      <c r="H1796" s="1338"/>
      <c r="I1796" s="709"/>
      <c r="J1796" s="709"/>
      <c r="K1796" s="710"/>
      <c r="L1796" s="710"/>
      <c r="M1796" s="136"/>
      <c r="N1796" s="136"/>
      <c r="O1796" s="136"/>
      <c r="P1796" s="136"/>
      <c r="Q1796" s="136"/>
      <c r="R1796" s="136"/>
      <c r="S1796" s="136"/>
      <c r="T1796" s="136"/>
      <c r="U1796" s="136"/>
      <c r="V1796" s="136"/>
      <c r="W1796" s="136"/>
      <c r="X1796" s="136"/>
      <c r="Y1796" s="136"/>
      <c r="Z1796" s="136"/>
      <c r="AA1796" s="136"/>
      <c r="AB1796" s="136"/>
      <c r="AC1796" s="136"/>
      <c r="AD1796" s="136"/>
      <c r="AE1796" s="136"/>
      <c r="AF1796" s="136"/>
      <c r="AG1796" s="136"/>
      <c r="AH1796" s="136"/>
      <c r="AI1796" s="136"/>
      <c r="AJ1796" s="136"/>
      <c r="AK1796" s="136"/>
      <c r="AL1796" s="136"/>
      <c r="AM1796" s="136"/>
      <c r="AN1796" s="136"/>
      <c r="AO1796" s="136"/>
      <c r="AP1796" s="136"/>
      <c r="AQ1796" s="136"/>
      <c r="AR1796" s="136"/>
      <c r="AS1796" s="136"/>
      <c r="AT1796" s="136"/>
      <c r="AU1796" s="136"/>
      <c r="AV1796" s="136"/>
    </row>
    <row r="1797" spans="1:25" s="94" customFormat="1" ht="34.5" customHeight="1">
      <c r="A1797" s="296" t="s">
        <v>129</v>
      </c>
      <c r="B1797" s="219" t="s">
        <v>41</v>
      </c>
      <c r="C1797" s="358">
        <f>CEILING(50*$Z$1,0.1)</f>
        <v>62.5</v>
      </c>
      <c r="D1797" s="739"/>
      <c r="E1797" s="730"/>
      <c r="F1797" s="127"/>
      <c r="G1797" s="127"/>
      <c r="H1797" s="127"/>
      <c r="I1797" s="127"/>
      <c r="J1797" s="127"/>
      <c r="K1797" s="1247"/>
      <c r="L1797" s="1247"/>
      <c r="M1797" s="90"/>
      <c r="N1797" s="98"/>
      <c r="O1797" s="92"/>
      <c r="P1797" s="92"/>
      <c r="Q1797" s="92"/>
      <c r="R1797" s="92"/>
      <c r="S1797" s="92"/>
      <c r="T1797" s="92"/>
      <c r="U1797" s="92"/>
      <c r="V1797" s="92"/>
      <c r="W1797" s="92"/>
      <c r="X1797" s="92"/>
      <c r="Y1797" s="92"/>
    </row>
    <row r="1798" spans="1:25" s="94" customFormat="1" ht="34.5" customHeight="1">
      <c r="A1798" s="499" t="s">
        <v>128</v>
      </c>
      <c r="B1798" s="215" t="s">
        <v>42</v>
      </c>
      <c r="C1798" s="358">
        <f>CEILING(76*$Z$1,0.1)</f>
        <v>95</v>
      </c>
      <c r="D1798" s="740"/>
      <c r="E1798" s="730"/>
      <c r="F1798" s="127"/>
      <c r="G1798" s="127"/>
      <c r="H1798" s="127"/>
      <c r="I1798" s="127"/>
      <c r="J1798" s="127"/>
      <c r="K1798" s="632"/>
      <c r="L1798" s="632"/>
      <c r="M1798" s="90"/>
      <c r="N1798" s="98"/>
      <c r="O1798" s="744"/>
      <c r="P1798" s="744"/>
      <c r="Q1798" s="92"/>
      <c r="R1798" s="92"/>
      <c r="S1798" s="92"/>
      <c r="T1798" s="92"/>
      <c r="U1798" s="92"/>
      <c r="V1798" s="92"/>
      <c r="W1798" s="92"/>
      <c r="X1798" s="92"/>
      <c r="Y1798" s="92"/>
    </row>
    <row r="1799" spans="1:25" s="94" customFormat="1" ht="34.5" customHeight="1">
      <c r="A1799" s="296" t="s">
        <v>242</v>
      </c>
      <c r="B1799" s="298"/>
      <c r="C1799" s="358"/>
      <c r="D1799" s="740"/>
      <c r="E1799" s="730"/>
      <c r="F1799" s="127"/>
      <c r="G1799" s="127"/>
      <c r="H1799" s="127"/>
      <c r="I1799" s="127"/>
      <c r="J1799" s="127"/>
      <c r="K1799" s="191"/>
      <c r="L1799" s="191"/>
      <c r="M1799" s="90"/>
      <c r="N1799" s="98"/>
      <c r="O1799" s="1270"/>
      <c r="P1799" s="1270"/>
      <c r="Q1799" s="92"/>
      <c r="R1799" s="92"/>
      <c r="S1799" s="92"/>
      <c r="T1799" s="92"/>
      <c r="U1799" s="92"/>
      <c r="V1799" s="92"/>
      <c r="W1799" s="92"/>
      <c r="X1799" s="92"/>
      <c r="Y1799" s="92"/>
    </row>
    <row r="1800" spans="1:25" s="94" customFormat="1" ht="34.5" customHeight="1">
      <c r="A1800" s="296"/>
      <c r="B1800" s="192" t="s">
        <v>66</v>
      </c>
      <c r="C1800" s="358">
        <f>CEILING((C1797*0.5),0.1)</f>
        <v>31.3</v>
      </c>
      <c r="D1800" s="740"/>
      <c r="E1800" s="730"/>
      <c r="F1800" s="127"/>
      <c r="G1800" s="127"/>
      <c r="H1800" s="127"/>
      <c r="I1800" s="127"/>
      <c r="J1800" s="127"/>
      <c r="K1800" s="191"/>
      <c r="L1800" s="191"/>
      <c r="M1800" s="90"/>
      <c r="N1800" s="98"/>
      <c r="O1800" s="1270"/>
      <c r="P1800" s="1270"/>
      <c r="Q1800" s="92"/>
      <c r="R1800" s="92"/>
      <c r="S1800" s="92"/>
      <c r="T1800" s="92"/>
      <c r="U1800" s="92"/>
      <c r="V1800" s="92"/>
      <c r="W1800" s="92"/>
      <c r="X1800" s="92"/>
      <c r="Y1800" s="92"/>
    </row>
    <row r="1801" spans="1:25" s="94" customFormat="1" ht="34.5" customHeight="1">
      <c r="A1801" s="746"/>
      <c r="B1801" s="215" t="s">
        <v>327</v>
      </c>
      <c r="C1801" s="358">
        <f>CEILING(76*$Z$1,0.1)</f>
        <v>95</v>
      </c>
      <c r="D1801" s="740"/>
      <c r="E1801" s="730"/>
      <c r="F1801" s="127"/>
      <c r="G1801" s="127"/>
      <c r="H1801" s="127"/>
      <c r="I1801" s="127"/>
      <c r="J1801" s="127"/>
      <c r="K1801" s="191"/>
      <c r="L1801" s="191"/>
      <c r="M1801" s="90"/>
      <c r="N1801" s="98"/>
      <c r="O1801" s="1270"/>
      <c r="P1801" s="1270"/>
      <c r="Q1801" s="92"/>
      <c r="R1801" s="92"/>
      <c r="S1801" s="92"/>
      <c r="T1801" s="92"/>
      <c r="U1801" s="92"/>
      <c r="V1801" s="92"/>
      <c r="W1801" s="92"/>
      <c r="X1801" s="92"/>
      <c r="Y1801" s="92"/>
    </row>
    <row r="1802" spans="1:25" s="94" customFormat="1" ht="34.5" customHeight="1">
      <c r="A1802" s="302" t="s">
        <v>289</v>
      </c>
      <c r="B1802" s="237" t="s">
        <v>328</v>
      </c>
      <c r="C1802" s="742">
        <f>CEILING(102*$Z$1,0.1)</f>
        <v>127.5</v>
      </c>
      <c r="D1802" s="743"/>
      <c r="E1802" s="730"/>
      <c r="F1802" s="127"/>
      <c r="G1802" s="127"/>
      <c r="H1802" s="127"/>
      <c r="I1802" s="127"/>
      <c r="J1802" s="127"/>
      <c r="K1802" s="191"/>
      <c r="L1802" s="191"/>
      <c r="M1802" s="90"/>
      <c r="N1802" s="98"/>
      <c r="O1802" s="92"/>
      <c r="P1802" s="92"/>
      <c r="Q1802" s="92"/>
      <c r="R1802" s="92"/>
      <c r="S1802" s="92"/>
      <c r="T1802" s="92"/>
      <c r="U1802" s="92"/>
      <c r="V1802" s="92"/>
      <c r="W1802" s="92"/>
      <c r="X1802" s="92"/>
      <c r="Y1802" s="92"/>
    </row>
    <row r="1803" spans="1:25" s="94" customFormat="1" ht="34.5" customHeight="1">
      <c r="A1803" s="387" t="s">
        <v>1124</v>
      </c>
      <c r="B1803" s="205"/>
      <c r="C1803" s="191"/>
      <c r="D1803" s="127"/>
      <c r="E1803" s="127"/>
      <c r="F1803" s="127"/>
      <c r="G1803" s="127"/>
      <c r="H1803" s="127"/>
      <c r="I1803" s="127"/>
      <c r="J1803" s="127"/>
      <c r="K1803" s="191"/>
      <c r="L1803" s="191"/>
      <c r="M1803" s="90"/>
      <c r="N1803" s="98"/>
      <c r="O1803" s="92"/>
      <c r="P1803" s="92"/>
      <c r="Q1803" s="92"/>
      <c r="R1803" s="92"/>
      <c r="S1803" s="92"/>
      <c r="T1803" s="92"/>
      <c r="U1803" s="92"/>
      <c r="V1803" s="92"/>
      <c r="W1803" s="92"/>
      <c r="X1803" s="92"/>
      <c r="Y1803" s="92"/>
    </row>
    <row r="1804" spans="1:25" s="692" customFormat="1" ht="34.5" customHeight="1" thickBot="1">
      <c r="A1804" s="234"/>
      <c r="B1804" s="106"/>
      <c r="C1804" s="127"/>
      <c r="D1804" s="127"/>
      <c r="E1804" s="127"/>
      <c r="F1804" s="127"/>
      <c r="G1804" s="127"/>
      <c r="H1804" s="127"/>
      <c r="I1804" s="127"/>
      <c r="J1804" s="121"/>
      <c r="K1804" s="119"/>
      <c r="L1804" s="747"/>
      <c r="M1804" s="101"/>
      <c r="N1804" s="92"/>
      <c r="O1804" s="92"/>
      <c r="P1804" s="92"/>
      <c r="Q1804" s="92"/>
      <c r="R1804" s="92"/>
      <c r="S1804" s="92"/>
      <c r="T1804" s="92"/>
      <c r="U1804" s="92"/>
      <c r="V1804" s="92"/>
      <c r="W1804" s="92"/>
      <c r="X1804" s="92"/>
      <c r="Y1804" s="92"/>
    </row>
    <row r="1805" spans="1:42" s="167" customFormat="1" ht="34.5" customHeight="1" thickTop="1">
      <c r="A1805" s="826" t="s">
        <v>33</v>
      </c>
      <c r="B1805" s="827" t="s">
        <v>86</v>
      </c>
      <c r="C1805" s="828" t="s">
        <v>847</v>
      </c>
      <c r="D1805" s="829"/>
      <c r="E1805" s="961" t="s">
        <v>977</v>
      </c>
      <c r="F1805" s="831"/>
      <c r="G1805" s="830" t="s">
        <v>978</v>
      </c>
      <c r="H1805" s="831"/>
      <c r="I1805" s="830" t="s">
        <v>979</v>
      </c>
      <c r="J1805" s="831"/>
      <c r="K1805" s="830" t="s">
        <v>954</v>
      </c>
      <c r="L1805" s="831"/>
      <c r="M1805" s="151"/>
      <c r="N1805" s="151"/>
      <c r="O1805" s="166"/>
      <c r="P1805" s="166"/>
      <c r="Q1805" s="166"/>
      <c r="R1805" s="166"/>
      <c r="S1805" s="100"/>
      <c r="T1805" s="92"/>
      <c r="U1805" s="92"/>
      <c r="V1805" s="92"/>
      <c r="W1805" s="92"/>
      <c r="X1805" s="92"/>
      <c r="Y1805" s="92"/>
      <c r="Z1805" s="100"/>
      <c r="AA1805" s="166"/>
      <c r="AB1805" s="166"/>
      <c r="AC1805" s="166"/>
      <c r="AD1805" s="166"/>
      <c r="AE1805" s="166"/>
      <c r="AF1805" s="166"/>
      <c r="AG1805" s="166"/>
      <c r="AH1805" s="166"/>
      <c r="AI1805" s="166"/>
      <c r="AJ1805" s="166"/>
      <c r="AK1805" s="166"/>
      <c r="AL1805" s="166"/>
      <c r="AM1805" s="166"/>
      <c r="AN1805" s="166"/>
      <c r="AO1805" s="166"/>
      <c r="AP1805" s="166"/>
    </row>
    <row r="1806" spans="1:25" s="692" customFormat="1" ht="34.5" customHeight="1">
      <c r="A1806" s="671" t="s">
        <v>1196</v>
      </c>
      <c r="B1806" s="189" t="s">
        <v>41</v>
      </c>
      <c r="C1806" s="1216">
        <f>CEILING(30*$Z$1,0.1)</f>
        <v>37.5</v>
      </c>
      <c r="D1806" s="1217"/>
      <c r="E1806" s="1216">
        <f>CEILING(30*$Z$1,0.1)</f>
        <v>37.5</v>
      </c>
      <c r="F1806" s="1217"/>
      <c r="G1806" s="1216">
        <f>CEILING(30*$Z$1,0.1)</f>
        <v>37.5</v>
      </c>
      <c r="H1806" s="1217"/>
      <c r="I1806" s="1216">
        <f>CEILING(30*$Z$1,0.1)</f>
        <v>37.5</v>
      </c>
      <c r="J1806" s="1217"/>
      <c r="K1806" s="1216">
        <f>CEILING(33*$Z$1,0.1)</f>
        <v>41.300000000000004</v>
      </c>
      <c r="L1806" s="1217"/>
      <c r="M1806" s="92"/>
      <c r="N1806" s="92"/>
      <c r="O1806" s="92"/>
      <c r="P1806" s="92"/>
      <c r="Q1806" s="92"/>
      <c r="R1806" s="92"/>
      <c r="S1806" s="92"/>
      <c r="T1806" s="92"/>
      <c r="U1806" s="92"/>
      <c r="V1806" s="92"/>
      <c r="W1806" s="92"/>
      <c r="X1806" s="92"/>
      <c r="Y1806" s="92"/>
    </row>
    <row r="1807" spans="1:25" s="692" customFormat="1" ht="34.5" customHeight="1">
      <c r="A1807" s="373" t="s">
        <v>131</v>
      </c>
      <c r="B1807" s="190" t="s">
        <v>42</v>
      </c>
      <c r="C1807" s="1200">
        <f>CEILING((C1806+5*$Z$1),0.1)</f>
        <v>43.800000000000004</v>
      </c>
      <c r="D1807" s="1201"/>
      <c r="E1807" s="1200">
        <f>CEILING((E1806+5*$Z$1),0.1)</f>
        <v>43.800000000000004</v>
      </c>
      <c r="F1807" s="1201"/>
      <c r="G1807" s="1200">
        <f>CEILING((G1806+5*$Z$1),0.1)</f>
        <v>43.800000000000004</v>
      </c>
      <c r="H1807" s="1201"/>
      <c r="I1807" s="1200">
        <f>CEILING((I1806+5*$Z$1),0.1)</f>
        <v>43.800000000000004</v>
      </c>
      <c r="J1807" s="1201"/>
      <c r="K1807" s="1200">
        <f>CEILING((K1806+6*$Z$1),0.1)</f>
        <v>48.800000000000004</v>
      </c>
      <c r="L1807" s="1201"/>
      <c r="M1807" s="92"/>
      <c r="N1807" s="92"/>
      <c r="O1807" s="92"/>
      <c r="P1807" s="92"/>
      <c r="Q1807" s="92"/>
      <c r="R1807" s="92"/>
      <c r="S1807" s="92"/>
      <c r="T1807" s="92"/>
      <c r="U1807" s="92"/>
      <c r="V1807" s="92"/>
      <c r="W1807" s="92"/>
      <c r="X1807" s="92"/>
      <c r="Y1807" s="92"/>
    </row>
    <row r="1808" spans="1:25" s="692" customFormat="1" ht="34.5" customHeight="1" thickBot="1">
      <c r="A1808" s="483" t="s">
        <v>478</v>
      </c>
      <c r="B1808" s="193" t="s">
        <v>680</v>
      </c>
      <c r="C1808" s="1212">
        <f>CEILING((C1806*0),0.1)</f>
        <v>0</v>
      </c>
      <c r="D1808" s="1213"/>
      <c r="E1808" s="1212">
        <f>CEILING((E1806*0),0.1)</f>
        <v>0</v>
      </c>
      <c r="F1808" s="1213"/>
      <c r="G1808" s="1212">
        <f>CEILING((G1806*0),0.1)</f>
        <v>0</v>
      </c>
      <c r="H1808" s="1213"/>
      <c r="I1808" s="1212">
        <f>CEILING((I1806*0),0.1)</f>
        <v>0</v>
      </c>
      <c r="J1808" s="1213"/>
      <c r="K1808" s="1212">
        <f>CEILING((K1806*0),0.1)</f>
        <v>0</v>
      </c>
      <c r="L1808" s="1213"/>
      <c r="M1808" s="92"/>
      <c r="N1808" s="92"/>
      <c r="O1808" s="92"/>
      <c r="P1808" s="92"/>
      <c r="Q1808" s="92"/>
      <c r="R1808" s="92"/>
      <c r="S1808" s="92"/>
      <c r="T1808" s="92"/>
      <c r="U1808" s="92"/>
      <c r="V1808" s="92"/>
      <c r="W1808" s="92"/>
      <c r="X1808" s="92"/>
      <c r="Y1808" s="92"/>
    </row>
    <row r="1809" spans="1:25" s="692" customFormat="1" ht="34.5" customHeight="1" thickTop="1">
      <c r="A1809" s="691" t="s">
        <v>991</v>
      </c>
      <c r="B1809" s="670"/>
      <c r="C1809" s="339"/>
      <c r="D1809" s="339"/>
      <c r="E1809" s="339"/>
      <c r="F1809" s="339"/>
      <c r="G1809" s="339"/>
      <c r="H1809" s="339"/>
      <c r="I1809" s="339"/>
      <c r="J1809" s="241"/>
      <c r="K1809" s="135"/>
      <c r="L1809" s="135"/>
      <c r="M1809" s="92"/>
      <c r="N1809" s="92"/>
      <c r="O1809" s="92"/>
      <c r="P1809" s="92"/>
      <c r="Q1809" s="92"/>
      <c r="R1809" s="92"/>
      <c r="S1809" s="92"/>
      <c r="T1809" s="92"/>
      <c r="U1809" s="92"/>
      <c r="V1809" s="92"/>
      <c r="W1809" s="92"/>
      <c r="X1809" s="92"/>
      <c r="Y1809" s="92"/>
    </row>
    <row r="1810" spans="1:25" s="74" customFormat="1" ht="34.5" customHeight="1">
      <c r="A1810" s="75"/>
      <c r="B1810" s="75"/>
      <c r="C1810" s="75"/>
      <c r="D1810" s="75"/>
      <c r="E1810" s="75"/>
      <c r="F1810" s="75"/>
      <c r="G1810" s="75"/>
      <c r="H1810" s="75"/>
      <c r="I1810" s="75"/>
      <c r="J1810" s="58"/>
      <c r="K1810" s="38"/>
      <c r="L1810" s="38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s="74" customFormat="1" ht="34.5" customHeight="1">
      <c r="A1811" s="68" t="s">
        <v>791</v>
      </c>
      <c r="B1811" s="58"/>
      <c r="C1811" s="58"/>
      <c r="D1811" s="58"/>
      <c r="E1811" s="58"/>
      <c r="F1811" s="58"/>
      <c r="G1811" s="58"/>
      <c r="H1811" s="58"/>
      <c r="I1811" s="58"/>
      <c r="J1811" s="58"/>
      <c r="K1811" s="38"/>
      <c r="L1811" s="38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s="74" customFormat="1" ht="34.5" customHeight="1">
      <c r="A1812" s="68"/>
      <c r="B1812" s="58"/>
      <c r="C1812" s="58"/>
      <c r="D1812" s="58"/>
      <c r="E1812" s="58"/>
      <c r="F1812" s="58"/>
      <c r="G1812" s="58"/>
      <c r="H1812" s="58"/>
      <c r="I1812" s="58"/>
      <c r="J1812" s="58"/>
      <c r="K1812" s="38"/>
      <c r="L1812" s="38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42" s="167" customFormat="1" ht="34.5" customHeight="1">
      <c r="A1813" s="837" t="s">
        <v>33</v>
      </c>
      <c r="B1813" s="838" t="s">
        <v>568</v>
      </c>
      <c r="C1813" s="839" t="s">
        <v>847</v>
      </c>
      <c r="D1813" s="840"/>
      <c r="E1813" s="841" t="s">
        <v>1010</v>
      </c>
      <c r="F1813" s="842"/>
      <c r="G1813" s="841" t="s">
        <v>1011</v>
      </c>
      <c r="H1813" s="842"/>
      <c r="I1813" s="841" t="s">
        <v>851</v>
      </c>
      <c r="J1813" s="842"/>
      <c r="K1813" s="841" t="s">
        <v>852</v>
      </c>
      <c r="L1813" s="842"/>
      <c r="M1813" s="151"/>
      <c r="N1813" s="151"/>
      <c r="O1813" s="166"/>
      <c r="P1813" s="166"/>
      <c r="Q1813" s="166"/>
      <c r="R1813" s="166"/>
      <c r="S1813" s="100"/>
      <c r="T1813" s="92"/>
      <c r="U1813" s="92"/>
      <c r="V1813" s="92"/>
      <c r="W1813" s="92"/>
      <c r="X1813" s="92"/>
      <c r="Y1813" s="92"/>
      <c r="Z1813" s="100"/>
      <c r="AA1813" s="166"/>
      <c r="AB1813" s="166"/>
      <c r="AC1813" s="166"/>
      <c r="AD1813" s="166"/>
      <c r="AE1813" s="166"/>
      <c r="AF1813" s="166"/>
      <c r="AG1813" s="166"/>
      <c r="AH1813" s="166"/>
      <c r="AI1813" s="166"/>
      <c r="AJ1813" s="166"/>
      <c r="AK1813" s="166"/>
      <c r="AL1813" s="166"/>
      <c r="AM1813" s="166"/>
      <c r="AN1813" s="166"/>
      <c r="AO1813" s="166"/>
      <c r="AP1813" s="166"/>
    </row>
    <row r="1814" spans="1:49" s="240" customFormat="1" ht="34.5" customHeight="1">
      <c r="A1814" s="242" t="s">
        <v>694</v>
      </c>
      <c r="B1814" s="189" t="s">
        <v>152</v>
      </c>
      <c r="C1814" s="1194">
        <f>CEILING(65*$Z$1,0.1)</f>
        <v>81.30000000000001</v>
      </c>
      <c r="D1814" s="1195"/>
      <c r="E1814" s="1194">
        <f>CEILING(75*$Z$1,0.1)</f>
        <v>93.80000000000001</v>
      </c>
      <c r="F1814" s="1195"/>
      <c r="G1814" s="1194">
        <f>CEILING(70*$Z$1,0.1)</f>
        <v>87.5</v>
      </c>
      <c r="H1814" s="1195"/>
      <c r="I1814" s="1194">
        <f>CEILING(75*$Z$1,0.1)</f>
        <v>93.80000000000001</v>
      </c>
      <c r="J1814" s="1195"/>
      <c r="K1814" s="1194">
        <f>CEILING(65*$Z$1,0.1)</f>
        <v>81.30000000000001</v>
      </c>
      <c r="L1814" s="1195"/>
      <c r="M1814" s="106"/>
      <c r="N1814" s="106"/>
      <c r="O1814" s="101"/>
      <c r="P1814" s="101"/>
      <c r="Q1814" s="101"/>
      <c r="R1814" s="101"/>
      <c r="S1814" s="101"/>
      <c r="T1814" s="101"/>
      <c r="U1814" s="101"/>
      <c r="V1814" s="101"/>
      <c r="W1814" s="101"/>
      <c r="X1814" s="101"/>
      <c r="Y1814" s="101"/>
      <c r="Z1814" s="121"/>
      <c r="AA1814" s="121"/>
      <c r="AB1814" s="121"/>
      <c r="AC1814" s="121"/>
      <c r="AD1814" s="121"/>
      <c r="AE1814" s="121"/>
      <c r="AF1814" s="121"/>
      <c r="AG1814" s="121"/>
      <c r="AH1814" s="121"/>
      <c r="AI1814" s="121"/>
      <c r="AJ1814" s="121"/>
      <c r="AK1814" s="121"/>
      <c r="AL1814" s="121"/>
      <c r="AM1814" s="121"/>
      <c r="AN1814" s="121"/>
      <c r="AO1814" s="121"/>
      <c r="AP1814" s="121"/>
      <c r="AQ1814" s="121"/>
      <c r="AR1814" s="121"/>
      <c r="AS1814" s="121"/>
      <c r="AT1814" s="121"/>
      <c r="AU1814" s="121"/>
      <c r="AV1814" s="121"/>
      <c r="AW1814" s="121"/>
    </row>
    <row r="1815" spans="1:25" s="121" customFormat="1" ht="34.5" customHeight="1">
      <c r="A1815" s="266"/>
      <c r="B1815" s="190" t="s">
        <v>153</v>
      </c>
      <c r="C1815" s="1192">
        <f>CEILING((C1814+35*$Z$1),0.1)</f>
        <v>125.10000000000001</v>
      </c>
      <c r="D1815" s="1193"/>
      <c r="E1815" s="1192">
        <f>CEILING((E1814+35*$Z$1),0.1)</f>
        <v>137.6</v>
      </c>
      <c r="F1815" s="1193"/>
      <c r="G1815" s="1192">
        <f>CEILING((G1814+35*$Z$1),0.1)</f>
        <v>131.3</v>
      </c>
      <c r="H1815" s="1193"/>
      <c r="I1815" s="1192">
        <f>CEILING((I1814+35*$Z$1),0.1)</f>
        <v>137.6</v>
      </c>
      <c r="J1815" s="1193"/>
      <c r="K1815" s="1192">
        <f>CEILING((K1814+35*$Z$1),0.1)</f>
        <v>125.10000000000001</v>
      </c>
      <c r="L1815" s="1193"/>
      <c r="M1815" s="106"/>
      <c r="N1815" s="106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1"/>
    </row>
    <row r="1816" spans="1:25" s="121" customFormat="1" ht="34.5" customHeight="1">
      <c r="A1816" s="385"/>
      <c r="B1816" s="190" t="s">
        <v>546</v>
      </c>
      <c r="C1816" s="1192">
        <f>CEILING((C1814*0.85),0.1)</f>
        <v>69.2</v>
      </c>
      <c r="D1816" s="1193"/>
      <c r="E1816" s="1192">
        <f>CEILING((E1814*0.85),0.1)</f>
        <v>79.80000000000001</v>
      </c>
      <c r="F1816" s="1193"/>
      <c r="G1816" s="1192">
        <f>CEILING((G1814*0.85),0.1)</f>
        <v>74.4</v>
      </c>
      <c r="H1816" s="1193"/>
      <c r="I1816" s="1192">
        <f>CEILING((I1814*0.85),0.1)</f>
        <v>79.80000000000001</v>
      </c>
      <c r="J1816" s="1193"/>
      <c r="K1816" s="1192">
        <f>CEILING((K1814*0.85),0.1)</f>
        <v>69.2</v>
      </c>
      <c r="L1816" s="1193"/>
      <c r="M1816" s="106"/>
      <c r="N1816" s="106"/>
      <c r="O1816" s="101"/>
      <c r="P1816" s="101"/>
      <c r="Q1816" s="101"/>
      <c r="R1816" s="101"/>
      <c r="S1816" s="101"/>
      <c r="T1816" s="101"/>
      <c r="U1816" s="101"/>
      <c r="V1816" s="101"/>
      <c r="W1816" s="101"/>
      <c r="X1816" s="101"/>
      <c r="Y1816" s="101"/>
    </row>
    <row r="1817" spans="1:25" s="121" customFormat="1" ht="34.5" customHeight="1">
      <c r="A1817" s="115"/>
      <c r="B1817" s="190" t="s">
        <v>61</v>
      </c>
      <c r="C1817" s="1192">
        <f>CEILING((C1814*0),0.1)</f>
        <v>0</v>
      </c>
      <c r="D1817" s="1193"/>
      <c r="E1817" s="1192">
        <f>CEILING((E1814*0),0.1)</f>
        <v>0</v>
      </c>
      <c r="F1817" s="1193"/>
      <c r="G1817" s="1192">
        <f>CEILING((G1814*0),0.1)</f>
        <v>0</v>
      </c>
      <c r="H1817" s="1193"/>
      <c r="I1817" s="1192">
        <f>CEILING((I1814*0),0.1)</f>
        <v>0</v>
      </c>
      <c r="J1817" s="1193"/>
      <c r="K1817" s="1192">
        <f>CEILING((K1814*0),0.1)</f>
        <v>0</v>
      </c>
      <c r="L1817" s="1193"/>
      <c r="M1817" s="106"/>
      <c r="N1817" s="106"/>
      <c r="O1817" s="101"/>
      <c r="P1817" s="101"/>
      <c r="Q1817" s="101"/>
      <c r="R1817" s="101"/>
      <c r="S1817" s="101"/>
      <c r="T1817" s="101"/>
      <c r="U1817" s="101"/>
      <c r="V1817" s="101"/>
      <c r="W1817" s="101"/>
      <c r="X1817" s="101"/>
      <c r="Y1817" s="101"/>
    </row>
    <row r="1818" spans="1:25" s="121" customFormat="1" ht="34.5" customHeight="1">
      <c r="A1818" s="164" t="s">
        <v>49</v>
      </c>
      <c r="B1818" s="190" t="s">
        <v>696</v>
      </c>
      <c r="C1818" s="1192">
        <f>CEILING(71*$Z$1,0.1)</f>
        <v>88.80000000000001</v>
      </c>
      <c r="D1818" s="1193"/>
      <c r="E1818" s="1192">
        <f>CEILING(81*$Z$1,0.1)</f>
        <v>101.30000000000001</v>
      </c>
      <c r="F1818" s="1193"/>
      <c r="G1818" s="1192">
        <f>CEILING(76*$Z$1,0.1)</f>
        <v>95</v>
      </c>
      <c r="H1818" s="1193"/>
      <c r="I1818" s="1192">
        <f>CEILING(81*$Z$1,0.1)</f>
        <v>101.30000000000001</v>
      </c>
      <c r="J1818" s="1193"/>
      <c r="K1818" s="1192">
        <f>CEILING(71*$Z$1,0.1)</f>
        <v>88.80000000000001</v>
      </c>
      <c r="L1818" s="1193"/>
      <c r="M1818" s="106"/>
      <c r="N1818" s="106"/>
      <c r="O1818" s="101"/>
      <c r="P1818" s="101"/>
      <c r="Q1818" s="101"/>
      <c r="R1818" s="101"/>
      <c r="S1818" s="101"/>
      <c r="T1818" s="101"/>
      <c r="U1818" s="101"/>
      <c r="V1818" s="101"/>
      <c r="W1818" s="101"/>
      <c r="X1818" s="101"/>
      <c r="Y1818" s="101"/>
    </row>
    <row r="1819" spans="1:25" s="121" customFormat="1" ht="34.5" customHeight="1">
      <c r="A1819" s="263"/>
      <c r="B1819" s="190" t="s">
        <v>697</v>
      </c>
      <c r="C1819" s="1192">
        <f>CEILING((C1818+35*$Z$1),0.1)</f>
        <v>132.6</v>
      </c>
      <c r="D1819" s="1193"/>
      <c r="E1819" s="1192">
        <f>CEILING((E1818+35*$Z$1),0.1)</f>
        <v>145.1</v>
      </c>
      <c r="F1819" s="1193"/>
      <c r="G1819" s="1192">
        <f>CEILING((G1818+35*$Z$1),0.1)</f>
        <v>138.8</v>
      </c>
      <c r="H1819" s="1193"/>
      <c r="I1819" s="1192">
        <f>CEILING((I1818+35*$Z$1),0.1)</f>
        <v>145.1</v>
      </c>
      <c r="J1819" s="1193"/>
      <c r="K1819" s="1192">
        <f>CEILING((K1818+35*$Z$1),0.1)</f>
        <v>132.6</v>
      </c>
      <c r="L1819" s="1193"/>
      <c r="M1819" s="106"/>
      <c r="N1819" s="106"/>
      <c r="O1819" s="101"/>
      <c r="P1819" s="101"/>
      <c r="Q1819" s="101"/>
      <c r="R1819" s="101"/>
      <c r="S1819" s="101"/>
      <c r="T1819" s="101"/>
      <c r="U1819" s="101"/>
      <c r="V1819" s="101"/>
      <c r="W1819" s="101"/>
      <c r="X1819" s="101"/>
      <c r="Y1819" s="101"/>
    </row>
    <row r="1820" spans="1:23" s="121" customFormat="1" ht="34.5" customHeight="1">
      <c r="A1820" s="153"/>
      <c r="B1820" s="190" t="s">
        <v>698</v>
      </c>
      <c r="C1820" s="1192">
        <f>CEILING(75*$Z$1,0.1)</f>
        <v>93.80000000000001</v>
      </c>
      <c r="D1820" s="1193"/>
      <c r="E1820" s="1192">
        <f>CEILING(85*$Z$1,0.1)</f>
        <v>106.30000000000001</v>
      </c>
      <c r="F1820" s="1193"/>
      <c r="G1820" s="1192">
        <f>CEILING(80*$Z$1,0.1)</f>
        <v>100</v>
      </c>
      <c r="H1820" s="1193"/>
      <c r="I1820" s="1192">
        <f>CEILING(85*$Z$1,0.1)</f>
        <v>106.30000000000001</v>
      </c>
      <c r="J1820" s="1193"/>
      <c r="K1820" s="1192">
        <f>CEILING(75*$Z$1,0.1)</f>
        <v>93.80000000000001</v>
      </c>
      <c r="L1820" s="1193"/>
      <c r="M1820" s="101"/>
      <c r="N1820" s="101"/>
      <c r="O1820" s="101"/>
      <c r="P1820" s="101"/>
      <c r="Q1820" s="101"/>
      <c r="R1820" s="101"/>
      <c r="S1820" s="101"/>
      <c r="T1820" s="101"/>
      <c r="U1820" s="101"/>
      <c r="V1820" s="101"/>
      <c r="W1820" s="101"/>
    </row>
    <row r="1821" spans="1:23" s="121" customFormat="1" ht="34.5" customHeight="1">
      <c r="A1821" s="748" t="s">
        <v>695</v>
      </c>
      <c r="B1821" s="281" t="s">
        <v>699</v>
      </c>
      <c r="C1821" s="1202">
        <f>CEILING((C1820+35*$Z$1),0.1)</f>
        <v>137.6</v>
      </c>
      <c r="D1821" s="1203"/>
      <c r="E1821" s="1202">
        <f>CEILING((E1820+35*$Z$1),0.1)</f>
        <v>150.1</v>
      </c>
      <c r="F1821" s="1203"/>
      <c r="G1821" s="1202">
        <f>CEILING((G1820+35*$Z$1),0.1)</f>
        <v>143.8</v>
      </c>
      <c r="H1821" s="1203"/>
      <c r="I1821" s="1202">
        <f>CEILING((I1820+35*$Z$1),0.1)</f>
        <v>150.1</v>
      </c>
      <c r="J1821" s="1203"/>
      <c r="K1821" s="1202">
        <f>CEILING((K1820+35*$Z$1),0.1)</f>
        <v>137.6</v>
      </c>
      <c r="L1821" s="1203"/>
      <c r="M1821" s="101"/>
      <c r="N1821" s="101"/>
      <c r="O1821" s="101"/>
      <c r="P1821" s="101"/>
      <c r="Q1821" s="101"/>
      <c r="R1821" s="101"/>
      <c r="S1821" s="101"/>
      <c r="T1821" s="101"/>
      <c r="U1821" s="101"/>
      <c r="V1821" s="101"/>
      <c r="W1821" s="101"/>
    </row>
    <row r="1822" spans="1:23" s="121" customFormat="1" ht="34.5" customHeight="1">
      <c r="A1822" s="339" t="s">
        <v>1154</v>
      </c>
      <c r="B1822" s="106"/>
      <c r="C1822" s="1081"/>
      <c r="D1822" s="1081"/>
      <c r="E1822" s="1081"/>
      <c r="F1822" s="1081"/>
      <c r="G1822" s="1081"/>
      <c r="H1822" s="1081"/>
      <c r="I1822" s="1081"/>
      <c r="J1822" s="1081"/>
      <c r="K1822" s="1081"/>
      <c r="L1822" s="1081"/>
      <c r="M1822" s="101"/>
      <c r="N1822" s="101"/>
      <c r="O1822" s="101"/>
      <c r="P1822" s="101"/>
      <c r="Q1822" s="101"/>
      <c r="R1822" s="101"/>
      <c r="S1822" s="101"/>
      <c r="T1822" s="101"/>
      <c r="U1822" s="101"/>
      <c r="V1822" s="101"/>
      <c r="W1822" s="101"/>
    </row>
    <row r="1823" spans="1:23" s="94" customFormat="1" ht="34.5" customHeight="1">
      <c r="A1823" s="994" t="s">
        <v>1023</v>
      </c>
      <c r="B1823" s="106"/>
      <c r="C1823" s="995"/>
      <c r="D1823" s="995"/>
      <c r="E1823" s="995"/>
      <c r="F1823" s="995"/>
      <c r="G1823" s="995"/>
      <c r="H1823" s="995"/>
      <c r="I1823" s="995"/>
      <c r="J1823" s="995"/>
      <c r="K1823" s="135"/>
      <c r="L1823" s="135"/>
      <c r="M1823" s="92"/>
      <c r="N1823" s="92"/>
      <c r="O1823" s="92"/>
      <c r="P1823" s="92"/>
      <c r="Q1823" s="92"/>
      <c r="R1823" s="92"/>
      <c r="S1823" s="92"/>
      <c r="T1823" s="92"/>
      <c r="U1823" s="92"/>
      <c r="V1823" s="92"/>
      <c r="W1823" s="92"/>
    </row>
    <row r="1824" spans="1:25" s="145" customFormat="1" ht="34.5" customHeight="1">
      <c r="A1824" s="900" t="s">
        <v>1251</v>
      </c>
      <c r="B1824" s="900"/>
      <c r="C1824" s="1096"/>
      <c r="D1824" s="1096"/>
      <c r="E1824" s="1096"/>
      <c r="F1824" s="1096"/>
      <c r="G1824" s="1096"/>
      <c r="H1824" s="1096"/>
      <c r="I1824" s="1096"/>
      <c r="J1824" s="1096"/>
      <c r="K1824" s="143"/>
      <c r="L1824" s="143"/>
      <c r="M1824" s="144"/>
      <c r="N1824" s="144"/>
      <c r="O1824" s="144"/>
      <c r="P1824" s="144"/>
      <c r="Q1824" s="144"/>
      <c r="R1824" s="144"/>
      <c r="S1824" s="144"/>
      <c r="T1824" s="144"/>
      <c r="U1824" s="144"/>
      <c r="V1824" s="144"/>
      <c r="W1824" s="144"/>
      <c r="X1824" s="144"/>
      <c r="Y1824" s="144"/>
    </row>
    <row r="1825" spans="1:25" s="145" customFormat="1" ht="34.5" customHeight="1">
      <c r="A1825" s="900" t="s">
        <v>1252</v>
      </c>
      <c r="B1825" s="900"/>
      <c r="C1825" s="1104"/>
      <c r="D1825" s="1104"/>
      <c r="E1825" s="1104"/>
      <c r="F1825" s="1104"/>
      <c r="G1825" s="1104"/>
      <c r="H1825" s="1104"/>
      <c r="I1825" s="1104"/>
      <c r="J1825" s="1104"/>
      <c r="K1825" s="143"/>
      <c r="L1825" s="143"/>
      <c r="M1825" s="144"/>
      <c r="N1825" s="144"/>
      <c r="O1825" s="144"/>
      <c r="P1825" s="144"/>
      <c r="Q1825" s="144"/>
      <c r="R1825" s="144"/>
      <c r="S1825" s="144"/>
      <c r="T1825" s="144"/>
      <c r="U1825" s="144"/>
      <c r="V1825" s="144"/>
      <c r="W1825" s="144"/>
      <c r="X1825" s="144"/>
      <c r="Y1825" s="144"/>
    </row>
    <row r="1826" spans="1:25" s="145" customFormat="1" ht="34.5" customHeight="1">
      <c r="A1826" s="900" t="s">
        <v>1253</v>
      </c>
      <c r="B1826" s="900"/>
      <c r="C1826" s="1165"/>
      <c r="D1826" s="1165"/>
      <c r="E1826" s="1165"/>
      <c r="F1826" s="1165"/>
      <c r="G1826" s="1165"/>
      <c r="H1826" s="1165"/>
      <c r="I1826" s="1165"/>
      <c r="J1826" s="1165"/>
      <c r="K1826" s="143"/>
      <c r="L1826" s="143"/>
      <c r="M1826" s="144"/>
      <c r="N1826" s="144"/>
      <c r="O1826" s="144"/>
      <c r="P1826" s="144"/>
      <c r="Q1826" s="144"/>
      <c r="R1826" s="144"/>
      <c r="S1826" s="144"/>
      <c r="T1826" s="144"/>
      <c r="U1826" s="144"/>
      <c r="V1826" s="144"/>
      <c r="W1826" s="144"/>
      <c r="X1826" s="144"/>
      <c r="Y1826" s="144"/>
    </row>
    <row r="1827" spans="1:25" s="145" customFormat="1" ht="34.5" customHeight="1">
      <c r="A1827" s="900" t="s">
        <v>1254</v>
      </c>
      <c r="B1827" s="900"/>
      <c r="C1827" s="1165"/>
      <c r="D1827" s="1165"/>
      <c r="E1827" s="1165"/>
      <c r="F1827" s="1165"/>
      <c r="G1827" s="1165"/>
      <c r="H1827" s="1165"/>
      <c r="I1827" s="1165"/>
      <c r="J1827" s="1165"/>
      <c r="K1827" s="143"/>
      <c r="L1827" s="143"/>
      <c r="M1827" s="144"/>
      <c r="N1827" s="144"/>
      <c r="O1827" s="144"/>
      <c r="P1827" s="144"/>
      <c r="Q1827" s="144"/>
      <c r="R1827" s="144"/>
      <c r="S1827" s="144"/>
      <c r="T1827" s="144"/>
      <c r="U1827" s="144"/>
      <c r="V1827" s="144"/>
      <c r="W1827" s="144"/>
      <c r="X1827" s="144"/>
      <c r="Y1827" s="144"/>
    </row>
    <row r="1828" spans="1:16" s="136" customFormat="1" ht="34.5" customHeight="1" thickBot="1">
      <c r="A1828" s="749"/>
      <c r="B1828" s="749"/>
      <c r="C1828" s="749"/>
      <c r="D1828" s="749"/>
      <c r="E1828" s="749"/>
      <c r="F1828" s="749"/>
      <c r="G1828" s="749"/>
      <c r="H1828" s="749"/>
      <c r="I1828" s="636"/>
      <c r="J1828" s="121"/>
      <c r="K1828" s="135"/>
      <c r="L1828" s="135"/>
      <c r="O1828" s="1270"/>
      <c r="P1828" s="1270"/>
    </row>
    <row r="1829" spans="1:42" s="167" customFormat="1" ht="34.5" customHeight="1" thickTop="1">
      <c r="A1829" s="826" t="s">
        <v>33</v>
      </c>
      <c r="B1829" s="827" t="s">
        <v>800</v>
      </c>
      <c r="C1829" s="828" t="s">
        <v>931</v>
      </c>
      <c r="D1829" s="829"/>
      <c r="E1829" s="961" t="s">
        <v>992</v>
      </c>
      <c r="F1829" s="831"/>
      <c r="G1829" s="830" t="s">
        <v>993</v>
      </c>
      <c r="H1829" s="831"/>
      <c r="I1829" s="1332"/>
      <c r="J1829" s="1224"/>
      <c r="K1829" s="1224"/>
      <c r="L1829" s="1224"/>
      <c r="M1829" s="151"/>
      <c r="N1829" s="151"/>
      <c r="O1829" s="166"/>
      <c r="P1829" s="166"/>
      <c r="Q1829" s="166"/>
      <c r="R1829" s="166"/>
      <c r="S1829" s="100"/>
      <c r="T1829" s="92"/>
      <c r="U1829" s="92"/>
      <c r="V1829" s="92"/>
      <c r="W1829" s="92"/>
      <c r="X1829" s="92"/>
      <c r="Y1829" s="92"/>
      <c r="Z1829" s="100"/>
      <c r="AA1829" s="166"/>
      <c r="AB1829" s="166"/>
      <c r="AC1829" s="166"/>
      <c r="AD1829" s="166"/>
      <c r="AE1829" s="166"/>
      <c r="AF1829" s="166"/>
      <c r="AG1829" s="166"/>
      <c r="AH1829" s="166"/>
      <c r="AI1829" s="166"/>
      <c r="AJ1829" s="166"/>
      <c r="AK1829" s="166"/>
      <c r="AL1829" s="166"/>
      <c r="AM1829" s="166"/>
      <c r="AN1829" s="166"/>
      <c r="AO1829" s="166"/>
      <c r="AP1829" s="166"/>
    </row>
    <row r="1830" spans="1:25" s="94" customFormat="1" ht="34.5" customHeight="1">
      <c r="A1830" s="435" t="s">
        <v>132</v>
      </c>
      <c r="B1830" s="499" t="s">
        <v>133</v>
      </c>
      <c r="C1830" s="1194">
        <f>CEILING(85*$Z$1,0.1)</f>
        <v>106.30000000000001</v>
      </c>
      <c r="D1830" s="1195"/>
      <c r="E1830" s="1194">
        <f>CEILING(115*$Z$1,0.1)</f>
        <v>143.8</v>
      </c>
      <c r="F1830" s="1195"/>
      <c r="G1830" s="1194">
        <f>CEILING(85*$Z$1,0.1)</f>
        <v>106.30000000000001</v>
      </c>
      <c r="H1830" s="1195"/>
      <c r="I1830" s="1220"/>
      <c r="J1830" s="1220"/>
      <c r="K1830" s="1220"/>
      <c r="L1830" s="1220"/>
      <c r="M1830" s="92"/>
      <c r="N1830" s="92"/>
      <c r="O1830" s="1270"/>
      <c r="P1830" s="1270"/>
      <c r="Q1830" s="92"/>
      <c r="R1830" s="92"/>
      <c r="S1830" s="92"/>
      <c r="T1830" s="92"/>
      <c r="U1830" s="92"/>
      <c r="V1830" s="92"/>
      <c r="W1830" s="92"/>
      <c r="X1830" s="92"/>
      <c r="Y1830" s="92"/>
    </row>
    <row r="1831" spans="1:25" s="94" customFormat="1" ht="34.5" customHeight="1">
      <c r="A1831" s="410" t="s">
        <v>775</v>
      </c>
      <c r="B1831" s="499" t="s">
        <v>134</v>
      </c>
      <c r="C1831" s="1192">
        <f>CEILING(115*$Z$1,0.1)</f>
        <v>143.8</v>
      </c>
      <c r="D1831" s="1193"/>
      <c r="E1831" s="1192">
        <f>CEILING(146*$Z$1,0.1)</f>
        <v>182.5</v>
      </c>
      <c r="F1831" s="1193"/>
      <c r="G1831" s="1192">
        <f>CEILING(115*$Z$1,0.1)</f>
        <v>143.8</v>
      </c>
      <c r="H1831" s="1193"/>
      <c r="I1831" s="1220"/>
      <c r="J1831" s="1220"/>
      <c r="K1831" s="1220"/>
      <c r="L1831" s="1220"/>
      <c r="M1831" s="92"/>
      <c r="N1831" s="92"/>
      <c r="O1831" s="1270"/>
      <c r="P1831" s="1270"/>
      <c r="Q1831" s="92"/>
      <c r="R1831" s="92"/>
      <c r="S1831" s="92"/>
      <c r="T1831" s="92"/>
      <c r="U1831" s="92"/>
      <c r="V1831" s="92"/>
      <c r="W1831" s="92"/>
      <c r="X1831" s="92"/>
      <c r="Y1831" s="92"/>
    </row>
    <row r="1832" spans="1:25" s="94" customFormat="1" ht="34.5" customHeight="1" thickBot="1">
      <c r="A1832" s="400" t="s">
        <v>288</v>
      </c>
      <c r="B1832" s="750" t="s">
        <v>135</v>
      </c>
      <c r="C1832" s="1218">
        <f>CEILING(142*$Z$1,0.1)</f>
        <v>177.5</v>
      </c>
      <c r="D1832" s="1219"/>
      <c r="E1832" s="1218">
        <f>CEILING(173*$Z$1,0.1)</f>
        <v>216.3</v>
      </c>
      <c r="F1832" s="1219"/>
      <c r="G1832" s="1218">
        <f>CEILING(142*$Z$1,0.1)</f>
        <v>177.5</v>
      </c>
      <c r="H1832" s="1219"/>
      <c r="I1832" s="1220"/>
      <c r="J1832" s="1220"/>
      <c r="K1832" s="1220"/>
      <c r="L1832" s="1220"/>
      <c r="M1832" s="92"/>
      <c r="N1832" s="92"/>
      <c r="O1832" s="92"/>
      <c r="P1832" s="92"/>
      <c r="Q1832" s="92"/>
      <c r="R1832" s="92"/>
      <c r="S1832" s="92"/>
      <c r="T1832" s="92"/>
      <c r="U1832" s="92"/>
      <c r="V1832" s="92"/>
      <c r="W1832" s="92"/>
      <c r="X1832" s="92"/>
      <c r="Y1832" s="92"/>
    </row>
    <row r="1833" spans="1:30" s="692" customFormat="1" ht="34.5" customHeight="1" thickTop="1">
      <c r="A1833" s="1221" t="s">
        <v>995</v>
      </c>
      <c r="B1833" s="1221"/>
      <c r="C1833" s="1222"/>
      <c r="D1833" s="1222"/>
      <c r="E1833" s="1222"/>
      <c r="F1833" s="1222"/>
      <c r="G1833" s="1222"/>
      <c r="H1833" s="1222"/>
      <c r="I1833" s="968"/>
      <c r="J1833" s="968"/>
      <c r="K1833" s="1220"/>
      <c r="L1833" s="1220"/>
      <c r="M1833" s="136"/>
      <c r="N1833" s="136"/>
      <c r="O1833" s="136"/>
      <c r="P1833" s="136"/>
      <c r="Q1833" s="136"/>
      <c r="R1833" s="136"/>
      <c r="S1833" s="136"/>
      <c r="T1833" s="136"/>
      <c r="U1833" s="136"/>
      <c r="V1833" s="136"/>
      <c r="W1833" s="136"/>
      <c r="X1833" s="136"/>
      <c r="Y1833" s="136"/>
      <c r="Z1833" s="136"/>
      <c r="AA1833" s="136"/>
      <c r="AB1833" s="136"/>
      <c r="AC1833" s="136"/>
      <c r="AD1833" s="136"/>
    </row>
    <row r="1834" spans="1:38" s="981" customFormat="1" ht="34.5" customHeight="1">
      <c r="A1834" s="900" t="s">
        <v>994</v>
      </c>
      <c r="B1834" s="402"/>
      <c r="C1834" s="402"/>
      <c r="D1834" s="402"/>
      <c r="E1834" s="402"/>
      <c r="F1834" s="402"/>
      <c r="G1834" s="402"/>
      <c r="H1834" s="402"/>
      <c r="I1834" s="968"/>
      <c r="J1834" s="968"/>
      <c r="K1834" s="964"/>
      <c r="L1834" s="964"/>
      <c r="M1834" s="136"/>
      <c r="N1834" s="136"/>
      <c r="O1834" s="136"/>
      <c r="P1834" s="136"/>
      <c r="Q1834" s="136"/>
      <c r="R1834" s="136"/>
      <c r="S1834" s="136"/>
      <c r="T1834" s="136"/>
      <c r="U1834" s="136"/>
      <c r="V1834" s="136"/>
      <c r="W1834" s="136"/>
      <c r="X1834" s="136"/>
      <c r="Y1834" s="136"/>
      <c r="Z1834" s="136"/>
      <c r="AA1834" s="136"/>
      <c r="AB1834" s="136"/>
      <c r="AC1834" s="136"/>
      <c r="AD1834" s="136"/>
      <c r="AE1834" s="136"/>
      <c r="AF1834" s="136"/>
      <c r="AG1834" s="136"/>
      <c r="AH1834" s="136"/>
      <c r="AI1834" s="136"/>
      <c r="AJ1834" s="136"/>
      <c r="AK1834" s="136"/>
      <c r="AL1834" s="136"/>
    </row>
    <row r="1835" spans="1:31" s="94" customFormat="1" ht="34.5" customHeight="1" thickBot="1">
      <c r="A1835" s="234"/>
      <c r="B1835" s="106"/>
      <c r="C1835" s="127"/>
      <c r="D1835" s="339"/>
      <c r="E1835" s="191"/>
      <c r="F1835" s="191"/>
      <c r="G1835" s="191"/>
      <c r="H1835" s="191"/>
      <c r="I1835" s="127"/>
      <c r="J1835" s="127"/>
      <c r="K1835" s="119"/>
      <c r="L1835" s="119"/>
      <c r="M1835" s="92"/>
      <c r="N1835" s="92"/>
      <c r="O1835" s="92"/>
      <c r="P1835" s="92"/>
      <c r="Q1835" s="92"/>
      <c r="R1835" s="92"/>
      <c r="S1835" s="92"/>
      <c r="T1835" s="92"/>
      <c r="U1835" s="92"/>
      <c r="V1835" s="92"/>
      <c r="W1835" s="92"/>
      <c r="X1835" s="92"/>
      <c r="Y1835" s="92"/>
      <c r="Z1835" s="92"/>
      <c r="AA1835" s="92"/>
      <c r="AB1835" s="92"/>
      <c r="AC1835" s="92"/>
      <c r="AD1835" s="92"/>
      <c r="AE1835" s="92"/>
    </row>
    <row r="1836" spans="1:42" s="167" customFormat="1" ht="34.5" customHeight="1" thickTop="1">
      <c r="A1836" s="826" t="s">
        <v>33</v>
      </c>
      <c r="B1836" s="827" t="s">
        <v>568</v>
      </c>
      <c r="C1836" s="828" t="s">
        <v>847</v>
      </c>
      <c r="D1836" s="829"/>
      <c r="E1836" s="961" t="s">
        <v>996</v>
      </c>
      <c r="F1836" s="831"/>
      <c r="G1836" s="830" t="s">
        <v>881</v>
      </c>
      <c r="H1836" s="831"/>
      <c r="I1836" s="830" t="s">
        <v>852</v>
      </c>
      <c r="J1836" s="831"/>
      <c r="K1836" s="1224"/>
      <c r="L1836" s="1224"/>
      <c r="M1836" s="151"/>
      <c r="N1836" s="151"/>
      <c r="O1836" s="166"/>
      <c r="P1836" s="166"/>
      <c r="Q1836" s="166"/>
      <c r="R1836" s="166"/>
      <c r="S1836" s="100"/>
      <c r="T1836" s="92"/>
      <c r="U1836" s="92"/>
      <c r="V1836" s="92"/>
      <c r="W1836" s="92"/>
      <c r="X1836" s="92"/>
      <c r="Y1836" s="92"/>
      <c r="Z1836" s="100"/>
      <c r="AA1836" s="166"/>
      <c r="AB1836" s="166"/>
      <c r="AC1836" s="166"/>
      <c r="AD1836" s="166"/>
      <c r="AE1836" s="166"/>
      <c r="AF1836" s="166"/>
      <c r="AG1836" s="166"/>
      <c r="AH1836" s="166"/>
      <c r="AI1836" s="166"/>
      <c r="AJ1836" s="166"/>
      <c r="AK1836" s="166"/>
      <c r="AL1836" s="166"/>
      <c r="AM1836" s="166"/>
      <c r="AN1836" s="166"/>
      <c r="AO1836" s="166"/>
      <c r="AP1836" s="166"/>
    </row>
    <row r="1837" spans="1:31" s="94" customFormat="1" ht="34.5" customHeight="1">
      <c r="A1837" s="487" t="s">
        <v>136</v>
      </c>
      <c r="B1837" s="189" t="s">
        <v>79</v>
      </c>
      <c r="C1837" s="1204">
        <f>CEILING(27*$Z$1,0.1)</f>
        <v>33.800000000000004</v>
      </c>
      <c r="D1837" s="1205"/>
      <c r="E1837" s="1204">
        <f>CEILING(39*$Z$1,0.1)</f>
        <v>48.800000000000004</v>
      </c>
      <c r="F1837" s="1205"/>
      <c r="G1837" s="1204">
        <f>CEILING(31*$Z$1,0.1)</f>
        <v>38.800000000000004</v>
      </c>
      <c r="H1837" s="1205"/>
      <c r="I1837" s="1204">
        <f>CEILING(25*$Z$1,0.1)</f>
        <v>31.3</v>
      </c>
      <c r="J1837" s="1205"/>
      <c r="K1837" s="1252"/>
      <c r="L1837" s="1252"/>
      <c r="M1837" s="92"/>
      <c r="N1837" s="92"/>
      <c r="O1837" s="92"/>
      <c r="P1837" s="92"/>
      <c r="Q1837" s="92"/>
      <c r="R1837" s="92"/>
      <c r="S1837" s="92"/>
      <c r="T1837" s="92"/>
      <c r="U1837" s="92"/>
      <c r="V1837" s="92"/>
      <c r="W1837" s="92"/>
      <c r="X1837" s="92"/>
      <c r="Y1837" s="92"/>
      <c r="Z1837" s="92"/>
      <c r="AA1837" s="92"/>
      <c r="AB1837" s="92"/>
      <c r="AC1837" s="92"/>
      <c r="AD1837" s="92"/>
      <c r="AE1837" s="92"/>
    </row>
    <row r="1838" spans="1:31" s="94" customFormat="1" ht="34.5" customHeight="1">
      <c r="A1838" s="297" t="s">
        <v>76</v>
      </c>
      <c r="B1838" s="190" t="s">
        <v>8</v>
      </c>
      <c r="C1838" s="1198">
        <f>CEILING(35*$Z$1,0.1)</f>
        <v>43.800000000000004</v>
      </c>
      <c r="D1838" s="1199"/>
      <c r="E1838" s="1198">
        <f>CEILING(49*$Z$1,0.1)</f>
        <v>61.300000000000004</v>
      </c>
      <c r="F1838" s="1199"/>
      <c r="G1838" s="1198">
        <f>CEILING(41*$Z$1,0.1)</f>
        <v>51.300000000000004</v>
      </c>
      <c r="H1838" s="1199"/>
      <c r="I1838" s="1198">
        <f>CEILING(33*$Z$1,0.1)</f>
        <v>41.300000000000004</v>
      </c>
      <c r="J1838" s="1199"/>
      <c r="K1838" s="1252"/>
      <c r="L1838" s="1252"/>
      <c r="M1838" s="92"/>
      <c r="N1838" s="92"/>
      <c r="O1838" s="92"/>
      <c r="P1838" s="92"/>
      <c r="Q1838" s="92"/>
      <c r="R1838" s="92"/>
      <c r="S1838" s="92"/>
      <c r="T1838" s="92"/>
      <c r="U1838" s="92"/>
      <c r="V1838" s="92"/>
      <c r="W1838" s="92"/>
      <c r="X1838" s="92"/>
      <c r="Y1838" s="92"/>
      <c r="Z1838" s="92"/>
      <c r="AA1838" s="92"/>
      <c r="AB1838" s="92"/>
      <c r="AC1838" s="92"/>
      <c r="AD1838" s="92"/>
      <c r="AE1838" s="92"/>
    </row>
    <row r="1839" spans="1:31" s="94" customFormat="1" ht="34.5" customHeight="1">
      <c r="A1839" s="115" t="s">
        <v>1299</v>
      </c>
      <c r="B1839" s="192" t="s">
        <v>37</v>
      </c>
      <c r="C1839" s="1200">
        <f>CEILING((C1837*0.85),0.1)</f>
        <v>28.8</v>
      </c>
      <c r="D1839" s="1201"/>
      <c r="E1839" s="1200">
        <f>CEILING((E1837*0.85),0.1)</f>
        <v>41.5</v>
      </c>
      <c r="F1839" s="1201"/>
      <c r="G1839" s="1200">
        <f>CEILING((G1837*0.85),0.1)</f>
        <v>33</v>
      </c>
      <c r="H1839" s="1201"/>
      <c r="I1839" s="1200">
        <f>CEILING((I1837*0.85),0.1)</f>
        <v>26.700000000000003</v>
      </c>
      <c r="J1839" s="1201"/>
      <c r="K1839" s="1252"/>
      <c r="L1839" s="1252"/>
      <c r="M1839" s="92"/>
      <c r="N1839" s="92"/>
      <c r="O1839" s="92"/>
      <c r="P1839" s="92"/>
      <c r="Q1839" s="92"/>
      <c r="R1839" s="92"/>
      <c r="S1839" s="92"/>
      <c r="T1839" s="92"/>
      <c r="U1839" s="92"/>
      <c r="V1839" s="92"/>
      <c r="W1839" s="92"/>
      <c r="X1839" s="92"/>
      <c r="Y1839" s="92"/>
      <c r="Z1839" s="92"/>
      <c r="AA1839" s="92"/>
      <c r="AB1839" s="92"/>
      <c r="AC1839" s="92"/>
      <c r="AD1839" s="92"/>
      <c r="AE1839" s="92"/>
    </row>
    <row r="1840" spans="1:31" s="94" customFormat="1" ht="34.5" customHeight="1" thickBot="1">
      <c r="A1840" s="302" t="s">
        <v>388</v>
      </c>
      <c r="B1840" s="751" t="s">
        <v>491</v>
      </c>
      <c r="C1840" s="1333">
        <f>CEILING((C1837*0),0.1)</f>
        <v>0</v>
      </c>
      <c r="D1840" s="1334"/>
      <c r="E1840" s="1333">
        <f>CEILING((E1837*0),0.1)</f>
        <v>0</v>
      </c>
      <c r="F1840" s="1334"/>
      <c r="G1840" s="1333">
        <f>CEILING((G1837*0),0.1)</f>
        <v>0</v>
      </c>
      <c r="H1840" s="1334"/>
      <c r="I1840" s="1333">
        <f>CEILING((I1837*0),0.1)</f>
        <v>0</v>
      </c>
      <c r="J1840" s="1334"/>
      <c r="K1840" s="1252"/>
      <c r="L1840" s="1252"/>
      <c r="M1840" s="92"/>
      <c r="N1840" s="92"/>
      <c r="O1840" s="92"/>
      <c r="P1840" s="92"/>
      <c r="Q1840" s="92"/>
      <c r="R1840" s="92"/>
      <c r="S1840" s="92"/>
      <c r="T1840" s="92"/>
      <c r="U1840" s="92"/>
      <c r="V1840" s="92"/>
      <c r="W1840" s="92"/>
      <c r="X1840" s="92"/>
      <c r="Y1840" s="92"/>
      <c r="Z1840" s="92"/>
      <c r="AA1840" s="92"/>
      <c r="AB1840" s="92"/>
      <c r="AC1840" s="92"/>
      <c r="AD1840" s="92"/>
      <c r="AE1840" s="92"/>
    </row>
    <row r="1841" spans="1:47" s="166" customFormat="1" ht="29.25" customHeight="1" thickTop="1">
      <c r="A1841" s="996"/>
      <c r="B1841" s="969"/>
      <c r="C1841" s="996"/>
      <c r="D1841" s="996"/>
      <c r="E1841" s="996"/>
      <c r="F1841" s="996"/>
      <c r="G1841" s="996"/>
      <c r="H1841" s="996"/>
      <c r="I1841" s="960"/>
      <c r="J1841" s="960"/>
      <c r="K1841" s="952"/>
      <c r="L1841" s="952"/>
      <c r="M1841" s="317"/>
      <c r="N1841" s="317"/>
      <c r="O1841" s="951"/>
      <c r="P1841" s="951"/>
      <c r="Q1841" s="951"/>
      <c r="R1841" s="951"/>
      <c r="S1841" s="951"/>
      <c r="T1841" s="100"/>
      <c r="U1841" s="100"/>
      <c r="V1841" s="136"/>
      <c r="W1841" s="136"/>
      <c r="X1841" s="136"/>
      <c r="Y1841" s="136"/>
      <c r="Z1841" s="136"/>
      <c r="AA1841" s="951"/>
      <c r="AB1841" s="951"/>
      <c r="AC1841" s="951"/>
      <c r="AD1841" s="951"/>
      <c r="AE1841" s="951"/>
      <c r="AF1841" s="951"/>
      <c r="AG1841" s="951"/>
      <c r="AH1841" s="951"/>
      <c r="AI1841" s="951"/>
      <c r="AJ1841" s="951"/>
      <c r="AK1841" s="951"/>
      <c r="AL1841" s="951"/>
      <c r="AM1841" s="951"/>
      <c r="AN1841" s="951"/>
      <c r="AO1841" s="951"/>
      <c r="AP1841" s="951"/>
      <c r="AQ1841" s="951"/>
      <c r="AR1841" s="951"/>
      <c r="AS1841" s="951"/>
      <c r="AT1841" s="951"/>
      <c r="AU1841" s="951"/>
    </row>
    <row r="1842" spans="1:47" s="166" customFormat="1" ht="29.25" customHeight="1">
      <c r="A1842" s="837" t="s">
        <v>33</v>
      </c>
      <c r="B1842" s="838" t="s">
        <v>568</v>
      </c>
      <c r="C1842" s="839" t="s">
        <v>847</v>
      </c>
      <c r="D1842" s="840"/>
      <c r="E1842" s="841" t="s">
        <v>877</v>
      </c>
      <c r="F1842" s="842"/>
      <c r="G1842" s="841" t="s">
        <v>959</v>
      </c>
      <c r="H1842" s="842"/>
      <c r="I1842" s="960"/>
      <c r="J1842" s="960"/>
      <c r="K1842" s="952"/>
      <c r="L1842" s="952"/>
      <c r="M1842" s="317"/>
      <c r="N1842" s="317"/>
      <c r="O1842" s="951"/>
      <c r="P1842" s="951"/>
      <c r="Q1842" s="951"/>
      <c r="R1842" s="951"/>
      <c r="S1842" s="951"/>
      <c r="T1842" s="100"/>
      <c r="U1842" s="100"/>
      <c r="V1842" s="136"/>
      <c r="W1842" s="136"/>
      <c r="X1842" s="136"/>
      <c r="Y1842" s="136"/>
      <c r="Z1842" s="136"/>
      <c r="AA1842" s="951"/>
      <c r="AB1842" s="951"/>
      <c r="AC1842" s="951"/>
      <c r="AD1842" s="951"/>
      <c r="AE1842" s="951"/>
      <c r="AF1842" s="951"/>
      <c r="AG1842" s="951"/>
      <c r="AH1842" s="951"/>
      <c r="AI1842" s="951"/>
      <c r="AJ1842" s="951"/>
      <c r="AK1842" s="951"/>
      <c r="AL1842" s="951"/>
      <c r="AM1842" s="951"/>
      <c r="AN1842" s="951"/>
      <c r="AO1842" s="951"/>
      <c r="AP1842" s="951"/>
      <c r="AQ1842" s="951"/>
      <c r="AR1842" s="951"/>
      <c r="AS1842" s="951"/>
      <c r="AT1842" s="951"/>
      <c r="AU1842" s="951"/>
    </row>
    <row r="1843" spans="1:47" s="166" customFormat="1" ht="29.25" customHeight="1">
      <c r="A1843" s="482" t="s">
        <v>1022</v>
      </c>
      <c r="B1843" s="189" t="s">
        <v>41</v>
      </c>
      <c r="C1843" s="644">
        <f>CEILING(33*$Z$1,0.1)</f>
        <v>41.300000000000004</v>
      </c>
      <c r="D1843" s="645"/>
      <c r="E1843" s="644">
        <f>CEILING(42*$Z$1,0.1)</f>
        <v>52.5</v>
      </c>
      <c r="F1843" s="645"/>
      <c r="G1843" s="644">
        <f>CEILING(33*$Z$1,0.1)</f>
        <v>41.300000000000004</v>
      </c>
      <c r="H1843" s="645"/>
      <c r="I1843" s="960"/>
      <c r="J1843" s="960"/>
      <c r="K1843" s="952"/>
      <c r="L1843" s="952"/>
      <c r="M1843" s="317"/>
      <c r="N1843" s="317"/>
      <c r="O1843" s="951"/>
      <c r="P1843" s="951"/>
      <c r="Q1843" s="951"/>
      <c r="R1843" s="951"/>
      <c r="S1843" s="951"/>
      <c r="T1843" s="100"/>
      <c r="U1843" s="100"/>
      <c r="V1843" s="136"/>
      <c r="W1843" s="136"/>
      <c r="X1843" s="136"/>
      <c r="Y1843" s="136"/>
      <c r="Z1843" s="136"/>
      <c r="AA1843" s="951"/>
      <c r="AB1843" s="951"/>
      <c r="AC1843" s="951"/>
      <c r="AD1843" s="951"/>
      <c r="AE1843" s="951"/>
      <c r="AF1843" s="951"/>
      <c r="AG1843" s="951"/>
      <c r="AH1843" s="951"/>
      <c r="AI1843" s="951"/>
      <c r="AJ1843" s="951"/>
      <c r="AK1843" s="951"/>
      <c r="AL1843" s="951"/>
      <c r="AM1843" s="951"/>
      <c r="AN1843" s="951"/>
      <c r="AO1843" s="951"/>
      <c r="AP1843" s="951"/>
      <c r="AQ1843" s="951"/>
      <c r="AR1843" s="951"/>
      <c r="AS1843" s="951"/>
      <c r="AT1843" s="951"/>
      <c r="AU1843" s="951"/>
    </row>
    <row r="1844" spans="1:47" s="166" customFormat="1" ht="29.25" customHeight="1">
      <c r="A1844" s="297" t="s">
        <v>131</v>
      </c>
      <c r="B1844" s="190" t="s">
        <v>42</v>
      </c>
      <c r="C1844" s="641">
        <f>CEILING((C1843+9*$Z$1),0.1)</f>
        <v>52.6</v>
      </c>
      <c r="D1844" s="646"/>
      <c r="E1844" s="641">
        <f>CEILING((E1843+10*$Z$1),0.1)</f>
        <v>65</v>
      </c>
      <c r="F1844" s="646"/>
      <c r="G1844" s="641">
        <f>CEILING((G1843+9*$Z$1),0.1)</f>
        <v>52.6</v>
      </c>
      <c r="H1844" s="646"/>
      <c r="I1844" s="960"/>
      <c r="J1844" s="960"/>
      <c r="K1844" s="952"/>
      <c r="L1844" s="952"/>
      <c r="M1844" s="317"/>
      <c r="N1844" s="317"/>
      <c r="O1844" s="951"/>
      <c r="P1844" s="951"/>
      <c r="Q1844" s="951"/>
      <c r="R1844" s="951"/>
      <c r="S1844" s="951"/>
      <c r="T1844" s="100"/>
      <c r="U1844" s="100"/>
      <c r="V1844" s="136"/>
      <c r="W1844" s="136"/>
      <c r="X1844" s="136"/>
      <c r="Y1844" s="136"/>
      <c r="Z1844" s="136"/>
      <c r="AA1844" s="951"/>
      <c r="AB1844" s="951"/>
      <c r="AC1844" s="951"/>
      <c r="AD1844" s="951"/>
      <c r="AE1844" s="951"/>
      <c r="AF1844" s="951"/>
      <c r="AG1844" s="951"/>
      <c r="AH1844" s="951"/>
      <c r="AI1844" s="951"/>
      <c r="AJ1844" s="951"/>
      <c r="AK1844" s="951"/>
      <c r="AL1844" s="951"/>
      <c r="AM1844" s="951"/>
      <c r="AN1844" s="951"/>
      <c r="AO1844" s="951"/>
      <c r="AP1844" s="951"/>
      <c r="AQ1844" s="951"/>
      <c r="AR1844" s="951"/>
      <c r="AS1844" s="951"/>
      <c r="AT1844" s="951"/>
      <c r="AU1844" s="951"/>
    </row>
    <row r="1845" spans="1:47" s="166" customFormat="1" ht="29.25" customHeight="1">
      <c r="A1845" s="297"/>
      <c r="B1845" s="298" t="s">
        <v>67</v>
      </c>
      <c r="C1845" s="641">
        <f>CEILING((C1843*0.82),0.1)</f>
        <v>33.9</v>
      </c>
      <c r="D1845" s="646"/>
      <c r="E1845" s="641">
        <f>CEILING((E1843*0.79),0.1)</f>
        <v>41.5</v>
      </c>
      <c r="F1845" s="646"/>
      <c r="G1845" s="641">
        <f>CEILING((G1843*0.82),0.1)</f>
        <v>33.9</v>
      </c>
      <c r="H1845" s="646"/>
      <c r="I1845" s="960"/>
      <c r="J1845" s="960"/>
      <c r="K1845" s="952"/>
      <c r="L1845" s="952"/>
      <c r="M1845" s="317"/>
      <c r="N1845" s="317"/>
      <c r="O1845" s="951"/>
      <c r="P1845" s="951"/>
      <c r="Q1845" s="951"/>
      <c r="R1845" s="951"/>
      <c r="S1845" s="951"/>
      <c r="T1845" s="100"/>
      <c r="U1845" s="100"/>
      <c r="V1845" s="136"/>
      <c r="W1845" s="136"/>
      <c r="X1845" s="136"/>
      <c r="Y1845" s="136"/>
      <c r="Z1845" s="136"/>
      <c r="AA1845" s="951"/>
      <c r="AB1845" s="951"/>
      <c r="AC1845" s="951"/>
      <c r="AD1845" s="951"/>
      <c r="AE1845" s="951"/>
      <c r="AF1845" s="951"/>
      <c r="AG1845" s="951"/>
      <c r="AH1845" s="951"/>
      <c r="AI1845" s="951"/>
      <c r="AJ1845" s="951"/>
      <c r="AK1845" s="951"/>
      <c r="AL1845" s="951"/>
      <c r="AM1845" s="951"/>
      <c r="AN1845" s="951"/>
      <c r="AO1845" s="951"/>
      <c r="AP1845" s="951"/>
      <c r="AQ1845" s="951"/>
      <c r="AR1845" s="951"/>
      <c r="AS1845" s="951"/>
      <c r="AT1845" s="951"/>
      <c r="AU1845" s="951"/>
    </row>
    <row r="1846" spans="1:47" s="166" customFormat="1" ht="29.25" customHeight="1" thickBot="1">
      <c r="A1846" s="610" t="s">
        <v>296</v>
      </c>
      <c r="B1846" s="193" t="s">
        <v>61</v>
      </c>
      <c r="C1846" s="648">
        <f>CEILING((C1844*0),0.1)</f>
        <v>0</v>
      </c>
      <c r="D1846" s="649"/>
      <c r="E1846" s="648">
        <f>CEILING((E1844*0),0.1)</f>
        <v>0</v>
      </c>
      <c r="F1846" s="649"/>
      <c r="G1846" s="648">
        <f>CEILING((G1844*0),0.1)</f>
        <v>0</v>
      </c>
      <c r="H1846" s="649"/>
      <c r="I1846" s="960"/>
      <c r="J1846" s="960"/>
      <c r="K1846" s="952"/>
      <c r="L1846" s="952"/>
      <c r="M1846" s="317"/>
      <c r="N1846" s="317"/>
      <c r="O1846" s="951"/>
      <c r="P1846" s="951"/>
      <c r="Q1846" s="951"/>
      <c r="R1846" s="951"/>
      <c r="S1846" s="951"/>
      <c r="T1846" s="100"/>
      <c r="U1846" s="100"/>
      <c r="V1846" s="136"/>
      <c r="W1846" s="136"/>
      <c r="X1846" s="136"/>
      <c r="Y1846" s="136"/>
      <c r="Z1846" s="136"/>
      <c r="AA1846" s="951"/>
      <c r="AB1846" s="951"/>
      <c r="AC1846" s="951"/>
      <c r="AD1846" s="951"/>
      <c r="AE1846" s="951"/>
      <c r="AF1846" s="951"/>
      <c r="AG1846" s="951"/>
      <c r="AH1846" s="951"/>
      <c r="AI1846" s="951"/>
      <c r="AJ1846" s="951"/>
      <c r="AK1846" s="951"/>
      <c r="AL1846" s="951"/>
      <c r="AM1846" s="951"/>
      <c r="AN1846" s="951"/>
      <c r="AO1846" s="951"/>
      <c r="AP1846" s="951"/>
      <c r="AQ1846" s="951"/>
      <c r="AR1846" s="951"/>
      <c r="AS1846" s="951"/>
      <c r="AT1846" s="951"/>
      <c r="AU1846" s="951"/>
    </row>
    <row r="1847" spans="1:47" s="166" customFormat="1" ht="29.25" customHeight="1" thickTop="1">
      <c r="A1847" s="996"/>
      <c r="B1847" s="969"/>
      <c r="C1847" s="996"/>
      <c r="D1847" s="996"/>
      <c r="E1847" s="996"/>
      <c r="F1847" s="996"/>
      <c r="G1847" s="996"/>
      <c r="H1847" s="996"/>
      <c r="I1847" s="960"/>
      <c r="J1847" s="960"/>
      <c r="K1847" s="952"/>
      <c r="L1847" s="952"/>
      <c r="M1847" s="317"/>
      <c r="N1847" s="317"/>
      <c r="O1847" s="951"/>
      <c r="P1847" s="951"/>
      <c r="Q1847" s="951"/>
      <c r="R1847" s="951"/>
      <c r="S1847" s="951"/>
      <c r="T1847" s="100"/>
      <c r="U1847" s="100"/>
      <c r="V1847" s="136"/>
      <c r="W1847" s="136"/>
      <c r="X1847" s="136"/>
      <c r="Y1847" s="136"/>
      <c r="Z1847" s="136"/>
      <c r="AA1847" s="951"/>
      <c r="AB1847" s="951"/>
      <c r="AC1847" s="951"/>
      <c r="AD1847" s="951"/>
      <c r="AE1847" s="951"/>
      <c r="AF1847" s="951"/>
      <c r="AG1847" s="951"/>
      <c r="AH1847" s="951"/>
      <c r="AI1847" s="951"/>
      <c r="AJ1847" s="951"/>
      <c r="AK1847" s="951"/>
      <c r="AL1847" s="951"/>
      <c r="AM1847" s="951"/>
      <c r="AN1847" s="951"/>
      <c r="AO1847" s="951"/>
      <c r="AP1847" s="951"/>
      <c r="AQ1847" s="951"/>
      <c r="AR1847" s="951"/>
      <c r="AS1847" s="951"/>
      <c r="AT1847" s="951"/>
      <c r="AU1847" s="951"/>
    </row>
    <row r="1848" spans="1:34" s="1005" customFormat="1" ht="34.5" customHeight="1">
      <c r="A1848" s="1357" t="s">
        <v>815</v>
      </c>
      <c r="B1848" s="1357"/>
      <c r="C1848" s="1357"/>
      <c r="D1848" s="1357"/>
      <c r="E1848" s="1357"/>
      <c r="F1848" s="1357"/>
      <c r="G1848" s="1357"/>
      <c r="H1848" s="1357"/>
      <c r="I1848" s="1357"/>
      <c r="J1848" s="1004"/>
      <c r="K1848" s="148"/>
      <c r="L1848" s="998"/>
      <c r="M1848" s="136"/>
      <c r="N1848" s="136"/>
      <c r="O1848" s="136"/>
      <c r="P1848" s="136"/>
      <c r="Q1848" s="136"/>
      <c r="R1848" s="136"/>
      <c r="S1848" s="136"/>
      <c r="T1848" s="136"/>
      <c r="U1848" s="136"/>
      <c r="V1848" s="136"/>
      <c r="W1848" s="136"/>
      <c r="X1848" s="136"/>
      <c r="Y1848" s="136"/>
      <c r="Z1848" s="136"/>
      <c r="AA1848" s="136"/>
      <c r="AB1848" s="136"/>
      <c r="AC1848" s="136"/>
      <c r="AD1848" s="136"/>
      <c r="AE1848" s="136"/>
      <c r="AF1848" s="136"/>
      <c r="AG1848" s="136"/>
      <c r="AH1848" s="136"/>
    </row>
    <row r="1849" spans="1:31" s="94" customFormat="1" ht="34.5" customHeight="1">
      <c r="A1849" s="752"/>
      <c r="B1849" s="753"/>
      <c r="C1849" s="753"/>
      <c r="D1849" s="753"/>
      <c r="E1849" s="753"/>
      <c r="F1849" s="753"/>
      <c r="G1849" s="753"/>
      <c r="H1849" s="753"/>
      <c r="I1849" s="118"/>
      <c r="J1849" s="118"/>
      <c r="K1849" s="95"/>
      <c r="L1849" s="119"/>
      <c r="M1849" s="92"/>
      <c r="N1849" s="92"/>
      <c r="O1849" s="92"/>
      <c r="P1849" s="92"/>
      <c r="Q1849" s="92"/>
      <c r="R1849" s="92"/>
      <c r="S1849" s="92"/>
      <c r="T1849" s="92"/>
      <c r="U1849" s="92"/>
      <c r="V1849" s="92"/>
      <c r="W1849" s="92"/>
      <c r="X1849" s="92"/>
      <c r="Y1849" s="92"/>
      <c r="Z1849" s="92"/>
      <c r="AA1849" s="92"/>
      <c r="AB1849" s="92"/>
      <c r="AC1849" s="92"/>
      <c r="AD1849" s="92"/>
      <c r="AE1849" s="92"/>
    </row>
    <row r="1850" spans="1:31" s="15" customFormat="1" ht="34.5" customHeight="1">
      <c r="A1850" s="1331" t="s">
        <v>792</v>
      </c>
      <c r="B1850" s="1331"/>
      <c r="C1850" s="1331"/>
      <c r="D1850" s="1331"/>
      <c r="E1850" s="1331"/>
      <c r="F1850" s="1331"/>
      <c r="G1850" s="1331"/>
      <c r="H1850" s="1331"/>
      <c r="I1850" s="1331"/>
      <c r="J1850" s="1331"/>
      <c r="K1850" s="43"/>
      <c r="L1850" s="46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</row>
    <row r="1851" spans="1:31" s="15" customFormat="1" ht="34.5" customHeight="1" thickBot="1">
      <c r="A1851" s="76"/>
      <c r="B1851" s="76"/>
      <c r="C1851" s="76"/>
      <c r="D1851" s="76"/>
      <c r="E1851" s="76"/>
      <c r="F1851" s="76"/>
      <c r="G1851" s="76"/>
      <c r="H1851" s="76"/>
      <c r="I1851" s="73"/>
      <c r="J1851" s="53"/>
      <c r="K1851" s="43"/>
      <c r="L1851" s="46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</row>
    <row r="1852" spans="1:42" s="167" customFormat="1" ht="34.5" customHeight="1" thickTop="1">
      <c r="A1852" s="837" t="s">
        <v>33</v>
      </c>
      <c r="B1852" s="838" t="s">
        <v>568</v>
      </c>
      <c r="C1852" s="839" t="s">
        <v>847</v>
      </c>
      <c r="D1852" s="840"/>
      <c r="E1852" s="841" t="s">
        <v>870</v>
      </c>
      <c r="F1852" s="842"/>
      <c r="G1852" s="841" t="s">
        <v>850</v>
      </c>
      <c r="H1852" s="842"/>
      <c r="I1852" s="841" t="s">
        <v>851</v>
      </c>
      <c r="J1852" s="842"/>
      <c r="K1852" s="841" t="s">
        <v>852</v>
      </c>
      <c r="L1852" s="842"/>
      <c r="M1852" s="151"/>
      <c r="N1852" s="151"/>
      <c r="O1852" s="166"/>
      <c r="P1852" s="166"/>
      <c r="Q1852" s="166"/>
      <c r="R1852" s="166"/>
      <c r="S1852" s="100"/>
      <c r="T1852" s="92"/>
      <c r="U1852" s="92"/>
      <c r="V1852" s="92"/>
      <c r="W1852" s="92"/>
      <c r="X1852" s="92"/>
      <c r="Y1852" s="92"/>
      <c r="Z1852" s="100"/>
      <c r="AA1852" s="166"/>
      <c r="AB1852" s="166"/>
      <c r="AC1852" s="166"/>
      <c r="AD1852" s="166"/>
      <c r="AE1852" s="166"/>
      <c r="AF1852" s="166"/>
      <c r="AG1852" s="166"/>
      <c r="AH1852" s="166"/>
      <c r="AI1852" s="166"/>
      <c r="AJ1852" s="166"/>
      <c r="AK1852" s="166"/>
      <c r="AL1852" s="166"/>
      <c r="AM1852" s="166"/>
      <c r="AN1852" s="166"/>
      <c r="AO1852" s="166"/>
      <c r="AP1852" s="166"/>
    </row>
    <row r="1853" spans="1:31" s="94" customFormat="1" ht="34.5" customHeight="1">
      <c r="A1853" s="249" t="s">
        <v>195</v>
      </c>
      <c r="B1853" s="754" t="s">
        <v>41</v>
      </c>
      <c r="C1853" s="1194">
        <f>CEILING(70*$Z$1,0.1)</f>
        <v>87.5</v>
      </c>
      <c r="D1853" s="1195"/>
      <c r="E1853" s="1194">
        <f>CEILING(120*$Z$1,0.1)</f>
        <v>150</v>
      </c>
      <c r="F1853" s="1195"/>
      <c r="G1853" s="1194">
        <f>CEILING(89*$Z$1,0.1)</f>
        <v>111.30000000000001</v>
      </c>
      <c r="H1853" s="1195"/>
      <c r="I1853" s="1194">
        <f>CEILING(89*$Z$1,0.1)</f>
        <v>111.30000000000001</v>
      </c>
      <c r="J1853" s="1195"/>
      <c r="K1853" s="1194">
        <f>CEILING(79*$Z$1,0.1)</f>
        <v>98.80000000000001</v>
      </c>
      <c r="L1853" s="1195"/>
      <c r="M1853" s="92"/>
      <c r="N1853" s="92"/>
      <c r="O1853" s="92"/>
      <c r="P1853" s="92"/>
      <c r="Q1853" s="92"/>
      <c r="R1853" s="92"/>
      <c r="S1853" s="92"/>
      <c r="T1853" s="92"/>
      <c r="U1853" s="92"/>
      <c r="V1853" s="92"/>
      <c r="W1853" s="92"/>
      <c r="X1853" s="92"/>
      <c r="Y1853" s="92"/>
      <c r="Z1853" s="92"/>
      <c r="AA1853" s="92"/>
      <c r="AB1853" s="92"/>
      <c r="AC1853" s="92"/>
      <c r="AD1853" s="92"/>
      <c r="AE1853" s="92"/>
    </row>
    <row r="1854" spans="1:31" s="94" customFormat="1" ht="34.5" customHeight="1">
      <c r="A1854" s="244" t="s">
        <v>49</v>
      </c>
      <c r="B1854" s="754" t="s">
        <v>42</v>
      </c>
      <c r="C1854" s="1192">
        <f>CEILING((C1853+30*$Z$1),0.1)</f>
        <v>125</v>
      </c>
      <c r="D1854" s="1193"/>
      <c r="E1854" s="1192">
        <f>CEILING((E1853+30*$Z$1),0.1)</f>
        <v>187.5</v>
      </c>
      <c r="F1854" s="1193"/>
      <c r="G1854" s="1192">
        <f>CEILING((G1853+30*$Z$1),0.1)</f>
        <v>148.8</v>
      </c>
      <c r="H1854" s="1193"/>
      <c r="I1854" s="1192">
        <f>CEILING((I1853+30*$Z$1),0.1)</f>
        <v>148.8</v>
      </c>
      <c r="J1854" s="1193"/>
      <c r="K1854" s="1192">
        <f>CEILING((K1853+30*$Z$1),0.1)</f>
        <v>136.3</v>
      </c>
      <c r="L1854" s="1193"/>
      <c r="M1854" s="92"/>
      <c r="N1854" s="92"/>
      <c r="O1854" s="92"/>
      <c r="P1854" s="92"/>
      <c r="Q1854" s="92"/>
      <c r="R1854" s="92"/>
      <c r="S1854" s="92"/>
      <c r="T1854" s="92"/>
      <c r="U1854" s="92"/>
      <c r="V1854" s="92"/>
      <c r="W1854" s="92"/>
      <c r="X1854" s="92"/>
      <c r="Y1854" s="92"/>
      <c r="Z1854" s="92"/>
      <c r="AA1854" s="92"/>
      <c r="AB1854" s="92"/>
      <c r="AC1854" s="92"/>
      <c r="AD1854" s="92"/>
      <c r="AE1854" s="92"/>
    </row>
    <row r="1855" spans="1:31" s="94" customFormat="1" ht="34.5" customHeight="1">
      <c r="A1855" s="387"/>
      <c r="B1855" s="755" t="s">
        <v>67</v>
      </c>
      <c r="C1855" s="1192">
        <f>CEILING((C1853*0.85),0.1)</f>
        <v>74.4</v>
      </c>
      <c r="D1855" s="1193"/>
      <c r="E1855" s="1192">
        <f>CEILING((E1853*0.85),0.1)</f>
        <v>127.5</v>
      </c>
      <c r="F1855" s="1193"/>
      <c r="G1855" s="1192">
        <f>CEILING((G1853*0.85),0.1)</f>
        <v>94.7</v>
      </c>
      <c r="H1855" s="1193"/>
      <c r="I1855" s="1192">
        <f>CEILING((I1853*0.85),0.1)</f>
        <v>94.7</v>
      </c>
      <c r="J1855" s="1193"/>
      <c r="K1855" s="1192">
        <f>CEILING((K1853*0.85),0.1)</f>
        <v>84</v>
      </c>
      <c r="L1855" s="1193"/>
      <c r="M1855" s="92"/>
      <c r="N1855" s="92"/>
      <c r="O1855" s="92"/>
      <c r="P1855" s="92"/>
      <c r="Q1855" s="92"/>
      <c r="R1855" s="92"/>
      <c r="S1855" s="92"/>
      <c r="T1855" s="92"/>
      <c r="U1855" s="92"/>
      <c r="V1855" s="92"/>
      <c r="W1855" s="92"/>
      <c r="X1855" s="92"/>
      <c r="Y1855" s="92"/>
      <c r="Z1855" s="92"/>
      <c r="AA1855" s="92"/>
      <c r="AB1855" s="92"/>
      <c r="AC1855" s="92"/>
      <c r="AD1855" s="92"/>
      <c r="AE1855" s="92"/>
    </row>
    <row r="1856" spans="1:31" s="94" customFormat="1" ht="34.5" customHeight="1">
      <c r="A1856" s="273" t="s">
        <v>742</v>
      </c>
      <c r="B1856" s="756" t="s">
        <v>57</v>
      </c>
      <c r="C1856" s="1192">
        <f>CEILING((C1853+15*$Z$1),0.1)</f>
        <v>106.30000000000001</v>
      </c>
      <c r="D1856" s="1193"/>
      <c r="E1856" s="1192">
        <f>CEILING((E1853+15*$Z$1),0.1)</f>
        <v>168.8</v>
      </c>
      <c r="F1856" s="1193"/>
      <c r="G1856" s="1192">
        <f>CEILING((G1853+15*$Z$1),0.1)</f>
        <v>130.1</v>
      </c>
      <c r="H1856" s="1193"/>
      <c r="I1856" s="1192">
        <f>CEILING((I1853+15*$Z$1),0.1)</f>
        <v>130.1</v>
      </c>
      <c r="J1856" s="1193"/>
      <c r="K1856" s="1192">
        <f>CEILING((K1853+15*$Z$1),0.1)</f>
        <v>117.60000000000001</v>
      </c>
      <c r="L1856" s="1193"/>
      <c r="M1856" s="92"/>
      <c r="N1856" s="92"/>
      <c r="O1856" s="92"/>
      <c r="P1856" s="92"/>
      <c r="Q1856" s="92"/>
      <c r="R1856" s="92"/>
      <c r="S1856" s="92"/>
      <c r="T1856" s="92"/>
      <c r="U1856" s="92"/>
      <c r="V1856" s="92"/>
      <c r="W1856" s="92"/>
      <c r="X1856" s="92"/>
      <c r="Y1856" s="92"/>
      <c r="Z1856" s="92"/>
      <c r="AA1856" s="92"/>
      <c r="AB1856" s="92"/>
      <c r="AC1856" s="92"/>
      <c r="AD1856" s="92"/>
      <c r="AE1856" s="92"/>
    </row>
    <row r="1857" spans="1:31" s="94" customFormat="1" ht="34.5" customHeight="1">
      <c r="A1857" s="387"/>
      <c r="B1857" s="754" t="s">
        <v>58</v>
      </c>
      <c r="C1857" s="1192">
        <f>CEILING((C1856+30*$Z$1),0.1)</f>
        <v>143.8</v>
      </c>
      <c r="D1857" s="1193"/>
      <c r="E1857" s="1192">
        <f>CEILING((E1856+30*$Z$1),0.1)</f>
        <v>206.3</v>
      </c>
      <c r="F1857" s="1193"/>
      <c r="G1857" s="1192">
        <f>CEILING((G1856+30*$Z$1),0.1)</f>
        <v>167.60000000000002</v>
      </c>
      <c r="H1857" s="1193"/>
      <c r="I1857" s="1192">
        <f>CEILING((I1856+30*$Z$1),0.1)</f>
        <v>167.60000000000002</v>
      </c>
      <c r="J1857" s="1193"/>
      <c r="K1857" s="1192">
        <f>CEILING((K1856+30*$Z$1),0.1)</f>
        <v>155.10000000000002</v>
      </c>
      <c r="L1857" s="1193"/>
      <c r="M1857" s="92"/>
      <c r="N1857" s="92"/>
      <c r="O1857" s="92"/>
      <c r="P1857" s="92"/>
      <c r="Q1857" s="92"/>
      <c r="R1857" s="92"/>
      <c r="S1857" s="92"/>
      <c r="T1857" s="92"/>
      <c r="U1857" s="92"/>
      <c r="V1857" s="92"/>
      <c r="W1857" s="92"/>
      <c r="X1857" s="92"/>
      <c r="Y1857" s="92"/>
      <c r="Z1857" s="92"/>
      <c r="AA1857" s="92"/>
      <c r="AB1857" s="92"/>
      <c r="AC1857" s="92"/>
      <c r="AD1857" s="92"/>
      <c r="AE1857" s="92"/>
    </row>
    <row r="1858" spans="1:31" s="94" customFormat="1" ht="34.5" customHeight="1">
      <c r="A1858" s="387"/>
      <c r="B1858" s="756" t="s">
        <v>46</v>
      </c>
      <c r="C1858" s="1192">
        <f>CEILING((C1853+30*$Z$1),0.1)</f>
        <v>125</v>
      </c>
      <c r="D1858" s="1193"/>
      <c r="E1858" s="1192">
        <f>CEILING((E1853+30*$Z$1),0.1)</f>
        <v>187.5</v>
      </c>
      <c r="F1858" s="1193"/>
      <c r="G1858" s="1192">
        <f>CEILING((G1853+30*$Z$1),0.1)</f>
        <v>148.8</v>
      </c>
      <c r="H1858" s="1193"/>
      <c r="I1858" s="1192">
        <f>CEILING((I1853+30*$Z$1),0.1)</f>
        <v>148.8</v>
      </c>
      <c r="J1858" s="1193"/>
      <c r="K1858" s="1192">
        <f>CEILING((K1853+30*$Z$1),0.1)</f>
        <v>136.3</v>
      </c>
      <c r="L1858" s="1193"/>
      <c r="M1858" s="92"/>
      <c r="N1858" s="92"/>
      <c r="O1858" s="92"/>
      <c r="P1858" s="92"/>
      <c r="Q1858" s="92"/>
      <c r="R1858" s="92"/>
      <c r="S1858" s="92"/>
      <c r="T1858" s="92"/>
      <c r="U1858" s="92"/>
      <c r="V1858" s="92"/>
      <c r="W1858" s="92"/>
      <c r="X1858" s="92"/>
      <c r="Y1858" s="92"/>
      <c r="Z1858" s="92"/>
      <c r="AA1858" s="92"/>
      <c r="AB1858" s="92"/>
      <c r="AC1858" s="92"/>
      <c r="AD1858" s="92"/>
      <c r="AE1858" s="92"/>
    </row>
    <row r="1859" spans="1:31" s="94" customFormat="1" ht="34.5" customHeight="1" thickBot="1">
      <c r="A1859" s="308" t="s">
        <v>303</v>
      </c>
      <c r="B1859" s="757" t="s">
        <v>47</v>
      </c>
      <c r="C1859" s="1218">
        <f>CEILING((C1858+60*$Z$1),0.1)</f>
        <v>200</v>
      </c>
      <c r="D1859" s="1219"/>
      <c r="E1859" s="1218">
        <f>CEILING((E1858+60*$Z$1),0.1)</f>
        <v>262.5</v>
      </c>
      <c r="F1859" s="1219"/>
      <c r="G1859" s="1218">
        <f>CEILING((G1858+60*$Z$1),0.1)</f>
        <v>223.8</v>
      </c>
      <c r="H1859" s="1219"/>
      <c r="I1859" s="1218">
        <f>CEILING((I1858+60*$Z$1),0.1)</f>
        <v>223.8</v>
      </c>
      <c r="J1859" s="1219"/>
      <c r="K1859" s="1218">
        <f>CEILING((K1858+60*$Z$1),0.1)</f>
        <v>211.3</v>
      </c>
      <c r="L1859" s="1219"/>
      <c r="M1859" s="92"/>
      <c r="N1859" s="92"/>
      <c r="O1859" s="92"/>
      <c r="P1859" s="92"/>
      <c r="Q1859" s="92"/>
      <c r="R1859" s="92"/>
      <c r="S1859" s="92"/>
      <c r="T1859" s="92"/>
      <c r="U1859" s="92"/>
      <c r="V1859" s="92"/>
      <c r="W1859" s="92"/>
      <c r="X1859" s="92"/>
      <c r="Y1859" s="92"/>
      <c r="Z1859" s="92"/>
      <c r="AA1859" s="92"/>
      <c r="AB1859" s="92"/>
      <c r="AC1859" s="92"/>
      <c r="AD1859" s="92"/>
      <c r="AE1859" s="92"/>
    </row>
    <row r="1860" spans="1:31" s="133" customFormat="1" ht="34.5" customHeight="1" thickTop="1">
      <c r="A1860" s="982" t="s">
        <v>997</v>
      </c>
      <c r="B1860" s="118"/>
      <c r="C1860" s="118"/>
      <c r="D1860" s="118"/>
      <c r="E1860" s="118"/>
      <c r="F1860" s="118"/>
      <c r="G1860" s="118"/>
      <c r="H1860" s="118"/>
      <c r="I1860" s="118"/>
      <c r="J1860" s="615"/>
      <c r="K1860" s="444"/>
      <c r="L1860" s="913"/>
      <c r="M1860" s="129"/>
      <c r="N1860" s="129"/>
      <c r="O1860" s="129"/>
      <c r="P1860" s="129"/>
      <c r="Q1860" s="129"/>
      <c r="R1860" s="129"/>
      <c r="S1860" s="129"/>
      <c r="T1860" s="129"/>
      <c r="U1860" s="129"/>
      <c r="V1860" s="129"/>
      <c r="W1860" s="129"/>
      <c r="X1860" s="129"/>
      <c r="Y1860" s="129"/>
      <c r="Z1860" s="129"/>
      <c r="AA1860" s="129"/>
      <c r="AB1860" s="129"/>
      <c r="AC1860" s="129"/>
      <c r="AD1860" s="129"/>
      <c r="AE1860" s="129"/>
    </row>
    <row r="1861" spans="1:31" s="94" customFormat="1" ht="34.5" customHeight="1" thickBot="1">
      <c r="A1861" s="758"/>
      <c r="B1861" s="118"/>
      <c r="C1861" s="759"/>
      <c r="D1861" s="759"/>
      <c r="E1861" s="759"/>
      <c r="F1861" s="759"/>
      <c r="G1861" s="759"/>
      <c r="H1861" s="759"/>
      <c r="I1861" s="689"/>
      <c r="J1861" s="459"/>
      <c r="K1861" s="444"/>
      <c r="L1861" s="119"/>
      <c r="M1861" s="92"/>
      <c r="N1861" s="92"/>
      <c r="O1861" s="92"/>
      <c r="P1861" s="92"/>
      <c r="Q1861" s="92"/>
      <c r="R1861" s="92"/>
      <c r="S1861" s="92"/>
      <c r="T1861" s="92"/>
      <c r="U1861" s="92"/>
      <c r="V1861" s="92"/>
      <c r="W1861" s="92"/>
      <c r="X1861" s="92"/>
      <c r="Y1861" s="92"/>
      <c r="Z1861" s="92"/>
      <c r="AA1861" s="92"/>
      <c r="AB1861" s="92"/>
      <c r="AC1861" s="92"/>
      <c r="AD1861" s="92"/>
      <c r="AE1861" s="92"/>
    </row>
    <row r="1862" spans="1:42" s="167" customFormat="1" ht="34.5" customHeight="1" thickTop="1">
      <c r="A1862" s="826" t="s">
        <v>33</v>
      </c>
      <c r="B1862" s="827" t="s">
        <v>568</v>
      </c>
      <c r="C1862" s="828" t="s">
        <v>847</v>
      </c>
      <c r="D1862" s="829"/>
      <c r="E1862" s="961">
        <v>44926</v>
      </c>
      <c r="F1862" s="831"/>
      <c r="G1862" s="830" t="s">
        <v>1182</v>
      </c>
      <c r="H1862" s="831"/>
      <c r="I1862" s="830" t="s">
        <v>852</v>
      </c>
      <c r="J1862" s="831"/>
      <c r="K1862" s="1224"/>
      <c r="L1862" s="1224"/>
      <c r="M1862" s="151"/>
      <c r="N1862" s="151"/>
      <c r="O1862" s="166"/>
      <c r="P1862" s="166"/>
      <c r="Q1862" s="166"/>
      <c r="R1862" s="166"/>
      <c r="S1862" s="100"/>
      <c r="T1862" s="92"/>
      <c r="U1862" s="92"/>
      <c r="V1862" s="92"/>
      <c r="W1862" s="92"/>
      <c r="X1862" s="92"/>
      <c r="Y1862" s="92"/>
      <c r="Z1862" s="100"/>
      <c r="AA1862" s="166"/>
      <c r="AB1862" s="166"/>
      <c r="AC1862" s="166"/>
      <c r="AD1862" s="166"/>
      <c r="AE1862" s="166"/>
      <c r="AF1862" s="166"/>
      <c r="AG1862" s="166"/>
      <c r="AH1862" s="166"/>
      <c r="AI1862" s="166"/>
      <c r="AJ1862" s="166"/>
      <c r="AK1862" s="166"/>
      <c r="AL1862" s="166"/>
      <c r="AM1862" s="166"/>
      <c r="AN1862" s="166"/>
      <c r="AO1862" s="166"/>
      <c r="AP1862" s="166"/>
    </row>
    <row r="1863" spans="1:31" s="94" customFormat="1" ht="34.5" customHeight="1">
      <c r="A1863" s="671" t="s">
        <v>265</v>
      </c>
      <c r="B1863" s="189" t="s">
        <v>41</v>
      </c>
      <c r="C1863" s="1216">
        <f>CEILING(22*$Z$1,0.1)</f>
        <v>27.5</v>
      </c>
      <c r="D1863" s="1217"/>
      <c r="E1863" s="1216">
        <f>CEILING(45*$Z$1,0.1)</f>
        <v>56.300000000000004</v>
      </c>
      <c r="F1863" s="1217"/>
      <c r="G1863" s="1216">
        <f>CEILING(37*$Z$1,0.1)</f>
        <v>46.300000000000004</v>
      </c>
      <c r="H1863" s="1217"/>
      <c r="I1863" s="1216">
        <f>CEILING(26*$Z$1,0.1)</f>
        <v>32.5</v>
      </c>
      <c r="J1863" s="1217"/>
      <c r="K1863" s="1220"/>
      <c r="L1863" s="1220"/>
      <c r="M1863" s="92"/>
      <c r="N1863" s="92"/>
      <c r="O1863" s="92"/>
      <c r="P1863" s="92"/>
      <c r="Q1863" s="92"/>
      <c r="R1863" s="92"/>
      <c r="S1863" s="92"/>
      <c r="T1863" s="92"/>
      <c r="U1863" s="92"/>
      <c r="V1863" s="92"/>
      <c r="W1863" s="92"/>
      <c r="X1863" s="92"/>
      <c r="Y1863" s="92"/>
      <c r="Z1863" s="92"/>
      <c r="AA1863" s="92"/>
      <c r="AB1863" s="92"/>
      <c r="AC1863" s="92"/>
      <c r="AD1863" s="92"/>
      <c r="AE1863" s="92"/>
    </row>
    <row r="1864" spans="1:31" s="94" customFormat="1" ht="34.5" customHeight="1">
      <c r="A1864" s="373" t="s">
        <v>76</v>
      </c>
      <c r="B1864" s="190" t="s">
        <v>42</v>
      </c>
      <c r="C1864" s="1200">
        <f>CEILING((C1863+8*$Z$1),0.1)</f>
        <v>37.5</v>
      </c>
      <c r="D1864" s="1201"/>
      <c r="E1864" s="1200">
        <f>CEILING((E1863+15*$Z$1),0.1)</f>
        <v>75.10000000000001</v>
      </c>
      <c r="F1864" s="1201"/>
      <c r="G1864" s="1200">
        <f>CEILING((G1863+15*$Z$1),0.1)</f>
        <v>65.10000000000001</v>
      </c>
      <c r="H1864" s="1201"/>
      <c r="I1864" s="1200">
        <f>CEILING((I1863+13*$Z$1),0.1)</f>
        <v>48.800000000000004</v>
      </c>
      <c r="J1864" s="1201"/>
      <c r="K1864" s="1220"/>
      <c r="L1864" s="1220"/>
      <c r="M1864" s="92"/>
      <c r="N1864" s="92"/>
      <c r="O1864" s="92"/>
      <c r="P1864" s="92"/>
      <c r="Q1864" s="92"/>
      <c r="R1864" s="92"/>
      <c r="S1864" s="92"/>
      <c r="T1864" s="92"/>
      <c r="U1864" s="92"/>
      <c r="V1864" s="92"/>
      <c r="W1864" s="92"/>
      <c r="X1864" s="92"/>
      <c r="Y1864" s="92"/>
      <c r="Z1864" s="92"/>
      <c r="AA1864" s="92"/>
      <c r="AB1864" s="92"/>
      <c r="AC1864" s="92"/>
      <c r="AD1864" s="92"/>
      <c r="AE1864" s="92"/>
    </row>
    <row r="1865" spans="1:31" s="94" customFormat="1" ht="34.5" customHeight="1">
      <c r="A1865" s="115" t="s">
        <v>1180</v>
      </c>
      <c r="B1865" s="279" t="s">
        <v>67</v>
      </c>
      <c r="C1865" s="1200">
        <f>CEILING((C1863*0.85),0.1)</f>
        <v>23.400000000000002</v>
      </c>
      <c r="D1865" s="1201"/>
      <c r="E1865" s="1200">
        <f>CEILING((E1863*0.85),0.1)</f>
        <v>47.900000000000006</v>
      </c>
      <c r="F1865" s="1201"/>
      <c r="G1865" s="1200">
        <f>CEILING((G1863*0.85),0.1)</f>
        <v>39.400000000000006</v>
      </c>
      <c r="H1865" s="1201"/>
      <c r="I1865" s="1200">
        <f>CEILING((I1863*0.85),0.1)</f>
        <v>27.700000000000003</v>
      </c>
      <c r="J1865" s="1201"/>
      <c r="K1865" s="1220"/>
      <c r="L1865" s="1220"/>
      <c r="AE1865" s="92"/>
    </row>
    <row r="1866" spans="1:31" s="94" customFormat="1" ht="34.5" customHeight="1" thickBot="1">
      <c r="A1866" s="400" t="s">
        <v>311</v>
      </c>
      <c r="B1866" s="414" t="s">
        <v>77</v>
      </c>
      <c r="C1866" s="1333">
        <f>CEILING((C1863*0),0.1)</f>
        <v>0</v>
      </c>
      <c r="D1866" s="1334"/>
      <c r="E1866" s="1333">
        <f>CEILING((E1863*0),0.1)</f>
        <v>0</v>
      </c>
      <c r="F1866" s="1334"/>
      <c r="G1866" s="1333">
        <f>CEILING((G1863*0),0.1)</f>
        <v>0</v>
      </c>
      <c r="H1866" s="1334"/>
      <c r="I1866" s="1333">
        <f>CEILING((I1863*0),0.1)</f>
        <v>0</v>
      </c>
      <c r="J1866" s="1334"/>
      <c r="K1866" s="1252"/>
      <c r="L1866" s="1252"/>
      <c r="AE1866" s="92"/>
    </row>
    <row r="1867" spans="1:47" s="166" customFormat="1" ht="29.25" customHeight="1" thickTop="1">
      <c r="A1867" s="966"/>
      <c r="B1867" s="969"/>
      <c r="C1867" s="966"/>
      <c r="D1867" s="966"/>
      <c r="E1867" s="966"/>
      <c r="F1867" s="966"/>
      <c r="G1867" s="966"/>
      <c r="H1867" s="966"/>
      <c r="I1867" s="960"/>
      <c r="J1867" s="960"/>
      <c r="K1867" s="952"/>
      <c r="L1867" s="952"/>
      <c r="M1867" s="317"/>
      <c r="N1867" s="317"/>
      <c r="O1867" s="951"/>
      <c r="P1867" s="951"/>
      <c r="Q1867" s="951"/>
      <c r="R1867" s="951"/>
      <c r="S1867" s="951"/>
      <c r="T1867" s="100"/>
      <c r="U1867" s="100"/>
      <c r="V1867" s="136"/>
      <c r="W1867" s="136"/>
      <c r="X1867" s="136"/>
      <c r="Y1867" s="136"/>
      <c r="Z1867" s="136"/>
      <c r="AA1867" s="951"/>
      <c r="AB1867" s="951"/>
      <c r="AC1867" s="951"/>
      <c r="AD1867" s="951"/>
      <c r="AE1867" s="951"/>
      <c r="AF1867" s="951"/>
      <c r="AG1867" s="951"/>
      <c r="AH1867" s="951"/>
      <c r="AI1867" s="951"/>
      <c r="AJ1867" s="951"/>
      <c r="AK1867" s="951"/>
      <c r="AL1867" s="951"/>
      <c r="AM1867" s="951"/>
      <c r="AN1867" s="951"/>
      <c r="AO1867" s="951"/>
      <c r="AP1867" s="951"/>
      <c r="AQ1867" s="951"/>
      <c r="AR1867" s="951"/>
      <c r="AS1867" s="951"/>
      <c r="AT1867" s="951"/>
      <c r="AU1867" s="951"/>
    </row>
    <row r="1868" spans="1:31" s="121" customFormat="1" ht="34.5" customHeight="1">
      <c r="A1868" s="1357" t="s">
        <v>816</v>
      </c>
      <c r="B1868" s="1357"/>
      <c r="C1868" s="1357"/>
      <c r="D1868" s="1357"/>
      <c r="E1868" s="1357"/>
      <c r="F1868" s="1357"/>
      <c r="G1868" s="1357"/>
      <c r="H1868" s="1358"/>
      <c r="I1868" s="127"/>
      <c r="J1868" s="127"/>
      <c r="K1868" s="120"/>
      <c r="L1868" s="95"/>
      <c r="AE1868" s="101"/>
    </row>
    <row r="1869" spans="1:12" s="30" customFormat="1" ht="34.5" customHeight="1">
      <c r="A1869" s="77"/>
      <c r="B1869" s="77"/>
      <c r="C1869" s="77"/>
      <c r="D1869" s="77"/>
      <c r="E1869" s="77"/>
      <c r="F1869" s="77"/>
      <c r="G1869" s="77"/>
      <c r="H1869" s="37"/>
      <c r="I1869" s="34"/>
      <c r="J1869" s="34"/>
      <c r="K1869" s="52"/>
      <c r="L1869" s="37"/>
    </row>
    <row r="1870" spans="1:31" s="15" customFormat="1" ht="34.5" customHeight="1">
      <c r="A1870" s="1366" t="s">
        <v>793</v>
      </c>
      <c r="B1870" s="1366"/>
      <c r="C1870" s="122"/>
      <c r="D1870" s="122"/>
      <c r="E1870" s="122"/>
      <c r="F1870" s="122"/>
      <c r="G1870" s="122"/>
      <c r="H1870" s="122"/>
      <c r="I1870" s="123"/>
      <c r="J1870" s="8"/>
      <c r="K1870" s="60"/>
      <c r="L1870" s="46"/>
      <c r="AE1870" s="14"/>
    </row>
    <row r="1871" spans="1:31" s="15" customFormat="1" ht="34.5" customHeight="1">
      <c r="A1871" s="1359" t="s">
        <v>173</v>
      </c>
      <c r="B1871" s="1359"/>
      <c r="C1871" s="122"/>
      <c r="D1871" s="122"/>
      <c r="E1871" s="122"/>
      <c r="F1871" s="122"/>
      <c r="G1871" s="122"/>
      <c r="H1871" s="122"/>
      <c r="I1871" s="123"/>
      <c r="J1871" s="8"/>
      <c r="K1871" s="60"/>
      <c r="L1871" s="46"/>
      <c r="AE1871" s="14"/>
    </row>
    <row r="1872" spans="1:31" s="15" customFormat="1" ht="34.5" customHeight="1">
      <c r="A1872" s="1363" t="s">
        <v>137</v>
      </c>
      <c r="B1872" s="1363"/>
      <c r="C1872" s="122"/>
      <c r="D1872" s="122"/>
      <c r="E1872" s="122"/>
      <c r="F1872" s="122"/>
      <c r="G1872" s="122"/>
      <c r="H1872" s="122"/>
      <c r="I1872" s="123"/>
      <c r="J1872" s="8"/>
      <c r="K1872" s="765"/>
      <c r="L1872" s="46"/>
      <c r="AE1872" s="14"/>
    </row>
    <row r="1873" spans="1:31" s="15" customFormat="1" ht="34.5" customHeight="1" thickBot="1">
      <c r="A1873" s="79"/>
      <c r="B1873" s="79"/>
      <c r="C1873" s="78"/>
      <c r="D1873" s="78"/>
      <c r="E1873" s="78"/>
      <c r="F1873" s="78"/>
      <c r="G1873" s="78"/>
      <c r="H1873" s="78"/>
      <c r="I1873" s="8"/>
      <c r="J1873" s="8"/>
      <c r="AE1873" s="14"/>
    </row>
    <row r="1874" spans="1:31" s="15" customFormat="1" ht="34.5" customHeight="1" thickBot="1">
      <c r="A1874" s="3" t="s">
        <v>209</v>
      </c>
      <c r="B1874" s="80"/>
      <c r="C1874" s="81"/>
      <c r="D1874" s="81"/>
      <c r="E1874" s="81"/>
      <c r="F1874" s="81"/>
      <c r="G1874" s="81"/>
      <c r="H1874" s="81"/>
      <c r="I1874" s="82"/>
      <c r="J1874" s="8"/>
      <c r="AE1874" s="14"/>
    </row>
    <row r="1875" spans="1:31" s="15" customFormat="1" ht="34.5" customHeight="1">
      <c r="A1875" s="1360" t="s">
        <v>138</v>
      </c>
      <c r="B1875" s="1361"/>
      <c r="C1875" s="1361"/>
      <c r="D1875" s="1361"/>
      <c r="E1875" s="1361"/>
      <c r="F1875" s="1361"/>
      <c r="G1875" s="1361"/>
      <c r="H1875" s="1361"/>
      <c r="I1875" s="1362"/>
      <c r="J1875" s="84"/>
      <c r="AE1875" s="14"/>
    </row>
    <row r="1876" spans="1:31" s="15" customFormat="1" ht="33" customHeight="1">
      <c r="A1876" s="1364" t="s">
        <v>139</v>
      </c>
      <c r="B1876" s="1365"/>
      <c r="C1876" s="1365"/>
      <c r="D1876" s="83"/>
      <c r="E1876" s="83"/>
      <c r="F1876" s="83"/>
      <c r="G1876" s="83"/>
      <c r="H1876" s="83"/>
      <c r="I1876" s="64"/>
      <c r="J1876" s="8"/>
      <c r="AE1876" s="14"/>
    </row>
    <row r="1877" spans="1:31" s="15" customFormat="1" ht="42" customHeight="1">
      <c r="A1877" s="1355" t="s">
        <v>16</v>
      </c>
      <c r="B1877" s="1356"/>
      <c r="C1877" s="1356"/>
      <c r="D1877" s="1356"/>
      <c r="E1877" s="1356"/>
      <c r="F1877" s="1356"/>
      <c r="G1877" s="1356"/>
      <c r="H1877" s="1356"/>
      <c r="I1877" s="64"/>
      <c r="J1877" s="8"/>
      <c r="AE1877" s="14"/>
    </row>
    <row r="1878" spans="1:54" s="89" customFormat="1" ht="52.5" customHeight="1" thickBot="1">
      <c r="A1878" s="1367" t="s">
        <v>794</v>
      </c>
      <c r="B1878" s="1368"/>
      <c r="C1878" s="1368"/>
      <c r="D1878" s="1368"/>
      <c r="E1878" s="1368"/>
      <c r="F1878" s="1368"/>
      <c r="G1878" s="1368"/>
      <c r="H1878" s="1368"/>
      <c r="I1878" s="85"/>
      <c r="J1878" s="86"/>
      <c r="K1878" s="87"/>
      <c r="L1878" s="87"/>
      <c r="M1878" s="87"/>
      <c r="N1878" s="87"/>
      <c r="O1878" s="87"/>
      <c r="P1878" s="87"/>
      <c r="Q1878" s="87"/>
      <c r="R1878" s="87"/>
      <c r="S1878" s="87"/>
      <c r="T1878" s="87"/>
      <c r="U1878" s="87"/>
      <c r="V1878" s="87"/>
      <c r="W1878" s="87"/>
      <c r="X1878" s="87"/>
      <c r="Y1878" s="87"/>
      <c r="Z1878" s="87"/>
      <c r="AA1878" s="87"/>
      <c r="AB1878" s="87"/>
      <c r="AC1878" s="87"/>
      <c r="AD1878" s="87"/>
      <c r="AE1878" s="87"/>
      <c r="AF1878" s="87"/>
      <c r="AG1878" s="87"/>
      <c r="AH1878" s="87"/>
      <c r="AI1878" s="87"/>
      <c r="AJ1878" s="87"/>
      <c r="AK1878" s="87"/>
      <c r="AL1878" s="87"/>
      <c r="AM1878" s="87"/>
      <c r="AN1878" s="87"/>
      <c r="AO1878" s="87"/>
      <c r="AP1878" s="87"/>
      <c r="AQ1878" s="87"/>
      <c r="AR1878" s="87"/>
      <c r="AS1878" s="87"/>
      <c r="AT1878" s="87"/>
      <c r="AU1878" s="87"/>
      <c r="AV1878" s="87"/>
      <c r="AW1878" s="87"/>
      <c r="AX1878" s="87"/>
      <c r="AY1878" s="87"/>
      <c r="AZ1878" s="87"/>
      <c r="BA1878" s="88"/>
      <c r="BB1878" s="88"/>
    </row>
    <row r="1879" spans="1:43" s="1002" customFormat="1" ht="34.5" customHeight="1">
      <c r="A1879" s="1354" t="s">
        <v>1015</v>
      </c>
      <c r="B1879" s="1354"/>
      <c r="C1879" s="1354"/>
      <c r="D1879" s="1354"/>
      <c r="E1879" s="1354"/>
      <c r="F1879" s="1354"/>
      <c r="G1879" s="1354"/>
      <c r="H1879" s="1354"/>
      <c r="I1879" s="1354"/>
      <c r="J1879" s="1354"/>
      <c r="K1879" s="1017"/>
      <c r="L1879" s="1017"/>
      <c r="M1879" s="1017"/>
      <c r="N1879" s="1017"/>
      <c r="O1879" s="1003"/>
      <c r="P1879" s="1003"/>
      <c r="Q1879" s="1003"/>
      <c r="R1879" s="1003"/>
      <c r="S1879" s="1003"/>
      <c r="T1879" s="1003"/>
      <c r="U1879" s="1003"/>
      <c r="V1879" s="1003"/>
      <c r="W1879" s="1003"/>
      <c r="X1879" s="1003"/>
      <c r="Y1879" s="1003"/>
      <c r="Z1879" s="1003"/>
      <c r="AA1879" s="1003"/>
      <c r="AB1879" s="1003"/>
      <c r="AC1879" s="1003"/>
      <c r="AD1879" s="1003"/>
      <c r="AE1879" s="1003"/>
      <c r="AF1879" s="1003"/>
      <c r="AG1879" s="1003"/>
      <c r="AH1879" s="1003"/>
      <c r="AI1879" s="1003"/>
      <c r="AJ1879" s="1003"/>
      <c r="AK1879" s="1003"/>
      <c r="AL1879" s="1003"/>
      <c r="AM1879" s="1003"/>
      <c r="AN1879" s="1003"/>
      <c r="AO1879" s="1003"/>
      <c r="AP1879" s="1003"/>
      <c r="AQ1879" s="1003"/>
    </row>
    <row r="1880" spans="1:43" s="1002" customFormat="1" ht="34.5" customHeight="1">
      <c r="A1880" s="1354" t="s">
        <v>1016</v>
      </c>
      <c r="B1880" s="1354"/>
      <c r="C1880" s="1354"/>
      <c r="D1880" s="1354"/>
      <c r="E1880" s="1354"/>
      <c r="F1880" s="1354"/>
      <c r="G1880" s="1354"/>
      <c r="H1880" s="1354"/>
      <c r="I1880" s="1354"/>
      <c r="J1880" s="1354"/>
      <c r="K1880" s="1017"/>
      <c r="L1880" s="1017"/>
      <c r="M1880" s="1017"/>
      <c r="N1880" s="1017"/>
      <c r="O1880" s="1003"/>
      <c r="P1880" s="1003"/>
      <c r="Q1880" s="1003"/>
      <c r="R1880" s="1003"/>
      <c r="S1880" s="1003"/>
      <c r="T1880" s="1003"/>
      <c r="U1880" s="1003"/>
      <c r="V1880" s="1003"/>
      <c r="W1880" s="1003"/>
      <c r="X1880" s="1003"/>
      <c r="Y1880" s="1003"/>
      <c r="Z1880" s="1003"/>
      <c r="AA1880" s="1003"/>
      <c r="AB1880" s="1003"/>
      <c r="AC1880" s="1003"/>
      <c r="AD1880" s="1003"/>
      <c r="AE1880" s="1003"/>
      <c r="AF1880" s="1003"/>
      <c r="AG1880" s="1003"/>
      <c r="AH1880" s="1003"/>
      <c r="AI1880" s="1003"/>
      <c r="AJ1880" s="1003"/>
      <c r="AK1880" s="1003"/>
      <c r="AL1880" s="1003"/>
      <c r="AM1880" s="1003"/>
      <c r="AN1880" s="1003"/>
      <c r="AO1880" s="1003"/>
      <c r="AP1880" s="1003"/>
      <c r="AQ1880" s="1003"/>
    </row>
    <row r="1881" spans="1:43" s="1002" customFormat="1" ht="34.5" customHeight="1">
      <c r="A1881" s="1354" t="s">
        <v>1017</v>
      </c>
      <c r="B1881" s="1354"/>
      <c r="C1881" s="1354"/>
      <c r="D1881" s="1354"/>
      <c r="E1881" s="1354"/>
      <c r="F1881" s="1354"/>
      <c r="G1881" s="1354"/>
      <c r="H1881" s="1354"/>
      <c r="I1881" s="1354"/>
      <c r="J1881" s="1354"/>
      <c r="K1881" s="1017"/>
      <c r="L1881" s="1017"/>
      <c r="M1881" s="1017"/>
      <c r="N1881" s="1017"/>
      <c r="O1881" s="1003"/>
      <c r="P1881" s="1003"/>
      <c r="Q1881" s="1003"/>
      <c r="R1881" s="1003"/>
      <c r="S1881" s="1003"/>
      <c r="T1881" s="1003"/>
      <c r="U1881" s="1003"/>
      <c r="V1881" s="1003"/>
      <c r="W1881" s="1003"/>
      <c r="X1881" s="1003"/>
      <c r="Y1881" s="1003"/>
      <c r="Z1881" s="1003"/>
      <c r="AA1881" s="1003"/>
      <c r="AB1881" s="1003"/>
      <c r="AC1881" s="1003"/>
      <c r="AD1881" s="1003"/>
      <c r="AE1881" s="1003"/>
      <c r="AF1881" s="1003"/>
      <c r="AG1881" s="1003"/>
      <c r="AH1881" s="1003"/>
      <c r="AI1881" s="1003"/>
      <c r="AJ1881" s="1003"/>
      <c r="AK1881" s="1003"/>
      <c r="AL1881" s="1003"/>
      <c r="AM1881" s="1003"/>
      <c r="AN1881" s="1003"/>
      <c r="AO1881" s="1003"/>
      <c r="AP1881" s="1003"/>
      <c r="AQ1881" s="1003"/>
    </row>
    <row r="1882" spans="1:43" s="1002" customFormat="1" ht="34.5" customHeight="1">
      <c r="A1882" s="1354" t="s">
        <v>1018</v>
      </c>
      <c r="B1882" s="1354"/>
      <c r="C1882" s="1354"/>
      <c r="D1882" s="1354"/>
      <c r="E1882" s="1354"/>
      <c r="F1882" s="1354"/>
      <c r="G1882" s="1354"/>
      <c r="H1882" s="1354"/>
      <c r="I1882" s="1354"/>
      <c r="J1882" s="1354"/>
      <c r="K1882" s="1017"/>
      <c r="L1882" s="1017"/>
      <c r="M1882" s="1017"/>
      <c r="N1882" s="1017"/>
      <c r="O1882" s="1003"/>
      <c r="P1882" s="1003"/>
      <c r="Q1882" s="1003"/>
      <c r="R1882" s="1003"/>
      <c r="S1882" s="1003"/>
      <c r="T1882" s="1003"/>
      <c r="U1882" s="1003"/>
      <c r="V1882" s="1003"/>
      <c r="W1882" s="1003"/>
      <c r="X1882" s="1003"/>
      <c r="Y1882" s="1003"/>
      <c r="Z1882" s="1003"/>
      <c r="AA1882" s="1003"/>
      <c r="AB1882" s="1003"/>
      <c r="AC1882" s="1003"/>
      <c r="AD1882" s="1003"/>
      <c r="AE1882" s="1003"/>
      <c r="AF1882" s="1003"/>
      <c r="AG1882" s="1003"/>
      <c r="AH1882" s="1003"/>
      <c r="AI1882" s="1003"/>
      <c r="AJ1882" s="1003"/>
      <c r="AK1882" s="1003"/>
      <c r="AL1882" s="1003"/>
      <c r="AM1882" s="1003"/>
      <c r="AN1882" s="1003"/>
      <c r="AO1882" s="1003"/>
      <c r="AP1882" s="1003"/>
      <c r="AQ1882" s="1003"/>
    </row>
    <row r="1883" spans="1:43" s="1002" customFormat="1" ht="34.5" customHeight="1">
      <c r="A1883" s="1354" t="s">
        <v>1019</v>
      </c>
      <c r="B1883" s="1354"/>
      <c r="C1883" s="1354"/>
      <c r="D1883" s="1354"/>
      <c r="E1883" s="1354"/>
      <c r="F1883" s="1354"/>
      <c r="G1883" s="1354"/>
      <c r="H1883" s="1354"/>
      <c r="I1883" s="1354"/>
      <c r="J1883" s="1354"/>
      <c r="K1883" s="1017"/>
      <c r="L1883" s="1017"/>
      <c r="M1883" s="1017"/>
      <c r="N1883" s="1017"/>
      <c r="O1883" s="1003"/>
      <c r="P1883" s="1003"/>
      <c r="Q1883" s="1003"/>
      <c r="R1883" s="1003"/>
      <c r="S1883" s="1003"/>
      <c r="T1883" s="1003"/>
      <c r="U1883" s="1003"/>
      <c r="V1883" s="1003"/>
      <c r="W1883" s="1003"/>
      <c r="X1883" s="1003"/>
      <c r="Y1883" s="1003"/>
      <c r="Z1883" s="1003"/>
      <c r="AA1883" s="1003"/>
      <c r="AB1883" s="1003"/>
      <c r="AC1883" s="1003"/>
      <c r="AD1883" s="1003"/>
      <c r="AE1883" s="1003"/>
      <c r="AF1883" s="1003"/>
      <c r="AG1883" s="1003"/>
      <c r="AH1883" s="1003"/>
      <c r="AI1883" s="1003"/>
      <c r="AJ1883" s="1003"/>
      <c r="AK1883" s="1003"/>
      <c r="AL1883" s="1003"/>
      <c r="AM1883" s="1003"/>
      <c r="AN1883" s="1003"/>
      <c r="AO1883" s="1003"/>
      <c r="AP1883" s="1003"/>
      <c r="AQ1883" s="1003"/>
    </row>
    <row r="1884" spans="1:43" s="1002" customFormat="1" ht="34.5" customHeight="1">
      <c r="A1884" s="1354" t="s">
        <v>1020</v>
      </c>
      <c r="B1884" s="1354"/>
      <c r="C1884" s="1354"/>
      <c r="D1884" s="1354"/>
      <c r="E1884" s="1354"/>
      <c r="F1884" s="1354"/>
      <c r="G1884" s="1354"/>
      <c r="H1884" s="1354"/>
      <c r="I1884" s="1354"/>
      <c r="J1884" s="1354"/>
      <c r="K1884" s="1017"/>
      <c r="L1884" s="1017"/>
      <c r="M1884" s="1017"/>
      <c r="N1884" s="1017"/>
      <c r="O1884" s="1003"/>
      <c r="P1884" s="1003"/>
      <c r="Q1884" s="1003"/>
      <c r="R1884" s="1003"/>
      <c r="S1884" s="1003"/>
      <c r="T1884" s="1003"/>
      <c r="U1884" s="1003"/>
      <c r="V1884" s="1003"/>
      <c r="W1884" s="1003"/>
      <c r="X1884" s="1003"/>
      <c r="Y1884" s="1003"/>
      <c r="Z1884" s="1003"/>
      <c r="AA1884" s="1003"/>
      <c r="AB1884" s="1003"/>
      <c r="AC1884" s="1003"/>
      <c r="AD1884" s="1003"/>
      <c r="AE1884" s="1003"/>
      <c r="AF1884" s="1003"/>
      <c r="AG1884" s="1003"/>
      <c r="AH1884" s="1003"/>
      <c r="AI1884" s="1003"/>
      <c r="AJ1884" s="1003"/>
      <c r="AK1884" s="1003"/>
      <c r="AL1884" s="1003"/>
      <c r="AM1884" s="1003"/>
      <c r="AN1884" s="1003"/>
      <c r="AO1884" s="1003"/>
      <c r="AP1884" s="1003"/>
      <c r="AQ1884" s="1003"/>
    </row>
    <row r="1885" s="15" customFormat="1" ht="34.5" customHeight="1"/>
    <row r="1886" s="15" customFormat="1" ht="34.5" customHeight="1"/>
    <row r="1887" s="15" customFormat="1" ht="34.5" customHeight="1"/>
    <row r="1888" s="15" customFormat="1" ht="34.5" customHeight="1"/>
    <row r="1889" s="15" customFormat="1" ht="34.5" customHeight="1"/>
    <row r="1890" s="15" customFormat="1" ht="34.5" customHeight="1"/>
    <row r="1891" s="15" customFormat="1" ht="34.5" customHeight="1"/>
    <row r="1892" s="15" customFormat="1" ht="34.5" customHeight="1"/>
    <row r="1893" s="15" customFormat="1" ht="34.5" customHeight="1"/>
    <row r="1894" s="15" customFormat="1" ht="34.5" customHeight="1"/>
    <row r="1895" s="15" customFormat="1" ht="34.5" customHeight="1"/>
    <row r="1896" s="15" customFormat="1" ht="34.5" customHeight="1"/>
    <row r="1897" s="15" customFormat="1" ht="34.5" customHeight="1"/>
    <row r="1898" s="15" customFormat="1" ht="34.5" customHeight="1"/>
    <row r="1899" s="15" customFormat="1" ht="34.5" customHeight="1"/>
    <row r="1900" s="15" customFormat="1" ht="34.5" customHeight="1"/>
    <row r="1901" s="15" customFormat="1" ht="34.5" customHeight="1"/>
    <row r="1902" s="15" customFormat="1" ht="34.5" customHeight="1"/>
    <row r="1903" s="15" customFormat="1" ht="34.5" customHeight="1"/>
    <row r="1904" s="15" customFormat="1" ht="34.5" customHeight="1"/>
    <row r="1905" s="15" customFormat="1" ht="34.5" customHeight="1"/>
    <row r="1906" s="15" customFormat="1" ht="34.5" customHeight="1"/>
    <row r="1907" s="15" customFormat="1" ht="34.5" customHeight="1"/>
    <row r="1908" s="15" customFormat="1" ht="34.5" customHeight="1"/>
    <row r="1909" s="15" customFormat="1" ht="34.5" customHeight="1"/>
    <row r="1910" spans="14:25" s="15" customFormat="1" ht="34.5" customHeight="1"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4:25" s="15" customFormat="1" ht="34.5" customHeight="1"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4:25" s="15" customFormat="1" ht="34.5" customHeight="1"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4:25" s="15" customFormat="1" ht="34.5" customHeight="1"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4:25" s="15" customFormat="1" ht="34.5" customHeight="1"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4:25" s="15" customFormat="1" ht="34.5" customHeight="1"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4:25" s="15" customFormat="1" ht="34.5" customHeight="1"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4:25" s="15" customFormat="1" ht="34.5" customHeight="1"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4:25" s="15" customFormat="1" ht="34.5" customHeight="1"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4:25" s="15" customFormat="1" ht="34.5" customHeight="1"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4:25" s="15" customFormat="1" ht="34.5" customHeight="1"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1:25" s="15" customFormat="1" ht="34.5" customHeight="1">
      <c r="K1921" s="62"/>
      <c r="L1921" s="62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1:25" s="15" customFormat="1" ht="34.5" customHeight="1">
      <c r="K1922" s="62"/>
      <c r="L1922" s="62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1:25" s="15" customFormat="1" ht="34.5" customHeight="1">
      <c r="K1923" s="62"/>
      <c r="L1923" s="62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1:25" s="15" customFormat="1" ht="34.5" customHeight="1">
      <c r="K1924" s="62"/>
      <c r="L1924" s="62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1:25" s="15" customFormat="1" ht="34.5" customHeight="1">
      <c r="K1925" s="62"/>
      <c r="L1925" s="62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1:25" s="15" customFormat="1" ht="34.5" customHeight="1">
      <c r="K1926" s="62"/>
      <c r="L1926" s="62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1:25" s="15" customFormat="1" ht="34.5" customHeight="1">
      <c r="K1927" s="62"/>
      <c r="L1927" s="62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1:25" s="15" customFormat="1" ht="34.5" customHeight="1">
      <c r="K1928" s="62"/>
      <c r="L1928" s="62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1:25" s="15" customFormat="1" ht="34.5" customHeight="1">
      <c r="K1929" s="62"/>
      <c r="L1929" s="62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1:25" s="15" customFormat="1" ht="34.5" customHeight="1">
      <c r="K1930" s="62"/>
      <c r="L1930" s="62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</sheetData>
  <sheetProtection password="EB09" sheet="1" formatCells="0" formatColumns="0" formatRows="0" insertColumns="0" insertRows="0" insertHyperlinks="0" deleteColumns="0" deleteRows="0" sort="0" autoFilter="0" pivotTables="0"/>
  <mergeCells count="4879">
    <mergeCell ref="K1405:L1405"/>
    <mergeCell ref="K1406:L1406"/>
    <mergeCell ref="K1407:L1407"/>
    <mergeCell ref="K1408:L1408"/>
    <mergeCell ref="K1409:L1409"/>
    <mergeCell ref="E1109:F1109"/>
    <mergeCell ref="G1109:H1109"/>
    <mergeCell ref="E1310:F1310"/>
    <mergeCell ref="I1307:J1307"/>
    <mergeCell ref="I1304:J1304"/>
    <mergeCell ref="K1404:L1404"/>
    <mergeCell ref="K1109:L1109"/>
    <mergeCell ref="C729:D729"/>
    <mergeCell ref="E729:F729"/>
    <mergeCell ref="G729:H729"/>
    <mergeCell ref="C735:D735"/>
    <mergeCell ref="E735:F735"/>
    <mergeCell ref="G737:H737"/>
    <mergeCell ref="G1308:H1308"/>
    <mergeCell ref="G1107:H1107"/>
    <mergeCell ref="E1306:F1306"/>
    <mergeCell ref="I1295:J1295"/>
    <mergeCell ref="G1294:H1294"/>
    <mergeCell ref="E1108:F1108"/>
    <mergeCell ref="G1108:H1108"/>
    <mergeCell ref="I1266:J1266"/>
    <mergeCell ref="G1265:H1265"/>
    <mergeCell ref="A1267:J1267"/>
    <mergeCell ref="E1266:F1266"/>
    <mergeCell ref="C1281:D1281"/>
    <mergeCell ref="G1262:H1262"/>
    <mergeCell ref="I1110:J1110"/>
    <mergeCell ref="K1110:L1110"/>
    <mergeCell ref="E1111:F1111"/>
    <mergeCell ref="K1111:L1111"/>
    <mergeCell ref="K1163:L1163"/>
    <mergeCell ref="C1273:D1273"/>
    <mergeCell ref="K1120:L1120"/>
    <mergeCell ref="C1309:D1309"/>
    <mergeCell ref="E1309:F1309"/>
    <mergeCell ref="G1309:H1309"/>
    <mergeCell ref="I1309:J1309"/>
    <mergeCell ref="I1272:J1272"/>
    <mergeCell ref="I1213:J1213"/>
    <mergeCell ref="E1307:F1307"/>
    <mergeCell ref="E1296:F1296"/>
    <mergeCell ref="E1304:F1304"/>
    <mergeCell ref="E1299:F1299"/>
    <mergeCell ref="C1310:D1310"/>
    <mergeCell ref="E1311:F1311"/>
    <mergeCell ref="K1308:L1308"/>
    <mergeCell ref="G1307:H1307"/>
    <mergeCell ref="G1310:H1310"/>
    <mergeCell ref="I1310:J1310"/>
    <mergeCell ref="G1311:H1311"/>
    <mergeCell ref="I1311:J1311"/>
    <mergeCell ref="K1311:L1311"/>
    <mergeCell ref="C1308:D1308"/>
    <mergeCell ref="C1164:D1164"/>
    <mergeCell ref="I1214:J1214"/>
    <mergeCell ref="G1305:H1305"/>
    <mergeCell ref="I1274:J1274"/>
    <mergeCell ref="G1281:H1281"/>
    <mergeCell ref="I1296:J1296"/>
    <mergeCell ref="I1293:J1293"/>
    <mergeCell ref="C1282:D1282"/>
    <mergeCell ref="I1305:J1305"/>
    <mergeCell ref="I1275:J1275"/>
    <mergeCell ref="K1216:L1216"/>
    <mergeCell ref="K1149:L1149"/>
    <mergeCell ref="K1202:L1202"/>
    <mergeCell ref="K1134:L1134"/>
    <mergeCell ref="K1150:L1150"/>
    <mergeCell ref="K1147:L1147"/>
    <mergeCell ref="K1160:L1160"/>
    <mergeCell ref="K1169:L1169"/>
    <mergeCell ref="K1187:L1187"/>
    <mergeCell ref="K1209:L1209"/>
    <mergeCell ref="K1304:L1304"/>
    <mergeCell ref="K1135:L1135"/>
    <mergeCell ref="K1152:L1152"/>
    <mergeCell ref="K1158:L1158"/>
    <mergeCell ref="I1264:J1264"/>
    <mergeCell ref="K1191:L1191"/>
    <mergeCell ref="K1272:L1272"/>
    <mergeCell ref="I1298:J1298"/>
    <mergeCell ref="K1263:L1263"/>
    <mergeCell ref="K1151:L1151"/>
    <mergeCell ref="M1277:N1277"/>
    <mergeCell ref="M1272:N1272"/>
    <mergeCell ref="I1276:J1276"/>
    <mergeCell ref="I1289:J1289"/>
    <mergeCell ref="K1287:L1287"/>
    <mergeCell ref="I1286:J1286"/>
    <mergeCell ref="I1282:J1282"/>
    <mergeCell ref="M1276:N1276"/>
    <mergeCell ref="K1276:L1276"/>
    <mergeCell ref="K1289:L1289"/>
    <mergeCell ref="M1275:N1275"/>
    <mergeCell ref="M1273:N1273"/>
    <mergeCell ref="M1264:N1264"/>
    <mergeCell ref="M1265:N1265"/>
    <mergeCell ref="M1266:N1266"/>
    <mergeCell ref="M1270:N1270"/>
    <mergeCell ref="M1274:N1274"/>
    <mergeCell ref="K1002:L1002"/>
    <mergeCell ref="G1001:H1001"/>
    <mergeCell ref="M1001:N1001"/>
    <mergeCell ref="G1002:H1002"/>
    <mergeCell ref="M1271:N1271"/>
    <mergeCell ref="I1134:J1134"/>
    <mergeCell ref="K1107:L1107"/>
    <mergeCell ref="G1106:H1106"/>
    <mergeCell ref="I1106:J1106"/>
    <mergeCell ref="K1118:L1118"/>
    <mergeCell ref="I458:J458"/>
    <mergeCell ref="I436:J436"/>
    <mergeCell ref="I726:J726"/>
    <mergeCell ref="I622:J622"/>
    <mergeCell ref="K607:L607"/>
    <mergeCell ref="A663:J663"/>
    <mergeCell ref="G636:H636"/>
    <mergeCell ref="E635:F635"/>
    <mergeCell ref="C715:D715"/>
    <mergeCell ref="C701:D701"/>
    <mergeCell ref="I464:J464"/>
    <mergeCell ref="M999:N999"/>
    <mergeCell ref="I1000:J1000"/>
    <mergeCell ref="M381:N381"/>
    <mergeCell ref="K998:L998"/>
    <mergeCell ref="M998:N998"/>
    <mergeCell ref="M1000:N1000"/>
    <mergeCell ref="K429:L429"/>
    <mergeCell ref="I427:J427"/>
    <mergeCell ref="I428:J428"/>
    <mergeCell ref="K402:L402"/>
    <mergeCell ref="K385:L385"/>
    <mergeCell ref="M585:N585"/>
    <mergeCell ref="I457:J457"/>
    <mergeCell ref="I451:J451"/>
    <mergeCell ref="I440:J440"/>
    <mergeCell ref="K442:L442"/>
    <mergeCell ref="K443:L443"/>
    <mergeCell ref="I468:J468"/>
    <mergeCell ref="K448:L448"/>
    <mergeCell ref="M361:N361"/>
    <mergeCell ref="M358:N358"/>
    <mergeCell ref="M320:N320"/>
    <mergeCell ref="M363:N363"/>
    <mergeCell ref="K323:L323"/>
    <mergeCell ref="K361:L361"/>
    <mergeCell ref="K356:L356"/>
    <mergeCell ref="K322:L322"/>
    <mergeCell ref="K352:L352"/>
    <mergeCell ref="K326:L326"/>
    <mergeCell ref="K225:L225"/>
    <mergeCell ref="I227:J227"/>
    <mergeCell ref="M360:N360"/>
    <mergeCell ref="M357:N357"/>
    <mergeCell ref="M319:N319"/>
    <mergeCell ref="M326:N326"/>
    <mergeCell ref="M236:N236"/>
    <mergeCell ref="K350:L350"/>
    <mergeCell ref="K346:L346"/>
    <mergeCell ref="M322:N322"/>
    <mergeCell ref="G457:H457"/>
    <mergeCell ref="I459:J459"/>
    <mergeCell ref="I241:J241"/>
    <mergeCell ref="I246:J246"/>
    <mergeCell ref="K216:L216"/>
    <mergeCell ref="K227:L227"/>
    <mergeCell ref="K226:L226"/>
    <mergeCell ref="I245:J245"/>
    <mergeCell ref="I242:J242"/>
    <mergeCell ref="I236:J236"/>
    <mergeCell ref="G456:H456"/>
    <mergeCell ref="G449:H449"/>
    <mergeCell ref="I441:J441"/>
    <mergeCell ref="G436:H436"/>
    <mergeCell ref="I456:J456"/>
    <mergeCell ref="I443:J443"/>
    <mergeCell ref="I448:J448"/>
    <mergeCell ref="G444:H444"/>
    <mergeCell ref="G451:H451"/>
    <mergeCell ref="G450:H450"/>
    <mergeCell ref="E466:F466"/>
    <mergeCell ref="G467:H467"/>
    <mergeCell ref="A461:H461"/>
    <mergeCell ref="G464:H464"/>
    <mergeCell ref="C468:D468"/>
    <mergeCell ref="C464:D464"/>
    <mergeCell ref="E463:F463"/>
    <mergeCell ref="E464:F464"/>
    <mergeCell ref="C466:D466"/>
    <mergeCell ref="G468:H468"/>
    <mergeCell ref="C459:D459"/>
    <mergeCell ref="E459:F459"/>
    <mergeCell ref="G458:H458"/>
    <mergeCell ref="C441:D441"/>
    <mergeCell ref="K360:L360"/>
    <mergeCell ref="K377:L377"/>
    <mergeCell ref="G442:H442"/>
    <mergeCell ref="E442:F442"/>
    <mergeCell ref="E443:F443"/>
    <mergeCell ref="K426:L426"/>
    <mergeCell ref="M422:N422"/>
    <mergeCell ref="G383:H383"/>
    <mergeCell ref="I386:J386"/>
    <mergeCell ref="I433:J433"/>
    <mergeCell ref="G441:H441"/>
    <mergeCell ref="G440:H440"/>
    <mergeCell ref="I435:J435"/>
    <mergeCell ref="K436:L436"/>
    <mergeCell ref="K387:L387"/>
    <mergeCell ref="K392:L392"/>
    <mergeCell ref="C198:D198"/>
    <mergeCell ref="C205:D205"/>
    <mergeCell ref="C206:D206"/>
    <mergeCell ref="G206:H206"/>
    <mergeCell ref="I444:J444"/>
    <mergeCell ref="G204:H204"/>
    <mergeCell ref="I216:J216"/>
    <mergeCell ref="C277:D277"/>
    <mergeCell ref="C287:D287"/>
    <mergeCell ref="G443:H443"/>
    <mergeCell ref="M318:N318"/>
    <mergeCell ref="M194:N194"/>
    <mergeCell ref="M195:N195"/>
    <mergeCell ref="M230:N230"/>
    <mergeCell ref="M374:N374"/>
    <mergeCell ref="M189:N189"/>
    <mergeCell ref="M316:N316"/>
    <mergeCell ref="M197:N197"/>
    <mergeCell ref="M317:N317"/>
    <mergeCell ref="M367:N367"/>
    <mergeCell ref="M233:N233"/>
    <mergeCell ref="M183:N183"/>
    <mergeCell ref="M193:N193"/>
    <mergeCell ref="M196:N196"/>
    <mergeCell ref="M198:N198"/>
    <mergeCell ref="M232:N232"/>
    <mergeCell ref="M150:N150"/>
    <mergeCell ref="M158:N158"/>
    <mergeCell ref="M159:N159"/>
    <mergeCell ref="M160:N160"/>
    <mergeCell ref="M166:N166"/>
    <mergeCell ref="M152:N152"/>
    <mergeCell ref="M154:N154"/>
    <mergeCell ref="M156:N156"/>
    <mergeCell ref="M155:N155"/>
    <mergeCell ref="M153:N153"/>
    <mergeCell ref="M68:N68"/>
    <mergeCell ref="M69:N69"/>
    <mergeCell ref="M148:N148"/>
    <mergeCell ref="M79:N79"/>
    <mergeCell ref="M81:N81"/>
    <mergeCell ref="M116:N116"/>
    <mergeCell ref="M113:N113"/>
    <mergeCell ref="M70:N70"/>
    <mergeCell ref="M91:N91"/>
    <mergeCell ref="M126:N126"/>
    <mergeCell ref="M149:N149"/>
    <mergeCell ref="M54:N54"/>
    <mergeCell ref="M55:N55"/>
    <mergeCell ref="M66:N66"/>
    <mergeCell ref="M62:N62"/>
    <mergeCell ref="M61:N61"/>
    <mergeCell ref="M64:N64"/>
    <mergeCell ref="M63:N63"/>
    <mergeCell ref="M65:N65"/>
    <mergeCell ref="M93:N93"/>
    <mergeCell ref="M77:N77"/>
    <mergeCell ref="M82:N82"/>
    <mergeCell ref="M71:N71"/>
    <mergeCell ref="M141:N141"/>
    <mergeCell ref="M76:N76"/>
    <mergeCell ref="M80:N80"/>
    <mergeCell ref="M118:N118"/>
    <mergeCell ref="M117:N117"/>
    <mergeCell ref="M127:N127"/>
    <mergeCell ref="M125:N125"/>
    <mergeCell ref="M119:N119"/>
    <mergeCell ref="M151:N151"/>
    <mergeCell ref="M147:N147"/>
    <mergeCell ref="M130:N130"/>
    <mergeCell ref="K324:L324"/>
    <mergeCell ref="M383:N383"/>
    <mergeCell ref="M372:N372"/>
    <mergeCell ref="M359:N359"/>
    <mergeCell ref="K317:L317"/>
    <mergeCell ref="M356:N356"/>
    <mergeCell ref="G551:H551"/>
    <mergeCell ref="I551:J551"/>
    <mergeCell ref="I492:J492"/>
    <mergeCell ref="G555:H555"/>
    <mergeCell ref="G543:H543"/>
    <mergeCell ref="I544:J544"/>
    <mergeCell ref="I540:J540"/>
    <mergeCell ref="I530:J530"/>
    <mergeCell ref="I550:J550"/>
    <mergeCell ref="I539:J539"/>
    <mergeCell ref="G466:H466"/>
    <mergeCell ref="K388:L388"/>
    <mergeCell ref="K441:L441"/>
    <mergeCell ref="I434:J434"/>
    <mergeCell ref="G403:H403"/>
    <mergeCell ref="I450:J450"/>
    <mergeCell ref="I449:J449"/>
    <mergeCell ref="G463:H463"/>
    <mergeCell ref="I403:J403"/>
    <mergeCell ref="K444:L444"/>
    <mergeCell ref="G607:H607"/>
    <mergeCell ref="G599:H599"/>
    <mergeCell ref="I585:J585"/>
    <mergeCell ref="I586:J586"/>
    <mergeCell ref="I483:J483"/>
    <mergeCell ref="I481:J481"/>
    <mergeCell ref="I488:J488"/>
    <mergeCell ref="G594:H594"/>
    <mergeCell ref="I487:J487"/>
    <mergeCell ref="G559:H559"/>
    <mergeCell ref="A653:H653"/>
    <mergeCell ref="I608:J608"/>
    <mergeCell ref="C623:D623"/>
    <mergeCell ref="G595:H595"/>
    <mergeCell ref="G602:H602"/>
    <mergeCell ref="E495:F495"/>
    <mergeCell ref="C524:D524"/>
    <mergeCell ref="G610:H610"/>
    <mergeCell ref="E618:F618"/>
    <mergeCell ref="C620:D620"/>
    <mergeCell ref="A688:N688"/>
    <mergeCell ref="M690:N690"/>
    <mergeCell ref="G616:H616"/>
    <mergeCell ref="C626:D626"/>
    <mergeCell ref="C627:D627"/>
    <mergeCell ref="G622:H622"/>
    <mergeCell ref="G623:H623"/>
    <mergeCell ref="E626:F626"/>
    <mergeCell ref="M689:N689"/>
    <mergeCell ref="A641:H641"/>
    <mergeCell ref="K1032:L1032"/>
    <mergeCell ref="K1022:L1022"/>
    <mergeCell ref="A685:I685"/>
    <mergeCell ref="I721:J721"/>
    <mergeCell ref="I704:J704"/>
    <mergeCell ref="I719:J719"/>
    <mergeCell ref="I714:J714"/>
    <mergeCell ref="I712:J712"/>
    <mergeCell ref="I709:J709"/>
    <mergeCell ref="I720:J720"/>
    <mergeCell ref="I1031:J1031"/>
    <mergeCell ref="K1065:L1065"/>
    <mergeCell ref="K1106:L1106"/>
    <mergeCell ref="I1003:J1003"/>
    <mergeCell ref="I715:J715"/>
    <mergeCell ref="K1099:L1099"/>
    <mergeCell ref="K1004:L1004"/>
    <mergeCell ref="I1001:J1001"/>
    <mergeCell ref="I1004:J1004"/>
    <mergeCell ref="I1089:J1089"/>
    <mergeCell ref="K1119:L1119"/>
    <mergeCell ref="I1098:J1098"/>
    <mergeCell ref="K1108:L1108"/>
    <mergeCell ref="K1100:L1100"/>
    <mergeCell ref="I1076:J1076"/>
    <mergeCell ref="I1108:J1108"/>
    <mergeCell ref="I1091:J1091"/>
    <mergeCell ref="K1098:L1098"/>
    <mergeCell ref="I1107:J1107"/>
    <mergeCell ref="K1225:L1225"/>
    <mergeCell ref="M1261:N1261"/>
    <mergeCell ref="M1258:N1258"/>
    <mergeCell ref="M1259:N1259"/>
    <mergeCell ref="M1260:N1260"/>
    <mergeCell ref="K1227:L1227"/>
    <mergeCell ref="K1204:L1204"/>
    <mergeCell ref="K1262:L1262"/>
    <mergeCell ref="K1211:L1211"/>
    <mergeCell ref="K1203:L1203"/>
    <mergeCell ref="K1214:L1214"/>
    <mergeCell ref="M1262:N1262"/>
    <mergeCell ref="K1258:L1258"/>
    <mergeCell ref="K1222:L1222"/>
    <mergeCell ref="K1231:L1231"/>
    <mergeCell ref="K1226:L1226"/>
    <mergeCell ref="K1223:L1223"/>
    <mergeCell ref="M1263:N1263"/>
    <mergeCell ref="G1130:H1130"/>
    <mergeCell ref="K1136:L1136"/>
    <mergeCell ref="I1153:J1153"/>
    <mergeCell ref="I1147:J1147"/>
    <mergeCell ref="M1257:N1257"/>
    <mergeCell ref="K1260:L1260"/>
    <mergeCell ref="M1256:N1256"/>
    <mergeCell ref="K1175:L1175"/>
    <mergeCell ref="K1159:L1159"/>
    <mergeCell ref="K1174:L1174"/>
    <mergeCell ref="K1171:L1171"/>
    <mergeCell ref="K1153:L1153"/>
    <mergeCell ref="G1120:H1120"/>
    <mergeCell ref="I1120:J1120"/>
    <mergeCell ref="K1140:L1140"/>
    <mergeCell ref="K1139:L1139"/>
    <mergeCell ref="I1136:J1136"/>
    <mergeCell ref="K1170:L1170"/>
    <mergeCell ref="K1148:L1148"/>
    <mergeCell ref="C1265:D1265"/>
    <mergeCell ref="K1162:L1162"/>
    <mergeCell ref="G1264:H1264"/>
    <mergeCell ref="G1266:H1266"/>
    <mergeCell ref="C1266:D1266"/>
    <mergeCell ref="I1261:J1261"/>
    <mergeCell ref="K1164:L1164"/>
    <mergeCell ref="G1209:H1209"/>
    <mergeCell ref="I1212:J1212"/>
    <mergeCell ref="I1211:J1211"/>
    <mergeCell ref="K1161:L1161"/>
    <mergeCell ref="I1258:J1258"/>
    <mergeCell ref="G1257:H1257"/>
    <mergeCell ref="K1221:L1221"/>
    <mergeCell ref="G1227:H1227"/>
    <mergeCell ref="K1247:L1247"/>
    <mergeCell ref="G1258:H1258"/>
    <mergeCell ref="K1215:L1215"/>
    <mergeCell ref="K1220:L1220"/>
    <mergeCell ref="I1215:J1215"/>
    <mergeCell ref="I1203:J1203"/>
    <mergeCell ref="G1210:H1210"/>
    <mergeCell ref="I1209:J1209"/>
    <mergeCell ref="G1173:H1173"/>
    <mergeCell ref="I1172:J1172"/>
    <mergeCell ref="I1198:J1198"/>
    <mergeCell ref="I1190:J1190"/>
    <mergeCell ref="I1189:J1189"/>
    <mergeCell ref="I1174:J1174"/>
    <mergeCell ref="G1174:H1174"/>
    <mergeCell ref="G1189:H1189"/>
    <mergeCell ref="G1193:H1193"/>
    <mergeCell ref="G1171:H1171"/>
    <mergeCell ref="I1210:J1210"/>
    <mergeCell ref="I1200:J1200"/>
    <mergeCell ref="I1205:J1205"/>
    <mergeCell ref="G1205:H1205"/>
    <mergeCell ref="G1191:H1191"/>
    <mergeCell ref="I1201:J1201"/>
    <mergeCell ref="I1194:J1194"/>
    <mergeCell ref="I1173:J1173"/>
    <mergeCell ref="I1191:J1191"/>
    <mergeCell ref="G1170:H1170"/>
    <mergeCell ref="G1158:H1158"/>
    <mergeCell ref="G1162:H1162"/>
    <mergeCell ref="I1170:J1170"/>
    <mergeCell ref="G1169:H1169"/>
    <mergeCell ref="I1164:J1164"/>
    <mergeCell ref="G1163:H1163"/>
    <mergeCell ref="I1169:J1169"/>
    <mergeCell ref="I1162:J1162"/>
    <mergeCell ref="C629:D629"/>
    <mergeCell ref="E621:F621"/>
    <mergeCell ref="E712:F712"/>
    <mergeCell ref="C710:D710"/>
    <mergeCell ref="E726:F726"/>
    <mergeCell ref="E622:F622"/>
    <mergeCell ref="E701:F701"/>
    <mergeCell ref="G207:H207"/>
    <mergeCell ref="E208:F208"/>
    <mergeCell ref="C361:D361"/>
    <mergeCell ref="C619:D619"/>
    <mergeCell ref="E623:F623"/>
    <mergeCell ref="C208:D208"/>
    <mergeCell ref="C207:D207"/>
    <mergeCell ref="C209:D209"/>
    <mergeCell ref="C214:D214"/>
    <mergeCell ref="G603:H603"/>
    <mergeCell ref="G608:H608"/>
    <mergeCell ref="C635:D635"/>
    <mergeCell ref="E636:F636"/>
    <mergeCell ref="C637:D637"/>
    <mergeCell ref="C725:D725"/>
    <mergeCell ref="I211:J211"/>
    <mergeCell ref="G213:H213"/>
    <mergeCell ref="C211:D211"/>
    <mergeCell ref="C379:D379"/>
    <mergeCell ref="C376:D376"/>
    <mergeCell ref="I209:J209"/>
    <mergeCell ref="E213:F213"/>
    <mergeCell ref="G210:H210"/>
    <mergeCell ref="G212:H212"/>
    <mergeCell ref="G211:H211"/>
    <mergeCell ref="E211:F211"/>
    <mergeCell ref="I213:J213"/>
    <mergeCell ref="I212:J212"/>
    <mergeCell ref="C218:D218"/>
    <mergeCell ref="C215:D215"/>
    <mergeCell ref="C213:D213"/>
    <mergeCell ref="C219:D219"/>
    <mergeCell ref="C442:D442"/>
    <mergeCell ref="C310:D310"/>
    <mergeCell ref="C436:D436"/>
    <mergeCell ref="C394:D394"/>
    <mergeCell ref="C395:D395"/>
    <mergeCell ref="C369:D369"/>
    <mergeCell ref="C384:D384"/>
    <mergeCell ref="C403:D403"/>
    <mergeCell ref="C397:D397"/>
    <mergeCell ref="C396:D396"/>
    <mergeCell ref="C385:D385"/>
    <mergeCell ref="C378:D378"/>
    <mergeCell ref="C386:D386"/>
    <mergeCell ref="C306:D306"/>
    <mergeCell ref="C344:D344"/>
    <mergeCell ref="C341:D341"/>
    <mergeCell ref="C371:D371"/>
    <mergeCell ref="C368:D368"/>
    <mergeCell ref="C323:D323"/>
    <mergeCell ref="C370:D370"/>
    <mergeCell ref="C343:D343"/>
    <mergeCell ref="C586:D586"/>
    <mergeCell ref="C470:D470"/>
    <mergeCell ref="C465:D465"/>
    <mergeCell ref="C467:D467"/>
    <mergeCell ref="C525:D525"/>
    <mergeCell ref="C529:D529"/>
    <mergeCell ref="C566:D566"/>
    <mergeCell ref="C511:D511"/>
    <mergeCell ref="A572:J572"/>
    <mergeCell ref="I478:J478"/>
    <mergeCell ref="C595:D595"/>
    <mergeCell ref="C601:D601"/>
    <mergeCell ref="E601:F601"/>
    <mergeCell ref="C599:D599"/>
    <mergeCell ref="C594:D594"/>
    <mergeCell ref="C593:D593"/>
    <mergeCell ref="C590:D590"/>
    <mergeCell ref="E637:F637"/>
    <mergeCell ref="C614:D614"/>
    <mergeCell ref="C617:D617"/>
    <mergeCell ref="E616:F616"/>
    <mergeCell ref="E615:F615"/>
    <mergeCell ref="C622:D622"/>
    <mergeCell ref="C592:D592"/>
    <mergeCell ref="C600:D600"/>
    <mergeCell ref="E594:F594"/>
    <mergeCell ref="C607:D607"/>
    <mergeCell ref="E595:F595"/>
    <mergeCell ref="C602:D602"/>
    <mergeCell ref="C585:D585"/>
    <mergeCell ref="E569:F569"/>
    <mergeCell ref="E603:F603"/>
    <mergeCell ref="C569:D569"/>
    <mergeCell ref="E585:F585"/>
    <mergeCell ref="C591:D591"/>
    <mergeCell ref="E591:F591"/>
    <mergeCell ref="G635:H635"/>
    <mergeCell ref="C636:D636"/>
    <mergeCell ref="I635:J635"/>
    <mergeCell ref="A645:H645"/>
    <mergeCell ref="E707:F707"/>
    <mergeCell ref="E696:F696"/>
    <mergeCell ref="E697:F697"/>
    <mergeCell ref="C706:D706"/>
    <mergeCell ref="G701:H701"/>
    <mergeCell ref="G704:H704"/>
    <mergeCell ref="C691:D691"/>
    <mergeCell ref="C703:D703"/>
    <mergeCell ref="C705:D705"/>
    <mergeCell ref="C698:D698"/>
    <mergeCell ref="E705:F705"/>
    <mergeCell ref="C704:D704"/>
    <mergeCell ref="C696:D696"/>
    <mergeCell ref="C697:D697"/>
    <mergeCell ref="E703:F703"/>
    <mergeCell ref="C702:D702"/>
    <mergeCell ref="E832:F832"/>
    <mergeCell ref="M692:N692"/>
    <mergeCell ref="A671:H671"/>
    <mergeCell ref="A683:H683"/>
    <mergeCell ref="A686:H686"/>
    <mergeCell ref="I636:J636"/>
    <mergeCell ref="I637:J637"/>
    <mergeCell ref="G637:H637"/>
    <mergeCell ref="A684:H684"/>
    <mergeCell ref="A642:H642"/>
    <mergeCell ref="E905:F905"/>
    <mergeCell ref="E944:F944"/>
    <mergeCell ref="E923:F923"/>
    <mergeCell ref="G949:H949"/>
    <mergeCell ref="E920:F920"/>
    <mergeCell ref="G948:H948"/>
    <mergeCell ref="E914:F914"/>
    <mergeCell ref="E922:F922"/>
    <mergeCell ref="E945:F945"/>
    <mergeCell ref="E940:F940"/>
    <mergeCell ref="G1000:H1000"/>
    <mergeCell ref="I1013:J1013"/>
    <mergeCell ref="E987:F987"/>
    <mergeCell ref="E1013:F1013"/>
    <mergeCell ref="G967:H967"/>
    <mergeCell ref="E985:F985"/>
    <mergeCell ref="I1009:J1009"/>
    <mergeCell ref="I1002:J1002"/>
    <mergeCell ref="G1008:H1008"/>
    <mergeCell ref="E1097:F1097"/>
    <mergeCell ref="G1013:H1013"/>
    <mergeCell ref="I985:J985"/>
    <mergeCell ref="A981:J981"/>
    <mergeCell ref="E980:F980"/>
    <mergeCell ref="C985:D985"/>
    <mergeCell ref="I1061:J1061"/>
    <mergeCell ref="I1015:J1015"/>
    <mergeCell ref="I1020:J1020"/>
    <mergeCell ref="G1095:H1095"/>
    <mergeCell ref="C1135:D1135"/>
    <mergeCell ref="G1096:H1096"/>
    <mergeCell ref="C1131:D1131"/>
    <mergeCell ref="E1131:F1131"/>
    <mergeCell ref="C1119:D1119"/>
    <mergeCell ref="C1117:D1117"/>
    <mergeCell ref="E1130:F1130"/>
    <mergeCell ref="C1130:D1130"/>
    <mergeCell ref="E1102:F1102"/>
    <mergeCell ref="E1118:F1118"/>
    <mergeCell ref="C1147:D1147"/>
    <mergeCell ref="C1138:D1138"/>
    <mergeCell ref="C1139:D1139"/>
    <mergeCell ref="E1139:F1139"/>
    <mergeCell ref="G1135:H1135"/>
    <mergeCell ref="G1137:H1137"/>
    <mergeCell ref="G1138:H1138"/>
    <mergeCell ref="E1138:F1138"/>
    <mergeCell ref="C1137:D1137"/>
    <mergeCell ref="G1139:H1139"/>
    <mergeCell ref="I1152:J1152"/>
    <mergeCell ref="I1149:J1149"/>
    <mergeCell ref="E1148:F1148"/>
    <mergeCell ref="E1149:F1149"/>
    <mergeCell ref="G1149:H1149"/>
    <mergeCell ref="I1151:J1151"/>
    <mergeCell ref="G1151:H1151"/>
    <mergeCell ref="G1150:H1150"/>
    <mergeCell ref="I1150:J1150"/>
    <mergeCell ref="I1148:J1148"/>
    <mergeCell ref="E1144:F1144"/>
    <mergeCell ref="G1153:H1153"/>
    <mergeCell ref="E1158:F1158"/>
    <mergeCell ref="C1145:D1145"/>
    <mergeCell ref="C1150:D1150"/>
    <mergeCell ref="E1145:F1145"/>
    <mergeCell ref="C1144:D1144"/>
    <mergeCell ref="G1147:H1147"/>
    <mergeCell ref="G1152:H1152"/>
    <mergeCell ref="G1144:H1144"/>
    <mergeCell ref="I1161:J1161"/>
    <mergeCell ref="E1162:F1162"/>
    <mergeCell ref="C1161:D1161"/>
    <mergeCell ref="G1160:H1160"/>
    <mergeCell ref="C1158:D1158"/>
    <mergeCell ref="C1159:D1159"/>
    <mergeCell ref="I1158:J1158"/>
    <mergeCell ref="G1159:H1159"/>
    <mergeCell ref="I1146:J1146"/>
    <mergeCell ref="K1145:L1145"/>
    <mergeCell ref="C1162:D1162"/>
    <mergeCell ref="E1161:F1161"/>
    <mergeCell ref="E1160:F1160"/>
    <mergeCell ref="C1160:D1160"/>
    <mergeCell ref="I1160:J1160"/>
    <mergeCell ref="E1153:F1153"/>
    <mergeCell ref="C1146:D1146"/>
    <mergeCell ref="G1161:H1161"/>
    <mergeCell ref="K1144:L1144"/>
    <mergeCell ref="G1146:H1146"/>
    <mergeCell ref="G1141:H1141"/>
    <mergeCell ref="I1141:J1141"/>
    <mergeCell ref="I1144:J1144"/>
    <mergeCell ref="I1140:J1140"/>
    <mergeCell ref="G1140:H1140"/>
    <mergeCell ref="K1141:L1141"/>
    <mergeCell ref="I1145:J1145"/>
    <mergeCell ref="K1146:L1146"/>
    <mergeCell ref="I1133:J1133"/>
    <mergeCell ref="E1140:F1140"/>
    <mergeCell ref="I1139:J1139"/>
    <mergeCell ref="I1138:J1138"/>
    <mergeCell ref="I1137:J1137"/>
    <mergeCell ref="K1138:L1138"/>
    <mergeCell ref="K1137:L1137"/>
    <mergeCell ref="E1133:F1133"/>
    <mergeCell ref="I1131:J1131"/>
    <mergeCell ref="E1119:F1119"/>
    <mergeCell ref="G1131:H1131"/>
    <mergeCell ref="I1135:J1135"/>
    <mergeCell ref="E1136:F1136"/>
    <mergeCell ref="I1130:J1130"/>
    <mergeCell ref="G1132:H1132"/>
    <mergeCell ref="I1132:J1132"/>
    <mergeCell ref="I1119:J1119"/>
    <mergeCell ref="G1136:H1136"/>
    <mergeCell ref="K1132:L1132"/>
    <mergeCell ref="K1130:L1130"/>
    <mergeCell ref="K1101:L1101"/>
    <mergeCell ref="A1125:H1125"/>
    <mergeCell ref="I1116:J1116"/>
    <mergeCell ref="K1102:L1102"/>
    <mergeCell ref="G1101:H1101"/>
    <mergeCell ref="K1117:L1117"/>
    <mergeCell ref="C1116:D1116"/>
    <mergeCell ref="K1116:L1116"/>
    <mergeCell ref="G999:H999"/>
    <mergeCell ref="G1090:H1090"/>
    <mergeCell ref="E1091:F1091"/>
    <mergeCell ref="I1062:J1062"/>
    <mergeCell ref="G1089:H1089"/>
    <mergeCell ref="I1064:J1064"/>
    <mergeCell ref="G1063:H1063"/>
    <mergeCell ref="E1062:F1062"/>
    <mergeCell ref="G1074:H1074"/>
    <mergeCell ref="G1072:H1072"/>
    <mergeCell ref="E1012:F1012"/>
    <mergeCell ref="I1090:J1090"/>
    <mergeCell ref="G1024:H1024"/>
    <mergeCell ref="E1024:F1024"/>
    <mergeCell ref="E1023:F1023"/>
    <mergeCell ref="E1015:F1015"/>
    <mergeCell ref="I1030:J1030"/>
    <mergeCell ref="E1070:F1070"/>
    <mergeCell ref="E1076:F1076"/>
    <mergeCell ref="G1034:H1034"/>
    <mergeCell ref="C986:D986"/>
    <mergeCell ref="I989:J989"/>
    <mergeCell ref="C987:D987"/>
    <mergeCell ref="G991:H991"/>
    <mergeCell ref="C1001:D1001"/>
    <mergeCell ref="C1004:D1004"/>
    <mergeCell ref="G1003:H1003"/>
    <mergeCell ref="C998:D998"/>
    <mergeCell ref="G990:H990"/>
    <mergeCell ref="E990:F990"/>
    <mergeCell ref="E1021:F1021"/>
    <mergeCell ref="G997:H997"/>
    <mergeCell ref="G1020:H1020"/>
    <mergeCell ref="G1023:H1023"/>
    <mergeCell ref="C940:D940"/>
    <mergeCell ref="E948:F948"/>
    <mergeCell ref="E989:F989"/>
    <mergeCell ref="G980:H980"/>
    <mergeCell ref="G977:H977"/>
    <mergeCell ref="E978:F978"/>
    <mergeCell ref="C944:D944"/>
    <mergeCell ref="C1020:D1020"/>
    <mergeCell ref="C1087:D1087"/>
    <mergeCell ref="E1042:F1042"/>
    <mergeCell ref="C977:D977"/>
    <mergeCell ref="C942:D942"/>
    <mergeCell ref="E946:F946"/>
    <mergeCell ref="E947:F947"/>
    <mergeCell ref="E943:F943"/>
    <mergeCell ref="C943:D943"/>
    <mergeCell ref="E941:F941"/>
    <mergeCell ref="I997:J997"/>
    <mergeCell ref="E1033:F1033"/>
    <mergeCell ref="G1031:H1031"/>
    <mergeCell ref="C990:D990"/>
    <mergeCell ref="I975:J975"/>
    <mergeCell ref="C946:D946"/>
    <mergeCell ref="C951:D951"/>
    <mergeCell ref="C1024:D1024"/>
    <mergeCell ref="E949:F949"/>
    <mergeCell ref="C906:D906"/>
    <mergeCell ref="G938:H938"/>
    <mergeCell ref="G937:H937"/>
    <mergeCell ref="E931:F931"/>
    <mergeCell ref="C937:D937"/>
    <mergeCell ref="C938:D938"/>
    <mergeCell ref="C932:D932"/>
    <mergeCell ref="E911:F911"/>
    <mergeCell ref="C919:D919"/>
    <mergeCell ref="C923:D923"/>
    <mergeCell ref="G904:H904"/>
    <mergeCell ref="E910:F910"/>
    <mergeCell ref="E830:F830"/>
    <mergeCell ref="C848:D848"/>
    <mergeCell ref="E847:F847"/>
    <mergeCell ref="E831:F831"/>
    <mergeCell ref="C868:D868"/>
    <mergeCell ref="C840:D840"/>
    <mergeCell ref="C833:D833"/>
    <mergeCell ref="G906:H906"/>
    <mergeCell ref="C802:D802"/>
    <mergeCell ref="C801:D801"/>
    <mergeCell ref="G902:H902"/>
    <mergeCell ref="G894:H894"/>
    <mergeCell ref="G880:H880"/>
    <mergeCell ref="G900:H900"/>
    <mergeCell ref="C900:D900"/>
    <mergeCell ref="C824:D824"/>
    <mergeCell ref="C870:D870"/>
    <mergeCell ref="E870:F870"/>
    <mergeCell ref="C902:D902"/>
    <mergeCell ref="C850:D850"/>
    <mergeCell ref="C841:D841"/>
    <mergeCell ref="E901:F901"/>
    <mergeCell ref="E886:F886"/>
    <mergeCell ref="C857:D857"/>
    <mergeCell ref="C851:D851"/>
    <mergeCell ref="C843:D843"/>
    <mergeCell ref="C842:D842"/>
    <mergeCell ref="E850:F850"/>
    <mergeCell ref="C825:D825"/>
    <mergeCell ref="C830:D830"/>
    <mergeCell ref="G825:H825"/>
    <mergeCell ref="C834:D834"/>
    <mergeCell ref="G899:H899"/>
    <mergeCell ref="G897:H897"/>
    <mergeCell ref="G886:H886"/>
    <mergeCell ref="G879:H879"/>
    <mergeCell ref="C839:D839"/>
    <mergeCell ref="E839:F839"/>
    <mergeCell ref="G824:H824"/>
    <mergeCell ref="C832:D832"/>
    <mergeCell ref="E825:F825"/>
    <mergeCell ref="C831:D831"/>
    <mergeCell ref="A689:H689"/>
    <mergeCell ref="C711:D711"/>
    <mergeCell ref="G702:H702"/>
    <mergeCell ref="E702:F702"/>
    <mergeCell ref="G707:H707"/>
    <mergeCell ref="C770:D770"/>
    <mergeCell ref="E704:F704"/>
    <mergeCell ref="E736:F736"/>
    <mergeCell ref="A776:L776"/>
    <mergeCell ref="C771:D771"/>
    <mergeCell ref="E771:F771"/>
    <mergeCell ref="C714:D714"/>
    <mergeCell ref="C709:D709"/>
    <mergeCell ref="C712:D712"/>
    <mergeCell ref="E763:F763"/>
    <mergeCell ref="G712:H712"/>
    <mergeCell ref="G735:H735"/>
    <mergeCell ref="C730:D730"/>
    <mergeCell ref="E706:F706"/>
    <mergeCell ref="G709:H709"/>
    <mergeCell ref="C736:D736"/>
    <mergeCell ref="E724:F724"/>
    <mergeCell ref="G725:H725"/>
    <mergeCell ref="G730:H730"/>
    <mergeCell ref="G710:H710"/>
    <mergeCell ref="G726:H726"/>
    <mergeCell ref="I756:J756"/>
    <mergeCell ref="C731:D731"/>
    <mergeCell ref="C756:D756"/>
    <mergeCell ref="C726:D726"/>
    <mergeCell ref="C734:D734"/>
    <mergeCell ref="E734:F734"/>
    <mergeCell ref="G734:H734"/>
    <mergeCell ref="G756:H756"/>
    <mergeCell ref="E730:F730"/>
    <mergeCell ref="E756:F756"/>
    <mergeCell ref="G617:H617"/>
    <mergeCell ref="E617:F617"/>
    <mergeCell ref="C621:D621"/>
    <mergeCell ref="E713:F713"/>
    <mergeCell ref="E723:F723"/>
    <mergeCell ref="C707:D707"/>
    <mergeCell ref="E634:F634"/>
    <mergeCell ref="E627:F627"/>
    <mergeCell ref="C628:D628"/>
    <mergeCell ref="A643:H643"/>
    <mergeCell ref="G609:H609"/>
    <mergeCell ref="I613:J613"/>
    <mergeCell ref="E608:F608"/>
    <mergeCell ref="C608:D608"/>
    <mergeCell ref="G618:H618"/>
    <mergeCell ref="I615:J615"/>
    <mergeCell ref="C618:D618"/>
    <mergeCell ref="G614:H614"/>
    <mergeCell ref="C616:D616"/>
    <mergeCell ref="G615:H615"/>
    <mergeCell ref="I600:J600"/>
    <mergeCell ref="I599:J599"/>
    <mergeCell ref="K609:L609"/>
    <mergeCell ref="E610:F610"/>
    <mergeCell ref="C610:D610"/>
    <mergeCell ref="E607:F607"/>
    <mergeCell ref="I610:J610"/>
    <mergeCell ref="C609:D609"/>
    <mergeCell ref="I609:J609"/>
    <mergeCell ref="I607:J607"/>
    <mergeCell ref="G600:H600"/>
    <mergeCell ref="E602:F602"/>
    <mergeCell ref="I603:J603"/>
    <mergeCell ref="K606:L606"/>
    <mergeCell ref="I592:J592"/>
    <mergeCell ref="I593:J593"/>
    <mergeCell ref="I606:J606"/>
    <mergeCell ref="I602:J602"/>
    <mergeCell ref="K600:L600"/>
    <mergeCell ref="K599:L599"/>
    <mergeCell ref="C567:D567"/>
    <mergeCell ref="C568:D568"/>
    <mergeCell ref="K602:L602"/>
    <mergeCell ref="E600:F600"/>
    <mergeCell ref="E599:F599"/>
    <mergeCell ref="G601:H601"/>
    <mergeCell ref="K601:L601"/>
    <mergeCell ref="E593:F593"/>
    <mergeCell ref="G590:H590"/>
    <mergeCell ref="G591:H591"/>
    <mergeCell ref="K531:L531"/>
    <mergeCell ref="K536:L536"/>
    <mergeCell ref="K543:L543"/>
    <mergeCell ref="I545:J545"/>
    <mergeCell ref="I531:J531"/>
    <mergeCell ref="K539:L539"/>
    <mergeCell ref="I537:J537"/>
    <mergeCell ref="I533:J533"/>
    <mergeCell ref="I543:J543"/>
    <mergeCell ref="I532:J532"/>
    <mergeCell ref="I511:J511"/>
    <mergeCell ref="I529:J529"/>
    <mergeCell ref="I509:J509"/>
    <mergeCell ref="I523:J523"/>
    <mergeCell ref="I528:J528"/>
    <mergeCell ref="I527:J527"/>
    <mergeCell ref="I525:J525"/>
    <mergeCell ref="I510:J510"/>
    <mergeCell ref="I522:J522"/>
    <mergeCell ref="E516:F516"/>
    <mergeCell ref="C523:D523"/>
    <mergeCell ref="G501:H501"/>
    <mergeCell ref="G503:H503"/>
    <mergeCell ref="C503:D503"/>
    <mergeCell ref="C502:D502"/>
    <mergeCell ref="G506:H506"/>
    <mergeCell ref="G505:H505"/>
    <mergeCell ref="E503:F503"/>
    <mergeCell ref="C501:D501"/>
    <mergeCell ref="C457:D457"/>
    <mergeCell ref="C463:D463"/>
    <mergeCell ref="C418:D418"/>
    <mergeCell ref="C387:D387"/>
    <mergeCell ref="C393:D393"/>
    <mergeCell ref="C415:D415"/>
    <mergeCell ref="C414:D414"/>
    <mergeCell ref="C413:D413"/>
    <mergeCell ref="C392:D392"/>
    <mergeCell ref="C388:D388"/>
    <mergeCell ref="C443:D443"/>
    <mergeCell ref="C417:D417"/>
    <mergeCell ref="E510:F510"/>
    <mergeCell ref="C509:D509"/>
    <mergeCell ref="E444:F444"/>
    <mergeCell ref="C477:D477"/>
    <mergeCell ref="E467:F467"/>
    <mergeCell ref="C456:D456"/>
    <mergeCell ref="C483:D483"/>
    <mergeCell ref="E481:F481"/>
    <mergeCell ref="C189:D189"/>
    <mergeCell ref="C416:D416"/>
    <mergeCell ref="E218:F218"/>
    <mergeCell ref="C210:D210"/>
    <mergeCell ref="C212:D212"/>
    <mergeCell ref="E210:F210"/>
    <mergeCell ref="C216:D216"/>
    <mergeCell ref="C285:D285"/>
    <mergeCell ref="C303:D303"/>
    <mergeCell ref="C193:D193"/>
    <mergeCell ref="E212:F212"/>
    <mergeCell ref="E217:F217"/>
    <mergeCell ref="C217:D217"/>
    <mergeCell ref="E214:F214"/>
    <mergeCell ref="E368:F368"/>
    <mergeCell ref="C358:D358"/>
    <mergeCell ref="E315:F315"/>
    <mergeCell ref="E311:F311"/>
    <mergeCell ref="C316:D316"/>
    <mergeCell ref="C367:D367"/>
    <mergeCell ref="E184:F184"/>
    <mergeCell ref="G195:H195"/>
    <mergeCell ref="E178:F178"/>
    <mergeCell ref="G181:H181"/>
    <mergeCell ref="G178:H178"/>
    <mergeCell ref="G183:H183"/>
    <mergeCell ref="E189:F189"/>
    <mergeCell ref="E194:F194"/>
    <mergeCell ref="E205:F205"/>
    <mergeCell ref="C204:D204"/>
    <mergeCell ref="E195:F195"/>
    <mergeCell ref="E193:F193"/>
    <mergeCell ref="E192:F192"/>
    <mergeCell ref="E191:F191"/>
    <mergeCell ref="C191:D191"/>
    <mergeCell ref="C194:D194"/>
    <mergeCell ref="C195:D195"/>
    <mergeCell ref="C197:D197"/>
    <mergeCell ref="E204:F204"/>
    <mergeCell ref="E206:F206"/>
    <mergeCell ref="C199:D199"/>
    <mergeCell ref="A200:L200"/>
    <mergeCell ref="G197:H197"/>
    <mergeCell ref="E196:F196"/>
    <mergeCell ref="G198:H198"/>
    <mergeCell ref="G199:H199"/>
    <mergeCell ref="E199:F199"/>
    <mergeCell ref="E197:F197"/>
    <mergeCell ref="I219:J219"/>
    <mergeCell ref="I215:J215"/>
    <mergeCell ref="G214:H214"/>
    <mergeCell ref="G218:H218"/>
    <mergeCell ref="G226:H226"/>
    <mergeCell ref="E216:F216"/>
    <mergeCell ref="G216:H216"/>
    <mergeCell ref="I217:J217"/>
    <mergeCell ref="G217:H217"/>
    <mergeCell ref="G215:H215"/>
    <mergeCell ref="I218:J218"/>
    <mergeCell ref="E215:F215"/>
    <mergeCell ref="E219:F219"/>
    <mergeCell ref="C231:D231"/>
    <mergeCell ref="C232:D232"/>
    <mergeCell ref="C225:D225"/>
    <mergeCell ref="A220:J220"/>
    <mergeCell ref="E232:F232"/>
    <mergeCell ref="E225:F225"/>
    <mergeCell ref="G225:H225"/>
    <mergeCell ref="I225:J225"/>
    <mergeCell ref="G219:H219"/>
    <mergeCell ref="G242:H242"/>
    <mergeCell ref="I265:J265"/>
    <mergeCell ref="C226:D226"/>
    <mergeCell ref="C229:D229"/>
    <mergeCell ref="G232:H232"/>
    <mergeCell ref="G227:H227"/>
    <mergeCell ref="I230:J230"/>
    <mergeCell ref="E243:F243"/>
    <mergeCell ref="I256:J256"/>
    <mergeCell ref="G256:H256"/>
    <mergeCell ref="I465:J465"/>
    <mergeCell ref="G459:H459"/>
    <mergeCell ref="G433:H433"/>
    <mergeCell ref="I263:J263"/>
    <mergeCell ref="G268:H268"/>
    <mergeCell ref="G267:H267"/>
    <mergeCell ref="I429:J429"/>
    <mergeCell ref="G448:H448"/>
    <mergeCell ref="I503:J503"/>
    <mergeCell ref="C481:D481"/>
    <mergeCell ref="C480:D480"/>
    <mergeCell ref="C475:D475"/>
    <mergeCell ref="G475:H475"/>
    <mergeCell ref="C488:D488"/>
    <mergeCell ref="C476:D476"/>
    <mergeCell ref="C479:D479"/>
    <mergeCell ref="E484:F484"/>
    <mergeCell ref="C603:D603"/>
    <mergeCell ref="G544:H544"/>
    <mergeCell ref="G557:H557"/>
    <mergeCell ref="I535:J535"/>
    <mergeCell ref="C512:D512"/>
    <mergeCell ref="E515:F515"/>
    <mergeCell ref="C517:D517"/>
    <mergeCell ref="I549:J549"/>
    <mergeCell ref="I598:J598"/>
    <mergeCell ref="G585:H585"/>
    <mergeCell ref="G633:H633"/>
    <mergeCell ref="I595:J595"/>
    <mergeCell ref="I601:J601"/>
    <mergeCell ref="E609:F609"/>
    <mergeCell ref="C813:D813"/>
    <mergeCell ref="C812:D812"/>
    <mergeCell ref="C615:D615"/>
    <mergeCell ref="G721:H721"/>
    <mergeCell ref="G634:H634"/>
    <mergeCell ref="C791:D791"/>
    <mergeCell ref="E614:F614"/>
    <mergeCell ref="I536:J536"/>
    <mergeCell ref="I493:J493"/>
    <mergeCell ref="I494:J494"/>
    <mergeCell ref="G509:H509"/>
    <mergeCell ref="E502:F502"/>
    <mergeCell ref="E506:F506"/>
    <mergeCell ref="E496:F496"/>
    <mergeCell ref="I495:J495"/>
    <mergeCell ref="I496:J496"/>
    <mergeCell ref="C761:D761"/>
    <mergeCell ref="C789:D789"/>
    <mergeCell ref="C764:D764"/>
    <mergeCell ref="C759:D759"/>
    <mergeCell ref="C768:D768"/>
    <mergeCell ref="E619:F619"/>
    <mergeCell ref="E761:F761"/>
    <mergeCell ref="C765:D765"/>
    <mergeCell ref="E757:F757"/>
    <mergeCell ref="E762:F762"/>
    <mergeCell ref="C469:D469"/>
    <mergeCell ref="E479:F479"/>
    <mergeCell ref="E477:F477"/>
    <mergeCell ref="E476:F476"/>
    <mergeCell ref="G481:H481"/>
    <mergeCell ref="G476:H476"/>
    <mergeCell ref="G479:H479"/>
    <mergeCell ref="G480:H480"/>
    <mergeCell ref="E475:F475"/>
    <mergeCell ref="G470:H470"/>
    <mergeCell ref="C487:D487"/>
    <mergeCell ref="C449:D449"/>
    <mergeCell ref="C485:D485"/>
    <mergeCell ref="C482:D482"/>
    <mergeCell ref="C484:D484"/>
    <mergeCell ref="C313:D313"/>
    <mergeCell ref="C478:D478"/>
    <mergeCell ref="C458:D458"/>
    <mergeCell ref="C448:D448"/>
    <mergeCell ref="C434:D434"/>
    <mergeCell ref="C486:D486"/>
    <mergeCell ref="C492:D492"/>
    <mergeCell ref="C493:D493"/>
    <mergeCell ref="C362:D362"/>
    <mergeCell ref="C317:D317"/>
    <mergeCell ref="C357:D357"/>
    <mergeCell ref="C356:D356"/>
    <mergeCell ref="C359:D359"/>
    <mergeCell ref="C322:D322"/>
    <mergeCell ref="C424:D424"/>
    <mergeCell ref="C295:D295"/>
    <mergeCell ref="E313:F313"/>
    <mergeCell ref="E290:F290"/>
    <mergeCell ref="E295:F295"/>
    <mergeCell ref="C311:D311"/>
    <mergeCell ref="C304:D304"/>
    <mergeCell ref="C293:D293"/>
    <mergeCell ref="C291:D291"/>
    <mergeCell ref="C312:D312"/>
    <mergeCell ref="C301:D301"/>
    <mergeCell ref="E273:F273"/>
    <mergeCell ref="C262:D262"/>
    <mergeCell ref="C275:D275"/>
    <mergeCell ref="C276:D276"/>
    <mergeCell ref="C273:D273"/>
    <mergeCell ref="C267:D267"/>
    <mergeCell ref="C274:D274"/>
    <mergeCell ref="E268:F268"/>
    <mergeCell ref="C266:D266"/>
    <mergeCell ref="E274:F274"/>
    <mergeCell ref="G251:H251"/>
    <mergeCell ref="G243:H243"/>
    <mergeCell ref="G245:H245"/>
    <mergeCell ref="G246:H246"/>
    <mergeCell ref="E246:F246"/>
    <mergeCell ref="E236:F236"/>
    <mergeCell ref="A238:H238"/>
    <mergeCell ref="G241:H241"/>
    <mergeCell ref="C241:D241"/>
    <mergeCell ref="C251:D251"/>
    <mergeCell ref="C246:D246"/>
    <mergeCell ref="E244:F244"/>
    <mergeCell ref="C245:D245"/>
    <mergeCell ref="G229:H229"/>
    <mergeCell ref="G235:H235"/>
    <mergeCell ref="G234:H234"/>
    <mergeCell ref="E234:F234"/>
    <mergeCell ref="E229:F229"/>
    <mergeCell ref="I226:J226"/>
    <mergeCell ref="C228:D228"/>
    <mergeCell ref="G230:H230"/>
    <mergeCell ref="E227:F227"/>
    <mergeCell ref="C227:D227"/>
    <mergeCell ref="C230:D230"/>
    <mergeCell ref="E230:F230"/>
    <mergeCell ref="E226:F226"/>
    <mergeCell ref="G228:H228"/>
    <mergeCell ref="E228:F228"/>
    <mergeCell ref="C233:D233"/>
    <mergeCell ref="E241:F241"/>
    <mergeCell ref="G231:H231"/>
    <mergeCell ref="E233:F233"/>
    <mergeCell ref="G233:H233"/>
    <mergeCell ref="E231:F231"/>
    <mergeCell ref="C252:D252"/>
    <mergeCell ref="C235:D235"/>
    <mergeCell ref="C234:D234"/>
    <mergeCell ref="C244:D244"/>
    <mergeCell ref="C243:D243"/>
    <mergeCell ref="E242:F242"/>
    <mergeCell ref="C236:D236"/>
    <mergeCell ref="E235:F235"/>
    <mergeCell ref="C242:D242"/>
    <mergeCell ref="E245:F245"/>
    <mergeCell ref="E255:F255"/>
    <mergeCell ref="C254:D254"/>
    <mergeCell ref="E251:F251"/>
    <mergeCell ref="E253:F253"/>
    <mergeCell ref="E252:F252"/>
    <mergeCell ref="I251:J251"/>
    <mergeCell ref="C253:D253"/>
    <mergeCell ref="G255:H255"/>
    <mergeCell ref="E254:F254"/>
    <mergeCell ref="G254:H254"/>
    <mergeCell ref="I261:J261"/>
    <mergeCell ref="I267:J267"/>
    <mergeCell ref="E267:F267"/>
    <mergeCell ref="E256:F256"/>
    <mergeCell ref="C265:D265"/>
    <mergeCell ref="E261:F261"/>
    <mergeCell ref="E262:F262"/>
    <mergeCell ref="C263:D263"/>
    <mergeCell ref="C256:D256"/>
    <mergeCell ref="I264:J264"/>
    <mergeCell ref="G261:H261"/>
    <mergeCell ref="E263:F263"/>
    <mergeCell ref="G318:H318"/>
    <mergeCell ref="C286:D286"/>
    <mergeCell ref="E277:F277"/>
    <mergeCell ref="E264:F264"/>
    <mergeCell ref="C268:D268"/>
    <mergeCell ref="E316:F316"/>
    <mergeCell ref="E317:F317"/>
    <mergeCell ref="C278:D278"/>
    <mergeCell ref="C440:D440"/>
    <mergeCell ref="C314:D314"/>
    <mergeCell ref="C255:D255"/>
    <mergeCell ref="C264:D264"/>
    <mergeCell ref="E343:F343"/>
    <mergeCell ref="C289:D289"/>
    <mergeCell ref="C290:D290"/>
    <mergeCell ref="E294:F294"/>
    <mergeCell ref="E291:F291"/>
    <mergeCell ref="C261:D261"/>
    <mergeCell ref="C435:D435"/>
    <mergeCell ref="G414:H414"/>
    <mergeCell ref="G428:H428"/>
    <mergeCell ref="C428:D428"/>
    <mergeCell ref="E429:F429"/>
    <mergeCell ref="C425:D425"/>
    <mergeCell ref="C433:D433"/>
    <mergeCell ref="G418:H418"/>
    <mergeCell ref="E415:F415"/>
    <mergeCell ref="E456:F456"/>
    <mergeCell ref="E483:F483"/>
    <mergeCell ref="E482:F482"/>
    <mergeCell ref="E470:F470"/>
    <mergeCell ref="E457:F457"/>
    <mergeCell ref="E465:F465"/>
    <mergeCell ref="A471:H471"/>
    <mergeCell ref="E468:F468"/>
    <mergeCell ref="G469:H469"/>
    <mergeCell ref="G465:H465"/>
    <mergeCell ref="E487:F487"/>
    <mergeCell ref="E488:F488"/>
    <mergeCell ref="E485:F485"/>
    <mergeCell ref="E469:F469"/>
    <mergeCell ref="E478:F478"/>
    <mergeCell ref="E480:F480"/>
    <mergeCell ref="C504:D504"/>
    <mergeCell ref="C507:D507"/>
    <mergeCell ref="C494:D494"/>
    <mergeCell ref="E509:F509"/>
    <mergeCell ref="G482:H482"/>
    <mergeCell ref="G495:H495"/>
    <mergeCell ref="G484:H484"/>
    <mergeCell ref="E493:F493"/>
    <mergeCell ref="G483:H483"/>
    <mergeCell ref="C495:D495"/>
    <mergeCell ref="C515:D515"/>
    <mergeCell ref="E512:F512"/>
    <mergeCell ref="C516:D516"/>
    <mergeCell ref="E511:F511"/>
    <mergeCell ref="C496:D496"/>
    <mergeCell ref="C505:D505"/>
    <mergeCell ref="C510:D510"/>
    <mergeCell ref="E508:F508"/>
    <mergeCell ref="C508:D508"/>
    <mergeCell ref="C506:D506"/>
    <mergeCell ref="K764:L764"/>
    <mergeCell ref="G789:H789"/>
    <mergeCell ref="I793:J793"/>
    <mergeCell ref="C772:D772"/>
    <mergeCell ref="C793:D793"/>
    <mergeCell ref="I790:J790"/>
    <mergeCell ref="I791:J791"/>
    <mergeCell ref="G793:H793"/>
    <mergeCell ref="A782:H782"/>
    <mergeCell ref="I772:J772"/>
    <mergeCell ref="C811:D811"/>
    <mergeCell ref="A807:H807"/>
    <mergeCell ref="E804:F804"/>
    <mergeCell ref="G805:H805"/>
    <mergeCell ref="G803:H803"/>
    <mergeCell ref="E801:F801"/>
    <mergeCell ref="C806:D806"/>
    <mergeCell ref="E802:F802"/>
    <mergeCell ref="A809:H809"/>
    <mergeCell ref="G802:H802"/>
    <mergeCell ref="C792:D792"/>
    <mergeCell ref="E806:F806"/>
    <mergeCell ref="E803:F803"/>
    <mergeCell ref="C795:D795"/>
    <mergeCell ref="C790:D790"/>
    <mergeCell ref="E792:F792"/>
    <mergeCell ref="C800:D800"/>
    <mergeCell ref="E794:F794"/>
    <mergeCell ref="C803:D803"/>
    <mergeCell ref="C804:D804"/>
    <mergeCell ref="C823:D823"/>
    <mergeCell ref="C820:D820"/>
    <mergeCell ref="C822:D822"/>
    <mergeCell ref="C814:D814"/>
    <mergeCell ref="E815:F815"/>
    <mergeCell ref="E823:F823"/>
    <mergeCell ref="C821:D821"/>
    <mergeCell ref="E821:F821"/>
    <mergeCell ref="C847:D847"/>
    <mergeCell ref="E851:F851"/>
    <mergeCell ref="E848:F848"/>
    <mergeCell ref="E857:F857"/>
    <mergeCell ref="C849:D849"/>
    <mergeCell ref="E939:F939"/>
    <mergeCell ref="C929:D929"/>
    <mergeCell ref="E930:F930"/>
    <mergeCell ref="C918:D918"/>
    <mergeCell ref="E932:F932"/>
    <mergeCell ref="E843:F843"/>
    <mergeCell ref="E842:F842"/>
    <mergeCell ref="G830:H830"/>
    <mergeCell ref="G839:H839"/>
    <mergeCell ref="G875:H875"/>
    <mergeCell ref="G933:H933"/>
    <mergeCell ref="G923:H923"/>
    <mergeCell ref="E840:F840"/>
    <mergeCell ref="E841:F841"/>
    <mergeCell ref="G840:H840"/>
    <mergeCell ref="G936:H936"/>
    <mergeCell ref="G935:H935"/>
    <mergeCell ref="G919:H919"/>
    <mergeCell ref="G843:H843"/>
    <mergeCell ref="G856:H856"/>
    <mergeCell ref="I849:J849"/>
    <mergeCell ref="I847:J847"/>
    <mergeCell ref="G858:H858"/>
    <mergeCell ref="G901:H901"/>
    <mergeCell ref="G903:H903"/>
    <mergeCell ref="G934:H934"/>
    <mergeCell ref="I933:J933"/>
    <mergeCell ref="C921:D921"/>
    <mergeCell ref="I923:J923"/>
    <mergeCell ref="I931:J931"/>
    <mergeCell ref="I921:J921"/>
    <mergeCell ref="E921:F921"/>
    <mergeCell ref="I932:J932"/>
    <mergeCell ref="E918:F918"/>
    <mergeCell ref="E929:F929"/>
    <mergeCell ref="C976:D976"/>
    <mergeCell ref="C980:D980"/>
    <mergeCell ref="E979:F979"/>
    <mergeCell ref="C979:D979"/>
    <mergeCell ref="E937:F937"/>
    <mergeCell ref="C930:D930"/>
    <mergeCell ref="C963:D963"/>
    <mergeCell ref="E935:F935"/>
    <mergeCell ref="C1854:D1854"/>
    <mergeCell ref="E1854:F1854"/>
    <mergeCell ref="C1853:D1853"/>
    <mergeCell ref="G1853:H1853"/>
    <mergeCell ref="C1858:D1858"/>
    <mergeCell ref="G1855:H1855"/>
    <mergeCell ref="G1856:H1856"/>
    <mergeCell ref="E1858:F1858"/>
    <mergeCell ref="C1857:D1857"/>
    <mergeCell ref="I1857:J1857"/>
    <mergeCell ref="E1182:F1182"/>
    <mergeCell ref="E986:F986"/>
    <mergeCell ref="I1029:J1029"/>
    <mergeCell ref="G1032:H1032"/>
    <mergeCell ref="C988:D988"/>
    <mergeCell ref="I1021:J1021"/>
    <mergeCell ref="E1022:F1022"/>
    <mergeCell ref="C1072:D1072"/>
    <mergeCell ref="G1087:H1087"/>
    <mergeCell ref="A1878:H1878"/>
    <mergeCell ref="C1864:D1864"/>
    <mergeCell ref="C1863:D1863"/>
    <mergeCell ref="I1864:J1864"/>
    <mergeCell ref="C1856:D1856"/>
    <mergeCell ref="C1855:D1855"/>
    <mergeCell ref="G1863:H1863"/>
    <mergeCell ref="E1855:F1855"/>
    <mergeCell ref="E1863:F1863"/>
    <mergeCell ref="C1859:D1859"/>
    <mergeCell ref="G1838:H1838"/>
    <mergeCell ref="I1839:J1839"/>
    <mergeCell ref="G1839:H1839"/>
    <mergeCell ref="G1832:H1832"/>
    <mergeCell ref="A1882:J1882"/>
    <mergeCell ref="G1859:H1859"/>
    <mergeCell ref="I1866:J1866"/>
    <mergeCell ref="G1866:H1866"/>
    <mergeCell ref="A1870:B1870"/>
    <mergeCell ref="G1865:H1865"/>
    <mergeCell ref="E1859:F1859"/>
    <mergeCell ref="I1863:J1863"/>
    <mergeCell ref="G1864:H1864"/>
    <mergeCell ref="G1837:H1837"/>
    <mergeCell ref="E1857:F1857"/>
    <mergeCell ref="E1856:F1856"/>
    <mergeCell ref="G1840:H1840"/>
    <mergeCell ref="G1854:H1854"/>
    <mergeCell ref="A1848:I1848"/>
    <mergeCell ref="E1837:F1837"/>
    <mergeCell ref="E1865:F1865"/>
    <mergeCell ref="A1876:C1876"/>
    <mergeCell ref="C1865:D1865"/>
    <mergeCell ref="I1853:J1853"/>
    <mergeCell ref="E1853:F1853"/>
    <mergeCell ref="I1856:J1856"/>
    <mergeCell ref="G1857:H1857"/>
    <mergeCell ref="E1864:F1864"/>
    <mergeCell ref="I1859:J1859"/>
    <mergeCell ref="G1858:H1858"/>
    <mergeCell ref="A1871:B1871"/>
    <mergeCell ref="C1866:D1866"/>
    <mergeCell ref="I1858:J1858"/>
    <mergeCell ref="I1855:J1855"/>
    <mergeCell ref="A1883:J1883"/>
    <mergeCell ref="A1875:I1875"/>
    <mergeCell ref="A1880:J1880"/>
    <mergeCell ref="A1881:J1881"/>
    <mergeCell ref="A1872:B1872"/>
    <mergeCell ref="I1865:J1865"/>
    <mergeCell ref="G1213:H1213"/>
    <mergeCell ref="C1140:D1140"/>
    <mergeCell ref="C1151:D1151"/>
    <mergeCell ref="E1151:F1151"/>
    <mergeCell ref="A1884:J1884"/>
    <mergeCell ref="A1877:H1877"/>
    <mergeCell ref="A1879:J1879"/>
    <mergeCell ref="E1866:F1866"/>
    <mergeCell ref="A1868:H1868"/>
    <mergeCell ref="I1854:J1854"/>
    <mergeCell ref="C1183:D1183"/>
    <mergeCell ref="E1276:F1276"/>
    <mergeCell ref="E1273:F1273"/>
    <mergeCell ref="G1273:H1273"/>
    <mergeCell ref="G1272:H1272"/>
    <mergeCell ref="C1258:D1258"/>
    <mergeCell ref="A1251:H1251"/>
    <mergeCell ref="C1264:D1264"/>
    <mergeCell ref="G1194:H1194"/>
    <mergeCell ref="C1257:D1257"/>
    <mergeCell ref="C1132:D1132"/>
    <mergeCell ref="E1164:F1164"/>
    <mergeCell ref="E1171:F1171"/>
    <mergeCell ref="I1171:J1171"/>
    <mergeCell ref="G1148:H1148"/>
    <mergeCell ref="G1145:H1145"/>
    <mergeCell ref="E1141:F1141"/>
    <mergeCell ref="E1159:F1159"/>
    <mergeCell ref="I1163:J1163"/>
    <mergeCell ref="I1159:J1159"/>
    <mergeCell ref="C1173:D1173"/>
    <mergeCell ref="C1090:D1090"/>
    <mergeCell ref="C1097:D1097"/>
    <mergeCell ref="C1095:D1095"/>
    <mergeCell ref="C1171:D1171"/>
    <mergeCell ref="C1169:D1169"/>
    <mergeCell ref="C1141:D1141"/>
    <mergeCell ref="C1148:D1148"/>
    <mergeCell ref="C1106:D1106"/>
    <mergeCell ref="C1149:D1149"/>
    <mergeCell ref="C1175:D1175"/>
    <mergeCell ref="C1118:D1118"/>
    <mergeCell ref="C1174:D1174"/>
    <mergeCell ref="E1150:F1150"/>
    <mergeCell ref="E1147:F1147"/>
    <mergeCell ref="A1177:H1177"/>
    <mergeCell ref="A1124:H1124"/>
    <mergeCell ref="E1137:F1137"/>
    <mergeCell ref="C1133:D1133"/>
    <mergeCell ref="E1170:F1170"/>
    <mergeCell ref="G1214:H1214"/>
    <mergeCell ref="G1261:H1261"/>
    <mergeCell ref="G1216:H1216"/>
    <mergeCell ref="E1261:F1261"/>
    <mergeCell ref="G1215:H1215"/>
    <mergeCell ref="E1233:F1233"/>
    <mergeCell ref="E1231:F1231"/>
    <mergeCell ref="E1257:F1257"/>
    <mergeCell ref="G1231:H1231"/>
    <mergeCell ref="G1226:H1226"/>
    <mergeCell ref="C1270:D1270"/>
    <mergeCell ref="G1274:H1274"/>
    <mergeCell ref="C1275:D1275"/>
    <mergeCell ref="G1275:H1275"/>
    <mergeCell ref="C1271:D1271"/>
    <mergeCell ref="E1274:F1274"/>
    <mergeCell ref="G1270:H1270"/>
    <mergeCell ref="C1274:D1274"/>
    <mergeCell ref="E1270:F1270"/>
    <mergeCell ref="C1272:D1272"/>
    <mergeCell ref="C1276:D1276"/>
    <mergeCell ref="E1271:F1271"/>
    <mergeCell ref="C1283:D1283"/>
    <mergeCell ref="E1283:F1283"/>
    <mergeCell ref="I1288:J1288"/>
    <mergeCell ref="C1287:D1287"/>
    <mergeCell ref="G1288:H1288"/>
    <mergeCell ref="G1283:H1283"/>
    <mergeCell ref="I1285:J1285"/>
    <mergeCell ref="C1277:D1277"/>
    <mergeCell ref="C1294:D1294"/>
    <mergeCell ref="E1294:F1294"/>
    <mergeCell ref="E1295:F1295"/>
    <mergeCell ref="G1289:H1289"/>
    <mergeCell ref="G1295:H1295"/>
    <mergeCell ref="E1293:F1293"/>
    <mergeCell ref="E1289:F1289"/>
    <mergeCell ref="C1284:D1284"/>
    <mergeCell ref="E1284:F1284"/>
    <mergeCell ref="C1288:D1288"/>
    <mergeCell ref="G1286:H1286"/>
    <mergeCell ref="E1286:F1286"/>
    <mergeCell ref="C1293:D1293"/>
    <mergeCell ref="E1285:F1285"/>
    <mergeCell ref="G1287:H1287"/>
    <mergeCell ref="G1284:H1284"/>
    <mergeCell ref="G1285:H1285"/>
    <mergeCell ref="C1298:D1298"/>
    <mergeCell ref="C1285:D1285"/>
    <mergeCell ref="C1286:D1286"/>
    <mergeCell ref="G1298:H1298"/>
    <mergeCell ref="G1297:H1297"/>
    <mergeCell ref="C1297:D1297"/>
    <mergeCell ref="G1296:H1296"/>
    <mergeCell ref="C1295:D1295"/>
    <mergeCell ref="C1289:D1289"/>
    <mergeCell ref="C1296:D1296"/>
    <mergeCell ref="C1306:D1306"/>
    <mergeCell ref="A1301:J1301"/>
    <mergeCell ref="I1294:J1294"/>
    <mergeCell ref="E1298:F1298"/>
    <mergeCell ref="E1288:F1288"/>
    <mergeCell ref="C1299:D1299"/>
    <mergeCell ref="C1300:D1300"/>
    <mergeCell ref="E1300:F1300"/>
    <mergeCell ref="E1305:F1305"/>
    <mergeCell ref="C1305:D1305"/>
    <mergeCell ref="C1304:D1304"/>
    <mergeCell ref="G1785:H1785"/>
    <mergeCell ref="G1352:H1352"/>
    <mergeCell ref="E1351:F1351"/>
    <mergeCell ref="G1316:H1316"/>
    <mergeCell ref="C1321:D1321"/>
    <mergeCell ref="A1719:J1719"/>
    <mergeCell ref="C1365:D1365"/>
    <mergeCell ref="I1369:J1369"/>
    <mergeCell ref="I1351:J1351"/>
    <mergeCell ref="C1350:D1350"/>
    <mergeCell ref="A1626:I1626"/>
    <mergeCell ref="I1372:J1372"/>
    <mergeCell ref="I1371:J1371"/>
    <mergeCell ref="G1496:H1502"/>
    <mergeCell ref="C1352:D1352"/>
    <mergeCell ref="C1356:D1356"/>
    <mergeCell ref="A1454:J1454"/>
    <mergeCell ref="A1379:I1379"/>
    <mergeCell ref="E1372:F1372"/>
    <mergeCell ref="E1319:F1319"/>
    <mergeCell ref="I1362:J1362"/>
    <mergeCell ref="G1356:H1356"/>
    <mergeCell ref="E1327:F1327"/>
    <mergeCell ref="E1796:F1796"/>
    <mergeCell ref="E1325:F1325"/>
    <mergeCell ref="G1320:H1320"/>
    <mergeCell ref="I1328:J1328"/>
    <mergeCell ref="A1430:J1430"/>
    <mergeCell ref="I1365:J1365"/>
    <mergeCell ref="G1776:H1776"/>
    <mergeCell ref="K1808:L1808"/>
    <mergeCell ref="I1818:J1818"/>
    <mergeCell ref="C1318:D1318"/>
    <mergeCell ref="E1318:F1318"/>
    <mergeCell ref="I1357:J1357"/>
    <mergeCell ref="E1785:F1785"/>
    <mergeCell ref="G1362:H1362"/>
    <mergeCell ref="I1352:J1352"/>
    <mergeCell ref="C1319:D1319"/>
    <mergeCell ref="O1831:P1831"/>
    <mergeCell ref="O1830:P1830"/>
    <mergeCell ref="O1828:P1828"/>
    <mergeCell ref="O1801:P1801"/>
    <mergeCell ref="M1372:N1372"/>
    <mergeCell ref="I1817:J1817"/>
    <mergeCell ref="O1800:P1800"/>
    <mergeCell ref="O1799:P1799"/>
    <mergeCell ref="I1753:J1753"/>
    <mergeCell ref="I1733:J1733"/>
    <mergeCell ref="I820:J820"/>
    <mergeCell ref="I856:J856"/>
    <mergeCell ref="G842:H842"/>
    <mergeCell ref="G823:H823"/>
    <mergeCell ref="G833:H833"/>
    <mergeCell ref="G822:H822"/>
    <mergeCell ref="I839:J839"/>
    <mergeCell ref="I834:J834"/>
    <mergeCell ref="I842:J842"/>
    <mergeCell ref="G832:H832"/>
    <mergeCell ref="E1282:F1282"/>
    <mergeCell ref="G191:H191"/>
    <mergeCell ref="E209:F209"/>
    <mergeCell ref="G208:H208"/>
    <mergeCell ref="G205:H205"/>
    <mergeCell ref="G847:H847"/>
    <mergeCell ref="E1089:F1089"/>
    <mergeCell ref="G1102:H1102"/>
    <mergeCell ref="G831:H831"/>
    <mergeCell ref="G1260:H1260"/>
    <mergeCell ref="M25:N25"/>
    <mergeCell ref="M26:N26"/>
    <mergeCell ref="I35:J35"/>
    <mergeCell ref="I32:J32"/>
    <mergeCell ref="M33:N33"/>
    <mergeCell ref="M27:N27"/>
    <mergeCell ref="M28:N28"/>
    <mergeCell ref="M29:N29"/>
    <mergeCell ref="I31:J31"/>
    <mergeCell ref="I29:J29"/>
    <mergeCell ref="K31:L31"/>
    <mergeCell ref="M89:N89"/>
    <mergeCell ref="G184:H184"/>
    <mergeCell ref="G177:H177"/>
    <mergeCell ref="G180:H180"/>
    <mergeCell ref="K32:L32"/>
    <mergeCell ref="A94:H94"/>
    <mergeCell ref="C114:D114"/>
    <mergeCell ref="M31:N31"/>
    <mergeCell ref="G166:H166"/>
    <mergeCell ref="M32:N32"/>
    <mergeCell ref="G193:H193"/>
    <mergeCell ref="G190:H190"/>
    <mergeCell ref="G189:H189"/>
    <mergeCell ref="M90:N90"/>
    <mergeCell ref="M191:N191"/>
    <mergeCell ref="M92:N92"/>
    <mergeCell ref="M67:N67"/>
    <mergeCell ref="M192:N192"/>
    <mergeCell ref="G147:H147"/>
    <mergeCell ref="E198:F198"/>
    <mergeCell ref="C170:D170"/>
    <mergeCell ref="C182:D182"/>
    <mergeCell ref="C178:D178"/>
    <mergeCell ref="C190:D190"/>
    <mergeCell ref="K33:L33"/>
    <mergeCell ref="C192:D192"/>
    <mergeCell ref="C181:D181"/>
    <mergeCell ref="E190:F190"/>
    <mergeCell ref="C196:D196"/>
    <mergeCell ref="G153:H153"/>
    <mergeCell ref="G129:H129"/>
    <mergeCell ref="E131:F131"/>
    <mergeCell ref="A145:L145"/>
    <mergeCell ref="K148:L148"/>
    <mergeCell ref="E113:F113"/>
    <mergeCell ref="E129:F129"/>
    <mergeCell ref="E149:F149"/>
    <mergeCell ref="C153:D153"/>
    <mergeCell ref="C90:D90"/>
    <mergeCell ref="C127:D127"/>
    <mergeCell ref="E128:F128"/>
    <mergeCell ref="E127:F127"/>
    <mergeCell ref="C115:D115"/>
    <mergeCell ref="E104:F104"/>
    <mergeCell ref="E105:F105"/>
    <mergeCell ref="E55:F55"/>
    <mergeCell ref="E133:F133"/>
    <mergeCell ref="E117:F117"/>
    <mergeCell ref="I33:J33"/>
    <mergeCell ref="G51:H51"/>
    <mergeCell ref="G61:H61"/>
    <mergeCell ref="E82:F82"/>
    <mergeCell ref="E180:F180"/>
    <mergeCell ref="E177:F177"/>
    <mergeCell ref="C175:D175"/>
    <mergeCell ref="C177:D177"/>
    <mergeCell ref="C179:D179"/>
    <mergeCell ref="E35:F35"/>
    <mergeCell ref="C165:D165"/>
    <mergeCell ref="C157:D157"/>
    <mergeCell ref="E157:F157"/>
    <mergeCell ref="C158:D158"/>
    <mergeCell ref="E179:F179"/>
    <mergeCell ref="E170:F170"/>
    <mergeCell ref="E176:F176"/>
    <mergeCell ref="C166:D166"/>
    <mergeCell ref="C168:D168"/>
    <mergeCell ref="C167:D167"/>
    <mergeCell ref="E168:F168"/>
    <mergeCell ref="C160:D160"/>
    <mergeCell ref="A185:H185"/>
    <mergeCell ref="G182:H182"/>
    <mergeCell ref="A171:H171"/>
    <mergeCell ref="G175:H175"/>
    <mergeCell ref="E169:F169"/>
    <mergeCell ref="C180:D180"/>
    <mergeCell ref="C183:D183"/>
    <mergeCell ref="C184:D184"/>
    <mergeCell ref="C169:D169"/>
    <mergeCell ref="C159:D159"/>
    <mergeCell ref="C155:D155"/>
    <mergeCell ref="E154:F154"/>
    <mergeCell ref="E165:F165"/>
    <mergeCell ref="E160:F160"/>
    <mergeCell ref="E155:F155"/>
    <mergeCell ref="E159:F159"/>
    <mergeCell ref="E156:F156"/>
    <mergeCell ref="E167:F167"/>
    <mergeCell ref="E151:F151"/>
    <mergeCell ref="C154:D154"/>
    <mergeCell ref="C156:D156"/>
    <mergeCell ref="E158:F158"/>
    <mergeCell ref="E153:F153"/>
    <mergeCell ref="C130:D130"/>
    <mergeCell ref="C131:D131"/>
    <mergeCell ref="C142:D142"/>
    <mergeCell ref="C147:D147"/>
    <mergeCell ref="E130:F130"/>
    <mergeCell ref="K151:L151"/>
    <mergeCell ref="K150:L150"/>
    <mergeCell ref="G152:H152"/>
    <mergeCell ref="C150:D150"/>
    <mergeCell ref="C148:D148"/>
    <mergeCell ref="G148:H148"/>
    <mergeCell ref="E150:F150"/>
    <mergeCell ref="C151:D151"/>
    <mergeCell ref="C149:D149"/>
    <mergeCell ref="E148:F148"/>
    <mergeCell ref="G141:H141"/>
    <mergeCell ref="C133:D133"/>
    <mergeCell ref="G140:H140"/>
    <mergeCell ref="E147:F147"/>
    <mergeCell ref="E140:F140"/>
    <mergeCell ref="E139:F139"/>
    <mergeCell ref="C141:D141"/>
    <mergeCell ref="C134:D134"/>
    <mergeCell ref="C139:D139"/>
    <mergeCell ref="C140:D140"/>
    <mergeCell ref="C117:D117"/>
    <mergeCell ref="E125:F125"/>
    <mergeCell ref="C118:D118"/>
    <mergeCell ref="C119:D119"/>
    <mergeCell ref="C129:D129"/>
    <mergeCell ref="C113:D113"/>
    <mergeCell ref="C125:D125"/>
    <mergeCell ref="A123:H123"/>
    <mergeCell ref="C128:D128"/>
    <mergeCell ref="E116:F116"/>
    <mergeCell ref="C105:D105"/>
    <mergeCell ref="C100:D100"/>
    <mergeCell ref="E99:F99"/>
    <mergeCell ref="G101:H101"/>
    <mergeCell ref="C101:D101"/>
    <mergeCell ref="E102:F102"/>
    <mergeCell ref="G102:H102"/>
    <mergeCell ref="G99:H99"/>
    <mergeCell ref="C96:D96"/>
    <mergeCell ref="G114:H114"/>
    <mergeCell ref="C112:D112"/>
    <mergeCell ref="C111:D111"/>
    <mergeCell ref="E111:F111"/>
    <mergeCell ref="E114:F114"/>
    <mergeCell ref="C102:D102"/>
    <mergeCell ref="C99:D99"/>
    <mergeCell ref="C97:D97"/>
    <mergeCell ref="C104:D104"/>
    <mergeCell ref="E152:F152"/>
    <mergeCell ref="G151:H151"/>
    <mergeCell ref="G155:H155"/>
    <mergeCell ref="G156:H156"/>
    <mergeCell ref="C92:D92"/>
    <mergeCell ref="E97:F97"/>
    <mergeCell ref="C93:D93"/>
    <mergeCell ref="C103:D103"/>
    <mergeCell ref="E100:F100"/>
    <mergeCell ref="E93:F93"/>
    <mergeCell ref="C132:D132"/>
    <mergeCell ref="E175:F175"/>
    <mergeCell ref="G236:H236"/>
    <mergeCell ref="G415:H415"/>
    <mergeCell ref="E182:F182"/>
    <mergeCell ref="G209:H209"/>
    <mergeCell ref="G194:H194"/>
    <mergeCell ref="G413:H413"/>
    <mergeCell ref="E414:F414"/>
    <mergeCell ref="E413:F413"/>
    <mergeCell ref="E397:F397"/>
    <mergeCell ref="G478:H478"/>
    <mergeCell ref="G477:H477"/>
    <mergeCell ref="C152:D152"/>
    <mergeCell ref="C497:D497"/>
    <mergeCell ref="E507:F507"/>
    <mergeCell ref="C176:D176"/>
    <mergeCell ref="E458:F458"/>
    <mergeCell ref="E501:F501"/>
    <mergeCell ref="G492:H492"/>
    <mergeCell ref="E505:F505"/>
    <mergeCell ref="I477:J477"/>
    <mergeCell ref="I557:J557"/>
    <mergeCell ref="G502:H502"/>
    <mergeCell ref="G497:H497"/>
    <mergeCell ref="G533:H533"/>
    <mergeCell ref="G485:H485"/>
    <mergeCell ref="G510:H510"/>
    <mergeCell ref="G507:H507"/>
    <mergeCell ref="G488:H488"/>
    <mergeCell ref="I512:J512"/>
    <mergeCell ref="I591:J591"/>
    <mergeCell ref="G532:H532"/>
    <mergeCell ref="G545:H545"/>
    <mergeCell ref="G535:H535"/>
    <mergeCell ref="G536:H536"/>
    <mergeCell ref="G550:H550"/>
    <mergeCell ref="G524:H524"/>
    <mergeCell ref="G549:H549"/>
    <mergeCell ref="G556:H556"/>
    <mergeCell ref="I504:J504"/>
    <mergeCell ref="G517:H517"/>
    <mergeCell ref="I566:J566"/>
    <mergeCell ref="I558:J558"/>
    <mergeCell ref="I565:J565"/>
    <mergeCell ref="G558:H558"/>
    <mergeCell ref="G564:H564"/>
    <mergeCell ref="I538:J538"/>
    <mergeCell ref="G560:H560"/>
    <mergeCell ref="G504:H504"/>
    <mergeCell ref="I559:J559"/>
    <mergeCell ref="G487:H487"/>
    <mergeCell ref="G496:H496"/>
    <mergeCell ref="G494:H494"/>
    <mergeCell ref="E497:F497"/>
    <mergeCell ref="E504:F504"/>
    <mergeCell ref="E543:F543"/>
    <mergeCell ref="E550:F550"/>
    <mergeCell ref="E525:F525"/>
    <mergeCell ref="G529:H529"/>
    <mergeCell ref="G486:H486"/>
    <mergeCell ref="E492:F492"/>
    <mergeCell ref="E486:F486"/>
    <mergeCell ref="G493:H493"/>
    <mergeCell ref="E494:F494"/>
    <mergeCell ref="E183:F183"/>
    <mergeCell ref="G417:H417"/>
    <mergeCell ref="E426:F426"/>
    <mergeCell ref="E406:F406"/>
    <mergeCell ref="G416:H416"/>
    <mergeCell ref="E207:F207"/>
    <mergeCell ref="E342:F342"/>
    <mergeCell ref="E302:F302"/>
    <mergeCell ref="E78:F78"/>
    <mergeCell ref="G89:H89"/>
    <mergeCell ref="E79:F79"/>
    <mergeCell ref="G79:H79"/>
    <mergeCell ref="E91:F91"/>
    <mergeCell ref="E318:F318"/>
    <mergeCell ref="E327:F327"/>
    <mergeCell ref="G540:H540"/>
    <mergeCell ref="G508:H508"/>
    <mergeCell ref="G523:H523"/>
    <mergeCell ref="G515:H515"/>
    <mergeCell ref="G527:H527"/>
    <mergeCell ref="E565:F565"/>
    <mergeCell ref="E560:F560"/>
    <mergeCell ref="E551:F551"/>
    <mergeCell ref="G512:H512"/>
    <mergeCell ref="G516:H516"/>
    <mergeCell ref="G76:H76"/>
    <mergeCell ref="I91:J91"/>
    <mergeCell ref="C79:D79"/>
    <mergeCell ref="E88:F88"/>
    <mergeCell ref="A86:L86"/>
    <mergeCell ref="C77:D77"/>
    <mergeCell ref="K78:L78"/>
    <mergeCell ref="G78:H78"/>
    <mergeCell ref="C76:D76"/>
    <mergeCell ref="G82:H82"/>
    <mergeCell ref="E63:F63"/>
    <mergeCell ref="E65:F65"/>
    <mergeCell ref="C71:D71"/>
    <mergeCell ref="C63:D63"/>
    <mergeCell ref="G64:H64"/>
    <mergeCell ref="G65:H65"/>
    <mergeCell ref="E64:F64"/>
    <mergeCell ref="E67:F67"/>
    <mergeCell ref="E66:F66"/>
    <mergeCell ref="E71:F71"/>
    <mergeCell ref="C65:D65"/>
    <mergeCell ref="G103:H103"/>
    <mergeCell ref="G100:H100"/>
    <mergeCell ref="E70:F70"/>
    <mergeCell ref="G80:H80"/>
    <mergeCell ref="E76:F76"/>
    <mergeCell ref="E81:F81"/>
    <mergeCell ref="G93:H93"/>
    <mergeCell ref="E90:F90"/>
    <mergeCell ref="C82:D82"/>
    <mergeCell ref="C66:D66"/>
    <mergeCell ref="E68:F68"/>
    <mergeCell ref="C67:D67"/>
    <mergeCell ref="G67:H67"/>
    <mergeCell ref="G69:H69"/>
    <mergeCell ref="C68:D68"/>
    <mergeCell ref="G66:H66"/>
    <mergeCell ref="E69:F69"/>
    <mergeCell ref="G68:H68"/>
    <mergeCell ref="C69:D69"/>
    <mergeCell ref="C88:D88"/>
    <mergeCell ref="E868:F868"/>
    <mergeCell ref="C856:D856"/>
    <mergeCell ref="C869:D869"/>
    <mergeCell ref="G98:H98"/>
    <mergeCell ref="K69:L69"/>
    <mergeCell ref="G91:H91"/>
    <mergeCell ref="A83:H83"/>
    <mergeCell ref="G88:H88"/>
    <mergeCell ref="E77:F77"/>
    <mergeCell ref="I90:J90"/>
    <mergeCell ref="I93:J93"/>
    <mergeCell ref="C116:D116"/>
    <mergeCell ref="I96:J96"/>
    <mergeCell ref="I92:J92"/>
    <mergeCell ref="C98:D98"/>
    <mergeCell ref="G97:H97"/>
    <mergeCell ref="I113:J113"/>
    <mergeCell ref="G92:H92"/>
    <mergeCell ref="G90:H90"/>
    <mergeCell ref="C905:D905"/>
    <mergeCell ref="A573:H573"/>
    <mergeCell ref="G871:H871"/>
    <mergeCell ref="G898:H898"/>
    <mergeCell ref="G896:H896"/>
    <mergeCell ref="G878:H878"/>
    <mergeCell ref="C875:D875"/>
    <mergeCell ref="C899:D899"/>
    <mergeCell ref="E877:F877"/>
    <mergeCell ref="C871:D871"/>
    <mergeCell ref="G895:H895"/>
    <mergeCell ref="C890:D890"/>
    <mergeCell ref="G887:H887"/>
    <mergeCell ref="G885:H885"/>
    <mergeCell ref="E881:F881"/>
    <mergeCell ref="G890:H890"/>
    <mergeCell ref="C889:D889"/>
    <mergeCell ref="C894:D894"/>
    <mergeCell ref="G888:H888"/>
    <mergeCell ref="E900:F900"/>
    <mergeCell ref="E895:F895"/>
    <mergeCell ref="E890:F890"/>
    <mergeCell ref="E897:F897"/>
    <mergeCell ref="C898:D898"/>
    <mergeCell ref="C896:D896"/>
    <mergeCell ref="E899:F899"/>
    <mergeCell ref="C897:D897"/>
    <mergeCell ref="C895:D895"/>
    <mergeCell ref="E898:F898"/>
    <mergeCell ref="C860:D860"/>
    <mergeCell ref="E871:F871"/>
    <mergeCell ref="E862:F862"/>
    <mergeCell ref="C873:D873"/>
    <mergeCell ref="E873:F873"/>
    <mergeCell ref="C881:D881"/>
    <mergeCell ref="C877:D877"/>
    <mergeCell ref="C880:D880"/>
    <mergeCell ref="E880:F880"/>
    <mergeCell ref="E878:F878"/>
    <mergeCell ref="C886:D886"/>
    <mergeCell ref="C867:D867"/>
    <mergeCell ref="E861:F861"/>
    <mergeCell ref="C888:D888"/>
    <mergeCell ref="E885:F885"/>
    <mergeCell ref="E888:F888"/>
    <mergeCell ref="C887:D887"/>
    <mergeCell ref="E876:F876"/>
    <mergeCell ref="C878:D878"/>
    <mergeCell ref="C879:D879"/>
    <mergeCell ref="G820:H820"/>
    <mergeCell ref="E824:F824"/>
    <mergeCell ref="C876:D876"/>
    <mergeCell ref="E860:F860"/>
    <mergeCell ref="E896:F896"/>
    <mergeCell ref="C885:D885"/>
    <mergeCell ref="C862:D862"/>
    <mergeCell ref="C861:D861"/>
    <mergeCell ref="E869:F869"/>
    <mergeCell ref="E889:F889"/>
    <mergeCell ref="G801:H801"/>
    <mergeCell ref="E789:F789"/>
    <mergeCell ref="G841:H841"/>
    <mergeCell ref="E793:F793"/>
    <mergeCell ref="E834:F834"/>
    <mergeCell ref="E790:F790"/>
    <mergeCell ref="E800:F800"/>
    <mergeCell ref="E811:F811"/>
    <mergeCell ref="G811:H811"/>
    <mergeCell ref="E833:F833"/>
    <mergeCell ref="I805:J805"/>
    <mergeCell ref="I801:J801"/>
    <mergeCell ref="I792:J792"/>
    <mergeCell ref="G800:H800"/>
    <mergeCell ref="E795:F795"/>
    <mergeCell ref="E822:F822"/>
    <mergeCell ref="G821:H821"/>
    <mergeCell ref="I803:J803"/>
    <mergeCell ref="E814:F814"/>
    <mergeCell ref="E820:F820"/>
    <mergeCell ref="E812:F812"/>
    <mergeCell ref="E813:F813"/>
    <mergeCell ref="C815:D815"/>
    <mergeCell ref="E805:F805"/>
    <mergeCell ref="C805:D805"/>
    <mergeCell ref="G736:H736"/>
    <mergeCell ref="G766:H766"/>
    <mergeCell ref="G812:H812"/>
    <mergeCell ref="G815:H815"/>
    <mergeCell ref="G814:H814"/>
    <mergeCell ref="E710:F710"/>
    <mergeCell ref="G794:H794"/>
    <mergeCell ref="I804:J804"/>
    <mergeCell ref="I789:J789"/>
    <mergeCell ref="I812:J812"/>
    <mergeCell ref="G804:H804"/>
    <mergeCell ref="G790:H790"/>
    <mergeCell ref="G792:H792"/>
    <mergeCell ref="G806:H806"/>
    <mergeCell ref="G713:H713"/>
    <mergeCell ref="I814:J814"/>
    <mergeCell ref="G813:H813"/>
    <mergeCell ref="E592:F592"/>
    <mergeCell ref="G772:H772"/>
    <mergeCell ref="G791:H791"/>
    <mergeCell ref="E791:F791"/>
    <mergeCell ref="E772:F772"/>
    <mergeCell ref="E764:F764"/>
    <mergeCell ref="G626:H626"/>
    <mergeCell ref="G627:H627"/>
    <mergeCell ref="I823:J823"/>
    <mergeCell ref="I821:J821"/>
    <mergeCell ref="I833:J833"/>
    <mergeCell ref="I831:J831"/>
    <mergeCell ref="I830:J830"/>
    <mergeCell ref="I813:J813"/>
    <mergeCell ref="I824:J824"/>
    <mergeCell ref="I832:J832"/>
    <mergeCell ref="I822:J822"/>
    <mergeCell ref="I815:J815"/>
    <mergeCell ref="C936:D936"/>
    <mergeCell ref="C901:D901"/>
    <mergeCell ref="E913:F913"/>
    <mergeCell ref="E912:F912"/>
    <mergeCell ref="C903:D903"/>
    <mergeCell ref="E902:F902"/>
    <mergeCell ref="E903:F903"/>
    <mergeCell ref="C911:D911"/>
    <mergeCell ref="E904:F904"/>
    <mergeCell ref="C904:D904"/>
    <mergeCell ref="C922:D922"/>
    <mergeCell ref="E934:F934"/>
    <mergeCell ref="C935:D935"/>
    <mergeCell ref="C931:D931"/>
    <mergeCell ref="C859:D859"/>
    <mergeCell ref="E858:F858"/>
    <mergeCell ref="E859:F859"/>
    <mergeCell ref="E906:F906"/>
    <mergeCell ref="E875:F875"/>
    <mergeCell ref="E887:F887"/>
    <mergeCell ref="C920:D920"/>
    <mergeCell ref="E919:F919"/>
    <mergeCell ref="C910:D910"/>
    <mergeCell ref="C913:D913"/>
    <mergeCell ref="I848:J848"/>
    <mergeCell ref="I859:J859"/>
    <mergeCell ref="I850:J850"/>
    <mergeCell ref="I867:J867"/>
    <mergeCell ref="I858:J858"/>
    <mergeCell ref="G849:H849"/>
    <mergeCell ref="C939:D939"/>
    <mergeCell ref="C941:D941"/>
    <mergeCell ref="E933:F933"/>
    <mergeCell ref="C933:D933"/>
    <mergeCell ref="E938:F938"/>
    <mergeCell ref="G942:H942"/>
    <mergeCell ref="E942:F942"/>
    <mergeCell ref="C934:D934"/>
    <mergeCell ref="G941:H941"/>
    <mergeCell ref="E936:F936"/>
    <mergeCell ref="C949:D949"/>
    <mergeCell ref="G946:H946"/>
    <mergeCell ref="G943:H943"/>
    <mergeCell ref="C945:D945"/>
    <mergeCell ref="C964:D964"/>
    <mergeCell ref="E965:F965"/>
    <mergeCell ref="G964:H964"/>
    <mergeCell ref="E963:F963"/>
    <mergeCell ref="A955:H955"/>
    <mergeCell ref="C965:D965"/>
    <mergeCell ref="G965:H965"/>
    <mergeCell ref="A956:H956"/>
    <mergeCell ref="C966:D966"/>
    <mergeCell ref="I964:J964"/>
    <mergeCell ref="I970:J970"/>
    <mergeCell ref="E966:F966"/>
    <mergeCell ref="I965:J965"/>
    <mergeCell ref="I967:J967"/>
    <mergeCell ref="C967:D967"/>
    <mergeCell ref="E964:F964"/>
    <mergeCell ref="C1012:D1012"/>
    <mergeCell ref="C970:D970"/>
    <mergeCell ref="I968:J968"/>
    <mergeCell ref="E968:F968"/>
    <mergeCell ref="E975:F975"/>
    <mergeCell ref="C975:D975"/>
    <mergeCell ref="C968:D968"/>
    <mergeCell ref="G969:H969"/>
    <mergeCell ref="I999:J999"/>
    <mergeCell ref="E1002:F1002"/>
    <mergeCell ref="C1182:D1182"/>
    <mergeCell ref="I1216:J1216"/>
    <mergeCell ref="C1070:D1070"/>
    <mergeCell ref="E1071:F1071"/>
    <mergeCell ref="C1076:D1076"/>
    <mergeCell ref="C1075:D1075"/>
    <mergeCell ref="C1187:D1187"/>
    <mergeCell ref="C1176:D1176"/>
    <mergeCell ref="C1170:D1170"/>
    <mergeCell ref="G1203:H1203"/>
    <mergeCell ref="C1184:D1184"/>
    <mergeCell ref="E1265:F1265"/>
    <mergeCell ref="C1262:D1262"/>
    <mergeCell ref="C1260:D1260"/>
    <mergeCell ref="C1186:D1186"/>
    <mergeCell ref="E1227:F1227"/>
    <mergeCell ref="E1232:F1232"/>
    <mergeCell ref="C1259:D1259"/>
    <mergeCell ref="C1263:D1263"/>
    <mergeCell ref="C1185:D1185"/>
    <mergeCell ref="E1281:F1281"/>
    <mergeCell ref="C1064:D1064"/>
    <mergeCell ref="I1284:J1284"/>
    <mergeCell ref="E1184:F1184"/>
    <mergeCell ref="E1074:F1074"/>
    <mergeCell ref="G1134:H1134"/>
    <mergeCell ref="G1186:H1186"/>
    <mergeCell ref="E1262:F1262"/>
    <mergeCell ref="E1185:F1185"/>
    <mergeCell ref="E1183:F1183"/>
    <mergeCell ref="G1188:H1188"/>
    <mergeCell ref="G1187:H1187"/>
    <mergeCell ref="E1186:F1186"/>
    <mergeCell ref="G1184:H1184"/>
    <mergeCell ref="E1187:F1187"/>
    <mergeCell ref="G1183:H1183"/>
    <mergeCell ref="G1276:H1276"/>
    <mergeCell ref="E1272:F1272"/>
    <mergeCell ref="G1277:H1277"/>
    <mergeCell ref="I1192:J1192"/>
    <mergeCell ref="I1270:J1270"/>
    <mergeCell ref="G1204:H1204"/>
    <mergeCell ref="E1203:F1203"/>
    <mergeCell ref="E1200:F1200"/>
    <mergeCell ref="E1275:F1275"/>
    <mergeCell ref="I1202:J1202"/>
    <mergeCell ref="I1271:J1271"/>
    <mergeCell ref="G1259:H1259"/>
    <mergeCell ref="E1263:F1263"/>
    <mergeCell ref="E1256:F1256"/>
    <mergeCell ref="I1260:J1260"/>
    <mergeCell ref="E1260:F1260"/>
    <mergeCell ref="I1259:J1259"/>
    <mergeCell ref="E1264:F1264"/>
    <mergeCell ref="I1268:J1268"/>
    <mergeCell ref="I1256:J1256"/>
    <mergeCell ref="E1317:F1317"/>
    <mergeCell ref="C1338:D1338"/>
    <mergeCell ref="C1307:D1307"/>
    <mergeCell ref="E1308:F1308"/>
    <mergeCell ref="E1258:F1258"/>
    <mergeCell ref="E1277:F1277"/>
    <mergeCell ref="C1311:D1311"/>
    <mergeCell ref="C1320:D1320"/>
    <mergeCell ref="C1325:D1325"/>
    <mergeCell ref="C1326:D1326"/>
    <mergeCell ref="I1346:J1346"/>
    <mergeCell ref="C1358:D1358"/>
    <mergeCell ref="I1367:J1367"/>
    <mergeCell ref="C1367:D1367"/>
    <mergeCell ref="I1361:J1361"/>
    <mergeCell ref="E1358:F1358"/>
    <mergeCell ref="C1357:D1357"/>
    <mergeCell ref="E1357:F1357"/>
    <mergeCell ref="C1362:D1362"/>
    <mergeCell ref="C1351:D1351"/>
    <mergeCell ref="A1647:H1647"/>
    <mergeCell ref="G1357:H1357"/>
    <mergeCell ref="I1594:J1594"/>
    <mergeCell ref="I1526:J1526"/>
    <mergeCell ref="G1365:H1365"/>
    <mergeCell ref="A1443:J1443"/>
    <mergeCell ref="I1579:J1579"/>
    <mergeCell ref="I1358:J1358"/>
    <mergeCell ref="G1358:H1358"/>
    <mergeCell ref="G1372:H1372"/>
    <mergeCell ref="C1808:D1808"/>
    <mergeCell ref="G1816:H1816"/>
    <mergeCell ref="G1819:H1819"/>
    <mergeCell ref="I1806:J1806"/>
    <mergeCell ref="G1830:H1830"/>
    <mergeCell ref="G1818:H1818"/>
    <mergeCell ref="E1806:F1806"/>
    <mergeCell ref="E1807:F1807"/>
    <mergeCell ref="C1819:D1819"/>
    <mergeCell ref="E1808:F1808"/>
    <mergeCell ref="I1363:J1363"/>
    <mergeCell ref="E1367:F1367"/>
    <mergeCell ref="G1366:H1366"/>
    <mergeCell ref="C1370:D1370"/>
    <mergeCell ref="E1366:F1366"/>
    <mergeCell ref="C1371:D1371"/>
    <mergeCell ref="I1366:J1366"/>
    <mergeCell ref="C1363:D1363"/>
    <mergeCell ref="C1366:D1366"/>
    <mergeCell ref="G1367:H1367"/>
    <mergeCell ref="A1695:H1695"/>
    <mergeCell ref="G1370:H1370"/>
    <mergeCell ref="E1776:F1776"/>
    <mergeCell ref="G1807:H1807"/>
    <mergeCell ref="I1808:J1808"/>
    <mergeCell ref="I1829:J1829"/>
    <mergeCell ref="E1820:F1820"/>
    <mergeCell ref="E1814:F1814"/>
    <mergeCell ref="G1814:H1814"/>
    <mergeCell ref="G1796:H1796"/>
    <mergeCell ref="C1818:D1818"/>
    <mergeCell ref="C1831:D1831"/>
    <mergeCell ref="G1821:H1821"/>
    <mergeCell ref="E1821:F1821"/>
    <mergeCell ref="E1831:F1831"/>
    <mergeCell ref="C1830:D1830"/>
    <mergeCell ref="E1830:F1830"/>
    <mergeCell ref="I1821:J1821"/>
    <mergeCell ref="C1821:D1821"/>
    <mergeCell ref="C1820:D1820"/>
    <mergeCell ref="G1831:H1831"/>
    <mergeCell ref="A1833:H1833"/>
    <mergeCell ref="E1819:F1819"/>
    <mergeCell ref="E1832:F1832"/>
    <mergeCell ref="I1840:J1840"/>
    <mergeCell ref="C1815:D1815"/>
    <mergeCell ref="I1838:J1838"/>
    <mergeCell ref="G1820:H1820"/>
    <mergeCell ref="I1816:J1816"/>
    <mergeCell ref="E1815:F1815"/>
    <mergeCell ref="I1832:J1832"/>
    <mergeCell ref="I1830:J1830"/>
    <mergeCell ref="I1831:J1831"/>
    <mergeCell ref="E1818:F1818"/>
    <mergeCell ref="A1850:J1850"/>
    <mergeCell ref="I1837:J1837"/>
    <mergeCell ref="E1838:F1838"/>
    <mergeCell ref="E1839:F1839"/>
    <mergeCell ref="E1840:F1840"/>
    <mergeCell ref="C1832:D1832"/>
    <mergeCell ref="C1838:D1838"/>
    <mergeCell ref="C1839:D1839"/>
    <mergeCell ref="C1837:D1837"/>
    <mergeCell ref="C1840:D1840"/>
    <mergeCell ref="A1470:J1470"/>
    <mergeCell ref="A1486:J1486"/>
    <mergeCell ref="I1587:J1587"/>
    <mergeCell ref="C1807:D1807"/>
    <mergeCell ref="C1806:D1806"/>
    <mergeCell ref="C1816:D1816"/>
    <mergeCell ref="C1814:D1814"/>
    <mergeCell ref="I1561:J1561"/>
    <mergeCell ref="E1816:F1816"/>
    <mergeCell ref="G1806:H1806"/>
    <mergeCell ref="C1817:D1817"/>
    <mergeCell ref="E1817:F1817"/>
    <mergeCell ref="G1815:H1815"/>
    <mergeCell ref="G1808:H1808"/>
    <mergeCell ref="G1817:H1817"/>
    <mergeCell ref="E1370:F1370"/>
    <mergeCell ref="E1371:F1371"/>
    <mergeCell ref="G1371:H1371"/>
    <mergeCell ref="A1381:H1381"/>
    <mergeCell ref="C1398:D1398"/>
    <mergeCell ref="I1364:J1364"/>
    <mergeCell ref="C1372:D1372"/>
    <mergeCell ref="I1370:J1370"/>
    <mergeCell ref="C1364:D1364"/>
    <mergeCell ref="E1384:F1384"/>
    <mergeCell ref="E1385:F1385"/>
    <mergeCell ref="I1384:J1384"/>
    <mergeCell ref="I1385:J1385"/>
    <mergeCell ref="G1385:H1385"/>
    <mergeCell ref="E1362:F1362"/>
    <mergeCell ref="G1364:H1364"/>
    <mergeCell ref="E1365:F1365"/>
    <mergeCell ref="E1363:F1363"/>
    <mergeCell ref="E1364:F1364"/>
    <mergeCell ref="G1363:H1363"/>
    <mergeCell ref="E1345:F1345"/>
    <mergeCell ref="I1338:J1338"/>
    <mergeCell ref="G1345:H1345"/>
    <mergeCell ref="G1339:H1339"/>
    <mergeCell ref="G1338:H1338"/>
    <mergeCell ref="E1329:F1329"/>
    <mergeCell ref="I1345:J1345"/>
    <mergeCell ref="G1344:H1344"/>
    <mergeCell ref="C1346:D1346"/>
    <mergeCell ref="G1327:H1327"/>
    <mergeCell ref="G1329:H1329"/>
    <mergeCell ref="G1326:H1326"/>
    <mergeCell ref="C1328:D1328"/>
    <mergeCell ref="E1338:F1338"/>
    <mergeCell ref="E1337:F1337"/>
    <mergeCell ref="C1337:D1337"/>
    <mergeCell ref="C1329:D1329"/>
    <mergeCell ref="A1334:J1334"/>
    <mergeCell ref="I1327:J1327"/>
    <mergeCell ref="C1344:D1344"/>
    <mergeCell ref="C1339:D1339"/>
    <mergeCell ref="E1339:F1339"/>
    <mergeCell ref="E1344:F1344"/>
    <mergeCell ref="E1340:F1340"/>
    <mergeCell ref="I1329:J1329"/>
    <mergeCell ref="C1327:D1327"/>
    <mergeCell ref="E1328:F1328"/>
    <mergeCell ref="E1326:F1326"/>
    <mergeCell ref="C1340:D1340"/>
    <mergeCell ref="A1331:I1331"/>
    <mergeCell ref="I1339:J1339"/>
    <mergeCell ref="G1328:H1328"/>
    <mergeCell ref="E1356:F1356"/>
    <mergeCell ref="I1356:J1356"/>
    <mergeCell ref="E1350:F1350"/>
    <mergeCell ref="G1340:H1340"/>
    <mergeCell ref="I1340:J1340"/>
    <mergeCell ref="G1351:H1351"/>
    <mergeCell ref="I1343:J1343"/>
    <mergeCell ref="E1346:F1346"/>
    <mergeCell ref="E1352:F1352"/>
    <mergeCell ref="C1345:D1345"/>
    <mergeCell ref="E1321:F1321"/>
    <mergeCell ref="G1325:H1325"/>
    <mergeCell ref="I1350:J1350"/>
    <mergeCell ref="I1324:J1324"/>
    <mergeCell ref="I1325:J1325"/>
    <mergeCell ref="I1326:J1326"/>
    <mergeCell ref="G1350:H1350"/>
    <mergeCell ref="G1346:H1346"/>
    <mergeCell ref="I1344:J1344"/>
    <mergeCell ref="I1337:J1337"/>
    <mergeCell ref="I1287:J1287"/>
    <mergeCell ref="G1321:H1321"/>
    <mergeCell ref="G1337:H1337"/>
    <mergeCell ref="I1317:J1317"/>
    <mergeCell ref="G1300:H1300"/>
    <mergeCell ref="G1318:H1318"/>
    <mergeCell ref="I1297:J1297"/>
    <mergeCell ref="A1290:J1290"/>
    <mergeCell ref="G1319:H1319"/>
    <mergeCell ref="C1256:D1256"/>
    <mergeCell ref="G1256:H1256"/>
    <mergeCell ref="G1317:H1317"/>
    <mergeCell ref="G1282:H1282"/>
    <mergeCell ref="E1287:F1287"/>
    <mergeCell ref="G1293:H1293"/>
    <mergeCell ref="E1316:F1316"/>
    <mergeCell ref="G1306:H1306"/>
    <mergeCell ref="C1188:D1188"/>
    <mergeCell ref="E1188:F1188"/>
    <mergeCell ref="E1198:F1198"/>
    <mergeCell ref="C1203:D1203"/>
    <mergeCell ref="C1214:D1214"/>
    <mergeCell ref="G1304:H1304"/>
    <mergeCell ref="C1233:D1233"/>
    <mergeCell ref="C1231:D1231"/>
    <mergeCell ref="E1181:F1181"/>
    <mergeCell ref="E1169:F1169"/>
    <mergeCell ref="E1175:F1175"/>
    <mergeCell ref="E1163:F1163"/>
    <mergeCell ref="C1163:D1163"/>
    <mergeCell ref="E1134:F1134"/>
    <mergeCell ref="C1136:D1136"/>
    <mergeCell ref="E1172:F1172"/>
    <mergeCell ref="C1152:D1152"/>
    <mergeCell ref="C1153:D1153"/>
    <mergeCell ref="G966:H966"/>
    <mergeCell ref="E714:F714"/>
    <mergeCell ref="E715:F715"/>
    <mergeCell ref="G703:H703"/>
    <mergeCell ref="E737:F737"/>
    <mergeCell ref="E768:F768"/>
    <mergeCell ref="A753:J753"/>
    <mergeCell ref="A957:I957"/>
    <mergeCell ref="I825:J825"/>
    <mergeCell ref="E856:F856"/>
    <mergeCell ref="E1031:F1031"/>
    <mergeCell ref="C1063:D1063"/>
    <mergeCell ref="E1073:F1073"/>
    <mergeCell ref="E719:F719"/>
    <mergeCell ref="C719:D719"/>
    <mergeCell ref="E967:F967"/>
    <mergeCell ref="E766:F766"/>
    <mergeCell ref="E867:F867"/>
    <mergeCell ref="E849:F849"/>
    <mergeCell ref="E1020:F1020"/>
    <mergeCell ref="E590:F590"/>
    <mergeCell ref="E586:F586"/>
    <mergeCell ref="G586:H586"/>
    <mergeCell ref="G567:H567"/>
    <mergeCell ref="G568:H568"/>
    <mergeCell ref="G566:H566"/>
    <mergeCell ref="G569:H569"/>
    <mergeCell ref="E567:F567"/>
    <mergeCell ref="E568:F568"/>
    <mergeCell ref="E566:F566"/>
    <mergeCell ref="C564:D564"/>
    <mergeCell ref="C556:D556"/>
    <mergeCell ref="E558:F558"/>
    <mergeCell ref="C560:D560"/>
    <mergeCell ref="G565:H565"/>
    <mergeCell ref="C565:D565"/>
    <mergeCell ref="E564:F564"/>
    <mergeCell ref="C558:D558"/>
    <mergeCell ref="C557:D557"/>
    <mergeCell ref="E559:F559"/>
    <mergeCell ref="C551:D551"/>
    <mergeCell ref="C549:D549"/>
    <mergeCell ref="E545:F545"/>
    <mergeCell ref="C559:D559"/>
    <mergeCell ref="E549:F549"/>
    <mergeCell ref="C550:D550"/>
    <mergeCell ref="E557:F557"/>
    <mergeCell ref="E556:F556"/>
    <mergeCell ref="C544:D544"/>
    <mergeCell ref="E555:F555"/>
    <mergeCell ref="C555:D555"/>
    <mergeCell ref="E544:F544"/>
    <mergeCell ref="G526:H526"/>
    <mergeCell ref="G539:H539"/>
    <mergeCell ref="G528:H528"/>
    <mergeCell ref="E526:F526"/>
    <mergeCell ref="G538:H538"/>
    <mergeCell ref="C545:D545"/>
    <mergeCell ref="E537:F537"/>
    <mergeCell ref="E533:F533"/>
    <mergeCell ref="E532:F532"/>
    <mergeCell ref="E530:F530"/>
    <mergeCell ref="E524:F524"/>
    <mergeCell ref="C543:D543"/>
    <mergeCell ref="E540:F540"/>
    <mergeCell ref="C540:D540"/>
    <mergeCell ref="C530:D530"/>
    <mergeCell ref="E528:F528"/>
    <mergeCell ref="C533:D533"/>
    <mergeCell ref="C532:D532"/>
    <mergeCell ref="C539:D539"/>
    <mergeCell ref="E539:F539"/>
    <mergeCell ref="C538:D538"/>
    <mergeCell ref="E536:F536"/>
    <mergeCell ref="E517:F517"/>
    <mergeCell ref="C526:D526"/>
    <mergeCell ref="C527:D527"/>
    <mergeCell ref="C518:D518"/>
    <mergeCell ref="C531:D531"/>
    <mergeCell ref="E531:F531"/>
    <mergeCell ref="C528:D528"/>
    <mergeCell ref="G531:H531"/>
    <mergeCell ref="G530:H530"/>
    <mergeCell ref="G525:H525"/>
    <mergeCell ref="G537:H537"/>
    <mergeCell ref="G511:H511"/>
    <mergeCell ref="E527:F527"/>
    <mergeCell ref="E529:F529"/>
    <mergeCell ref="E518:F518"/>
    <mergeCell ref="E523:F523"/>
    <mergeCell ref="G518:H518"/>
    <mergeCell ref="E538:F538"/>
    <mergeCell ref="E535:F535"/>
    <mergeCell ref="C535:D535"/>
    <mergeCell ref="C537:D537"/>
    <mergeCell ref="C536:D536"/>
    <mergeCell ref="E418:F418"/>
    <mergeCell ref="C426:D426"/>
    <mergeCell ref="C450:D450"/>
    <mergeCell ref="E425:F425"/>
    <mergeCell ref="E427:F427"/>
    <mergeCell ref="G419:H419"/>
    <mergeCell ref="G425:H425"/>
    <mergeCell ref="G420:H420"/>
    <mergeCell ref="E433:F433"/>
    <mergeCell ref="C420:D420"/>
    <mergeCell ref="C419:D419"/>
    <mergeCell ref="C429:D429"/>
    <mergeCell ref="C427:D427"/>
    <mergeCell ref="E419:F419"/>
    <mergeCell ref="E420:F420"/>
    <mergeCell ref="E440:F440"/>
    <mergeCell ref="E441:F441"/>
    <mergeCell ref="E435:F435"/>
    <mergeCell ref="C451:D451"/>
    <mergeCell ref="E449:F449"/>
    <mergeCell ref="C444:D444"/>
    <mergeCell ref="E450:F450"/>
    <mergeCell ref="E448:F448"/>
    <mergeCell ref="E451:F451"/>
    <mergeCell ref="A438:J438"/>
    <mergeCell ref="G424:H424"/>
    <mergeCell ref="G429:H429"/>
    <mergeCell ref="E436:F436"/>
    <mergeCell ref="G435:H435"/>
    <mergeCell ref="E434:F434"/>
    <mergeCell ref="G434:H434"/>
    <mergeCell ref="E428:F428"/>
    <mergeCell ref="G426:H426"/>
    <mergeCell ref="G427:H427"/>
    <mergeCell ref="E424:F424"/>
    <mergeCell ref="E416:F416"/>
    <mergeCell ref="E417:F417"/>
    <mergeCell ref="E401:F401"/>
    <mergeCell ref="E405:F405"/>
    <mergeCell ref="E402:F402"/>
    <mergeCell ref="G405:H405"/>
    <mergeCell ref="G402:H402"/>
    <mergeCell ref="G406:H406"/>
    <mergeCell ref="G396:H396"/>
    <mergeCell ref="G397:H397"/>
    <mergeCell ref="E396:F396"/>
    <mergeCell ref="C406:D406"/>
    <mergeCell ref="E403:F403"/>
    <mergeCell ref="C401:D401"/>
    <mergeCell ref="C404:D404"/>
    <mergeCell ref="E404:F404"/>
    <mergeCell ref="C402:D402"/>
    <mergeCell ref="C405:D405"/>
    <mergeCell ref="G385:H385"/>
    <mergeCell ref="E386:F386"/>
    <mergeCell ref="E385:F385"/>
    <mergeCell ref="G386:H386"/>
    <mergeCell ref="E395:F395"/>
    <mergeCell ref="G394:H394"/>
    <mergeCell ref="E394:F394"/>
    <mergeCell ref="G395:H395"/>
    <mergeCell ref="E322:F322"/>
    <mergeCell ref="E323:F323"/>
    <mergeCell ref="C377:D377"/>
    <mergeCell ref="C318:D318"/>
    <mergeCell ref="C360:D360"/>
    <mergeCell ref="E341:F341"/>
    <mergeCell ref="C342:D342"/>
    <mergeCell ref="A347:J347"/>
    <mergeCell ref="C345:D345"/>
    <mergeCell ref="E369:F369"/>
    <mergeCell ref="G325:H325"/>
    <mergeCell ref="E326:F326"/>
    <mergeCell ref="G341:H341"/>
    <mergeCell ref="E324:F324"/>
    <mergeCell ref="C327:D327"/>
    <mergeCell ref="E325:F325"/>
    <mergeCell ref="G324:H324"/>
    <mergeCell ref="C324:D324"/>
    <mergeCell ref="G263:H263"/>
    <mergeCell ref="E266:F266"/>
    <mergeCell ref="G276:H276"/>
    <mergeCell ref="E293:F293"/>
    <mergeCell ref="G274:H274"/>
    <mergeCell ref="G265:H265"/>
    <mergeCell ref="G278:H278"/>
    <mergeCell ref="G287:H287"/>
    <mergeCell ref="G284:H284"/>
    <mergeCell ref="G285:H285"/>
    <mergeCell ref="C279:D279"/>
    <mergeCell ref="E275:F275"/>
    <mergeCell ref="E265:F265"/>
    <mergeCell ref="E287:F287"/>
    <mergeCell ref="E284:F284"/>
    <mergeCell ref="E286:F286"/>
    <mergeCell ref="E276:F276"/>
    <mergeCell ref="A269:J269"/>
    <mergeCell ref="C284:D284"/>
    <mergeCell ref="E279:F279"/>
    <mergeCell ref="G273:H273"/>
    <mergeCell ref="E285:F285"/>
    <mergeCell ref="C288:D288"/>
    <mergeCell ref="G289:H289"/>
    <mergeCell ref="E289:F289"/>
    <mergeCell ref="E306:F306"/>
    <mergeCell ref="E304:F304"/>
    <mergeCell ref="E303:F303"/>
    <mergeCell ref="C292:D292"/>
    <mergeCell ref="E301:F301"/>
    <mergeCell ref="G301:H301"/>
    <mergeCell ref="E288:F288"/>
    <mergeCell ref="G288:H288"/>
    <mergeCell ref="I285:J285"/>
    <mergeCell ref="I288:J288"/>
    <mergeCell ref="I287:J287"/>
    <mergeCell ref="G286:H286"/>
    <mergeCell ref="I291:J291"/>
    <mergeCell ref="C315:D315"/>
    <mergeCell ref="E358:F358"/>
    <mergeCell ref="E312:F312"/>
    <mergeCell ref="G316:H316"/>
    <mergeCell ref="E344:F344"/>
    <mergeCell ref="C326:D326"/>
    <mergeCell ref="C325:D325"/>
    <mergeCell ref="G327:H327"/>
    <mergeCell ref="E314:F314"/>
    <mergeCell ref="G323:H323"/>
    <mergeCell ref="C350:D350"/>
    <mergeCell ref="C352:D352"/>
    <mergeCell ref="C346:D346"/>
    <mergeCell ref="I352:J352"/>
    <mergeCell ref="G356:H356"/>
    <mergeCell ref="G352:H352"/>
    <mergeCell ref="E350:F350"/>
    <mergeCell ref="G345:H345"/>
    <mergeCell ref="E346:F346"/>
    <mergeCell ref="G346:H346"/>
    <mergeCell ref="E345:F345"/>
    <mergeCell ref="G344:H344"/>
    <mergeCell ref="I346:J346"/>
    <mergeCell ref="I345:J345"/>
    <mergeCell ref="C363:D363"/>
    <mergeCell ref="E362:F362"/>
    <mergeCell ref="E361:F361"/>
    <mergeCell ref="G350:H350"/>
    <mergeCell ref="A353:J353"/>
    <mergeCell ref="I350:J350"/>
    <mergeCell ref="I356:J356"/>
    <mergeCell ref="E352:F352"/>
    <mergeCell ref="G357:H357"/>
    <mergeCell ref="E356:F356"/>
    <mergeCell ref="E378:F378"/>
    <mergeCell ref="G371:H371"/>
    <mergeCell ref="E357:F357"/>
    <mergeCell ref="G360:H360"/>
    <mergeCell ref="G359:H359"/>
    <mergeCell ref="G358:H358"/>
    <mergeCell ref="E359:F359"/>
    <mergeCell ref="E360:F360"/>
    <mergeCell ref="E372:F372"/>
    <mergeCell ref="G378:H378"/>
    <mergeCell ref="I376:J376"/>
    <mergeCell ref="E377:F377"/>
    <mergeCell ref="G368:H368"/>
    <mergeCell ref="G363:H363"/>
    <mergeCell ref="G372:H372"/>
    <mergeCell ref="E363:F363"/>
    <mergeCell ref="C372:D372"/>
    <mergeCell ref="I384:J384"/>
    <mergeCell ref="E367:F367"/>
    <mergeCell ref="E370:F370"/>
    <mergeCell ref="E383:F383"/>
    <mergeCell ref="G384:H384"/>
    <mergeCell ref="E371:F371"/>
    <mergeCell ref="E379:F379"/>
    <mergeCell ref="E384:F384"/>
    <mergeCell ref="C383:D383"/>
    <mergeCell ref="I402:J402"/>
    <mergeCell ref="I394:J394"/>
    <mergeCell ref="G361:H361"/>
    <mergeCell ref="E376:F376"/>
    <mergeCell ref="E393:F393"/>
    <mergeCell ref="E387:F387"/>
    <mergeCell ref="E388:F388"/>
    <mergeCell ref="E392:F392"/>
    <mergeCell ref="G362:H362"/>
    <mergeCell ref="G387:H387"/>
    <mergeCell ref="I388:J388"/>
    <mergeCell ref="I404:J404"/>
    <mergeCell ref="I378:J378"/>
    <mergeCell ref="G404:H404"/>
    <mergeCell ref="G393:H393"/>
    <mergeCell ref="I395:J395"/>
    <mergeCell ref="I392:J392"/>
    <mergeCell ref="I397:J397"/>
    <mergeCell ref="G392:H392"/>
    <mergeCell ref="I387:J387"/>
    <mergeCell ref="I413:J413"/>
    <mergeCell ref="I426:J426"/>
    <mergeCell ref="I416:J416"/>
    <mergeCell ref="I414:J414"/>
    <mergeCell ref="I419:J419"/>
    <mergeCell ref="I393:J393"/>
    <mergeCell ref="I401:J401"/>
    <mergeCell ref="I420:J420"/>
    <mergeCell ref="I406:J406"/>
    <mergeCell ref="I396:J396"/>
    <mergeCell ref="I633:J633"/>
    <mergeCell ref="K625:L625"/>
    <mergeCell ref="K633:L633"/>
    <mergeCell ref="K620:L620"/>
    <mergeCell ref="Q679:R679"/>
    <mergeCell ref="K634:L634"/>
    <mergeCell ref="K636:L636"/>
    <mergeCell ref="K637:L637"/>
    <mergeCell ref="I628:J628"/>
    <mergeCell ref="P656:Q656"/>
    <mergeCell ref="I623:J623"/>
    <mergeCell ref="K631:L631"/>
    <mergeCell ref="K629:L629"/>
    <mergeCell ref="K632:L632"/>
    <mergeCell ref="G621:H621"/>
    <mergeCell ref="G619:H619"/>
    <mergeCell ref="K622:L622"/>
    <mergeCell ref="I620:J620"/>
    <mergeCell ref="I590:J590"/>
    <mergeCell ref="K512:L512"/>
    <mergeCell ref="K626:L626"/>
    <mergeCell ref="I569:J569"/>
    <mergeCell ref="I567:J567"/>
    <mergeCell ref="I564:J564"/>
    <mergeCell ref="K617:L617"/>
    <mergeCell ref="I568:J568"/>
    <mergeCell ref="I526:J526"/>
    <mergeCell ref="I524:J524"/>
    <mergeCell ref="C632:D632"/>
    <mergeCell ref="G592:H592"/>
    <mergeCell ref="I556:J556"/>
    <mergeCell ref="I634:J634"/>
    <mergeCell ref="A640:H640"/>
    <mergeCell ref="G629:H629"/>
    <mergeCell ref="C633:D633"/>
    <mergeCell ref="E628:F628"/>
    <mergeCell ref="I626:J626"/>
    <mergeCell ref="I617:J617"/>
    <mergeCell ref="I629:J629"/>
    <mergeCell ref="E632:F632"/>
    <mergeCell ref="I631:J631"/>
    <mergeCell ref="E633:F633"/>
    <mergeCell ref="E620:F620"/>
    <mergeCell ref="G620:H620"/>
    <mergeCell ref="I627:J627"/>
    <mergeCell ref="I625:J625"/>
    <mergeCell ref="G628:H628"/>
    <mergeCell ref="I621:J621"/>
    <mergeCell ref="P1181:Q1181"/>
    <mergeCell ref="K1182:L1182"/>
    <mergeCell ref="E721:F721"/>
    <mergeCell ref="G1182:H1182"/>
    <mergeCell ref="G1172:H1172"/>
    <mergeCell ref="A639:H639"/>
    <mergeCell ref="P661:Q661"/>
    <mergeCell ref="P655:Q655"/>
    <mergeCell ref="Q680:R680"/>
    <mergeCell ref="G834:H834"/>
    <mergeCell ref="E1174:F1174"/>
    <mergeCell ref="E1146:F1146"/>
    <mergeCell ref="G722:H722"/>
    <mergeCell ref="A740:H740"/>
    <mergeCell ref="I1321:J1321"/>
    <mergeCell ref="K1281:L1281"/>
    <mergeCell ref="I990:J990"/>
    <mergeCell ref="A1027:L1027"/>
    <mergeCell ref="K967:L967"/>
    <mergeCell ref="K1282:L1282"/>
    <mergeCell ref="K1299:L1299"/>
    <mergeCell ref="K1288:L1288"/>
    <mergeCell ref="E1152:F1152"/>
    <mergeCell ref="I1262:J1262"/>
    <mergeCell ref="I1265:J1265"/>
    <mergeCell ref="K1185:L1185"/>
    <mergeCell ref="I1204:J1204"/>
    <mergeCell ref="K1265:L1265"/>
    <mergeCell ref="K1201:L1201"/>
    <mergeCell ref="K1264:L1264"/>
    <mergeCell ref="M1396:N1396"/>
    <mergeCell ref="I1349:J1349"/>
    <mergeCell ref="I1319:J1319"/>
    <mergeCell ref="K1329:L1329"/>
    <mergeCell ref="K1293:L1293"/>
    <mergeCell ref="I1273:J1273"/>
    <mergeCell ref="I1283:J1283"/>
    <mergeCell ref="K1273:L1273"/>
    <mergeCell ref="I1281:J1281"/>
    <mergeCell ref="K1316:L1316"/>
    <mergeCell ref="P1185:Q1185"/>
    <mergeCell ref="K1190:L1190"/>
    <mergeCell ref="K1193:L1193"/>
    <mergeCell ref="K1210:L1210"/>
    <mergeCell ref="K1212:L1212"/>
    <mergeCell ref="K1213:L1213"/>
    <mergeCell ref="K1194:L1194"/>
    <mergeCell ref="K1192:L1192"/>
    <mergeCell ref="K1188:L1188"/>
    <mergeCell ref="K1189:L1189"/>
    <mergeCell ref="S686:T686"/>
    <mergeCell ref="P1183:Q1183"/>
    <mergeCell ref="I706:J706"/>
    <mergeCell ref="I707:J707"/>
    <mergeCell ref="P690:Q690"/>
    <mergeCell ref="I713:J713"/>
    <mergeCell ref="R692:S692"/>
    <mergeCell ref="I708:J708"/>
    <mergeCell ref="Q740:R740"/>
    <mergeCell ref="P1182:Q1182"/>
    <mergeCell ref="S1544:Y1569"/>
    <mergeCell ref="T1497:Z1532"/>
    <mergeCell ref="W1451:Y1496"/>
    <mergeCell ref="R1513:S1513"/>
    <mergeCell ref="P1189:Q1189"/>
    <mergeCell ref="P1188:Q1188"/>
    <mergeCell ref="T1448:U1448"/>
    <mergeCell ref="R1530:S1530"/>
    <mergeCell ref="R1448:S1448"/>
    <mergeCell ref="Q684:R684"/>
    <mergeCell ref="Q686:R686"/>
    <mergeCell ref="R694:S694"/>
    <mergeCell ref="Q683:R683"/>
    <mergeCell ref="Q685:R685"/>
    <mergeCell ref="Q681:R681"/>
    <mergeCell ref="P689:Q689"/>
    <mergeCell ref="S683:T683"/>
    <mergeCell ref="S685:T685"/>
    <mergeCell ref="R693:S693"/>
    <mergeCell ref="S680:T680"/>
    <mergeCell ref="C708:D708"/>
    <mergeCell ref="I971:J971"/>
    <mergeCell ref="G720:H720"/>
    <mergeCell ref="G715:H715"/>
    <mergeCell ref="C721:D721"/>
    <mergeCell ref="I702:J702"/>
    <mergeCell ref="I705:J705"/>
    <mergeCell ref="G708:H708"/>
    <mergeCell ref="G706:H706"/>
    <mergeCell ref="R690:S690"/>
    <mergeCell ref="I843:J843"/>
    <mergeCell ref="I840:J840"/>
    <mergeCell ref="I841:J841"/>
    <mergeCell ref="P695:Q695"/>
    <mergeCell ref="R697:S697"/>
    <mergeCell ref="P693:Q693"/>
    <mergeCell ref="K704:L704"/>
    <mergeCell ref="P692:Q692"/>
    <mergeCell ref="I811:J811"/>
    <mergeCell ref="R696:S696"/>
    <mergeCell ref="K714:L714"/>
    <mergeCell ref="S740:T740"/>
    <mergeCell ref="S679:T679"/>
    <mergeCell ref="S681:T681"/>
    <mergeCell ref="P697:Q697"/>
    <mergeCell ref="R695:S695"/>
    <mergeCell ref="S684:T684"/>
    <mergeCell ref="R689:S689"/>
    <mergeCell ref="M694:N694"/>
    <mergeCell ref="M693:N693"/>
    <mergeCell ref="R698:S698"/>
    <mergeCell ref="K702:L702"/>
    <mergeCell ref="K707:L707"/>
    <mergeCell ref="P694:Q694"/>
    <mergeCell ref="M697:N697"/>
    <mergeCell ref="M696:N696"/>
    <mergeCell ref="M695:N695"/>
    <mergeCell ref="P696:Q696"/>
    <mergeCell ref="P698:Q698"/>
    <mergeCell ref="K706:L706"/>
    <mergeCell ref="C718:D718"/>
    <mergeCell ref="E718:F718"/>
    <mergeCell ref="G718:H718"/>
    <mergeCell ref="C713:D713"/>
    <mergeCell ref="E698:F698"/>
    <mergeCell ref="E708:F708"/>
    <mergeCell ref="E709:F709"/>
    <mergeCell ref="G698:H698"/>
    <mergeCell ref="I703:J703"/>
    <mergeCell ref="M698:N698"/>
    <mergeCell ref="C723:D723"/>
    <mergeCell ref="E720:F720"/>
    <mergeCell ref="C722:D722"/>
    <mergeCell ref="G714:H714"/>
    <mergeCell ref="G719:H719"/>
    <mergeCell ref="K705:L705"/>
    <mergeCell ref="E711:F711"/>
    <mergeCell ref="G711:H711"/>
    <mergeCell ref="G705:H705"/>
    <mergeCell ref="G787:H787"/>
    <mergeCell ref="G71:H71"/>
    <mergeCell ref="G860:H860"/>
    <mergeCell ref="G848:H848"/>
    <mergeCell ref="G724:H724"/>
    <mergeCell ref="G401:H401"/>
    <mergeCell ref="G388:H388"/>
    <mergeCell ref="G593:H593"/>
    <mergeCell ref="G376:H376"/>
    <mergeCell ref="G379:H379"/>
    <mergeCell ref="G723:H723"/>
    <mergeCell ref="G295:H295"/>
    <mergeCell ref="G697:H697"/>
    <mergeCell ref="C763:D763"/>
    <mergeCell ref="C767:D767"/>
    <mergeCell ref="E725:F725"/>
    <mergeCell ref="C724:D724"/>
    <mergeCell ref="C720:D720"/>
    <mergeCell ref="E629:F629"/>
    <mergeCell ref="C634:D634"/>
    <mergeCell ref="E731:F731"/>
    <mergeCell ref="E767:F767"/>
    <mergeCell ref="C737:D737"/>
    <mergeCell ref="C762:D762"/>
    <mergeCell ref="E722:F722"/>
    <mergeCell ref="E758:F758"/>
    <mergeCell ref="C757:D757"/>
    <mergeCell ref="C760:D760"/>
    <mergeCell ref="C758:D758"/>
    <mergeCell ref="C766:D766"/>
    <mergeCell ref="I632:J632"/>
    <mergeCell ref="G632:H632"/>
    <mergeCell ref="E691:F691"/>
    <mergeCell ref="E692:F692"/>
    <mergeCell ref="E693:F693"/>
    <mergeCell ref="E694:F694"/>
    <mergeCell ref="G691:H691"/>
    <mergeCell ref="G692:H692"/>
    <mergeCell ref="G693:H693"/>
    <mergeCell ref="G694:H694"/>
    <mergeCell ref="C50:D50"/>
    <mergeCell ref="E50:F50"/>
    <mergeCell ref="C52:D52"/>
    <mergeCell ref="E292:F292"/>
    <mergeCell ref="C294:D294"/>
    <mergeCell ref="E310:F310"/>
    <mergeCell ref="C53:D53"/>
    <mergeCell ref="C305:D305"/>
    <mergeCell ref="C302:D302"/>
    <mergeCell ref="C126:D126"/>
    <mergeCell ref="E305:F305"/>
    <mergeCell ref="G37:H37"/>
    <mergeCell ref="G38:H38"/>
    <mergeCell ref="G50:H50"/>
    <mergeCell ref="G49:H49"/>
    <mergeCell ref="G39:H39"/>
    <mergeCell ref="E38:F38"/>
    <mergeCell ref="G40:H40"/>
    <mergeCell ref="G43:H43"/>
    <mergeCell ref="G266:H266"/>
    <mergeCell ref="C33:D33"/>
    <mergeCell ref="C37:D37"/>
    <mergeCell ref="E40:F40"/>
    <mergeCell ref="E37:F37"/>
    <mergeCell ref="C36:D36"/>
    <mergeCell ref="C35:D35"/>
    <mergeCell ref="C38:D38"/>
    <mergeCell ref="E36:F36"/>
    <mergeCell ref="G36:H36"/>
    <mergeCell ref="C34:D34"/>
    <mergeCell ref="E41:F41"/>
    <mergeCell ref="E31:F31"/>
    <mergeCell ref="G35:H35"/>
    <mergeCell ref="G32:H32"/>
    <mergeCell ref="E34:F34"/>
    <mergeCell ref="E32:F32"/>
    <mergeCell ref="C41:D41"/>
    <mergeCell ref="C32:D32"/>
    <mergeCell ref="A57:H57"/>
    <mergeCell ref="I52:J52"/>
    <mergeCell ref="G77:H77"/>
    <mergeCell ref="C62:D62"/>
    <mergeCell ref="C55:D55"/>
    <mergeCell ref="C70:D70"/>
    <mergeCell ref="I71:J71"/>
    <mergeCell ref="I69:J69"/>
    <mergeCell ref="I70:J70"/>
    <mergeCell ref="G70:H70"/>
    <mergeCell ref="I42:J42"/>
    <mergeCell ref="I89:J89"/>
    <mergeCell ref="I82:J82"/>
    <mergeCell ref="I50:J50"/>
    <mergeCell ref="I68:J68"/>
    <mergeCell ref="I65:J65"/>
    <mergeCell ref="I64:J64"/>
    <mergeCell ref="I55:J55"/>
    <mergeCell ref="I67:J67"/>
    <mergeCell ref="I77:J77"/>
    <mergeCell ref="I119:J119"/>
    <mergeCell ref="I129:J129"/>
    <mergeCell ref="C91:D91"/>
    <mergeCell ref="E126:F126"/>
    <mergeCell ref="I104:J104"/>
    <mergeCell ref="I118:J118"/>
    <mergeCell ref="E119:F119"/>
    <mergeCell ref="E92:F92"/>
    <mergeCell ref="E96:F96"/>
    <mergeCell ref="E98:F98"/>
    <mergeCell ref="I214:J214"/>
    <mergeCell ref="I157:J157"/>
    <mergeCell ref="I154:J154"/>
    <mergeCell ref="G192:H192"/>
    <mergeCell ref="G142:H142"/>
    <mergeCell ref="G170:H170"/>
    <mergeCell ref="I177:J177"/>
    <mergeCell ref="I165:J165"/>
    <mergeCell ref="I166:J166"/>
    <mergeCell ref="G154:H154"/>
    <mergeCell ref="E166:F166"/>
    <mergeCell ref="E181:F181"/>
    <mergeCell ref="I313:J313"/>
    <mergeCell ref="G302:H302"/>
    <mergeCell ref="I231:J231"/>
    <mergeCell ref="I233:J233"/>
    <mergeCell ref="G311:H311"/>
    <mergeCell ref="G264:H264"/>
    <mergeCell ref="G312:H312"/>
    <mergeCell ref="G303:H303"/>
    <mergeCell ref="I306:J306"/>
    <mergeCell ref="I479:J479"/>
    <mergeCell ref="I415:J415"/>
    <mergeCell ref="I342:J342"/>
    <mergeCell ref="I314:J314"/>
    <mergeCell ref="I312:J312"/>
    <mergeCell ref="I318:J318"/>
    <mergeCell ref="I327:J327"/>
    <mergeCell ref="I326:J326"/>
    <mergeCell ref="I324:J324"/>
    <mergeCell ref="A121:H121"/>
    <mergeCell ref="G125:H125"/>
    <mergeCell ref="I195:J195"/>
    <mergeCell ref="I234:J234"/>
    <mergeCell ref="G158:H158"/>
    <mergeCell ref="G305:H305"/>
    <mergeCell ref="I303:J303"/>
    <mergeCell ref="I290:J290"/>
    <mergeCell ref="I293:J293"/>
    <mergeCell ref="I302:J302"/>
    <mergeCell ref="A3:H3"/>
    <mergeCell ref="A5:K5"/>
    <mergeCell ref="G104:H104"/>
    <mergeCell ref="E103:F103"/>
    <mergeCell ref="G96:H96"/>
    <mergeCell ref="K89:L89"/>
    <mergeCell ref="K97:L97"/>
    <mergeCell ref="C49:D49"/>
    <mergeCell ref="E54:F54"/>
    <mergeCell ref="E52:F52"/>
    <mergeCell ref="K314:L314"/>
    <mergeCell ref="K312:L312"/>
    <mergeCell ref="I316:J316"/>
    <mergeCell ref="B6:G6"/>
    <mergeCell ref="K34:L34"/>
    <mergeCell ref="A19:B19"/>
    <mergeCell ref="I289:J289"/>
    <mergeCell ref="I268:J268"/>
    <mergeCell ref="I126:J126"/>
    <mergeCell ref="I125:J125"/>
    <mergeCell ref="I244:J244"/>
    <mergeCell ref="I243:J243"/>
    <mergeCell ref="I255:J255"/>
    <mergeCell ref="K316:L316"/>
    <mergeCell ref="I311:J311"/>
    <mergeCell ref="G294:H294"/>
    <mergeCell ref="I262:J262"/>
    <mergeCell ref="I292:J292"/>
    <mergeCell ref="I266:J266"/>
    <mergeCell ref="K315:L315"/>
    <mergeCell ref="E132:F132"/>
    <mergeCell ref="G118:H118"/>
    <mergeCell ref="E101:F101"/>
    <mergeCell ref="G310:H310"/>
    <mergeCell ref="I228:J228"/>
    <mergeCell ref="I229:J229"/>
    <mergeCell ref="I294:J294"/>
    <mergeCell ref="G157:H157"/>
    <mergeCell ref="I160:J160"/>
    <mergeCell ref="I198:J198"/>
    <mergeCell ref="A1:L1"/>
    <mergeCell ref="A23:H23"/>
    <mergeCell ref="A25:F25"/>
    <mergeCell ref="G33:H33"/>
    <mergeCell ref="G34:H34"/>
    <mergeCell ref="A4:K4"/>
    <mergeCell ref="A2:L2"/>
    <mergeCell ref="G31:H31"/>
    <mergeCell ref="C31:D31"/>
    <mergeCell ref="E33:F33"/>
    <mergeCell ref="I507:J507"/>
    <mergeCell ref="I467:J467"/>
    <mergeCell ref="I418:J418"/>
    <mergeCell ref="I424:J424"/>
    <mergeCell ref="I476:J476"/>
    <mergeCell ref="K485:L485"/>
    <mergeCell ref="K481:L481"/>
    <mergeCell ref="K482:L482"/>
    <mergeCell ref="K486:L486"/>
    <mergeCell ref="I469:J469"/>
    <mergeCell ref="K318:L318"/>
    <mergeCell ref="K511:L511"/>
    <mergeCell ref="K496:L496"/>
    <mergeCell ref="I594:J594"/>
    <mergeCell ref="K476:L476"/>
    <mergeCell ref="K478:L478"/>
    <mergeCell ref="K479:L479"/>
    <mergeCell ref="K506:L506"/>
    <mergeCell ref="K477:L477"/>
    <mergeCell ref="I508:J508"/>
    <mergeCell ref="I534:J534"/>
    <mergeCell ref="K504:L504"/>
    <mergeCell ref="K505:L505"/>
    <mergeCell ref="I860:J860"/>
    <mergeCell ref="G862:H862"/>
    <mergeCell ref="I871:J871"/>
    <mergeCell ref="G870:H870"/>
    <mergeCell ref="G869:H869"/>
    <mergeCell ref="I618:J618"/>
    <mergeCell ref="I619:J619"/>
    <mergeCell ref="G876:H876"/>
    <mergeCell ref="E894:F894"/>
    <mergeCell ref="E879:F879"/>
    <mergeCell ref="G877:H877"/>
    <mergeCell ref="G873:H873"/>
    <mergeCell ref="I887:J887"/>
    <mergeCell ref="I894:J894"/>
    <mergeCell ref="I877:J877"/>
    <mergeCell ref="I889:J889"/>
    <mergeCell ref="G881:H881"/>
    <mergeCell ref="G859:H859"/>
    <mergeCell ref="G850:H850"/>
    <mergeCell ref="I851:J851"/>
    <mergeCell ref="G861:H861"/>
    <mergeCell ref="G868:H868"/>
    <mergeCell ref="G857:H857"/>
    <mergeCell ref="A852:J852"/>
    <mergeCell ref="G867:H867"/>
    <mergeCell ref="G851:H851"/>
    <mergeCell ref="C858:D858"/>
    <mergeCell ref="I875:J875"/>
    <mergeCell ref="I876:J876"/>
    <mergeCell ref="I869:J869"/>
    <mergeCell ref="I873:J873"/>
    <mergeCell ref="I862:J862"/>
    <mergeCell ref="I857:J857"/>
    <mergeCell ref="I870:J870"/>
    <mergeCell ref="K945:L945"/>
    <mergeCell ref="K942:L942"/>
    <mergeCell ref="K943:L943"/>
    <mergeCell ref="K944:L944"/>
    <mergeCell ref="K940:L940"/>
    <mergeCell ref="I878:J878"/>
    <mergeCell ref="I938:J938"/>
    <mergeCell ref="I934:J934"/>
    <mergeCell ref="I935:J935"/>
    <mergeCell ref="I936:J936"/>
    <mergeCell ref="I966:J966"/>
    <mergeCell ref="I969:J969"/>
    <mergeCell ref="I949:J949"/>
    <mergeCell ref="K947:L947"/>
    <mergeCell ref="K946:L946"/>
    <mergeCell ref="K948:L948"/>
    <mergeCell ref="K949:L949"/>
    <mergeCell ref="I948:J948"/>
    <mergeCell ref="K951:L951"/>
    <mergeCell ref="K963:L963"/>
    <mergeCell ref="K989:L989"/>
    <mergeCell ref="K986:L986"/>
    <mergeCell ref="K990:L990"/>
    <mergeCell ref="K975:L975"/>
    <mergeCell ref="K971:L971"/>
    <mergeCell ref="K970:L970"/>
    <mergeCell ref="K980:L980"/>
    <mergeCell ref="I978:J978"/>
    <mergeCell ref="K977:L977"/>
    <mergeCell ref="K985:L985"/>
    <mergeCell ref="K979:L979"/>
    <mergeCell ref="I977:J977"/>
    <mergeCell ref="I992:J992"/>
    <mergeCell ref="K992:L992"/>
    <mergeCell ref="I991:J991"/>
    <mergeCell ref="K991:L991"/>
    <mergeCell ref="I998:J998"/>
    <mergeCell ref="K997:L997"/>
    <mergeCell ref="C1010:D1010"/>
    <mergeCell ref="E1010:F1010"/>
    <mergeCell ref="C999:D999"/>
    <mergeCell ref="C1000:D1000"/>
    <mergeCell ref="E1004:F1004"/>
    <mergeCell ref="E1008:F1008"/>
    <mergeCell ref="E1011:F1011"/>
    <mergeCell ref="E998:F998"/>
    <mergeCell ref="E999:F999"/>
    <mergeCell ref="C1022:D1022"/>
    <mergeCell ref="I1023:J1023"/>
    <mergeCell ref="G1061:H1061"/>
    <mergeCell ref="I1022:J1022"/>
    <mergeCell ref="I1032:J1032"/>
    <mergeCell ref="E1059:F1059"/>
    <mergeCell ref="E1048:F1048"/>
    <mergeCell ref="E1041:F1041"/>
    <mergeCell ref="E1029:F1029"/>
    <mergeCell ref="E1030:F1030"/>
    <mergeCell ref="C1181:D1181"/>
    <mergeCell ref="K1133:L1133"/>
    <mergeCell ref="E1173:F1173"/>
    <mergeCell ref="E1132:F1132"/>
    <mergeCell ref="I1117:J1117"/>
    <mergeCell ref="I1087:J1087"/>
    <mergeCell ref="C1134:D1134"/>
    <mergeCell ref="E1176:F1176"/>
    <mergeCell ref="C1172:D1172"/>
    <mergeCell ref="C1062:D1062"/>
    <mergeCell ref="C1102:D1102"/>
    <mergeCell ref="C1091:D1091"/>
    <mergeCell ref="K1200:L1200"/>
    <mergeCell ref="K1199:L1199"/>
    <mergeCell ref="I1187:J1187"/>
    <mergeCell ref="I1193:J1193"/>
    <mergeCell ref="K1198:L1198"/>
    <mergeCell ref="E1213:F1213"/>
    <mergeCell ref="I1257:J1257"/>
    <mergeCell ref="E1220:F1220"/>
    <mergeCell ref="I1231:J1231"/>
    <mergeCell ref="I1221:J1221"/>
    <mergeCell ref="G1223:H1223"/>
    <mergeCell ref="E1214:F1214"/>
    <mergeCell ref="E1215:F1215"/>
    <mergeCell ref="A1253:J1253"/>
    <mergeCell ref="I1232:J1232"/>
    <mergeCell ref="I1233:J1233"/>
    <mergeCell ref="I1237:J1237"/>
    <mergeCell ref="C1236:D1236"/>
    <mergeCell ref="A1250:I1250"/>
    <mergeCell ref="I1242:J1242"/>
    <mergeCell ref="C1232:D1232"/>
    <mergeCell ref="G1232:H1232"/>
    <mergeCell ref="C1247:D1247"/>
    <mergeCell ref="E1247:F1247"/>
    <mergeCell ref="G1247:H1247"/>
    <mergeCell ref="G1222:H1222"/>
    <mergeCell ref="E1222:F1222"/>
    <mergeCell ref="C1224:D1224"/>
    <mergeCell ref="C1222:D1222"/>
    <mergeCell ref="E1226:F1226"/>
    <mergeCell ref="C1225:D1225"/>
    <mergeCell ref="C1223:D1223"/>
    <mergeCell ref="E1223:F1223"/>
    <mergeCell ref="E1224:F1224"/>
    <mergeCell ref="E1225:F1225"/>
    <mergeCell ref="E1297:F1297"/>
    <mergeCell ref="G1271:H1271"/>
    <mergeCell ref="C1242:D1242"/>
    <mergeCell ref="I1234:J1234"/>
    <mergeCell ref="I1241:J1241"/>
    <mergeCell ref="C1261:D1261"/>
    <mergeCell ref="G1263:H1263"/>
    <mergeCell ref="I1263:J1263"/>
    <mergeCell ref="I1277:J1277"/>
    <mergeCell ref="I1245:J1245"/>
    <mergeCell ref="C1317:D1317"/>
    <mergeCell ref="I1300:J1300"/>
    <mergeCell ref="I1299:J1299"/>
    <mergeCell ref="I1318:J1318"/>
    <mergeCell ref="E1320:F1320"/>
    <mergeCell ref="C1235:D1235"/>
    <mergeCell ref="C1244:D1244"/>
    <mergeCell ref="G1299:H1299"/>
    <mergeCell ref="C1316:D1316"/>
    <mergeCell ref="E1259:F1259"/>
    <mergeCell ref="K1306:L1306"/>
    <mergeCell ref="I1320:J1320"/>
    <mergeCell ref="K1295:L1295"/>
    <mergeCell ref="K1318:L1318"/>
    <mergeCell ref="I1315:J1315"/>
    <mergeCell ref="K1317:L1317"/>
    <mergeCell ref="I1308:J1308"/>
    <mergeCell ref="I1306:J1306"/>
    <mergeCell ref="K1307:L1307"/>
    <mergeCell ref="K1305:L1305"/>
    <mergeCell ref="K1294:L1294"/>
    <mergeCell ref="K1298:L1298"/>
    <mergeCell ref="I1316:J1316"/>
    <mergeCell ref="K1283:L1283"/>
    <mergeCell ref="K1296:L1296"/>
    <mergeCell ref="K1300:L1300"/>
    <mergeCell ref="K1310:L1310"/>
    <mergeCell ref="K1286:L1286"/>
    <mergeCell ref="K1297:L1297"/>
    <mergeCell ref="K1285:L1285"/>
    <mergeCell ref="K1234:L1234"/>
    <mergeCell ref="K1259:L1259"/>
    <mergeCell ref="K1266:L1266"/>
    <mergeCell ref="K1237:L1237"/>
    <mergeCell ref="K1242:L1242"/>
    <mergeCell ref="K1256:L1256"/>
    <mergeCell ref="K1257:L1257"/>
    <mergeCell ref="K1261:L1261"/>
    <mergeCell ref="K1246:L1246"/>
    <mergeCell ref="E1072:F1072"/>
    <mergeCell ref="G1071:H1071"/>
    <mergeCell ref="K1073:L1073"/>
    <mergeCell ref="E1087:F1087"/>
    <mergeCell ref="A1083:J1084"/>
    <mergeCell ref="C1086:D1086"/>
    <mergeCell ref="A1080:H1080"/>
    <mergeCell ref="E1075:F1075"/>
    <mergeCell ref="C1071:D1071"/>
    <mergeCell ref="C1073:D1073"/>
    <mergeCell ref="G1044:H1044"/>
    <mergeCell ref="I1072:J1072"/>
    <mergeCell ref="G1065:H1065"/>
    <mergeCell ref="G1046:H1046"/>
    <mergeCell ref="E1064:F1064"/>
    <mergeCell ref="G1064:H1064"/>
    <mergeCell ref="G1070:H1070"/>
    <mergeCell ref="E1044:F1044"/>
    <mergeCell ref="E1047:F1047"/>
    <mergeCell ref="A1066:J1066"/>
    <mergeCell ref="E1039:F1039"/>
    <mergeCell ref="I1024:J1024"/>
    <mergeCell ref="I1008:J1008"/>
    <mergeCell ref="K1013:L1013"/>
    <mergeCell ref="I1063:J1063"/>
    <mergeCell ref="E1063:F1063"/>
    <mergeCell ref="I1014:J1014"/>
    <mergeCell ref="G1021:H1021"/>
    <mergeCell ref="E1009:F1009"/>
    <mergeCell ref="G1009:H1009"/>
    <mergeCell ref="I1012:J1012"/>
    <mergeCell ref="I1011:J1011"/>
    <mergeCell ref="K1009:L1009"/>
    <mergeCell ref="G1012:H1012"/>
    <mergeCell ref="I1010:J1010"/>
    <mergeCell ref="K1012:L1012"/>
    <mergeCell ref="K1010:L1010"/>
    <mergeCell ref="K1011:L1011"/>
    <mergeCell ref="K1042:L1042"/>
    <mergeCell ref="K1045:L1045"/>
    <mergeCell ref="K1040:L1040"/>
    <mergeCell ref="K1008:L1008"/>
    <mergeCell ref="K1015:L1015"/>
    <mergeCell ref="K1031:L1031"/>
    <mergeCell ref="K1039:L1039"/>
    <mergeCell ref="K1030:L1030"/>
    <mergeCell ref="K1044:L1044"/>
    <mergeCell ref="K1021:L1021"/>
    <mergeCell ref="K1033:L1033"/>
    <mergeCell ref="K1014:L1014"/>
    <mergeCell ref="K988:L988"/>
    <mergeCell ref="K978:L978"/>
    <mergeCell ref="K1020:L1020"/>
    <mergeCell ref="K999:L999"/>
    <mergeCell ref="K987:L987"/>
    <mergeCell ref="K1000:L1000"/>
    <mergeCell ref="K1003:L1003"/>
    <mergeCell ref="K1001:L1001"/>
    <mergeCell ref="K877:L877"/>
    <mergeCell ref="K488:L488"/>
    <mergeCell ref="K628:L628"/>
    <mergeCell ref="K969:L969"/>
    <mergeCell ref="K968:L968"/>
    <mergeCell ref="K976:L976"/>
    <mergeCell ref="K964:L964"/>
    <mergeCell ref="K966:L966"/>
    <mergeCell ref="K941:L941"/>
    <mergeCell ref="K938:L938"/>
    <mergeCell ref="K497:L497"/>
    <mergeCell ref="I466:J466"/>
    <mergeCell ref="K461:L461"/>
    <mergeCell ref="K508:L508"/>
    <mergeCell ref="K933:L933"/>
    <mergeCell ref="K450:L450"/>
    <mergeCell ref="K466:L466"/>
    <mergeCell ref="K467:L467"/>
    <mergeCell ref="K887:L887"/>
    <mergeCell ref="K868:L868"/>
    <mergeCell ref="I480:J480"/>
    <mergeCell ref="I470:J470"/>
    <mergeCell ref="I475:J475"/>
    <mergeCell ref="I486:J486"/>
    <mergeCell ref="K483:L483"/>
    <mergeCell ref="K484:L484"/>
    <mergeCell ref="I560:J560"/>
    <mergeCell ref="I502:J502"/>
    <mergeCell ref="I405:J405"/>
    <mergeCell ref="I482:J482"/>
    <mergeCell ref="I485:J485"/>
    <mergeCell ref="I484:J484"/>
    <mergeCell ref="I506:J506"/>
    <mergeCell ref="I463:J463"/>
    <mergeCell ref="I501:J501"/>
    <mergeCell ref="I425:J425"/>
    <mergeCell ref="I377:J377"/>
    <mergeCell ref="I383:J383"/>
    <mergeCell ref="I385:J385"/>
    <mergeCell ref="I372:J372"/>
    <mergeCell ref="I555:J555"/>
    <mergeCell ref="I505:J505"/>
    <mergeCell ref="I497:J497"/>
    <mergeCell ref="I417:J417"/>
    <mergeCell ref="I442:J442"/>
    <mergeCell ref="I461:J461"/>
    <mergeCell ref="I370:J370"/>
    <mergeCell ref="I368:J368"/>
    <mergeCell ref="G370:H370"/>
    <mergeCell ref="I371:J371"/>
    <mergeCell ref="K525:L525"/>
    <mergeCell ref="K522:L522"/>
    <mergeCell ref="K480:L480"/>
    <mergeCell ref="K406:L406"/>
    <mergeCell ref="K393:L393"/>
    <mergeCell ref="G377:H377"/>
    <mergeCell ref="K503:L503"/>
    <mergeCell ref="K507:L507"/>
    <mergeCell ref="K495:L495"/>
    <mergeCell ref="K397:L397"/>
    <mergeCell ref="K396:L396"/>
    <mergeCell ref="K369:L369"/>
    <mergeCell ref="K459:L459"/>
    <mergeCell ref="K487:L487"/>
    <mergeCell ref="K501:L501"/>
    <mergeCell ref="K494:L494"/>
    <mergeCell ref="K540:L540"/>
    <mergeCell ref="K544:L544"/>
    <mergeCell ref="K551:L551"/>
    <mergeCell ref="K550:L550"/>
    <mergeCell ref="K528:L528"/>
    <mergeCell ref="K526:L526"/>
    <mergeCell ref="K534:L534"/>
    <mergeCell ref="K545:L545"/>
    <mergeCell ref="K535:L535"/>
    <mergeCell ref="K529:L529"/>
    <mergeCell ref="K560:L560"/>
    <mergeCell ref="K530:L530"/>
    <mergeCell ref="K558:L558"/>
    <mergeCell ref="K556:L556"/>
    <mergeCell ref="K557:L557"/>
    <mergeCell ref="K532:L532"/>
    <mergeCell ref="K555:L555"/>
    <mergeCell ref="K537:L537"/>
    <mergeCell ref="K549:L549"/>
    <mergeCell ref="K538:L538"/>
    <mergeCell ref="C1100:D1100"/>
    <mergeCell ref="E1101:F1101"/>
    <mergeCell ref="C1098:D1098"/>
    <mergeCell ref="I1118:J1118"/>
    <mergeCell ref="C1107:D1107"/>
    <mergeCell ref="E1107:F1107"/>
    <mergeCell ref="I1099:J1099"/>
    <mergeCell ref="E1098:F1098"/>
    <mergeCell ref="E1106:F1106"/>
    <mergeCell ref="C1108:D1108"/>
    <mergeCell ref="G1097:H1097"/>
    <mergeCell ref="G1076:H1076"/>
    <mergeCell ref="C1074:D1074"/>
    <mergeCell ref="G1133:H1133"/>
    <mergeCell ref="E1135:F1135"/>
    <mergeCell ref="I1086:J1086"/>
    <mergeCell ref="C1096:D1096"/>
    <mergeCell ref="E1095:F1095"/>
    <mergeCell ref="I1095:J1095"/>
    <mergeCell ref="G1098:H1098"/>
    <mergeCell ref="A1127:J1127"/>
    <mergeCell ref="I1065:J1065"/>
    <mergeCell ref="I1071:J1071"/>
    <mergeCell ref="I1070:J1070"/>
    <mergeCell ref="I1075:J1075"/>
    <mergeCell ref="I1100:J1100"/>
    <mergeCell ref="I1074:J1074"/>
    <mergeCell ref="I1073:J1073"/>
    <mergeCell ref="I1097:J1097"/>
    <mergeCell ref="I1096:J1096"/>
    <mergeCell ref="C1099:D1099"/>
    <mergeCell ref="I1101:J1101"/>
    <mergeCell ref="G1117:H1117"/>
    <mergeCell ref="G1111:H1111"/>
    <mergeCell ref="C1111:D1111"/>
    <mergeCell ref="I1111:J1111"/>
    <mergeCell ref="C1101:D1101"/>
    <mergeCell ref="I1109:J1109"/>
    <mergeCell ref="C1109:D1109"/>
    <mergeCell ref="I1102:J1102"/>
    <mergeCell ref="E1120:F1120"/>
    <mergeCell ref="E1117:F1117"/>
    <mergeCell ref="C1110:D1110"/>
    <mergeCell ref="E1110:F1110"/>
    <mergeCell ref="G1110:H1110"/>
    <mergeCell ref="G1116:H1116"/>
    <mergeCell ref="E1116:F1116"/>
    <mergeCell ref="G1119:H1119"/>
    <mergeCell ref="G1118:H1118"/>
    <mergeCell ref="C1051:D1051"/>
    <mergeCell ref="C1065:D1065"/>
    <mergeCell ref="C1060:D1060"/>
    <mergeCell ref="E1050:F1050"/>
    <mergeCell ref="E1053:F1053"/>
    <mergeCell ref="C1054:D1054"/>
    <mergeCell ref="E1065:F1065"/>
    <mergeCell ref="E1060:F1060"/>
    <mergeCell ref="C1050:D1050"/>
    <mergeCell ref="C1021:D1021"/>
    <mergeCell ref="C1034:D1034"/>
    <mergeCell ref="C1013:D1013"/>
    <mergeCell ref="C1015:D1015"/>
    <mergeCell ref="C1032:D1032"/>
    <mergeCell ref="C1011:D1011"/>
    <mergeCell ref="C1014:D1014"/>
    <mergeCell ref="A1016:J1016"/>
    <mergeCell ref="E1034:F1034"/>
    <mergeCell ref="G1015:H1015"/>
    <mergeCell ref="C1043:D1043"/>
    <mergeCell ref="E1032:F1032"/>
    <mergeCell ref="E1043:F1043"/>
    <mergeCell ref="C1040:D1040"/>
    <mergeCell ref="C1039:D1039"/>
    <mergeCell ref="C1030:D1030"/>
    <mergeCell ref="C1031:D1031"/>
    <mergeCell ref="C1041:D1041"/>
    <mergeCell ref="C1042:D1042"/>
    <mergeCell ref="E1040:F1040"/>
    <mergeCell ref="G971:H971"/>
    <mergeCell ref="G985:H985"/>
    <mergeCell ref="E971:F971"/>
    <mergeCell ref="A983:J983"/>
    <mergeCell ref="G978:H978"/>
    <mergeCell ref="G975:H975"/>
    <mergeCell ref="I976:J976"/>
    <mergeCell ref="C978:D978"/>
    <mergeCell ref="I986:J986"/>
    <mergeCell ref="C971:D971"/>
    <mergeCell ref="E976:F976"/>
    <mergeCell ref="E977:F977"/>
    <mergeCell ref="A958:H958"/>
    <mergeCell ref="C947:D947"/>
    <mergeCell ref="G947:H947"/>
    <mergeCell ref="G950:H950"/>
    <mergeCell ref="A960:H960"/>
    <mergeCell ref="C969:D969"/>
    <mergeCell ref="E970:F970"/>
    <mergeCell ref="E969:F969"/>
    <mergeCell ref="E951:F951"/>
    <mergeCell ref="C950:D950"/>
    <mergeCell ref="K931:L931"/>
    <mergeCell ref="I937:J937"/>
    <mergeCell ref="G940:H940"/>
    <mergeCell ref="G939:H939"/>
    <mergeCell ref="G945:H945"/>
    <mergeCell ref="K935:L935"/>
    <mergeCell ref="K937:L937"/>
    <mergeCell ref="K934:L934"/>
    <mergeCell ref="I930:J930"/>
    <mergeCell ref="K921:L921"/>
    <mergeCell ref="I918:J918"/>
    <mergeCell ref="I963:J963"/>
    <mergeCell ref="I940:J940"/>
    <mergeCell ref="I939:J939"/>
    <mergeCell ref="I950:J950"/>
    <mergeCell ref="I947:J947"/>
    <mergeCell ref="G951:H951"/>
    <mergeCell ref="I951:J951"/>
    <mergeCell ref="K936:L936"/>
    <mergeCell ref="K950:L950"/>
    <mergeCell ref="K939:L939"/>
    <mergeCell ref="I946:J946"/>
    <mergeCell ref="I945:J945"/>
    <mergeCell ref="I943:J943"/>
    <mergeCell ref="I942:J942"/>
    <mergeCell ref="I941:J941"/>
    <mergeCell ref="I922:J922"/>
    <mergeCell ref="K930:L930"/>
    <mergeCell ref="K920:L920"/>
    <mergeCell ref="K918:L918"/>
    <mergeCell ref="K923:L923"/>
    <mergeCell ref="I920:J920"/>
    <mergeCell ref="K929:L929"/>
    <mergeCell ref="I919:J919"/>
    <mergeCell ref="I901:J901"/>
    <mergeCell ref="K899:L899"/>
    <mergeCell ref="K898:L898"/>
    <mergeCell ref="G905:H905"/>
    <mergeCell ref="I929:J929"/>
    <mergeCell ref="I910:J910"/>
    <mergeCell ref="G922:H922"/>
    <mergeCell ref="I906:J906"/>
    <mergeCell ref="G910:H910"/>
    <mergeCell ref="G913:H913"/>
    <mergeCell ref="K815:L815"/>
    <mergeCell ref="K822:L822"/>
    <mergeCell ref="I900:J900"/>
    <mergeCell ref="I899:J899"/>
    <mergeCell ref="I898:J898"/>
    <mergeCell ref="I897:J897"/>
    <mergeCell ref="I868:J868"/>
    <mergeCell ref="I861:J861"/>
    <mergeCell ref="I880:J880"/>
    <mergeCell ref="I881:J881"/>
    <mergeCell ref="K894:L894"/>
    <mergeCell ref="K911:L911"/>
    <mergeCell ref="K862:L862"/>
    <mergeCell ref="K861:L861"/>
    <mergeCell ref="K901:L901"/>
    <mergeCell ref="K820:L820"/>
    <mergeCell ref="K881:L881"/>
    <mergeCell ref="K839:L839"/>
    <mergeCell ref="K858:L858"/>
    <mergeCell ref="K870:L870"/>
    <mergeCell ref="K805:L805"/>
    <mergeCell ref="K814:L814"/>
    <mergeCell ref="K813:L813"/>
    <mergeCell ref="K790:L790"/>
    <mergeCell ref="K803:L803"/>
    <mergeCell ref="K800:L800"/>
    <mergeCell ref="K793:L793"/>
    <mergeCell ref="K801:L801"/>
    <mergeCell ref="K812:L812"/>
    <mergeCell ref="I800:J800"/>
    <mergeCell ref="A784:J784"/>
    <mergeCell ref="E770:F770"/>
    <mergeCell ref="G768:H768"/>
    <mergeCell ref="C769:D769"/>
    <mergeCell ref="C794:D794"/>
    <mergeCell ref="I770:J770"/>
    <mergeCell ref="E769:F769"/>
    <mergeCell ref="G795:H795"/>
    <mergeCell ref="G773:H773"/>
    <mergeCell ref="G770:H770"/>
    <mergeCell ref="G764:H764"/>
    <mergeCell ref="G765:H765"/>
    <mergeCell ref="I764:J764"/>
    <mergeCell ref="G769:H769"/>
    <mergeCell ref="I766:J766"/>
    <mergeCell ref="I765:J765"/>
    <mergeCell ref="I767:J767"/>
    <mergeCell ref="G767:H767"/>
    <mergeCell ref="E765:F765"/>
    <mergeCell ref="G762:H762"/>
    <mergeCell ref="G759:H759"/>
    <mergeCell ref="I758:J758"/>
    <mergeCell ref="I761:J761"/>
    <mergeCell ref="I760:J760"/>
    <mergeCell ref="E759:F759"/>
    <mergeCell ref="G763:H763"/>
    <mergeCell ref="I763:J763"/>
    <mergeCell ref="E760:F760"/>
    <mergeCell ref="G758:H758"/>
    <mergeCell ref="G731:H731"/>
    <mergeCell ref="K761:L761"/>
    <mergeCell ref="K762:L762"/>
    <mergeCell ref="G757:H757"/>
    <mergeCell ref="I759:J759"/>
    <mergeCell ref="I757:J757"/>
    <mergeCell ref="G761:H761"/>
    <mergeCell ref="I731:J731"/>
    <mergeCell ref="G760:H760"/>
    <mergeCell ref="K724:L724"/>
    <mergeCell ref="I616:J616"/>
    <mergeCell ref="K765:L765"/>
    <mergeCell ref="K722:L722"/>
    <mergeCell ref="K758:L758"/>
    <mergeCell ref="K759:L759"/>
    <mergeCell ref="K756:L756"/>
    <mergeCell ref="K726:L726"/>
    <mergeCell ref="K730:L730"/>
    <mergeCell ref="I762:J762"/>
    <mergeCell ref="I725:J725"/>
    <mergeCell ref="K585:L585"/>
    <mergeCell ref="K621:L621"/>
    <mergeCell ref="K568:L568"/>
    <mergeCell ref="I614:J614"/>
    <mergeCell ref="K708:L708"/>
    <mergeCell ref="K703:L703"/>
    <mergeCell ref="I722:J722"/>
    <mergeCell ref="K635:L635"/>
    <mergeCell ref="K709:L709"/>
    <mergeCell ref="K564:L564"/>
    <mergeCell ref="K567:L567"/>
    <mergeCell ref="K367:L367"/>
    <mergeCell ref="K565:L565"/>
    <mergeCell ref="K383:L383"/>
    <mergeCell ref="K424:L424"/>
    <mergeCell ref="K413:L413"/>
    <mergeCell ref="K425:L425"/>
    <mergeCell ref="K416:L416"/>
    <mergeCell ref="K566:L566"/>
    <mergeCell ref="I379:J379"/>
    <mergeCell ref="K357:L357"/>
    <mergeCell ref="I367:J367"/>
    <mergeCell ref="K343:L343"/>
    <mergeCell ref="K362:L362"/>
    <mergeCell ref="K358:L358"/>
    <mergeCell ref="K376:L376"/>
    <mergeCell ref="K371:L371"/>
    <mergeCell ref="K359:L359"/>
    <mergeCell ref="K368:L368"/>
    <mergeCell ref="K345:L345"/>
    <mergeCell ref="K405:L405"/>
    <mergeCell ref="K428:L428"/>
    <mergeCell ref="K363:L363"/>
    <mergeCell ref="K395:L395"/>
    <mergeCell ref="K327:L327"/>
    <mergeCell ref="K344:L344"/>
    <mergeCell ref="K384:L384"/>
    <mergeCell ref="K394:L394"/>
    <mergeCell ref="K370:L370"/>
    <mergeCell ref="K372:L372"/>
    <mergeCell ref="K468:L468"/>
    <mergeCell ref="K457:L457"/>
    <mergeCell ref="K458:L458"/>
    <mergeCell ref="K463:L463"/>
    <mergeCell ref="K414:L414"/>
    <mergeCell ref="K465:L465"/>
    <mergeCell ref="K386:L386"/>
    <mergeCell ref="K379:L379"/>
    <mergeCell ref="K378:L378"/>
    <mergeCell ref="I362:J362"/>
    <mergeCell ref="I317:J317"/>
    <mergeCell ref="I322:J322"/>
    <mergeCell ref="G343:H343"/>
    <mergeCell ref="G322:H322"/>
    <mergeCell ref="G326:H326"/>
    <mergeCell ref="I343:J343"/>
    <mergeCell ref="I341:J341"/>
    <mergeCell ref="I325:J325"/>
    <mergeCell ref="I344:J344"/>
    <mergeCell ref="G315:H315"/>
    <mergeCell ref="I286:J286"/>
    <mergeCell ref="G342:H342"/>
    <mergeCell ref="I359:J359"/>
    <mergeCell ref="I360:J360"/>
    <mergeCell ref="I357:J357"/>
    <mergeCell ref="G304:H304"/>
    <mergeCell ref="I310:J310"/>
    <mergeCell ref="I304:J304"/>
    <mergeCell ref="G306:H306"/>
    <mergeCell ref="I273:J273"/>
    <mergeCell ref="I275:J275"/>
    <mergeCell ref="G196:H196"/>
    <mergeCell ref="I169:J169"/>
    <mergeCell ref="I159:J159"/>
    <mergeCell ref="G168:H168"/>
    <mergeCell ref="A257:J257"/>
    <mergeCell ref="I235:J235"/>
    <mergeCell ref="G275:H275"/>
    <mergeCell ref="G244:H244"/>
    <mergeCell ref="I191:J191"/>
    <mergeCell ref="I171:J171"/>
    <mergeCell ref="I170:J170"/>
    <mergeCell ref="I168:J168"/>
    <mergeCell ref="G167:H167"/>
    <mergeCell ref="I158:J158"/>
    <mergeCell ref="I189:J189"/>
    <mergeCell ref="G165:H165"/>
    <mergeCell ref="G160:H160"/>
    <mergeCell ref="G169:H169"/>
    <mergeCell ref="I151:J151"/>
    <mergeCell ref="G159:H159"/>
    <mergeCell ref="I163:J163"/>
    <mergeCell ref="I153:J153"/>
    <mergeCell ref="I149:J149"/>
    <mergeCell ref="I167:J167"/>
    <mergeCell ref="G150:H150"/>
    <mergeCell ref="I152:J152"/>
    <mergeCell ref="I155:J155"/>
    <mergeCell ref="I156:J156"/>
    <mergeCell ref="I208:J208"/>
    <mergeCell ref="I199:J199"/>
    <mergeCell ref="I181:J181"/>
    <mergeCell ref="I193:J193"/>
    <mergeCell ref="I205:J205"/>
    <mergeCell ref="I178:J178"/>
    <mergeCell ref="I197:J197"/>
    <mergeCell ref="I204:J204"/>
    <mergeCell ref="I192:J192"/>
    <mergeCell ref="I190:J190"/>
    <mergeCell ref="I127:J127"/>
    <mergeCell ref="I116:J116"/>
    <mergeCell ref="G116:H116"/>
    <mergeCell ref="I117:J117"/>
    <mergeCell ref="G126:H126"/>
    <mergeCell ref="I150:J150"/>
    <mergeCell ref="I133:J133"/>
    <mergeCell ref="I148:J148"/>
    <mergeCell ref="G149:H149"/>
    <mergeCell ref="G139:H139"/>
    <mergeCell ref="I252:J252"/>
    <mergeCell ref="G252:H252"/>
    <mergeCell ref="G253:H253"/>
    <mergeCell ref="I253:J253"/>
    <mergeCell ref="G367:H367"/>
    <mergeCell ref="I301:J301"/>
    <mergeCell ref="I254:J254"/>
    <mergeCell ref="G262:H262"/>
    <mergeCell ref="I284:J284"/>
    <mergeCell ref="G313:H313"/>
    <mergeCell ref="G369:H369"/>
    <mergeCell ref="I369:J369"/>
    <mergeCell ref="I363:J363"/>
    <mergeCell ref="I361:J361"/>
    <mergeCell ref="I358:J358"/>
    <mergeCell ref="K311:L311"/>
    <mergeCell ref="G314:H314"/>
    <mergeCell ref="G317:H317"/>
    <mergeCell ref="I323:J323"/>
    <mergeCell ref="I315:J315"/>
    <mergeCell ref="I279:J279"/>
    <mergeCell ref="K279:L279"/>
    <mergeCell ref="K301:L301"/>
    <mergeCell ref="K302:L302"/>
    <mergeCell ref="I305:J305"/>
    <mergeCell ref="G291:H291"/>
    <mergeCell ref="I295:J295"/>
    <mergeCell ref="G290:H290"/>
    <mergeCell ref="G293:H293"/>
    <mergeCell ref="G292:H292"/>
    <mergeCell ref="E278:F278"/>
    <mergeCell ref="K304:L304"/>
    <mergeCell ref="I274:J274"/>
    <mergeCell ref="G277:H277"/>
    <mergeCell ref="I276:J276"/>
    <mergeCell ref="G279:H279"/>
    <mergeCell ref="K285:L285"/>
    <mergeCell ref="I277:J277"/>
    <mergeCell ref="I278:J278"/>
    <mergeCell ref="K292:L292"/>
    <mergeCell ref="K313:L313"/>
    <mergeCell ref="K303:L303"/>
    <mergeCell ref="I232:J232"/>
    <mergeCell ref="K265:L265"/>
    <mergeCell ref="K275:L275"/>
    <mergeCell ref="K263:L263"/>
    <mergeCell ref="K246:L246"/>
    <mergeCell ref="K262:L262"/>
    <mergeCell ref="K310:L310"/>
    <mergeCell ref="K291:L291"/>
    <mergeCell ref="K204:L204"/>
    <mergeCell ref="I194:J194"/>
    <mergeCell ref="I196:J196"/>
    <mergeCell ref="I184:J184"/>
    <mergeCell ref="I182:J182"/>
    <mergeCell ref="I183:J183"/>
    <mergeCell ref="K190:L190"/>
    <mergeCell ref="K196:L196"/>
    <mergeCell ref="K189:L189"/>
    <mergeCell ref="K183:L183"/>
    <mergeCell ref="K195:L195"/>
    <mergeCell ref="K252:L252"/>
    <mergeCell ref="K233:L233"/>
    <mergeCell ref="K244:L244"/>
    <mergeCell ref="K228:L228"/>
    <mergeCell ref="K230:L230"/>
    <mergeCell ref="K251:L251"/>
    <mergeCell ref="K234:L234"/>
    <mergeCell ref="K235:L235"/>
    <mergeCell ref="K229:L229"/>
    <mergeCell ref="K197:L197"/>
    <mergeCell ref="I207:J207"/>
    <mergeCell ref="I206:J206"/>
    <mergeCell ref="K198:L198"/>
    <mergeCell ref="K210:L210"/>
    <mergeCell ref="K205:L205"/>
    <mergeCell ref="K207:L207"/>
    <mergeCell ref="K206:L206"/>
    <mergeCell ref="K208:L208"/>
    <mergeCell ref="I210:J210"/>
    <mergeCell ref="K219:L219"/>
    <mergeCell ref="K218:L218"/>
    <mergeCell ref="K217:L217"/>
    <mergeCell ref="K209:L209"/>
    <mergeCell ref="K215:L215"/>
    <mergeCell ref="K212:L212"/>
    <mergeCell ref="K211:L211"/>
    <mergeCell ref="K427:L427"/>
    <mergeCell ref="K420:L420"/>
    <mergeCell ref="K475:L475"/>
    <mergeCell ref="K415:L415"/>
    <mergeCell ref="K418:L418"/>
    <mergeCell ref="K464:L464"/>
    <mergeCell ref="K469:L469"/>
    <mergeCell ref="K419:L419"/>
    <mergeCell ref="K305:L305"/>
    <mergeCell ref="K255:L255"/>
    <mergeCell ref="K288:L288"/>
    <mergeCell ref="K293:L293"/>
    <mergeCell ref="K268:L268"/>
    <mergeCell ref="K278:L278"/>
    <mergeCell ref="K261:L261"/>
    <mergeCell ref="K294:L294"/>
    <mergeCell ref="K290:L290"/>
    <mergeCell ref="K289:L289"/>
    <mergeCell ref="K306:L306"/>
    <mergeCell ref="K524:L524"/>
    <mergeCell ref="K404:L404"/>
    <mergeCell ref="K417:L417"/>
    <mergeCell ref="K449:L449"/>
    <mergeCell ref="K470:L470"/>
    <mergeCell ref="K451:L451"/>
    <mergeCell ref="K433:L433"/>
    <mergeCell ref="K434:L434"/>
    <mergeCell ref="K435:L435"/>
    <mergeCell ref="K767:L767"/>
    <mergeCell ref="K492:L492"/>
    <mergeCell ref="K502:L502"/>
    <mergeCell ref="K440:L440"/>
    <mergeCell ref="K527:L527"/>
    <mergeCell ref="K493:L493"/>
    <mergeCell ref="K509:L509"/>
    <mergeCell ref="K510:L510"/>
    <mergeCell ref="K523:L523"/>
    <mergeCell ref="K623:L623"/>
    <mergeCell ref="K586:L586"/>
    <mergeCell ref="K456:L456"/>
    <mergeCell ref="K619:L619"/>
    <mergeCell ref="K595:L595"/>
    <mergeCell ref="K811:L811"/>
    <mergeCell ref="K831:L831"/>
    <mergeCell ref="K821:L821"/>
    <mergeCell ref="K806:L806"/>
    <mergeCell ref="K788:L788"/>
    <mergeCell ref="K614:L614"/>
    <mergeCell ref="K895:L895"/>
    <mergeCell ref="K719:L719"/>
    <mergeCell ref="K769:L769"/>
    <mergeCell ref="I886:J886"/>
    <mergeCell ref="I888:J888"/>
    <mergeCell ref="K851:L851"/>
    <mergeCell ref="K849:L849"/>
    <mergeCell ref="K833:L833"/>
    <mergeCell ref="K834:L834"/>
    <mergeCell ref="K890:L890"/>
    <mergeCell ref="I902:J902"/>
    <mergeCell ref="K859:L859"/>
    <mergeCell ref="I879:J879"/>
    <mergeCell ref="K875:L875"/>
    <mergeCell ref="K876:L876"/>
    <mergeCell ref="I896:J896"/>
    <mergeCell ref="I895:J895"/>
    <mergeCell ref="K871:L871"/>
    <mergeCell ref="K889:L889"/>
    <mergeCell ref="K879:L879"/>
    <mergeCell ref="I903:J903"/>
    <mergeCell ref="I909:J909"/>
    <mergeCell ref="K909:L909"/>
    <mergeCell ref="K905:L905"/>
    <mergeCell ref="I911:J911"/>
    <mergeCell ref="I912:J912"/>
    <mergeCell ref="K910:L910"/>
    <mergeCell ref="I905:J905"/>
    <mergeCell ref="I904:J904"/>
    <mergeCell ref="G912:H912"/>
    <mergeCell ref="G921:H921"/>
    <mergeCell ref="G918:H918"/>
    <mergeCell ref="G932:H932"/>
    <mergeCell ref="G930:H930"/>
    <mergeCell ref="G920:H920"/>
    <mergeCell ref="G931:H931"/>
    <mergeCell ref="G929:H929"/>
    <mergeCell ref="G911:H911"/>
    <mergeCell ref="I885:J885"/>
    <mergeCell ref="K922:L922"/>
    <mergeCell ref="K897:L897"/>
    <mergeCell ref="K906:L906"/>
    <mergeCell ref="K903:L903"/>
    <mergeCell ref="K919:L919"/>
    <mergeCell ref="K896:L896"/>
    <mergeCell ref="I890:J890"/>
    <mergeCell ref="K900:L900"/>
    <mergeCell ref="I913:J913"/>
    <mergeCell ref="G944:H944"/>
    <mergeCell ref="G979:H979"/>
    <mergeCell ref="G963:H963"/>
    <mergeCell ref="G968:H968"/>
    <mergeCell ref="G986:H986"/>
    <mergeCell ref="G1033:H1033"/>
    <mergeCell ref="G989:H989"/>
    <mergeCell ref="G1022:H1022"/>
    <mergeCell ref="G1010:H1010"/>
    <mergeCell ref="G1011:H1011"/>
    <mergeCell ref="G992:H992"/>
    <mergeCell ref="G1030:H1030"/>
    <mergeCell ref="A1005:J1005"/>
    <mergeCell ref="G1004:H1004"/>
    <mergeCell ref="G1014:H1014"/>
    <mergeCell ref="E992:F992"/>
    <mergeCell ref="C1002:D1002"/>
    <mergeCell ref="C992:D992"/>
    <mergeCell ref="C1023:D1023"/>
    <mergeCell ref="C1003:D1003"/>
    <mergeCell ref="G987:H987"/>
    <mergeCell ref="E1003:F1003"/>
    <mergeCell ref="C1029:D1029"/>
    <mergeCell ref="E1014:F1014"/>
    <mergeCell ref="A1025:J1025"/>
    <mergeCell ref="A1055:J1055"/>
    <mergeCell ref="C1045:D1045"/>
    <mergeCell ref="I1034:J1034"/>
    <mergeCell ref="I1033:J1033"/>
    <mergeCell ref="I1039:J1039"/>
    <mergeCell ref="C1048:D1048"/>
    <mergeCell ref="I1053:J1053"/>
    <mergeCell ref="I1040:J1040"/>
    <mergeCell ref="C1033:D1033"/>
    <mergeCell ref="E1061:F1061"/>
    <mergeCell ref="G1045:H1045"/>
    <mergeCell ref="I1045:J1045"/>
    <mergeCell ref="I1043:J1043"/>
    <mergeCell ref="G1043:H1043"/>
    <mergeCell ref="G1048:H1048"/>
    <mergeCell ref="C989:D989"/>
    <mergeCell ref="I1059:J1059"/>
    <mergeCell ref="I1042:J1042"/>
    <mergeCell ref="G1059:H1059"/>
    <mergeCell ref="I1047:J1047"/>
    <mergeCell ref="G1050:H1050"/>
    <mergeCell ref="E1051:F1051"/>
    <mergeCell ref="G1051:H1051"/>
    <mergeCell ref="I1051:J1051"/>
    <mergeCell ref="I1050:J1050"/>
    <mergeCell ref="C1059:D1059"/>
    <mergeCell ref="E1054:F1054"/>
    <mergeCell ref="C1061:D1061"/>
    <mergeCell ref="I1060:J1060"/>
    <mergeCell ref="G1060:H1060"/>
    <mergeCell ref="A1056:J1056"/>
    <mergeCell ref="G1054:H1054"/>
    <mergeCell ref="C1044:D1044"/>
    <mergeCell ref="E1000:F1000"/>
    <mergeCell ref="E1204:F1204"/>
    <mergeCell ref="G1099:H1099"/>
    <mergeCell ref="E1100:F1100"/>
    <mergeCell ref="G1100:H1100"/>
    <mergeCell ref="E1099:F1099"/>
    <mergeCell ref="G1190:H1190"/>
    <mergeCell ref="G1164:H1164"/>
    <mergeCell ref="G1062:H1062"/>
    <mergeCell ref="A1123:I1123"/>
    <mergeCell ref="A1103:J1103"/>
    <mergeCell ref="C1120:D1120"/>
    <mergeCell ref="K1172:L1172"/>
    <mergeCell ref="I1181:J1181"/>
    <mergeCell ref="K1173:L1173"/>
    <mergeCell ref="G1176:H1176"/>
    <mergeCell ref="K1176:L1176"/>
    <mergeCell ref="I1176:J1176"/>
    <mergeCell ref="G1181:H1181"/>
    <mergeCell ref="C1199:D1199"/>
    <mergeCell ref="I1186:J1186"/>
    <mergeCell ref="I1184:J1184"/>
    <mergeCell ref="I1188:J1188"/>
    <mergeCell ref="K1186:L1186"/>
    <mergeCell ref="I1185:J1185"/>
    <mergeCell ref="G1185:H1185"/>
    <mergeCell ref="E1193:F1193"/>
    <mergeCell ref="C1194:D1194"/>
    <mergeCell ref="C1189:D1189"/>
    <mergeCell ref="G1175:H1175"/>
    <mergeCell ref="I1182:J1182"/>
    <mergeCell ref="I1183:J1183"/>
    <mergeCell ref="I1175:J1175"/>
    <mergeCell ref="K1181:L1181"/>
    <mergeCell ref="K1338:L1338"/>
    <mergeCell ref="K1327:L1327"/>
    <mergeCell ref="K1325:L1325"/>
    <mergeCell ref="K1324:L1324"/>
    <mergeCell ref="K1326:L1326"/>
    <mergeCell ref="K1183:L1183"/>
    <mergeCell ref="K1315:L1315"/>
    <mergeCell ref="K1319:L1319"/>
    <mergeCell ref="K1224:L1224"/>
    <mergeCell ref="K1277:L1277"/>
    <mergeCell ref="K1345:L1345"/>
    <mergeCell ref="K1235:L1235"/>
    <mergeCell ref="K1232:L1232"/>
    <mergeCell ref="K1245:L1245"/>
    <mergeCell ref="K1275:L1275"/>
    <mergeCell ref="K1349:L1349"/>
    <mergeCell ref="K1343:L1343"/>
    <mergeCell ref="G1192:H1192"/>
    <mergeCell ref="K1270:L1270"/>
    <mergeCell ref="K1271:L1271"/>
    <mergeCell ref="K1284:L1284"/>
    <mergeCell ref="K1274:L1274"/>
    <mergeCell ref="G1220:H1220"/>
    <mergeCell ref="G1211:H1211"/>
    <mergeCell ref="I1222:J1222"/>
    <mergeCell ref="K1357:L1357"/>
    <mergeCell ref="K1321:L1321"/>
    <mergeCell ref="K1337:L1337"/>
    <mergeCell ref="K1205:L1205"/>
    <mergeCell ref="K1339:L1339"/>
    <mergeCell ref="K1346:L1346"/>
    <mergeCell ref="K1233:L1233"/>
    <mergeCell ref="K1241:L1241"/>
    <mergeCell ref="K1328:L1328"/>
    <mergeCell ref="K1309:L1309"/>
    <mergeCell ref="K1364:L1364"/>
    <mergeCell ref="K1365:L1365"/>
    <mergeCell ref="K1351:L1351"/>
    <mergeCell ref="K1184:L1184"/>
    <mergeCell ref="K1320:L1320"/>
    <mergeCell ref="K1361:L1361"/>
    <mergeCell ref="K1356:L1356"/>
    <mergeCell ref="K1350:L1350"/>
    <mergeCell ref="K1340:L1340"/>
    <mergeCell ref="K1344:L1344"/>
    <mergeCell ref="K1370:L1370"/>
    <mergeCell ref="K1367:L1367"/>
    <mergeCell ref="K1362:L1362"/>
    <mergeCell ref="K1363:L1363"/>
    <mergeCell ref="K1352:L1352"/>
    <mergeCell ref="K1371:L1371"/>
    <mergeCell ref="K1369:L1369"/>
    <mergeCell ref="K1358:L1358"/>
    <mergeCell ref="K1366:L1366"/>
    <mergeCell ref="K1355:L1355"/>
    <mergeCell ref="K1372:L1372"/>
    <mergeCell ref="K1579:L1579"/>
    <mergeCell ref="K1561:L1561"/>
    <mergeCell ref="K1614:L1614"/>
    <mergeCell ref="K1594:L1594"/>
    <mergeCell ref="K1587:L1587"/>
    <mergeCell ref="K1526:L1526"/>
    <mergeCell ref="K1384:L1384"/>
    <mergeCell ref="K1385:L1385"/>
    <mergeCell ref="K1386:L1386"/>
    <mergeCell ref="K1821:L1821"/>
    <mergeCell ref="K1820:L1820"/>
    <mergeCell ref="K1733:L1733"/>
    <mergeCell ref="I1765:J1765"/>
    <mergeCell ref="K1765:L1765"/>
    <mergeCell ref="I1815:J1815"/>
    <mergeCell ref="I1814:J1814"/>
    <mergeCell ref="I1807:J1807"/>
    <mergeCell ref="I1820:J1820"/>
    <mergeCell ref="I1819:J1819"/>
    <mergeCell ref="K1833:L1833"/>
    <mergeCell ref="K1832:L1832"/>
    <mergeCell ref="K1865:L1865"/>
    <mergeCell ref="K1864:L1864"/>
    <mergeCell ref="K1858:L1858"/>
    <mergeCell ref="K1859:L1859"/>
    <mergeCell ref="K1856:L1856"/>
    <mergeCell ref="K1857:L1857"/>
    <mergeCell ref="K1854:L1854"/>
    <mergeCell ref="K1838:L1838"/>
    <mergeCell ref="K1866:L1866"/>
    <mergeCell ref="K1862:L1862"/>
    <mergeCell ref="K1863:L1863"/>
    <mergeCell ref="K1840:L1840"/>
    <mergeCell ref="K1836:L1836"/>
    <mergeCell ref="K1853:L1853"/>
    <mergeCell ref="K1839:L1839"/>
    <mergeCell ref="K1837:L1837"/>
    <mergeCell ref="K1855:L1855"/>
    <mergeCell ref="C1204:D1204"/>
    <mergeCell ref="A1254:J1254"/>
    <mergeCell ref="I1199:J1199"/>
    <mergeCell ref="C1200:D1200"/>
    <mergeCell ref="G1221:H1221"/>
    <mergeCell ref="C1209:D1209"/>
    <mergeCell ref="E1209:F1209"/>
    <mergeCell ref="C1205:D1205"/>
    <mergeCell ref="E1205:F1205"/>
    <mergeCell ref="E1202:F1202"/>
    <mergeCell ref="C1202:D1202"/>
    <mergeCell ref="G1198:H1198"/>
    <mergeCell ref="G1199:H1199"/>
    <mergeCell ref="G1200:H1200"/>
    <mergeCell ref="G1201:H1201"/>
    <mergeCell ref="E1201:F1201"/>
    <mergeCell ref="G1202:H1202"/>
    <mergeCell ref="E1199:F1199"/>
    <mergeCell ref="C1198:D1198"/>
    <mergeCell ref="C1201:D1201"/>
    <mergeCell ref="E1189:F1189"/>
    <mergeCell ref="E1194:F1194"/>
    <mergeCell ref="C1190:D1190"/>
    <mergeCell ref="C1193:D1193"/>
    <mergeCell ref="C1192:D1192"/>
    <mergeCell ref="E1192:F1192"/>
    <mergeCell ref="C1191:D1191"/>
    <mergeCell ref="E1191:F1191"/>
    <mergeCell ref="E1190:F1190"/>
    <mergeCell ref="M501:N501"/>
    <mergeCell ref="M502:N502"/>
    <mergeCell ref="M503:N503"/>
    <mergeCell ref="M504:N504"/>
    <mergeCell ref="M505:N505"/>
    <mergeCell ref="K1817:L1817"/>
    <mergeCell ref="K1089:L1089"/>
    <mergeCell ref="K1087:L1087"/>
    <mergeCell ref="K1131:L1131"/>
    <mergeCell ref="K1076:L1076"/>
    <mergeCell ref="K1818:L1818"/>
    <mergeCell ref="M512:N512"/>
    <mergeCell ref="M506:N506"/>
    <mergeCell ref="M507:N507"/>
    <mergeCell ref="M508:N508"/>
    <mergeCell ref="M509:N509"/>
    <mergeCell ref="M510:N510"/>
    <mergeCell ref="M511:N511"/>
    <mergeCell ref="K1797:L1797"/>
    <mergeCell ref="K1753:L1753"/>
    <mergeCell ref="G1086:H1086"/>
    <mergeCell ref="K1831:L1831"/>
    <mergeCell ref="K1830:L1830"/>
    <mergeCell ref="K1815:L1815"/>
    <mergeCell ref="K1814:L1814"/>
    <mergeCell ref="K1806:L1806"/>
    <mergeCell ref="K1829:L1829"/>
    <mergeCell ref="K1816:L1816"/>
    <mergeCell ref="K1819:L1819"/>
    <mergeCell ref="K1807:L1807"/>
    <mergeCell ref="C1089:D1089"/>
    <mergeCell ref="K1072:L1072"/>
    <mergeCell ref="E1086:F1086"/>
    <mergeCell ref="G1073:H1073"/>
    <mergeCell ref="K1097:L1097"/>
    <mergeCell ref="K1086:L1086"/>
    <mergeCell ref="K1075:L1075"/>
    <mergeCell ref="K1096:L1096"/>
    <mergeCell ref="K1090:L1090"/>
    <mergeCell ref="G1091:H1091"/>
    <mergeCell ref="K1071:L1071"/>
    <mergeCell ref="E1096:F1096"/>
    <mergeCell ref="G1075:H1075"/>
    <mergeCell ref="K1091:L1091"/>
    <mergeCell ref="A1081:H1081"/>
    <mergeCell ref="K1074:L1074"/>
    <mergeCell ref="A1082:H1082"/>
    <mergeCell ref="K1095:L1095"/>
    <mergeCell ref="A1079:H1079"/>
    <mergeCell ref="E1090:F1090"/>
    <mergeCell ref="K1059:L1059"/>
    <mergeCell ref="K1070:L1070"/>
    <mergeCell ref="K1062:L1062"/>
    <mergeCell ref="K1063:L1063"/>
    <mergeCell ref="K1061:L1061"/>
    <mergeCell ref="K1043:L1043"/>
    <mergeCell ref="K965:L965"/>
    <mergeCell ref="M805:N805"/>
    <mergeCell ref="K830:L830"/>
    <mergeCell ref="K912:L912"/>
    <mergeCell ref="K913:L913"/>
    <mergeCell ref="K904:L904"/>
    <mergeCell ref="K902:L902"/>
    <mergeCell ref="K867:L867"/>
    <mergeCell ref="K841:L841"/>
    <mergeCell ref="K857:L857"/>
    <mergeCell ref="K869:L869"/>
    <mergeCell ref="M789:N789"/>
    <mergeCell ref="K789:L789"/>
    <mergeCell ref="M790:N790"/>
    <mergeCell ref="M791:N791"/>
    <mergeCell ref="M792:N792"/>
    <mergeCell ref="K804:L804"/>
    <mergeCell ref="K791:L791"/>
    <mergeCell ref="K802:L802"/>
    <mergeCell ref="K794:L794"/>
    <mergeCell ref="A779:H779"/>
    <mergeCell ref="C786:D786"/>
    <mergeCell ref="E786:F786"/>
    <mergeCell ref="K823:L823"/>
    <mergeCell ref="K825:L825"/>
    <mergeCell ref="K824:L824"/>
    <mergeCell ref="I806:J806"/>
    <mergeCell ref="I802:J802"/>
    <mergeCell ref="I794:J794"/>
    <mergeCell ref="I795:J795"/>
    <mergeCell ref="E787:F787"/>
    <mergeCell ref="E788:F788"/>
    <mergeCell ref="C788:D788"/>
    <mergeCell ref="C773:D773"/>
    <mergeCell ref="K773:L773"/>
    <mergeCell ref="G786:H786"/>
    <mergeCell ref="I787:J787"/>
    <mergeCell ref="K787:L787"/>
    <mergeCell ref="I773:J773"/>
    <mergeCell ref="I786:J786"/>
    <mergeCell ref="G771:H771"/>
    <mergeCell ref="I768:J768"/>
    <mergeCell ref="M788:N788"/>
    <mergeCell ref="A777:K777"/>
    <mergeCell ref="E773:F773"/>
    <mergeCell ref="A780:H780"/>
    <mergeCell ref="C787:D787"/>
    <mergeCell ref="G788:H788"/>
    <mergeCell ref="I788:J788"/>
    <mergeCell ref="M786:N786"/>
    <mergeCell ref="I730:J730"/>
    <mergeCell ref="K615:L615"/>
    <mergeCell ref="K608:L608"/>
    <mergeCell ref="K786:L786"/>
    <mergeCell ref="I771:J771"/>
    <mergeCell ref="M787:N787"/>
    <mergeCell ref="K760:L760"/>
    <mergeCell ref="K757:L757"/>
    <mergeCell ref="I769:J769"/>
    <mergeCell ref="A781:I781"/>
    <mergeCell ref="I723:J723"/>
    <mergeCell ref="K715:L715"/>
    <mergeCell ref="K627:L627"/>
    <mergeCell ref="K731:L731"/>
    <mergeCell ref="K770:L770"/>
    <mergeCell ref="K713:L713"/>
    <mergeCell ref="K768:L768"/>
    <mergeCell ref="K723:L723"/>
    <mergeCell ref="I724:J724"/>
    <mergeCell ref="K712:L712"/>
    <mergeCell ref="K593:L593"/>
    <mergeCell ref="K592:L592"/>
    <mergeCell ref="K771:L771"/>
    <mergeCell ref="K772:L772"/>
    <mergeCell ref="K616:L616"/>
    <mergeCell ref="K618:L618"/>
    <mergeCell ref="K594:L594"/>
    <mergeCell ref="K610:L610"/>
    <mergeCell ref="K725:L725"/>
    <mergeCell ref="K603:L603"/>
    <mergeCell ref="K559:L559"/>
    <mergeCell ref="K598:L598"/>
    <mergeCell ref="K401:L401"/>
    <mergeCell ref="K274:L274"/>
    <mergeCell ref="K277:L277"/>
    <mergeCell ref="K284:L284"/>
    <mergeCell ref="K287:L287"/>
    <mergeCell ref="K286:L286"/>
    <mergeCell ref="K569:L569"/>
    <mergeCell ref="K403:L403"/>
    <mergeCell ref="K341:L341"/>
    <mergeCell ref="K325:L325"/>
    <mergeCell ref="K158:L158"/>
    <mergeCell ref="K194:L194"/>
    <mergeCell ref="K169:L169"/>
    <mergeCell ref="K199:L199"/>
    <mergeCell ref="K177:L177"/>
    <mergeCell ref="K243:L243"/>
    <mergeCell ref="K295:L295"/>
    <mergeCell ref="K236:L236"/>
    <mergeCell ref="K160:L160"/>
    <mergeCell ref="K154:L154"/>
    <mergeCell ref="K147:L147"/>
    <mergeCell ref="K152:L152"/>
    <mergeCell ref="K157:L157"/>
    <mergeCell ref="K159:L159"/>
    <mergeCell ref="K155:L155"/>
    <mergeCell ref="K149:L149"/>
    <mergeCell ref="K153:L153"/>
    <mergeCell ref="K156:L156"/>
    <mergeCell ref="K115:L115"/>
    <mergeCell ref="K102:L102"/>
    <mergeCell ref="K113:L113"/>
    <mergeCell ref="K116:L116"/>
    <mergeCell ref="K129:L129"/>
    <mergeCell ref="K128:L128"/>
    <mergeCell ref="K127:L127"/>
    <mergeCell ref="K126:L126"/>
    <mergeCell ref="K125:L125"/>
    <mergeCell ref="K117:L117"/>
    <mergeCell ref="K98:L98"/>
    <mergeCell ref="K95:L95"/>
    <mergeCell ref="K92:L92"/>
    <mergeCell ref="K96:L96"/>
    <mergeCell ref="K67:L67"/>
    <mergeCell ref="K64:L64"/>
    <mergeCell ref="K65:L65"/>
    <mergeCell ref="K80:L80"/>
    <mergeCell ref="K76:L76"/>
    <mergeCell ref="I34:J34"/>
    <mergeCell ref="A59:L59"/>
    <mergeCell ref="C61:D61"/>
    <mergeCell ref="C64:D64"/>
    <mergeCell ref="C51:D51"/>
    <mergeCell ref="E49:F49"/>
    <mergeCell ref="C54:D54"/>
    <mergeCell ref="K39:L39"/>
    <mergeCell ref="I63:J63"/>
    <mergeCell ref="G63:H63"/>
    <mergeCell ref="K100:L100"/>
    <mergeCell ref="I111:J111"/>
    <mergeCell ref="K111:L111"/>
    <mergeCell ref="I99:J99"/>
    <mergeCell ref="K103:L103"/>
    <mergeCell ref="I100:J100"/>
    <mergeCell ref="I103:J103"/>
    <mergeCell ref="E89:F89"/>
    <mergeCell ref="I53:J53"/>
    <mergeCell ref="G52:H52"/>
    <mergeCell ref="E53:F53"/>
    <mergeCell ref="I105:J105"/>
    <mergeCell ref="I97:J97"/>
    <mergeCell ref="I98:J98"/>
    <mergeCell ref="G55:H55"/>
    <mergeCell ref="E80:F80"/>
    <mergeCell ref="G53:H53"/>
    <mergeCell ref="C39:D39"/>
    <mergeCell ref="C40:D40"/>
    <mergeCell ref="C43:D43"/>
    <mergeCell ref="E43:F43"/>
    <mergeCell ref="E42:F42"/>
    <mergeCell ref="I102:J102"/>
    <mergeCell ref="I49:J49"/>
    <mergeCell ref="I95:J95"/>
    <mergeCell ref="I61:J61"/>
    <mergeCell ref="E62:F62"/>
    <mergeCell ref="K81:L81"/>
    <mergeCell ref="I39:J39"/>
    <mergeCell ref="K51:L51"/>
    <mergeCell ref="E51:F51"/>
    <mergeCell ref="E39:F39"/>
    <mergeCell ref="K43:L43"/>
    <mergeCell ref="E61:F61"/>
    <mergeCell ref="K63:L63"/>
    <mergeCell ref="K53:L53"/>
    <mergeCell ref="G42:H42"/>
    <mergeCell ref="K38:L38"/>
    <mergeCell ref="C42:D42"/>
    <mergeCell ref="K61:L61"/>
    <mergeCell ref="G41:H41"/>
    <mergeCell ref="I88:J88"/>
    <mergeCell ref="I76:J76"/>
    <mergeCell ref="G62:H62"/>
    <mergeCell ref="I62:J62"/>
    <mergeCell ref="G81:H81"/>
    <mergeCell ref="K52:L52"/>
    <mergeCell ref="I43:J43"/>
    <mergeCell ref="K35:L35"/>
    <mergeCell ref="M40:N40"/>
    <mergeCell ref="K40:L40"/>
    <mergeCell ref="K37:L37"/>
    <mergeCell ref="M34:N34"/>
    <mergeCell ref="M35:N35"/>
    <mergeCell ref="M36:N36"/>
    <mergeCell ref="M37:N37"/>
    <mergeCell ref="K36:L36"/>
    <mergeCell ref="K50:L50"/>
    <mergeCell ref="M51:N51"/>
    <mergeCell ref="M38:N38"/>
    <mergeCell ref="I37:J37"/>
    <mergeCell ref="M39:N39"/>
    <mergeCell ref="M41:N41"/>
    <mergeCell ref="M42:N42"/>
    <mergeCell ref="M43:N43"/>
    <mergeCell ref="M49:N49"/>
    <mergeCell ref="I41:J41"/>
    <mergeCell ref="K77:L77"/>
    <mergeCell ref="I79:J79"/>
    <mergeCell ref="I66:J66"/>
    <mergeCell ref="I36:J36"/>
    <mergeCell ref="I51:J51"/>
    <mergeCell ref="K41:L41"/>
    <mergeCell ref="K49:L49"/>
    <mergeCell ref="I38:J38"/>
    <mergeCell ref="K42:L42"/>
    <mergeCell ref="I40:J40"/>
    <mergeCell ref="C78:D78"/>
    <mergeCell ref="C81:D81"/>
    <mergeCell ref="C89:D89"/>
    <mergeCell ref="K79:L79"/>
    <mergeCell ref="M52:N52"/>
    <mergeCell ref="G54:H54"/>
    <mergeCell ref="I81:J81"/>
    <mergeCell ref="I80:J80"/>
    <mergeCell ref="I54:J54"/>
    <mergeCell ref="K88:L88"/>
    <mergeCell ref="M50:N50"/>
    <mergeCell ref="K55:L55"/>
    <mergeCell ref="K90:L90"/>
    <mergeCell ref="K66:L66"/>
    <mergeCell ref="K70:L70"/>
    <mergeCell ref="I101:J101"/>
    <mergeCell ref="A74:L74"/>
    <mergeCell ref="K71:L71"/>
    <mergeCell ref="K93:L93"/>
    <mergeCell ref="C80:D80"/>
    <mergeCell ref="K114:L114"/>
    <mergeCell ref="I112:J112"/>
    <mergeCell ref="G115:H115"/>
    <mergeCell ref="K62:L62"/>
    <mergeCell ref="M53:N53"/>
    <mergeCell ref="K91:L91"/>
    <mergeCell ref="K82:L82"/>
    <mergeCell ref="K54:L54"/>
    <mergeCell ref="I78:J78"/>
    <mergeCell ref="K68:L68"/>
    <mergeCell ref="M88:N88"/>
    <mergeCell ref="M78:N78"/>
    <mergeCell ref="K99:L99"/>
    <mergeCell ref="G111:H111"/>
    <mergeCell ref="I114:J114"/>
    <mergeCell ref="M115:N115"/>
    <mergeCell ref="K112:L112"/>
    <mergeCell ref="M114:N114"/>
    <mergeCell ref="M112:N112"/>
    <mergeCell ref="I115:J115"/>
    <mergeCell ref="G113:H113"/>
    <mergeCell ref="G112:H112"/>
    <mergeCell ref="K101:L101"/>
    <mergeCell ref="M111:N111"/>
    <mergeCell ref="K105:L105"/>
    <mergeCell ref="K104:L104"/>
    <mergeCell ref="G105:H105"/>
    <mergeCell ref="K134:L134"/>
    <mergeCell ref="K131:L131"/>
    <mergeCell ref="E115:F115"/>
    <mergeCell ref="K118:L118"/>
    <mergeCell ref="E112:F112"/>
    <mergeCell ref="G117:H117"/>
    <mergeCell ref="A120:H120"/>
    <mergeCell ref="E118:F118"/>
    <mergeCell ref="G119:H119"/>
    <mergeCell ref="K119:L119"/>
    <mergeCell ref="E142:F142"/>
    <mergeCell ref="E141:F141"/>
    <mergeCell ref="I141:J141"/>
    <mergeCell ref="A135:H135"/>
    <mergeCell ref="K142:L142"/>
    <mergeCell ref="M131:N131"/>
    <mergeCell ref="K132:L132"/>
    <mergeCell ref="I131:J131"/>
    <mergeCell ref="M132:N132"/>
    <mergeCell ref="I139:J139"/>
    <mergeCell ref="M133:N133"/>
    <mergeCell ref="M134:N134"/>
    <mergeCell ref="M139:N139"/>
    <mergeCell ref="M140:N140"/>
    <mergeCell ref="K140:L140"/>
    <mergeCell ref="K141:L141"/>
    <mergeCell ref="K133:L133"/>
    <mergeCell ref="A137:L137"/>
    <mergeCell ref="E134:F134"/>
    <mergeCell ref="K139:L139"/>
    <mergeCell ref="I128:J128"/>
    <mergeCell ref="I130:J130"/>
    <mergeCell ref="G132:H132"/>
    <mergeCell ref="I132:J132"/>
    <mergeCell ref="G130:H130"/>
    <mergeCell ref="G134:H134"/>
    <mergeCell ref="I134:J134"/>
    <mergeCell ref="I147:J147"/>
    <mergeCell ref="I142:J142"/>
    <mergeCell ref="M165:N165"/>
    <mergeCell ref="G133:H133"/>
    <mergeCell ref="G131:H131"/>
    <mergeCell ref="G127:H127"/>
    <mergeCell ref="K130:L130"/>
    <mergeCell ref="M128:N128"/>
    <mergeCell ref="M142:N142"/>
    <mergeCell ref="I140:J140"/>
    <mergeCell ref="M129:N129"/>
    <mergeCell ref="G128:H128"/>
    <mergeCell ref="K165:L165"/>
    <mergeCell ref="K167:L167"/>
    <mergeCell ref="K166:L166"/>
    <mergeCell ref="M175:N175"/>
    <mergeCell ref="I175:J175"/>
    <mergeCell ref="M157:N157"/>
    <mergeCell ref="M170:N170"/>
    <mergeCell ref="M168:N168"/>
    <mergeCell ref="M169:N169"/>
    <mergeCell ref="M167:N167"/>
    <mergeCell ref="I180:J180"/>
    <mergeCell ref="I179:J179"/>
    <mergeCell ref="M179:N179"/>
    <mergeCell ref="K180:L180"/>
    <mergeCell ref="M180:N180"/>
    <mergeCell ref="K168:L168"/>
    <mergeCell ref="K175:L175"/>
    <mergeCell ref="K170:L170"/>
    <mergeCell ref="G176:H176"/>
    <mergeCell ref="I176:J176"/>
    <mergeCell ref="K176:L176"/>
    <mergeCell ref="M176:N176"/>
    <mergeCell ref="K178:L178"/>
    <mergeCell ref="K179:L179"/>
    <mergeCell ref="M177:N177"/>
    <mergeCell ref="M178:N178"/>
    <mergeCell ref="G179:H179"/>
    <mergeCell ref="K193:L193"/>
    <mergeCell ref="K191:L191"/>
    <mergeCell ref="K181:L181"/>
    <mergeCell ref="K192:L192"/>
    <mergeCell ref="M184:N184"/>
    <mergeCell ref="K182:L182"/>
    <mergeCell ref="M182:N182"/>
    <mergeCell ref="K184:L184"/>
    <mergeCell ref="M190:N190"/>
    <mergeCell ref="M181:N181"/>
    <mergeCell ref="M803:N803"/>
    <mergeCell ref="K213:L213"/>
    <mergeCell ref="K214:L214"/>
    <mergeCell ref="M793:N793"/>
    <mergeCell ref="M804:N804"/>
    <mergeCell ref="K264:L264"/>
    <mergeCell ref="K266:L266"/>
    <mergeCell ref="K276:L276"/>
    <mergeCell ref="K342:L342"/>
    <mergeCell ref="K721:L721"/>
    <mergeCell ref="M794:N794"/>
    <mergeCell ref="M795:N795"/>
    <mergeCell ref="M800:N800"/>
    <mergeCell ref="M801:N801"/>
    <mergeCell ref="M802:N802"/>
    <mergeCell ref="K720:L720"/>
    <mergeCell ref="K763:L763"/>
    <mergeCell ref="K766:L766"/>
    <mergeCell ref="K792:L792"/>
    <mergeCell ref="K795:L795"/>
    <mergeCell ref="K590:L590"/>
    <mergeCell ref="K613:L613"/>
    <mergeCell ref="K591:L591"/>
    <mergeCell ref="K232:L232"/>
    <mergeCell ref="K231:L231"/>
    <mergeCell ref="K256:L256"/>
    <mergeCell ref="K273:L273"/>
    <mergeCell ref="K267:L267"/>
    <mergeCell ref="K241:L241"/>
    <mergeCell ref="K254:L254"/>
    <mergeCell ref="K253:L253"/>
    <mergeCell ref="K245:L245"/>
    <mergeCell ref="K242:L242"/>
    <mergeCell ref="M806:N806"/>
    <mergeCell ref="M831:N831"/>
    <mergeCell ref="M832:N832"/>
    <mergeCell ref="M811:N811"/>
    <mergeCell ref="M812:N812"/>
    <mergeCell ref="M822:N822"/>
    <mergeCell ref="K832:L832"/>
    <mergeCell ref="M978:N978"/>
    <mergeCell ref="M979:N979"/>
    <mergeCell ref="M969:N969"/>
    <mergeCell ref="M970:N970"/>
    <mergeCell ref="M971:N971"/>
    <mergeCell ref="M975:N975"/>
    <mergeCell ref="M976:N976"/>
    <mergeCell ref="M834:N834"/>
    <mergeCell ref="M963:N963"/>
    <mergeCell ref="M967:N967"/>
    <mergeCell ref="M821:N821"/>
    <mergeCell ref="M813:N813"/>
    <mergeCell ref="K843:L843"/>
    <mergeCell ref="M820:N820"/>
    <mergeCell ref="K856:L856"/>
    <mergeCell ref="K880:L880"/>
    <mergeCell ref="K860:L860"/>
    <mergeCell ref="M1340:N1340"/>
    <mergeCell ref="M980:N980"/>
    <mergeCell ref="M1338:N1338"/>
    <mergeCell ref="M965:N965"/>
    <mergeCell ref="M966:N966"/>
    <mergeCell ref="M823:N823"/>
    <mergeCell ref="M1339:N1339"/>
    <mergeCell ref="M1337:N1337"/>
    <mergeCell ref="M1039:N1039"/>
    <mergeCell ref="M1040:N1040"/>
    <mergeCell ref="K850:L850"/>
    <mergeCell ref="K842:L842"/>
    <mergeCell ref="K848:L848"/>
    <mergeCell ref="K888:L888"/>
    <mergeCell ref="M968:N968"/>
    <mergeCell ref="M977:N977"/>
    <mergeCell ref="K847:L847"/>
    <mergeCell ref="M964:N964"/>
    <mergeCell ref="K932:L932"/>
    <mergeCell ref="K878:L878"/>
    <mergeCell ref="M814:N814"/>
    <mergeCell ref="M815:N815"/>
    <mergeCell ref="K885:L885"/>
    <mergeCell ref="K886:L886"/>
    <mergeCell ref="K840:L840"/>
    <mergeCell ref="K914:L914"/>
    <mergeCell ref="M833:N833"/>
    <mergeCell ref="M824:N824"/>
    <mergeCell ref="M825:N825"/>
    <mergeCell ref="M830:N830"/>
    <mergeCell ref="C912:D912"/>
    <mergeCell ref="C914:D914"/>
    <mergeCell ref="E950:F950"/>
    <mergeCell ref="I944:J944"/>
    <mergeCell ref="C948:D948"/>
    <mergeCell ref="C1008:D1008"/>
    <mergeCell ref="G970:H970"/>
    <mergeCell ref="E988:F988"/>
    <mergeCell ref="E991:F991"/>
    <mergeCell ref="G988:H988"/>
    <mergeCell ref="M1051:N1051"/>
    <mergeCell ref="G1049:H1049"/>
    <mergeCell ref="I1046:J1046"/>
    <mergeCell ref="M1049:N1049"/>
    <mergeCell ref="I1018:J1018"/>
    <mergeCell ref="K1050:L1050"/>
    <mergeCell ref="G1029:H1029"/>
    <mergeCell ref="G1040:H1040"/>
    <mergeCell ref="G1042:H1042"/>
    <mergeCell ref="M1046:N1046"/>
    <mergeCell ref="M1047:N1047"/>
    <mergeCell ref="M1042:N1042"/>
    <mergeCell ref="K1051:L1051"/>
    <mergeCell ref="K1064:L1064"/>
    <mergeCell ref="M1050:N1050"/>
    <mergeCell ref="K1060:L1060"/>
    <mergeCell ref="K1053:L1053"/>
    <mergeCell ref="K1054:L1054"/>
    <mergeCell ref="M1048:N1048"/>
    <mergeCell ref="K1049:L1049"/>
    <mergeCell ref="M1045:N1045"/>
    <mergeCell ref="M1003:N1003"/>
    <mergeCell ref="M1002:N1002"/>
    <mergeCell ref="M991:N991"/>
    <mergeCell ref="M992:N992"/>
    <mergeCell ref="M997:N997"/>
    <mergeCell ref="G998:H998"/>
    <mergeCell ref="M985:N985"/>
    <mergeCell ref="M989:N989"/>
    <mergeCell ref="M990:N990"/>
    <mergeCell ref="M1043:N1043"/>
    <mergeCell ref="G1039:H1039"/>
    <mergeCell ref="I1041:J1041"/>
    <mergeCell ref="I988:J988"/>
    <mergeCell ref="I987:J987"/>
    <mergeCell ref="G1041:H1041"/>
    <mergeCell ref="K1046:L1046"/>
    <mergeCell ref="I979:J979"/>
    <mergeCell ref="I980:J980"/>
    <mergeCell ref="A993:J993"/>
    <mergeCell ref="M1041:N1041"/>
    <mergeCell ref="C997:D997"/>
    <mergeCell ref="C1009:D1009"/>
    <mergeCell ref="M987:N987"/>
    <mergeCell ref="M988:N988"/>
    <mergeCell ref="M986:N986"/>
    <mergeCell ref="M1054:N1054"/>
    <mergeCell ref="M1052:N1052"/>
    <mergeCell ref="M1053:N1053"/>
    <mergeCell ref="M1004:N1004"/>
    <mergeCell ref="M1044:N1044"/>
    <mergeCell ref="K1047:L1047"/>
    <mergeCell ref="K1024:L1024"/>
    <mergeCell ref="K1023:L1023"/>
    <mergeCell ref="K1029:L1029"/>
    <mergeCell ref="K1034:L1034"/>
    <mergeCell ref="C1046:D1046"/>
    <mergeCell ref="G1047:H1047"/>
    <mergeCell ref="C1053:D1053"/>
    <mergeCell ref="K1048:L1048"/>
    <mergeCell ref="C1047:D1047"/>
    <mergeCell ref="I1052:J1052"/>
    <mergeCell ref="I1048:J1048"/>
    <mergeCell ref="K1052:L1052"/>
    <mergeCell ref="G1053:H1053"/>
    <mergeCell ref="I1049:J1049"/>
    <mergeCell ref="E1045:F1045"/>
    <mergeCell ref="K1041:L1041"/>
    <mergeCell ref="G914:H914"/>
    <mergeCell ref="I914:J914"/>
    <mergeCell ref="E1211:F1211"/>
    <mergeCell ref="I1054:J1054"/>
    <mergeCell ref="I1044:J1044"/>
    <mergeCell ref="E1049:F1049"/>
    <mergeCell ref="E997:F997"/>
    <mergeCell ref="E1052:F1052"/>
    <mergeCell ref="G889:H889"/>
    <mergeCell ref="G1052:H1052"/>
    <mergeCell ref="C1052:D1052"/>
    <mergeCell ref="C1049:D1049"/>
    <mergeCell ref="C1210:D1210"/>
    <mergeCell ref="E1210:F1210"/>
    <mergeCell ref="C991:D991"/>
    <mergeCell ref="E1001:F1001"/>
    <mergeCell ref="E1046:F1046"/>
    <mergeCell ref="G976:H976"/>
    <mergeCell ref="C1216:D1216"/>
    <mergeCell ref="E1216:F1216"/>
    <mergeCell ref="I1220:J1220"/>
    <mergeCell ref="C1221:D1221"/>
    <mergeCell ref="E1221:F1221"/>
    <mergeCell ref="C1220:D1220"/>
    <mergeCell ref="C1215:D1215"/>
    <mergeCell ref="G1225:H1225"/>
    <mergeCell ref="E1235:F1235"/>
    <mergeCell ref="G1235:H1235"/>
    <mergeCell ref="I1224:J1224"/>
    <mergeCell ref="I1225:J1225"/>
    <mergeCell ref="G1224:H1224"/>
    <mergeCell ref="I1226:J1226"/>
    <mergeCell ref="I1227:J1227"/>
    <mergeCell ref="I1223:J1223"/>
    <mergeCell ref="C1245:D1245"/>
    <mergeCell ref="E1245:F1245"/>
    <mergeCell ref="G1245:H1245"/>
    <mergeCell ref="E1244:F1244"/>
    <mergeCell ref="C1241:D1241"/>
    <mergeCell ref="C1226:D1226"/>
    <mergeCell ref="G1212:H1212"/>
    <mergeCell ref="G1233:H1233"/>
    <mergeCell ref="E1241:F1241"/>
    <mergeCell ref="G1241:H1241"/>
    <mergeCell ref="I1235:J1235"/>
    <mergeCell ref="C1212:D1212"/>
    <mergeCell ref="E1236:F1236"/>
    <mergeCell ref="G1236:H1236"/>
    <mergeCell ref="E1212:F1212"/>
    <mergeCell ref="C1213:D1213"/>
    <mergeCell ref="G1237:H1237"/>
    <mergeCell ref="G1244:H1244"/>
    <mergeCell ref="E1242:F1242"/>
    <mergeCell ref="I1246:J1246"/>
    <mergeCell ref="K1236:L1236"/>
    <mergeCell ref="I1244:J1244"/>
    <mergeCell ref="K1244:L1244"/>
    <mergeCell ref="K1243:L1243"/>
    <mergeCell ref="I1236:J1236"/>
    <mergeCell ref="G1384:H1384"/>
    <mergeCell ref="C1396:D1396"/>
    <mergeCell ref="C1397:D1397"/>
    <mergeCell ref="C1237:D1237"/>
    <mergeCell ref="E1237:F1237"/>
    <mergeCell ref="C1234:D1234"/>
    <mergeCell ref="E1234:F1234"/>
    <mergeCell ref="C1246:D1246"/>
    <mergeCell ref="C1243:D1243"/>
    <mergeCell ref="C1387:D1387"/>
    <mergeCell ref="C1211:D1211"/>
    <mergeCell ref="I1247:J1247"/>
    <mergeCell ref="E1243:F1243"/>
    <mergeCell ref="G1243:H1243"/>
    <mergeCell ref="I1243:J1243"/>
    <mergeCell ref="C1227:D1227"/>
    <mergeCell ref="E1246:F1246"/>
    <mergeCell ref="G1246:H1246"/>
    <mergeCell ref="G1234:H1234"/>
    <mergeCell ref="G1242:H1242"/>
    <mergeCell ref="E1386:F1386"/>
    <mergeCell ref="E1387:F1387"/>
    <mergeCell ref="C1385:D1385"/>
    <mergeCell ref="C1386:D1386"/>
    <mergeCell ref="C1390:D1390"/>
    <mergeCell ref="C1384:D1384"/>
    <mergeCell ref="C1395:D1395"/>
    <mergeCell ref="C1388:D1388"/>
    <mergeCell ref="C1389:D1389"/>
    <mergeCell ref="C1393:D1393"/>
    <mergeCell ref="C1391:D1391"/>
    <mergeCell ref="C1392:D1392"/>
    <mergeCell ref="C1394:D1394"/>
    <mergeCell ref="K1387:L1387"/>
    <mergeCell ref="K1388:L1388"/>
    <mergeCell ref="K1389:L1389"/>
    <mergeCell ref="K1390:L1390"/>
    <mergeCell ref="G1386:H1386"/>
    <mergeCell ref="G1387:H1387"/>
    <mergeCell ref="I1386:J1386"/>
    <mergeCell ref="I1387:J1387"/>
    <mergeCell ref="G1405:H1405"/>
    <mergeCell ref="G1388:H1388"/>
    <mergeCell ref="G1389:H1389"/>
    <mergeCell ref="G1390:H1390"/>
    <mergeCell ref="I1390:J1390"/>
    <mergeCell ref="I1388:J1388"/>
    <mergeCell ref="I1389:J1389"/>
    <mergeCell ref="I1413:J1413"/>
    <mergeCell ref="G1412:H1412"/>
    <mergeCell ref="G1413:H1413"/>
    <mergeCell ref="I1404:J1404"/>
    <mergeCell ref="I1405:J1405"/>
    <mergeCell ref="I1406:J1406"/>
    <mergeCell ref="I1407:J1407"/>
    <mergeCell ref="I1408:J1408"/>
    <mergeCell ref="I1409:J1409"/>
    <mergeCell ref="I1410:J1410"/>
    <mergeCell ref="I1412:J1412"/>
    <mergeCell ref="I1411:J1411"/>
    <mergeCell ref="G1406:H1406"/>
    <mergeCell ref="G1407:H1407"/>
    <mergeCell ref="G1408:H1408"/>
    <mergeCell ref="G696:H696"/>
    <mergeCell ref="G1409:H1409"/>
    <mergeCell ref="G1410:H1410"/>
    <mergeCell ref="G1411:H1411"/>
    <mergeCell ref="G1404:H1404"/>
    <mergeCell ref="E695:F695"/>
    <mergeCell ref="C692:D692"/>
    <mergeCell ref="C693:D693"/>
    <mergeCell ref="C694:D694"/>
    <mergeCell ref="C695:D695"/>
    <mergeCell ref="G695:H695"/>
  </mergeCells>
  <hyperlinks>
    <hyperlink ref="A1:C1" location="'Зима 18-19, Весна 19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1:J1" location="'Зима 22, Весна 2022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7" location="'Зима 23, Весна 2023'!A1490" display="Гавана (осн. часть)"/>
    <hyperlink ref="A9" location="'Зима 23, Весна 2023'!A1920" display=" - Восточные пляжи Гаваны"/>
    <hyperlink ref="A12" location="'Зима 23, Весна 2023'!A626" display="Тринидад"/>
    <hyperlink ref="A13" location="'Зима 23, Весна 2023'!A704" display="Сьенфуэгос"/>
    <hyperlink ref="A15" location="'Зима 23, Весна 2023'!A748" display="Кайо Ларго"/>
    <hyperlink ref="A16" location="'Зима 23, Весна 2023'!A713" display="Кайо Энсеначос"/>
    <hyperlink ref="A17" location="'Зима 23, Весна 2023'!A845" display="Кайо Санта Мария"/>
    <hyperlink ref="A18" location="'Зима 23, Весна 2023'!A1036" display="Кайо Коко"/>
    <hyperlink ref="A20" location="'Зима 23, Весна 2023'!A1216" display="Кайо Гильермо"/>
    <hyperlink ref="A22" location="'Зима 23, Весна 2023'!A1435" display="Сантьяго-де-Куба"/>
    <hyperlink ref="A21" location="'Зима 23, Весна 2023'!A1350" display="Ольгин"/>
    <hyperlink ref="A23:C23" location="'Зима 18-19, Весна 19'!A1767" display="Трансферы Гавана, Варадеро (цены на остальные трансферы указаны после каждого курорта)"/>
    <hyperlink ref="A10" location="'Зима 23, Весна 2023'!A1961" display=" - Хибакоа"/>
    <hyperlink ref="A11" location="'Зима 23, Весна 2023'!A43" display="Варадеро"/>
    <hyperlink ref="A23:H23" location="'Зима 23, Весна 2023'!A1980" display="Трансферы Гавана, Варадеро (цены на остальные трансферы указаны после каждого курорта)"/>
    <hyperlink ref="A19:B19" location="'Зима 23, Весна 2023'!A1168" display="CAYO CRUZ    -  ОСТРОВ  КАЙО  КРУЗ (Атлантический океан - Северное побережье)"/>
    <hyperlink ref="A1:L1" location="'Зима 23, Весна 2023'!A2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  <hyperlink ref="A8" location="'Зима 23, Весна 2023'!A1731" display=" - Историческая часть Гаваны"/>
  </hyperlinks>
  <printOptions/>
  <pageMargins left="0.7" right="0.7" top="0.75" bottom="0.75" header="0.3" footer="0.3"/>
  <pageSetup horizontalDpi="600" verticalDpi="600" orientation="portrait" paperSize="9" r:id="rId2"/>
  <ignoredErrors>
    <ignoredError sqref="D40 D42 D105 D170 D230 D70 D39 D43 D104 D802 C291:D291 D278 D1261 D1263 D1262 D1265 D1264 D1682 D1677:D1680 D1686 D1684 D1690 D1692 D1694 D1709:D1718 D290 C295:D295 D292 C293:D293 D294 C1681:D1681 C1685:D168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Ark</cp:lastModifiedBy>
  <cp:lastPrinted>2016-09-02T07:38:38Z</cp:lastPrinted>
  <dcterms:created xsi:type="dcterms:W3CDTF">2012-09-03T07:18:34Z</dcterms:created>
  <dcterms:modified xsi:type="dcterms:W3CDTF">2023-01-24T12:37:33Z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