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6440" tabRatio="584" activeTab="0"/>
  </bookViews>
  <sheets>
    <sheet name="Зима 22, Весна 2022" sheetId="1" r:id="rId1"/>
  </sheets>
  <definedNames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<sst xmlns="http://schemas.openxmlformats.org/spreadsheetml/2006/main" count="2644" uniqueCount="1118">
  <si>
    <t xml:space="preserve">Starfish Cayo Santa Maria </t>
  </si>
  <si>
    <t>GRAND PREMIUM  VISTA LAGUNA DBL</t>
  </si>
  <si>
    <t>GRAND PREMIUM VISTA LAGUNA SGL</t>
  </si>
  <si>
    <t>SUPERIOR OCEAN  VIEW DBL</t>
  </si>
  <si>
    <t>SUPERIOR  OCEAN  VIEW SGL</t>
  </si>
  <si>
    <t xml:space="preserve">DBL OCEAN VIEW </t>
  </si>
  <si>
    <t xml:space="preserve">SGL OCEAN VIEW </t>
  </si>
  <si>
    <t>SUITE SWIM OUT DBL</t>
  </si>
  <si>
    <t xml:space="preserve">SGL </t>
  </si>
  <si>
    <t>Pullman Cayo Coco</t>
  </si>
  <si>
    <t>DELUXE GARDEN VIEW DBL</t>
  </si>
  <si>
    <t xml:space="preserve">LUXURY JR SUITE DBL </t>
  </si>
  <si>
    <t xml:space="preserve">LUXURY JR SUITE SGL </t>
  </si>
  <si>
    <t>Las Americas</t>
  </si>
  <si>
    <t xml:space="preserve">                                                                    </t>
  </si>
  <si>
    <t xml:space="preserve">Grand Memories Varadero </t>
  </si>
  <si>
    <t>Цены включают 10% комиссии турагентствам от наземного обслуживания,  включая все трансферы.                                                                                                     Внутренний перелёт, турсбор и страховка некомиссионные.</t>
  </si>
  <si>
    <t>DBL DELUXE</t>
  </si>
  <si>
    <t>STD MODERNO DBL</t>
  </si>
  <si>
    <t>STD MODERNO SGL</t>
  </si>
  <si>
    <t>STD COLONIAL DBL</t>
  </si>
  <si>
    <t>STD COLONIAL SGL</t>
  </si>
  <si>
    <t>JR  SUITE MODERNO DBL</t>
  </si>
  <si>
    <t>JR  SUITE MODERNO SGL</t>
  </si>
  <si>
    <t>JR SUITE COLONIAL DBL</t>
  </si>
  <si>
    <t>JR SUITE COLONIAL SGL</t>
  </si>
  <si>
    <t>SUITE  MODERNO DBL</t>
  </si>
  <si>
    <t>SUITE  MODERNO SGL</t>
  </si>
  <si>
    <t>SUITE  COLONIAL DBL</t>
  </si>
  <si>
    <t>SUITE  COLONIAL SGL</t>
  </si>
  <si>
    <t xml:space="preserve">3*  </t>
  </si>
  <si>
    <t xml:space="preserve">DBL  STANDARD </t>
  </si>
  <si>
    <t xml:space="preserve">SGL  STANDARD  </t>
  </si>
  <si>
    <t xml:space="preserve"> </t>
  </si>
  <si>
    <t>Отель</t>
  </si>
  <si>
    <t>JR SUITE DBL</t>
  </si>
  <si>
    <t>5*</t>
  </si>
  <si>
    <t>JR SUITE SGL</t>
  </si>
  <si>
    <t>EXTRA BED</t>
  </si>
  <si>
    <t xml:space="preserve">Paradisus Princesa del Mar              </t>
  </si>
  <si>
    <t>JR SUITE DBL OCEAN VIEW</t>
  </si>
  <si>
    <t>Melia Las Americas</t>
  </si>
  <si>
    <t>DBL</t>
  </si>
  <si>
    <t>SGL</t>
  </si>
  <si>
    <t>DBL  OCEAN  VIEW</t>
  </si>
  <si>
    <t>SGL  OCEAN  VIEW</t>
  </si>
  <si>
    <t xml:space="preserve">Melia Varadero </t>
  </si>
  <si>
    <t>SUITE DBL</t>
  </si>
  <si>
    <t>SUITE SGL</t>
  </si>
  <si>
    <t>Melia Las Antillas</t>
  </si>
  <si>
    <t>4*</t>
  </si>
  <si>
    <t>Sol Palmeras</t>
  </si>
  <si>
    <t>DBL OCEAN  VIEW</t>
  </si>
  <si>
    <t>SUITE  DBL</t>
  </si>
  <si>
    <t>SUITE  SGL</t>
  </si>
  <si>
    <t>Sol Palmeras - Bungalow</t>
  </si>
  <si>
    <t xml:space="preserve">DBL  </t>
  </si>
  <si>
    <t xml:space="preserve">SGL  </t>
  </si>
  <si>
    <t>DBL OCEAN VIEW</t>
  </si>
  <si>
    <t>SGL OCEAN VIEW</t>
  </si>
  <si>
    <t>JR  SUITE  DBL</t>
  </si>
  <si>
    <t>JR  SUITE  SGL</t>
  </si>
  <si>
    <t>CHD + 2 взр (от 2 до 12 лет)</t>
  </si>
  <si>
    <t xml:space="preserve">Iberostar Laguna Azul    </t>
  </si>
  <si>
    <t>Iberostar Playa Alameda</t>
  </si>
  <si>
    <t>Iberostar Tainos</t>
  </si>
  <si>
    <t>Memories Varadero</t>
  </si>
  <si>
    <t>DELUXE DBL</t>
  </si>
  <si>
    <t>DELUXE SGL</t>
  </si>
  <si>
    <t>CHD + 2 взр  (от 2 до 12 лет)</t>
  </si>
  <si>
    <t>EXTRA  BED</t>
  </si>
  <si>
    <t>Barcelo Solymar</t>
  </si>
  <si>
    <t>Основное здание</t>
  </si>
  <si>
    <t>DBL  SUPERIOR OCEAN  VIEW</t>
  </si>
  <si>
    <t>SGL  SUPERIOR OCEAN  VIEW</t>
  </si>
  <si>
    <t>CHD + 2 взр (до 6 лет)</t>
  </si>
  <si>
    <t>CHD + 2 взр (от 7 до 12 лет)</t>
  </si>
  <si>
    <t>CHD  + 2 взр (от 2 до 12 лет)</t>
  </si>
  <si>
    <t>Kawama</t>
  </si>
  <si>
    <t>Villa Tortuga</t>
  </si>
  <si>
    <t>3*</t>
  </si>
  <si>
    <t>CHD + 2 взр (до 12 лет)</t>
  </si>
  <si>
    <t>Brisas del Caribe</t>
  </si>
  <si>
    <t xml:space="preserve">DBL </t>
  </si>
  <si>
    <t>(вторая линия пляжа)</t>
  </si>
  <si>
    <t>Club Tropical</t>
  </si>
  <si>
    <t>Acuazul 3*</t>
  </si>
  <si>
    <t>Mar del Sur 2*</t>
  </si>
  <si>
    <t>однокомнатные апартаменты (цена за номер)</t>
  </si>
  <si>
    <t>двухкомнатные апартаменты (цена за номер)</t>
  </si>
  <si>
    <t>Los Delfines 3*</t>
  </si>
  <si>
    <t>BB</t>
  </si>
  <si>
    <t>HB</t>
  </si>
  <si>
    <t xml:space="preserve">Iberostar Grand Hotel Trinidad </t>
  </si>
  <si>
    <t>Ancon</t>
  </si>
  <si>
    <t>CHD + 2 взр (от 3 до 12 лет)</t>
  </si>
  <si>
    <t xml:space="preserve">Rancho Luna </t>
  </si>
  <si>
    <t xml:space="preserve">Faro Luna </t>
  </si>
  <si>
    <t>Курорты на островах - отели по системе ALL INCLUSIVE ( "ВСЕ ВКЛЮЧЕНО")</t>
  </si>
  <si>
    <t xml:space="preserve">Iberostar Ensenachos  </t>
  </si>
  <si>
    <t>Park Suite DBL</t>
  </si>
  <si>
    <t>Park Suite SGL</t>
  </si>
  <si>
    <t>SPA Suite DBL</t>
  </si>
  <si>
    <t>SPA Suite SGL</t>
  </si>
  <si>
    <t xml:space="preserve">       Внимание! Отель только для взрослых c 18 лет!  Размещение 3-го взрослого в номере не допускается</t>
  </si>
  <si>
    <t xml:space="preserve">SUITE  DBL </t>
  </si>
  <si>
    <t>Melia Cayo Coco</t>
  </si>
  <si>
    <t>Tryp  Cayo  Coco</t>
  </si>
  <si>
    <t xml:space="preserve">Memories Flamenco </t>
  </si>
  <si>
    <t>Memories Caribe</t>
  </si>
  <si>
    <t>Iberostar Daiquiri</t>
  </si>
  <si>
    <t>ALL INCLUSIVE</t>
  </si>
  <si>
    <t>Paradisus Rio de Oro</t>
  </si>
  <si>
    <t>Sol Rio de Luna y Mares</t>
  </si>
  <si>
    <t>Brisas Guardalavaca</t>
  </si>
  <si>
    <t>DBL VILLA</t>
  </si>
  <si>
    <t>Melia  Santiago  de  Cuba</t>
  </si>
  <si>
    <t>Brisas Sierra Mar</t>
  </si>
  <si>
    <t xml:space="preserve">DBL  TROPICAL  </t>
  </si>
  <si>
    <t xml:space="preserve">SGL  TROPICAL  </t>
  </si>
  <si>
    <t>LA HABANA   -  ГАВАНА</t>
  </si>
  <si>
    <t>Melia Cohiba</t>
  </si>
  <si>
    <t>Melia Habana</t>
  </si>
  <si>
    <t>Tryp  Habana  Libre</t>
  </si>
  <si>
    <t>Nacional</t>
  </si>
  <si>
    <t>Comodoro</t>
  </si>
  <si>
    <t>ОТЕЛИ В ИСТОРИЧЕСКОЙ ЧАСТИ ГАВАНЫ</t>
  </si>
  <si>
    <t>Iberostar Parque Central</t>
  </si>
  <si>
    <t>Santa Isabel 5*</t>
  </si>
  <si>
    <t>Inglaterra</t>
  </si>
  <si>
    <t>Florida 4*</t>
  </si>
  <si>
    <t>Armadores de Santander 4*</t>
  </si>
  <si>
    <t>Ambos Mundos 4*</t>
  </si>
  <si>
    <t>Conde de Villanueva 4*</t>
  </si>
  <si>
    <t>Palacio San Miguel 4*</t>
  </si>
  <si>
    <t>Palacio Marques de Prado Ameno 4*</t>
  </si>
  <si>
    <t>Los Frailes 3*</t>
  </si>
  <si>
    <t>Beltran de Santa Cruz 3*</t>
  </si>
  <si>
    <t>Tejadillo 3*</t>
  </si>
  <si>
    <t>2*</t>
  </si>
  <si>
    <t>Villa Los Pinos</t>
  </si>
  <si>
    <t>Вилла с двумя спальнями (макс. 4 чел.)</t>
  </si>
  <si>
    <t>Вилла с тремя спальнями (макс. 6 чел.)</t>
  </si>
  <si>
    <t>Вилла с четырьмя спальнями (макс. 8 чел.)</t>
  </si>
  <si>
    <t>Atlantico</t>
  </si>
  <si>
    <t>СТОИМОСТЬ УКАЗАНА НА ОДНОГО ЧЕЛОВЕКА В НОМЕРЕ!!!</t>
  </si>
  <si>
    <t>ВО ВСЕХ ТАБЛИЦАХ ПРОЖИВАНИЕ EXTRA BED и CHD + 2 ВЗР  РАССЧИТАНО ТОЛЬКО ДЛЯ СТАНДАРТНЫХ НОМЕРОВ!</t>
  </si>
  <si>
    <t xml:space="preserve">Проживание 1-го ребенка с 1-им взрослым и  2 детей  в одном номере - по запросу. </t>
  </si>
  <si>
    <t>Melia Peninsula Varadero</t>
  </si>
  <si>
    <t>PRIVILEGE DELUXE DBL</t>
  </si>
  <si>
    <t>PRIVILEGE DELUXE SGL</t>
  </si>
  <si>
    <t>BUNGALOW DBL</t>
  </si>
  <si>
    <t>BUNGALOW SGL</t>
  </si>
  <si>
    <t>Royalton Cayo Santa Maria  5*</t>
  </si>
  <si>
    <t>ROYALTON SUITE  DBL</t>
  </si>
  <si>
    <t>JR SUITE SGL OCEAN VIEW</t>
  </si>
  <si>
    <t xml:space="preserve">Melia Marina Varadero </t>
  </si>
  <si>
    <t>DBL THE LEVEL</t>
  </si>
  <si>
    <t>SGL THE LEVEL</t>
  </si>
  <si>
    <t>Отель только для взрослых cтарше 18 лет !!!!    Размешение 3-го взрослого в номерах категории  Royal Service  не допускается</t>
  </si>
  <si>
    <t xml:space="preserve">Отель только для взрослых от 16 лет! </t>
  </si>
  <si>
    <t xml:space="preserve">Bungalow Barcelo Solymar </t>
  </si>
  <si>
    <t>DBL SUPERIOR</t>
  </si>
  <si>
    <t>SGL SUPERIOR</t>
  </si>
  <si>
    <t>DBL OCEAN VIEW THE LEVEL</t>
  </si>
  <si>
    <t>DBL MARINA VIEW THE LEVEL</t>
  </si>
  <si>
    <t>SGL MARINA VIEW THE LEVEL</t>
  </si>
  <si>
    <t>Meliá Jardines del Rey</t>
  </si>
  <si>
    <t>JR SUITE OCEAN VIEW DBL</t>
  </si>
  <si>
    <t>Внимание! Отель только для взрослых c 18 лет!  В отеле размещение 3-го человека в номере не допускается</t>
  </si>
  <si>
    <t>JR  SUITE DBL</t>
  </si>
  <si>
    <t>JR  SUITE SGL</t>
  </si>
  <si>
    <t>ROYAL  SUITE DBL</t>
  </si>
  <si>
    <t>ROYAL  SUITE SGL</t>
  </si>
  <si>
    <t>DELUXE  DBL</t>
  </si>
  <si>
    <t>DELUXE  SGL</t>
  </si>
  <si>
    <t>SUITE DBL GARDEN VIEW</t>
  </si>
  <si>
    <t>SUITE SGL GARDEN VIEW</t>
  </si>
  <si>
    <t>Во всех категориях номеров максимально разрещение 2 взр+2 реб или 3 взр+1 реб</t>
  </si>
  <si>
    <t>Hostal Valencia 2*</t>
  </si>
  <si>
    <t>Comendador 3*</t>
  </si>
  <si>
    <t>Terral 4* (на набережной Малекон)</t>
  </si>
  <si>
    <t>JR SUITE  DBL</t>
  </si>
  <si>
    <t>JR SUITE  SGL</t>
  </si>
  <si>
    <t>DBL BUNGALOW</t>
  </si>
  <si>
    <t>SGL BUNGALOW</t>
  </si>
  <si>
    <t xml:space="preserve">     Внимание! Отель только для взрослых от 18 лет!  </t>
  </si>
  <si>
    <t>Время заселения в гостиницы - 15 или 16 часов</t>
  </si>
  <si>
    <t>Extra BED</t>
  </si>
  <si>
    <t xml:space="preserve">Royalton  Hicacos </t>
  </si>
  <si>
    <t>Starfish  Cuatro  Palmas</t>
  </si>
  <si>
    <t>GRAND SUITE  DBL</t>
  </si>
  <si>
    <t>GRAND SUITE  SGL</t>
  </si>
  <si>
    <t>DBL 1 BEDROOM</t>
  </si>
  <si>
    <t>SGL 1 BEDROOM</t>
  </si>
  <si>
    <t>SGL  DELUXE</t>
  </si>
  <si>
    <t xml:space="preserve"> Внимание! Отель только для взрослых от 16 лет!   Размещение 3-го взрослого в номере не допускается</t>
  </si>
  <si>
    <t>JUNIOR SUITE  DBL  ROYAL SERVICE</t>
  </si>
  <si>
    <t>JUNIOR SUITE  SGL  ROYAL SERVICE</t>
  </si>
  <si>
    <t xml:space="preserve">Junior Suite Ocean View  DBL  Royal Service  </t>
  </si>
  <si>
    <t>Memories Miramar Habana</t>
  </si>
  <si>
    <t>PRIVILEGE  SUITE DBL</t>
  </si>
  <si>
    <t>PRIVILEGE  SUITE SGL</t>
  </si>
  <si>
    <t>DBL  Южное крыло</t>
  </si>
  <si>
    <t>SGL  Южное крыло</t>
  </si>
  <si>
    <t>EXTRA BED Южное крыло</t>
  </si>
  <si>
    <t>DBL  Северное крыло</t>
  </si>
  <si>
    <t>SGL Северное крыло</t>
  </si>
  <si>
    <t>EXTRA BED Северное крыло</t>
  </si>
  <si>
    <t xml:space="preserve">В номере Park Suite возможно размещение 2 взр+2 реб или 3 взр //  SPA Suite и Duplex только для взрослых от 18 лет, максимально 3 взр. </t>
  </si>
  <si>
    <t>Memories Jibacoa</t>
  </si>
  <si>
    <t xml:space="preserve">Отель только для взрослых с 16 лет! В номере Suite разрешено размещение max 2 взр. </t>
  </si>
  <si>
    <t xml:space="preserve"> - Историческая часть Гаваны</t>
  </si>
  <si>
    <t>Варадеро</t>
  </si>
  <si>
    <t>Тринидад</t>
  </si>
  <si>
    <t>Сьенфуэгос</t>
  </si>
  <si>
    <t>Кайо Ларго</t>
  </si>
  <si>
    <t>Кайо Энсеначос</t>
  </si>
  <si>
    <t>Кайо Санта Мария</t>
  </si>
  <si>
    <t>Кайо Коко</t>
  </si>
  <si>
    <t>Кайо Гильермо</t>
  </si>
  <si>
    <t>Сантьяго-де-Куба</t>
  </si>
  <si>
    <t>Трансферы Гавана, Варадеро (цены на остальные трансферы указаны после каждого курорта)</t>
  </si>
  <si>
    <t>HOLGUIN    -  ОЛЬГИН</t>
  </si>
  <si>
    <t>Ольгин</t>
  </si>
  <si>
    <t>ОБЩИЕ УСЛОВИЯ!!! Читать обязательно.</t>
  </si>
  <si>
    <t xml:space="preserve">         Острова:</t>
  </si>
  <si>
    <t xml:space="preserve"> - Восточные пляжи Гаваны</t>
  </si>
  <si>
    <t xml:space="preserve"> - Хибакоа</t>
  </si>
  <si>
    <t>Гавана (осн. часть)</t>
  </si>
  <si>
    <t>DBL CLASSIC</t>
  </si>
  <si>
    <t>SGL CLASSIC</t>
  </si>
  <si>
    <t>DBL CLASSIC OCEAN  VIEW</t>
  </si>
  <si>
    <t>SGL CLASSIC OCEAN  VIEW</t>
  </si>
  <si>
    <t>Во всех категориях номеров максимально разрещение 2 взр+2 реб, 3 взр, 1 взр+3 реб</t>
  </si>
  <si>
    <t>DBL CLASSIC OCEAN VIEW</t>
  </si>
  <si>
    <t>SGL CLASSIC OCEAN VIEW</t>
  </si>
  <si>
    <t xml:space="preserve">Paradisus Varadero </t>
  </si>
  <si>
    <t xml:space="preserve">DBL CLASSIC MARINA VIEW </t>
  </si>
  <si>
    <t>SGL CLASSIC MARINA VIEW</t>
  </si>
  <si>
    <t xml:space="preserve">JR SUITE DBL ROYAL SERVICE </t>
  </si>
  <si>
    <t xml:space="preserve">JR SUITE SGL ROYAL SERVICE </t>
  </si>
  <si>
    <t xml:space="preserve">JR SUITE DBL OCEAN VIEW ROYAL SERVICE </t>
  </si>
  <si>
    <t>BUNGALOW DBL OCEAN VIEW</t>
  </si>
  <si>
    <t>BUNGALOW SGL OCEAN VIEW</t>
  </si>
  <si>
    <t>Во всех остальных категориях номеров разрешено размещение только одного ребёнка в номере с двумя взрослыми!</t>
  </si>
  <si>
    <t xml:space="preserve">EXTRA BED  </t>
  </si>
  <si>
    <t xml:space="preserve">Starfish Montehabana </t>
  </si>
  <si>
    <t>DBL Superior</t>
  </si>
  <si>
    <t>SGL Superior</t>
  </si>
  <si>
    <t>Starfish Las  Palmas 3*</t>
  </si>
  <si>
    <t xml:space="preserve">Starfish  Varadero  </t>
  </si>
  <si>
    <t>DBL без балкона</t>
  </si>
  <si>
    <t>SGL без балкона</t>
  </si>
  <si>
    <t>EXTRA  BED без балкона</t>
  </si>
  <si>
    <t>DBL с балконом</t>
  </si>
  <si>
    <t>SGL с балконом</t>
  </si>
  <si>
    <t>EXTRA  BED с балконом</t>
  </si>
  <si>
    <t xml:space="preserve">EXTRA BED STANDARD  </t>
  </si>
  <si>
    <t xml:space="preserve">JR SUITE DBL SUPERIOR </t>
  </si>
  <si>
    <t xml:space="preserve">JR SUITE DBL OCEAN VIEW </t>
  </si>
  <si>
    <t>Habana 612  3*</t>
  </si>
  <si>
    <t xml:space="preserve">Las Cuevas </t>
  </si>
  <si>
    <t>SANTIAGO DE CUBA -   САНТЬЯГО-ДЕ-КУБА</t>
  </si>
  <si>
    <t>Be Live Experience Turquesa</t>
  </si>
  <si>
    <t>Be Live Experience Varadero</t>
  </si>
  <si>
    <t>Pelicano</t>
  </si>
  <si>
    <t xml:space="preserve">Comodoro  Bungalow Alborada </t>
  </si>
  <si>
    <t xml:space="preserve">   </t>
  </si>
  <si>
    <t>Внимание! Отель только для взрослых от 18 лет!         Размещение 3-го взрослого в номере не допускается</t>
  </si>
  <si>
    <t>Superior  Concierge Service SGL (Дом космонавтов)</t>
  </si>
  <si>
    <t>Superior  Concierge Service DBL (Дом космонавтов)</t>
  </si>
  <si>
    <t xml:space="preserve">JR SUITE DBL </t>
  </si>
  <si>
    <t>ROYAL SUITE DBL THE LEVEL</t>
  </si>
  <si>
    <t>GRAND SUITE DBL OCEAN VIEW THE LEVEL</t>
  </si>
  <si>
    <t xml:space="preserve">LUXURY JR SUITE DBL OCEAN VIEW </t>
  </si>
  <si>
    <t>LUXURY JR SUITE SGL OCEAN VIEW</t>
  </si>
  <si>
    <t>Максимальное размещение: в номере Deluxe 2 взр + 2 реб, 3 взр+ 1 реб; в Suite 2 взр+1 реб, 3 взр</t>
  </si>
  <si>
    <t>SUITE DBL POOL VIEW</t>
  </si>
  <si>
    <t>SUITE SGL POOL VIEW</t>
  </si>
  <si>
    <t>DBL cabaña (домик)</t>
  </si>
  <si>
    <t>SGL cabaña (домик)</t>
  </si>
  <si>
    <t>Comodoro  Bungalow Pleamar</t>
  </si>
  <si>
    <t>1 Bedroom DBL</t>
  </si>
  <si>
    <t>1 Bedroom SGL</t>
  </si>
  <si>
    <t>Villa Tropico</t>
  </si>
  <si>
    <t>Raquel 4 *</t>
  </si>
  <si>
    <t>SUITE SWIM OUT SGL</t>
  </si>
  <si>
    <t>Gran Hotel Manzana Kempinski</t>
  </si>
  <si>
    <t>PATIO  DBL</t>
  </si>
  <si>
    <t>PATIO  SGL</t>
  </si>
  <si>
    <t>GRAND DELUXE DBL</t>
  </si>
  <si>
    <t>GRAND DELUXE SGL</t>
  </si>
  <si>
    <t>HAMINGUEY JR SUITE DBL</t>
  </si>
  <si>
    <t>HAMINGUEY JR SUITE SGL</t>
  </si>
  <si>
    <t xml:space="preserve">JR SUITE DBL CONSTANTE </t>
  </si>
  <si>
    <t>SUITE MEZZANINE DBL</t>
  </si>
  <si>
    <t>SUITE MEZZANINE SGL</t>
  </si>
  <si>
    <t>SUITE ESQUINA DBL</t>
  </si>
  <si>
    <t>SUITE ESQUINA SGL</t>
  </si>
  <si>
    <t>CHD + 2 взр (от 0 до 5 лет)</t>
  </si>
  <si>
    <t>Максимальное размещение: Patio и Deluxe - 2 взр, остальные категории номеров - 2 взр+1 реб или 3 взр</t>
  </si>
  <si>
    <t>Минимальное количество проживания в высокий сезон - 2 ночи. ЕР - без питания!</t>
  </si>
  <si>
    <t>SUPERIOR DBL</t>
  </si>
  <si>
    <t>SUPERIOR SGL</t>
  </si>
  <si>
    <t>SUPERIOR OCEAN VIEW SGL</t>
  </si>
  <si>
    <t>СТОИМОСТЬ УКАЗАНА В  ДОЛЛАРАХ США НА ОДНОГО ЧЕЛОВЕКА В НОМЕРЕ!!! СТОИМОСТЬ EXTRA BED И CHD ДАНЫ ТОЛЬКО ДЛЯ СТАНДАРТНЫХ НОМЕРОВ!!!                                                                  &gt;&gt;&gt;  ПУТЕВОДИТЕЛЬ  &lt;&lt;&lt;</t>
  </si>
  <si>
    <t xml:space="preserve">Cubanacan                          </t>
  </si>
  <si>
    <t xml:space="preserve">Gran Caribe                            </t>
  </si>
  <si>
    <t xml:space="preserve">Gran Caribe                          </t>
  </si>
  <si>
    <t xml:space="preserve">Habaguanex                        </t>
  </si>
  <si>
    <t xml:space="preserve">Gran Caribe                        </t>
  </si>
  <si>
    <t xml:space="preserve">Gran Caribe                    </t>
  </si>
  <si>
    <t xml:space="preserve">Habaguanex                    </t>
  </si>
  <si>
    <t xml:space="preserve">Iberostar                   </t>
  </si>
  <si>
    <t xml:space="preserve">Gran Caribe                       </t>
  </si>
  <si>
    <t xml:space="preserve">Cubanacan                      </t>
  </si>
  <si>
    <t xml:space="preserve">Cubanacan                        </t>
  </si>
  <si>
    <t xml:space="preserve">BlueDiamond                     </t>
  </si>
  <si>
    <t xml:space="preserve">BlueDiamond                       </t>
  </si>
  <si>
    <t xml:space="preserve">Iberostar                              </t>
  </si>
  <si>
    <t xml:space="preserve">Iberostar                                 </t>
  </si>
  <si>
    <t xml:space="preserve">BlueDiamond           </t>
  </si>
  <si>
    <t xml:space="preserve">BlueDiamond                          </t>
  </si>
  <si>
    <t xml:space="preserve">BlueDiamond                        </t>
  </si>
  <si>
    <t xml:space="preserve">Iberostar                                  </t>
  </si>
  <si>
    <t xml:space="preserve">Islazul                 </t>
  </si>
  <si>
    <t xml:space="preserve">Islazul                                     </t>
  </si>
  <si>
    <t xml:space="preserve">Islazul                                      </t>
  </si>
  <si>
    <t xml:space="preserve">Gran Caribe                   </t>
  </si>
  <si>
    <t xml:space="preserve">Gran Caribe                      </t>
  </si>
  <si>
    <t xml:space="preserve">BlueDiamond                         </t>
  </si>
  <si>
    <t xml:space="preserve">Gran Caribe                           </t>
  </si>
  <si>
    <t>VILLA DBL</t>
  </si>
  <si>
    <t>VILLA SGL</t>
  </si>
  <si>
    <t xml:space="preserve">Memories Paraiso </t>
  </si>
  <si>
    <t>Iberostar Habana Riviera</t>
  </si>
  <si>
    <t>Iberostar Gran Hotel Packard</t>
  </si>
  <si>
    <t>DBL SUPERIOR OCEAN VIEW</t>
  </si>
  <si>
    <t>DBL STAR PRESTIGE</t>
  </si>
  <si>
    <t>SGL STAR PRESTIGE</t>
  </si>
  <si>
    <t>DBL STAR PRESTIGE OCEAN  VIEW</t>
  </si>
  <si>
    <t>SGL STAR PRESTIGE OCEAN  VIEW</t>
  </si>
  <si>
    <t>SUITE DBL STAR PRESTIGE</t>
  </si>
  <si>
    <t>SUITE SGL STAR PRESTIGE</t>
  </si>
  <si>
    <t>Категории номеров Premium, Premium Ocean View, The Level , The Level Ocean View под запрос</t>
  </si>
  <si>
    <t xml:space="preserve">GRAND SUITE SGL THE LEVEL  </t>
  </si>
  <si>
    <t xml:space="preserve">GRAND SUITE DBL THE LEVEL  </t>
  </si>
  <si>
    <t>Palacio O`Farril 4*</t>
  </si>
  <si>
    <t>JR SUITE DBL (в Beltran de Santa Cruz и Los Frailes)</t>
  </si>
  <si>
    <t>JR SUITE SGL (в Beltran de Santa Cruz и Los Frailes)</t>
  </si>
  <si>
    <t>SUITE DBL (в Armadores de Santander и Conde de Villanueva)</t>
  </si>
  <si>
    <t>SUITE SGL (в Armadores de Santander и Conde de Villanueva)</t>
  </si>
  <si>
    <t>JR SUITE DBL SUPERIOR</t>
  </si>
  <si>
    <t>JR SUITE SGL SUPERIOR</t>
  </si>
  <si>
    <t>Duplex Suite DBL</t>
  </si>
  <si>
    <t>Duplex Suite SGL</t>
  </si>
  <si>
    <t>GARDEN SUITE DBL THE LEVEL</t>
  </si>
  <si>
    <t>GARDEN SUITE SGL THE LEVEL</t>
  </si>
  <si>
    <t>GARDEN GRAND SUITE DBL THE LEVEL</t>
  </si>
  <si>
    <t>GARDEN GRAND SUITE SGL THE LEVEL</t>
  </si>
  <si>
    <t xml:space="preserve">Номера Royal Service только для взрослых от 18 лет, max 2 взр! В остальных номерах допустимо размещение 3 взр, 2 взр + 2 реб. </t>
  </si>
  <si>
    <t xml:space="preserve">Melia Internacional            </t>
  </si>
  <si>
    <t>DBL THE LEVEL OCEAN VIEW</t>
  </si>
  <si>
    <t>DBL THE LEVEL PREMIUM OCEAN VIEW</t>
  </si>
  <si>
    <t>JR SUITE DBL THE LEVEL OCEAN VIEW</t>
  </si>
  <si>
    <t>(ex Iberostar Playa Blanca)</t>
  </si>
  <si>
    <t>Bella Isla Resort</t>
  </si>
  <si>
    <t xml:space="preserve">Максимальное размещение: 2 взр + 1 реб или 3 взр во всех номерах, кроме Suite. В Suite возможно размещение 2 взр+2 реб. </t>
  </si>
  <si>
    <t xml:space="preserve">Villa Bellarena </t>
  </si>
  <si>
    <t xml:space="preserve">45 просторных деревянных домиков, в 300 метрах от основной зоны Bella Isla Resort, гости этой зоны также могут пользоваться инфраструктурой основной части отеля </t>
  </si>
  <si>
    <t xml:space="preserve">GRAND SUITE DBL </t>
  </si>
  <si>
    <t xml:space="preserve">GRAND SUITE SGL </t>
  </si>
  <si>
    <t>JR SUITE DBL THE LEVEL*</t>
  </si>
  <si>
    <t>JR SUITE DBL OCEAN VIEW THE LEVEL*</t>
  </si>
  <si>
    <t>JR SUITE DBL ROMANCE OCEAN VIEW THE LEVEL*</t>
  </si>
  <si>
    <t xml:space="preserve">DBL OCEAN  VIEW </t>
  </si>
  <si>
    <t xml:space="preserve">SGL OCEAN  VIEW </t>
  </si>
  <si>
    <t xml:space="preserve">DBL SUPERIOR  OCEAN  VIEW </t>
  </si>
  <si>
    <t xml:space="preserve">SGL SUPERIOR  OCEAN  VIEW </t>
  </si>
  <si>
    <t>Villa Palacio Azul Dbl</t>
  </si>
  <si>
    <t>Villa Casa Verde Dbl</t>
  </si>
  <si>
    <t>Villa Perla del Mar Dbl</t>
  </si>
  <si>
    <t>Villa Perla del Mar Jr Suite Dbl Sea View</t>
  </si>
  <si>
    <t>В номере Standard max 2 взр или 2 взр+1 реб, в Villa Palazio Azul и Perla del Mar max 3 взр или 2 взр+1 реб, в Villa Casa Verde и Villa Perla del Mar Jr Suite Sea View max 2 взр</t>
  </si>
  <si>
    <t>Melia San Carlos</t>
  </si>
  <si>
    <t>DBL CLASSIC CITY VIEW</t>
  </si>
  <si>
    <t>В номере Classic и Classic City View max 2 взр или 2 взр+1 инфант</t>
  </si>
  <si>
    <t>Occidental Arenas Blancas</t>
  </si>
  <si>
    <t>Allegro Palma Real</t>
  </si>
  <si>
    <t>вторая линия пляжа</t>
  </si>
  <si>
    <t>JR  SUITE SANCTUARY  DBL*</t>
  </si>
  <si>
    <t>JR SUITE SANCTUARY  SGL*</t>
  </si>
  <si>
    <t>SUITE SANCTUARY DBL*</t>
  </si>
  <si>
    <t>SUITE SANCTUARY SGL*</t>
  </si>
  <si>
    <t xml:space="preserve">Максимальное размещение: в номере STD и Superior 2 взр + 2 реб, 3 взр+ 1 реб; *зона Sanctuary только для взрослых!  - max 2 взр </t>
  </si>
  <si>
    <t>Grand Muthu Cayo Guillermo</t>
  </si>
  <si>
    <t>Muthu</t>
  </si>
  <si>
    <t>Доплата за вид на море 20 $  с чел в сутки</t>
  </si>
  <si>
    <t>CHD + 2 взр (до 13 лет) (с допкроватью)</t>
  </si>
  <si>
    <t>Pullman - Dos Mares 2*</t>
  </si>
  <si>
    <t>CHD + 2 взр (от 2 до 12 лет) без балкона</t>
  </si>
  <si>
    <t>CHD + 2 взр (от 2 до 12 лет) с балконом</t>
  </si>
  <si>
    <t>PATIO SUITE DBL</t>
  </si>
  <si>
    <t>Playa Cayo Santa Maria</t>
  </si>
  <si>
    <t>Sol Cayo Santa Maria</t>
  </si>
  <si>
    <t>Melia Las Dunas</t>
  </si>
  <si>
    <t>Melia Cayo Santa Maria</t>
  </si>
  <si>
    <t>Melia Buenavista</t>
  </si>
  <si>
    <t xml:space="preserve">CHD + 2 взр (до 12 лет)   </t>
  </si>
  <si>
    <t xml:space="preserve">Grand Memories Santa Maria </t>
  </si>
  <si>
    <t>JR SUITE DBL SUPERIOR (OCEAN  VIEW)</t>
  </si>
  <si>
    <t xml:space="preserve">Максимальное размещение: в номере Jr Suite STD и Superior 2 взр + 2 реб, 3 взр; в Suite 3 взр; *зона Sanctuary только для взрослых от 18 лет!  - max 2 взр </t>
  </si>
  <si>
    <t>Максимальное размещение: в номере Jr Suite 2 взр + 2 реб, 3 взр; в Suite 2 взр+1 реб, 3 взр</t>
  </si>
  <si>
    <t>Dhawa Cayo Santa Maria</t>
  </si>
  <si>
    <t>JUNIOR SUITE DBL THE RESERVE</t>
  </si>
  <si>
    <t>JUNIOR SUITE SGL THE RESERVE</t>
  </si>
  <si>
    <t>JUNIOR SUITE DBL THE RESERVE GARDEN SWIM-UP</t>
  </si>
  <si>
    <t>JUNIOR SUITE SGL THE RESERVE GARDEN SWIM-UP</t>
  </si>
  <si>
    <t xml:space="preserve">Melia Las Americas   5* </t>
  </si>
  <si>
    <t>The Level Service</t>
  </si>
  <si>
    <t>Отель для взрослых от 16 лет</t>
  </si>
  <si>
    <t>Havanatur</t>
  </si>
  <si>
    <t>Gran Caribe</t>
  </si>
  <si>
    <t>В даты 24, 25,31 декбря, с 05 по 12.04. и с 28.10 по 02.11. доплата 12 долл с человека, с ребенка 6 долл; Доплата за ужин 20 долл,ребенок 10 долл</t>
  </si>
  <si>
    <t>Доплата за ужин 25 долл с человека, с ребенка 13 долл</t>
  </si>
  <si>
    <t xml:space="preserve">Iberostar Selection Varadero    </t>
  </si>
  <si>
    <t>Iberostar Selection Bella Vista</t>
  </si>
  <si>
    <t xml:space="preserve">FAMILIAR PREMIUM </t>
  </si>
  <si>
    <t>В номерах STD и Jr Suite max 2 взр+2 реб, 3 взр; в номере Familiar min 4 pax, max 6 pax (4 adt+2 реб)</t>
  </si>
  <si>
    <t>третий-шестой человек</t>
  </si>
  <si>
    <t>JR SUITE Ocean Front DBL</t>
  </si>
  <si>
    <t>третий-шестой pax</t>
  </si>
  <si>
    <t xml:space="preserve">В номерах STD и STD Ocean View max 2 взр+1 реб; в номере Familiar min 4 pax, max 6 pax (4 adt+2chd); в номерах Jr Suite и Prestige max 2 взр!  </t>
  </si>
  <si>
    <t>FAMILY ROOM первый-второй pax</t>
  </si>
  <si>
    <t>FAMILY ROOM третий-шестой pax</t>
  </si>
  <si>
    <t>FAMILY ROOM OCEAN VIEW первый-второй pax</t>
  </si>
  <si>
    <t>FAMILY ROOM OCEAN VIEW третий-шестой pax</t>
  </si>
  <si>
    <t xml:space="preserve">     Внимание! Отель только для взрослых от 16лет!  </t>
  </si>
  <si>
    <t>Iberostar Bella Costa</t>
  </si>
  <si>
    <t>DBL Bungalow</t>
  </si>
  <si>
    <t>SGL Bungalow</t>
  </si>
  <si>
    <t xml:space="preserve">DBL  Std </t>
  </si>
  <si>
    <t>SGL  Std</t>
  </si>
  <si>
    <t>DBL  Std (Economica) номера расположены в корпусе Las Palmas</t>
  </si>
  <si>
    <t>SGL  Std (Economica) номера расположены в корпусе Las Palmas</t>
  </si>
  <si>
    <t>Memories Trinidad del Mar</t>
  </si>
  <si>
    <t>Blue Daimond</t>
  </si>
  <si>
    <t>DBL Standard</t>
  </si>
  <si>
    <t>SGL Standard</t>
  </si>
  <si>
    <t xml:space="preserve">CHD + 2 взр </t>
  </si>
  <si>
    <t xml:space="preserve">DBL c террасой </t>
  </si>
  <si>
    <t xml:space="preserve">SGL c террасой </t>
  </si>
  <si>
    <t>ВНИМАНИЕ!!!! 1 ребенок+1 взрослый рассчитывается, как DBL</t>
  </si>
  <si>
    <t>Capri-Victoria</t>
  </si>
  <si>
    <t>SGL VILLA</t>
  </si>
  <si>
    <t>DBL VILLA Mini Suite</t>
  </si>
  <si>
    <t>JR SUITE SGL OCEAN VIEW ROYAL SERVICE</t>
  </si>
  <si>
    <t>JR SUITE SGL THE LEVEL</t>
  </si>
  <si>
    <t>JR SUITE SGL OCEAN VIEW THE LEVEL</t>
  </si>
  <si>
    <t>FAMILY Park Suite (2 номера коннект) (первый-второй pax)</t>
  </si>
  <si>
    <t>EXTRA BED (третий pax в номере)</t>
  </si>
  <si>
    <t xml:space="preserve"> 4, 5 и 6-й pax  в номере)</t>
  </si>
  <si>
    <t>В номерах Familly Park Suite (2 смежных номера) min 4 pax, max 6 pax</t>
  </si>
  <si>
    <t>Palacio Cueto 5*</t>
  </si>
  <si>
    <t xml:space="preserve">DBL BEACH  </t>
  </si>
  <si>
    <t>SGL BEACH</t>
  </si>
  <si>
    <t xml:space="preserve">DBL  OCEAN VIEW </t>
  </si>
  <si>
    <t xml:space="preserve">SGL  OCEAN VIEW </t>
  </si>
  <si>
    <t>Iberostar Selection  Playa Pilar</t>
  </si>
  <si>
    <t xml:space="preserve">Iberostar </t>
  </si>
  <si>
    <t>FAMILIAR (2 смежных номера)</t>
  </si>
  <si>
    <t>Максимальное размещение во всех типах номеров : 2 взр +2 реб/3 взр. Минимальное размещение в номере Familiar: 4 pax Максимально 6 pax</t>
  </si>
  <si>
    <t>SUITE PARK/PRADO VIEW DBL</t>
  </si>
  <si>
    <t>SUITE PARK/PRADO VIEW SGL</t>
  </si>
  <si>
    <t>JR SUITE PARK/PRADO VIEW DBL</t>
  </si>
  <si>
    <t>JR SUITE PARK /PRADO VIEW SGL</t>
  </si>
  <si>
    <t>STD PARK /PRADO VIEW DBL</t>
  </si>
  <si>
    <t>STD PARK /PRADOVIEW SGL</t>
  </si>
  <si>
    <t>SGL DELUXE</t>
  </si>
  <si>
    <t>DBL DELUXE PRADO</t>
  </si>
  <si>
    <t>DBL DELUXE ATLANTIC VIEW</t>
  </si>
  <si>
    <t xml:space="preserve">SGL DELUXE ATLANTIC  VIEW </t>
  </si>
  <si>
    <t>Iberostar Selection Holguin</t>
  </si>
  <si>
    <t>FAMILY (первый-второй pax)</t>
  </si>
  <si>
    <t>третий - шестой pax</t>
  </si>
  <si>
    <t xml:space="preserve">Blau  Varadero                                       </t>
  </si>
  <si>
    <t>SGL SUPERIOR OCEAN VIEW</t>
  </si>
  <si>
    <t>DBL SELECT  SEA VIEW</t>
  </si>
  <si>
    <t>Paradisus Los Cayos</t>
  </si>
  <si>
    <t>Melia</t>
  </si>
  <si>
    <t>JUNIOR SUITE  DBL</t>
  </si>
  <si>
    <t>JUNIOR SUITE  SGL</t>
  </si>
  <si>
    <t>JUNIOR SUITE  OCEAN VIEW DBL</t>
  </si>
  <si>
    <t>JUNIOR SUITE  OCEAN VIEW SGL</t>
  </si>
  <si>
    <t>THE RESERVE J SUITE  SGL</t>
  </si>
  <si>
    <t>ROYAL SERVISE J SUITE DBL</t>
  </si>
  <si>
    <t>THE RESERVE J SUITE DBL</t>
  </si>
  <si>
    <t>ROYAL SERVISE J SUITE SGL</t>
  </si>
  <si>
    <t>Max размещение в номерах Superior и Superior Ocean View 3 взр+1 реб, 2 взр+2 реб; в номере Suite 3 взр, 2 взр+1 реб</t>
  </si>
  <si>
    <t>Бунгало</t>
  </si>
  <si>
    <t>DBL BGL SUPERIOR</t>
  </si>
  <si>
    <t>SGL BGL SUPERIOR</t>
  </si>
  <si>
    <t>BUNGALOW SUITE  DBL</t>
  </si>
  <si>
    <t>Max размещение в номерах Superior и Superior Ocean View 3 взр,3взр+1 реб; в номере Suite 3 взр, 2 взр+1 реб</t>
  </si>
  <si>
    <t xml:space="preserve">Roc                                   </t>
  </si>
  <si>
    <t>STD DBL</t>
  </si>
  <si>
    <t>SGL STD</t>
  </si>
  <si>
    <t>Be Live</t>
  </si>
  <si>
    <t>Доплата за номер Superior Deluxe 7 долл/чел/ночь</t>
  </si>
  <si>
    <t xml:space="preserve">JR SUITE SGL </t>
  </si>
  <si>
    <t>SUITE DBL OCEAN VIEW</t>
  </si>
  <si>
    <t>SUITE SGL OCEAN VIEW</t>
  </si>
  <si>
    <t>Copacabana</t>
  </si>
  <si>
    <t>Sol Varadero Beach</t>
  </si>
  <si>
    <t>Melia Jagua</t>
  </si>
  <si>
    <t>Melia La Union</t>
  </si>
  <si>
    <t>ВНИМАНИЕ!!! СКИДКА "РАННЕЕ БРОНИРОВАНИЕ" НЕ РАСПРОСТРАНЯЕТСЯ НА СПЕЦПРЕДЛОЖЕНИЯ В ГОЛУБОМ ФОНЕ</t>
  </si>
  <si>
    <t>FAMILY CORAL VILLAGE</t>
  </si>
  <si>
    <t>CORAL VILLAGE DBL</t>
  </si>
  <si>
    <t>CORAL VILLAGE SGL</t>
  </si>
  <si>
    <t>Islazul</t>
  </si>
  <si>
    <t>Caribbean</t>
  </si>
  <si>
    <t xml:space="preserve">Lido  </t>
  </si>
  <si>
    <t>DBL  SO COSY PATIO</t>
  </si>
  <si>
    <t>SGL SO COSY PATIO</t>
  </si>
  <si>
    <t>DBL SO COSY PRADO</t>
  </si>
  <si>
    <t>SGL SO COSY PRADO</t>
  </si>
  <si>
    <t>DBL  SO COSY MALECON</t>
  </si>
  <si>
    <t>SGL SO COSY MALECON</t>
  </si>
  <si>
    <t>DBL SO URBAN PATIO</t>
  </si>
  <si>
    <t>SGL SO URBAN PATIO</t>
  </si>
  <si>
    <t>DBL SO URBAN MALECON</t>
  </si>
  <si>
    <t>SGL SO URBAN MALECON</t>
  </si>
  <si>
    <t>DBL SO SUITE MALECON</t>
  </si>
  <si>
    <t>SGL SO SUITE MALECON</t>
  </si>
  <si>
    <t>DBL SO VIP MALECON</t>
  </si>
  <si>
    <t>SGL SO VIP MALECON</t>
  </si>
  <si>
    <t>Стоимость третьего взрослого минус 15% от 1/2 DBL, стоимость ребенка (4-12 лет) 50% от 1/2 DBL</t>
  </si>
  <si>
    <t>DBL SO COMFY PRADO</t>
  </si>
  <si>
    <t>SGL SO COMFY</t>
  </si>
  <si>
    <t>Angsana Cayo Santa Maria</t>
  </si>
  <si>
    <t>Banyan Tree</t>
  </si>
  <si>
    <t>SUPERIOR GARDEN VIEW</t>
  </si>
  <si>
    <t>SUPERIOR GARDEN VIEW  SGL</t>
  </si>
  <si>
    <t>SUPERIOR OCEAN VIEW</t>
  </si>
  <si>
    <t>CHD + 2 взр (от 3 до 13 лет)</t>
  </si>
  <si>
    <t>PREMIUM OCEAN FRONT DBL</t>
  </si>
  <si>
    <t>PREMIUM OCEAN FRONT SGL</t>
  </si>
  <si>
    <t xml:space="preserve">DBL THE LEVEL </t>
  </si>
  <si>
    <t xml:space="preserve">SGL THE LEVEL </t>
  </si>
  <si>
    <t>Be Live Los Cactus</t>
  </si>
  <si>
    <t>SUITE FARO DBL</t>
  </si>
  <si>
    <t xml:space="preserve">SUITE FARO SGL </t>
  </si>
  <si>
    <t xml:space="preserve">SUITE BAHIA DBL </t>
  </si>
  <si>
    <t xml:space="preserve">SUITE BAHIA SGL </t>
  </si>
  <si>
    <t>CHD+2 взр</t>
  </si>
  <si>
    <t>DBL TRYP</t>
  </si>
  <si>
    <t>SGL TRYP</t>
  </si>
  <si>
    <t>DBL  TRYP PANORAMIC  VIEW</t>
  </si>
  <si>
    <t>SGL  TRYP PANORAMIC  VIEW</t>
  </si>
  <si>
    <t>JR SUITE  Ocean FrontSGL</t>
  </si>
  <si>
    <t>FAMILIAR (первый-второй взр)</t>
  </si>
  <si>
    <t>Cubanacan</t>
  </si>
  <si>
    <t>исторический центр</t>
  </si>
  <si>
    <t xml:space="preserve">JR SUITE SGL CONSTANTE </t>
  </si>
  <si>
    <t>Доплата за завтрак 38 долл- взрослый и 19 долл реб с 6 до 12 лет. Ребенок до 6 лет завтрак бесплатно</t>
  </si>
  <si>
    <t xml:space="preserve">4* </t>
  </si>
  <si>
    <t xml:space="preserve"> San Felix </t>
  </si>
  <si>
    <t>Coral Village Suite для туристов от 14 лет (до 3 взр) // Family Grand Village Suite с двумя спальнями  для туристов от 14 лет (от 4 до 6 взр)</t>
  </si>
  <si>
    <t>Valentin</t>
  </si>
  <si>
    <t xml:space="preserve">Blue Daimond </t>
  </si>
  <si>
    <t>CAYO CRUZ    -  ОСТРОВ  КАЙО  КРУЗ (Атлантический океан - Северное побережье)</t>
  </si>
  <si>
    <t>Iberostar Selection Esmeralda</t>
  </si>
  <si>
    <t>CORAL JR SUITE DBL</t>
  </si>
  <si>
    <t>CORAL JR SUITE SGL</t>
  </si>
  <si>
    <t xml:space="preserve">CORAL JR SUITE DBL OCEAN VIEW </t>
  </si>
  <si>
    <t xml:space="preserve">CORAL LEVEL </t>
  </si>
  <si>
    <t xml:space="preserve">CORAL JR SUITE SGL  OCEAN VIEW </t>
  </si>
  <si>
    <t>для взрослых от 16 лет</t>
  </si>
  <si>
    <t>Kempinski</t>
  </si>
  <si>
    <t>Cayo Guillermo Resort Kempinski</t>
  </si>
  <si>
    <t xml:space="preserve">                         5*</t>
  </si>
  <si>
    <t>DBL Deluxe Ocean View</t>
  </si>
  <si>
    <t>SGL Deluxe Ocean View</t>
  </si>
  <si>
    <t>DBL Deluxe Ocean Front</t>
  </si>
  <si>
    <t>SGL Deluxe Ocean Front</t>
  </si>
  <si>
    <t>DBL Ocean Deluxe Suite</t>
  </si>
  <si>
    <t>SGL Ocean Deluxe Suite</t>
  </si>
  <si>
    <t>DBL Sunset Villa</t>
  </si>
  <si>
    <t>SGL Sunset Villa</t>
  </si>
  <si>
    <t>DBL Playa Pilar Water Villa</t>
  </si>
  <si>
    <t>SGL Playa Pilar Water Villa</t>
  </si>
  <si>
    <t>При бронировании от 60 дней до заезда скидка 15%</t>
  </si>
  <si>
    <t>При бронировании от 30 до 59 дней до заезда скидка 10%</t>
  </si>
  <si>
    <t>DBL STD</t>
  </si>
  <si>
    <t>DBL PREMIUM</t>
  </si>
  <si>
    <t>SGL PREMIUM</t>
  </si>
  <si>
    <t xml:space="preserve">SOL ROOM DBL  </t>
  </si>
  <si>
    <t>SUPERIOR ROOM  DBL</t>
  </si>
  <si>
    <t>SUPERIOR ROOM SGL</t>
  </si>
  <si>
    <t>CHD + 2 взр (от 2 до 13 лет)</t>
  </si>
  <si>
    <t xml:space="preserve">В зоне Prestige и в Jr Suite  размещение только для взрослых от 16 лет! </t>
  </si>
  <si>
    <t>В номере DBL STD разрешается размещение 3 взр, в номере Connecting Room от 4 до 6 взр (это 2 смежных номера)</t>
  </si>
  <si>
    <t>1-й CHD + 2 взр (от 2 до 13 лет)</t>
  </si>
  <si>
    <t>2-й CHD + 2 взр (от 2 до 13 лет)</t>
  </si>
  <si>
    <t>Max размещение в номерах Superior и Superior Ocean View 3 взр или 2 взр+1 реб,  в номере JR Suite 3 взр, 2 взр+1 реб</t>
  </si>
  <si>
    <t>DBL ROC PLUS</t>
  </si>
  <si>
    <t>SGL ROC PLUS</t>
  </si>
  <si>
    <t xml:space="preserve">Barlovento </t>
  </si>
  <si>
    <t>Максимальное размещение: 2 взр</t>
  </si>
  <si>
    <t>Roc</t>
  </si>
  <si>
    <t>Playa Caleta)</t>
  </si>
  <si>
    <t>Roc Varadero (ex Puntarena-</t>
  </si>
  <si>
    <t xml:space="preserve">EXTRA BED </t>
  </si>
  <si>
    <t>DBL  ROC PLUS</t>
  </si>
  <si>
    <t>SGL  ROC PLUS</t>
  </si>
  <si>
    <t>Максимальное размещение: 3 взр или 2 взр+1 реб</t>
  </si>
  <si>
    <t>Be Live Experience Las Morlas</t>
  </si>
  <si>
    <t xml:space="preserve">Valentin El Patriarca </t>
  </si>
  <si>
    <t>(ex.Ocean Varadero el Patriarca)</t>
  </si>
  <si>
    <t>В номерах зоны Privilege max размещение 2 чел</t>
  </si>
  <si>
    <t xml:space="preserve">                                                                                                                                                                               </t>
  </si>
  <si>
    <t>STANDARD DBL</t>
  </si>
  <si>
    <t>STANDARD SGL</t>
  </si>
  <si>
    <t>DBL STANDARD</t>
  </si>
  <si>
    <t>SGL STANDARD</t>
  </si>
  <si>
    <t>Максимальное размещение: в номерах Std и Superior 3 взр или 2 взр + 2 реб,в бунгало  3 взр+ 1 реб или 2 взр+2 реб</t>
  </si>
  <si>
    <t>DBL Junior Suite DELUXE</t>
  </si>
  <si>
    <t>SGL Junior Suite DELUXE</t>
  </si>
  <si>
    <t>DBL Junior Suite PREMIUM</t>
  </si>
  <si>
    <t>SGL Junior Suite PREMIUM</t>
  </si>
  <si>
    <t>Mystique Casa Perla</t>
  </si>
  <si>
    <t>Во  всех категория размещение Max 2 чел. ; В номерах Superior Max 3 чел ( скидка на третьего взрослого 15% от стоимости 1/2 DBL)</t>
  </si>
  <si>
    <t>Максимальное размещение: 2 взр+1 реб в виллах и 3 взр или 2 взр +1 реб в STD. Скидка на третьего взрослого  15% от 1/2 DBL</t>
  </si>
  <si>
    <t>Максимальное размещение: 3 взр,скидка на третьего взрослого  15% от 1/2 DBL</t>
  </si>
  <si>
    <t>Размещение max 2 взр</t>
  </si>
  <si>
    <t>AL</t>
  </si>
  <si>
    <t>Max размещение 3 взр или 2 взр+2 реб</t>
  </si>
  <si>
    <t xml:space="preserve">Starfish Cuatro Palmas </t>
  </si>
  <si>
    <t>Tuxpan</t>
  </si>
  <si>
    <t>CHD + 2 взр (до 12 лет) (с допкроватью)</t>
  </si>
  <si>
    <t>2 CHD + 2 взр (от 2 до 13 лет)</t>
  </si>
  <si>
    <t>DBL  TROPICAL VIEW</t>
  </si>
  <si>
    <t>SGL  TROPICAL VIEW</t>
  </si>
  <si>
    <t>Club Karey 3*</t>
  </si>
  <si>
    <t>Без доп кровати ребенок  с 2 взр размещается бесплатно</t>
  </si>
  <si>
    <t>Без доп кровати ребенок с 2 взр размещается бесплатно</t>
  </si>
  <si>
    <t>Максимальное размещение:  в номере с доп кроватью 3 взр+ 1 реб или 2 взр+2 реб , в однокомн. апартаментах 2 взр+1 реб, в двухкомн.- 4 взр+2 реб</t>
  </si>
  <si>
    <t>Доплата за ужин 15 долл с человека</t>
  </si>
  <si>
    <t xml:space="preserve">Trinidad 500 </t>
  </si>
  <si>
    <t>Finca Ma Dolores</t>
  </si>
  <si>
    <t>DBL BGL</t>
  </si>
  <si>
    <t>SGL BGL</t>
  </si>
  <si>
    <t>CHD + 2 взр (от 7 до 13 лет)</t>
  </si>
  <si>
    <t>La Calesa или La Ronda</t>
  </si>
  <si>
    <t>Доплата за ужин 20 долл взрослый, 10 долл реб</t>
  </si>
  <si>
    <t>DBL  BGL</t>
  </si>
  <si>
    <t>Максимальное размещение: 2 взр + 2 реб, доплата за второго реб. С 2-мя взр  50%</t>
  </si>
  <si>
    <t>CHD  + 2 взр (от 2 до 13 лет)</t>
  </si>
  <si>
    <t xml:space="preserve">SUITE  DBL  </t>
  </si>
  <si>
    <t xml:space="preserve">JR SUITE SANCTUARY  DBL </t>
  </si>
  <si>
    <t>STANDARD OCEAN VIEW  DBL</t>
  </si>
  <si>
    <t xml:space="preserve">SUITE OCEAN VIEW   DBL </t>
  </si>
  <si>
    <t>Grand Aston Cayo Las Brujas</t>
  </si>
  <si>
    <t>Aston</t>
  </si>
  <si>
    <t>GARDEN VIEW  DBL</t>
  </si>
  <si>
    <t>GARDEN VIEW SGL</t>
  </si>
  <si>
    <t>CHD + 2 взр (до 13 лет)</t>
  </si>
  <si>
    <t>OCEAN VIEW DBL</t>
  </si>
  <si>
    <t>OCEAN VIEW SGL</t>
  </si>
  <si>
    <t>ONE -BEDROOM  SUITE DBL</t>
  </si>
  <si>
    <t>ONE -BEDROOM SUITE  SGL</t>
  </si>
  <si>
    <t>FAMILY SUITE DBL</t>
  </si>
  <si>
    <t>Aston Fiesta (зона для взрослых)</t>
  </si>
  <si>
    <t>TWO-BEDROOM SUITE DBL</t>
  </si>
  <si>
    <t>FIESTA GARDEN VIEW  DBL</t>
  </si>
  <si>
    <t>FIESTA GARDEN VIEW SGL</t>
  </si>
  <si>
    <t>FIESTA OCEAN VIEW DBL</t>
  </si>
  <si>
    <t>FIESTA OCEAN VIEW SGL</t>
  </si>
  <si>
    <t>FIESTA POOL ACCESS DBL</t>
  </si>
  <si>
    <t>FIESTA POOL ACCESS   SGL</t>
  </si>
  <si>
    <t>(ex.Sercotel)</t>
  </si>
  <si>
    <t>Максимальное размещение в зоне Family: 3 взр или 2 взр + 2 реб, в номерах One-bedroom 2 взр+2 реб или 3 взр1 реб, в Family Suite 5 взр или 3 взр+2 реб.</t>
  </si>
  <si>
    <t>Grand Aston Family  (зона для семей)</t>
  </si>
  <si>
    <t>Grand Aston (зона для взрослых)</t>
  </si>
  <si>
    <t>Максимальное размещение в зоне Grand Aston : 3 взр, в номерах Two bedroom 4 взр ;в зоне Aston Fiesta 2 взр</t>
  </si>
  <si>
    <t xml:space="preserve">Playa Vista Azul (ex.Ocean Vista Azul)  </t>
  </si>
  <si>
    <t>Gaviota</t>
  </si>
  <si>
    <t>PREMIUM DBL</t>
  </si>
  <si>
    <t>PREMIUM SGL</t>
  </si>
  <si>
    <t>PREMIUM OCEAN VIEW DBL</t>
  </si>
  <si>
    <t>PREMIUM OCEAN VIEW  SGL</t>
  </si>
  <si>
    <t>PREMIUM OCEAN FRONT  SGL</t>
  </si>
  <si>
    <t>SUITE PLAYA  DBL</t>
  </si>
  <si>
    <t>SUITE PLAYA| SGL</t>
  </si>
  <si>
    <t>Максимум размещения в номерах STD 3 взр или 2 взр+2 реб,в номерах Premium OV и OF 2 взр+1 реб,размещение третьего взр не допускается. В Suite max 2взр</t>
  </si>
  <si>
    <t>5*(для взрослых от 18 лет)</t>
  </si>
  <si>
    <t>CABANA DELUXE GARDEN VIEW DBL</t>
  </si>
  <si>
    <t>CABANA DELUXE GARDEN VIEW SGL</t>
  </si>
  <si>
    <t>CABANA JR SUITE GARDEN VIEW SGL</t>
  </si>
  <si>
    <t>CABANA JR SUITE GARDEN VIEW DBL</t>
  </si>
  <si>
    <t>CABANA DELUXE OCEAN VIEW DBL</t>
  </si>
  <si>
    <t>CABANA DELUXE OCEAN VIEW SGL</t>
  </si>
  <si>
    <t>CABANA JR SUITE OCEAN VIEW DBL</t>
  </si>
  <si>
    <t>CABANA JR SUITE OCEAN VIEW SGL</t>
  </si>
  <si>
    <t xml:space="preserve">доплата за EXB во всех категориях </t>
  </si>
  <si>
    <t>Минимальное бронирование 3 ночи</t>
  </si>
  <si>
    <t>TRYP DBL</t>
  </si>
  <si>
    <t>TRYP SGL</t>
  </si>
  <si>
    <t>TRYP OCEAN  VIEW DBL</t>
  </si>
  <si>
    <t xml:space="preserve">TRYP OCEAN  VIEW SGL </t>
  </si>
  <si>
    <t>JR SUITE  OCEAN VIEW</t>
  </si>
  <si>
    <t>Во всех категориях номеров максимально размещение 3 взр</t>
  </si>
  <si>
    <t>ROOM  DBL</t>
  </si>
  <si>
    <t>ROOM  SGL</t>
  </si>
  <si>
    <t>ROOM  OCEAN FRONT DBL</t>
  </si>
  <si>
    <t>ROOM  OCEAN FRONT  SGL</t>
  </si>
  <si>
    <t>JR SUITE SEA VIEW DBL</t>
  </si>
  <si>
    <t>JR SUITE SEA VIEW SGL</t>
  </si>
  <si>
    <t>Strafish Cayo Guillermo</t>
  </si>
  <si>
    <t>OCEAN VIEW  DBL</t>
  </si>
  <si>
    <t>В категориях номеров STD  максимально разрещение 3 взр или 2 взр+2 реб, в бунгало 2 взр</t>
  </si>
  <si>
    <t xml:space="preserve">STANDARD  DBL </t>
  </si>
  <si>
    <t xml:space="preserve">STANDARD SGL </t>
  </si>
  <si>
    <t>CHD+2 ВЗР (от 2 до 13 лет)</t>
  </si>
  <si>
    <t>STANDARD  SEA VIEW DBL</t>
  </si>
  <si>
    <t>STANDARD SEA VIEW SGL</t>
  </si>
  <si>
    <t>Во всех категориях номеров максимально разрещение 3 взр или  2 взр+2 реб</t>
  </si>
  <si>
    <t>Playa Cayo Coco</t>
  </si>
  <si>
    <t>4+*</t>
  </si>
  <si>
    <t>Playa Paraiso (ex.Pestana Cayo Coco)</t>
  </si>
  <si>
    <t>DBL CORAL (для взрослых от 16 лет)</t>
  </si>
  <si>
    <t>JR SUITE DBL CORAL (для взрослых от 16 лет)</t>
  </si>
  <si>
    <t xml:space="preserve">В номерах STD и STD Ocean View max 2 взр+2 реб, 3 взр; в Familiar min 4 pax max 6 pax; в номерах CORAL max 2 взр!  </t>
  </si>
  <si>
    <t>Iberostar</t>
  </si>
  <si>
    <t>Club Atlantico Guardalavaca</t>
  </si>
  <si>
    <t xml:space="preserve"> DBL</t>
  </si>
  <si>
    <t xml:space="preserve"> SGL</t>
  </si>
  <si>
    <t>Доплата за ужин 25 долл с человека,13 долл с ребенка</t>
  </si>
  <si>
    <t>Доплата за ужин 20 долл с человека.</t>
  </si>
  <si>
    <t xml:space="preserve">Casa Granda </t>
  </si>
  <si>
    <t>Imperial</t>
  </si>
  <si>
    <t>Доплата за ужин 15 долл</t>
  </si>
  <si>
    <t>CHD + 2 взр (до 5 лет)</t>
  </si>
  <si>
    <t>CHD + 2 взр (от 5 до 12 лет)</t>
  </si>
  <si>
    <t>DELUXE GARDEN SGL</t>
  </si>
  <si>
    <t xml:space="preserve">Accor                                       </t>
  </si>
  <si>
    <t>DELUXE OCEAN FRONT DBL</t>
  </si>
  <si>
    <t>DELUXE OCEAN FRONT SGL</t>
  </si>
  <si>
    <t>В Jr Suite разрешено размещение max 2 чел, во всех остальных номерах максимально разрещение 2 взр+2 реб или 3 взр+1 реб</t>
  </si>
  <si>
    <t>Доплата за ужин 24 долл взрослый и 13 долл реб</t>
  </si>
  <si>
    <t>Доплата за ужин 25 долл</t>
  </si>
  <si>
    <t>Мах размещение 3 взр или 2 взр+2 реб.</t>
  </si>
  <si>
    <t>Доплата за ужин 13 долл</t>
  </si>
  <si>
    <t>Доплата за номер Superior Room - 13 долл за человека в сутки</t>
  </si>
  <si>
    <t>CHD + 2 взр (до 13 лет)   (без допкровати)</t>
  </si>
  <si>
    <t>Muthu Playa Varadero</t>
  </si>
  <si>
    <t xml:space="preserve">Muthu </t>
  </si>
  <si>
    <t>DBL STD PROMO</t>
  </si>
  <si>
    <t>SGL STD PROMO</t>
  </si>
  <si>
    <t xml:space="preserve">EXTRA BED STANDARD PROMO </t>
  </si>
  <si>
    <t>CHD + 2 взр (от 2 до 14 лет)</t>
  </si>
  <si>
    <t>ВНИМАНИЕ!!!!НА НОМЕРА PROMO СКИДКА РАННЕГО БРОНИРОВАНИЯ НЕ ДЕЙСТВУЕТ</t>
  </si>
  <si>
    <t>CHD + 2 взр  (от 2 до 13 лет)</t>
  </si>
  <si>
    <t>Максимальное размещение: 2 взр+2 реб или 3 взр</t>
  </si>
  <si>
    <t>В номерах Cosmos max 2 взр, в остальных категориях максимальное размещение 2 взр+2 реб, 3 взр</t>
  </si>
  <si>
    <t>DBL DELUXE COSMOS PRADO VIEW</t>
  </si>
  <si>
    <t xml:space="preserve">SGL DELUXE COSMOS Prado  VIEW  </t>
  </si>
  <si>
    <t>DBL DELUXE COSMOS  ATLANTIC VIEW</t>
  </si>
  <si>
    <t xml:space="preserve">SGL DELUXE COSMOS  ATLANTIC  VIEW  </t>
  </si>
  <si>
    <t>CHD + 2 взр (до 12 лет)  без дополнительной кровати</t>
  </si>
  <si>
    <t>(бунгало, вторая линия пляжа)</t>
  </si>
  <si>
    <t>CLASSIC PATIO  DBL</t>
  </si>
  <si>
    <t>Gran Hotel Bristol</t>
  </si>
  <si>
    <t>CLASSIC PATIO  SGL</t>
  </si>
  <si>
    <t>LA HABANA CLASSIC ROOM  DBL</t>
  </si>
  <si>
    <t>LA HABANA CLASSIC ROOM  SGL</t>
  </si>
  <si>
    <t>LA HABANA DELUXE ROOM DBL</t>
  </si>
  <si>
    <t>LA HABANA  DELUXE ROOM  SGL</t>
  </si>
  <si>
    <t>LA HABANA GRAN DELUXE ROOM  DBL</t>
  </si>
  <si>
    <t>LA HABANA GRAN DELUXE ROOM  SGL</t>
  </si>
  <si>
    <t>SUITE DELUXE DBL</t>
  </si>
  <si>
    <t>SUITE DELUXE SGL</t>
  </si>
  <si>
    <t>CHD + 2 взр (от 6 до 13 лет)</t>
  </si>
  <si>
    <t xml:space="preserve">Внимание! Отель только для взрослых c 18 лет!               </t>
  </si>
  <si>
    <t xml:space="preserve">Blau Arenal Habana Beach </t>
  </si>
  <si>
    <t>Blau</t>
  </si>
  <si>
    <t>DBL SUPERIOR PLUS</t>
  </si>
  <si>
    <t>SGL SUPERIOR PLUS</t>
  </si>
  <si>
    <t>DBL  JUNIOR SUITE</t>
  </si>
  <si>
    <t>SGL  JUNIOR SUITE</t>
  </si>
  <si>
    <t>Grand Muthu Imperial Cayo Guillermo</t>
  </si>
  <si>
    <t>для взрослых от 18 лет</t>
  </si>
  <si>
    <t>Grand Muthu Rainbow Cayo Guillermo</t>
  </si>
  <si>
    <t>LGBT</t>
  </si>
  <si>
    <t>Aston Costa Verde Beach Resort</t>
  </si>
  <si>
    <t xml:space="preserve">Aston </t>
  </si>
  <si>
    <t xml:space="preserve">DBL SUPERIOR  </t>
  </si>
  <si>
    <t xml:space="preserve">SGL SUPERIOR  </t>
  </si>
  <si>
    <t xml:space="preserve">DBL SUPERIOR OCEAN  VIEW </t>
  </si>
  <si>
    <t xml:space="preserve">DBL CLUB ROOM </t>
  </si>
  <si>
    <t>SGL CLUB ROOM</t>
  </si>
  <si>
    <t>ASTON SUITE  DBL</t>
  </si>
  <si>
    <t>В номерах max 2 взр+2 реб, 3 взр+1 реб; в Aston Suite 2взр+1 реб или 3 взр+2 реб</t>
  </si>
  <si>
    <t>ex. Playa Costa Verde</t>
  </si>
  <si>
    <t>CHD + 2 взр (до 12 лет)  (без допкровати)</t>
  </si>
  <si>
    <t>Montehermoso</t>
  </si>
  <si>
    <t xml:space="preserve">Palacio San Felipe y Santiago  </t>
  </si>
  <si>
    <t>SUITE  DBL( в Santa Isabel, в San Felipe)</t>
  </si>
  <si>
    <t>SUITE  SGL ( в Santa Isabel, в San Felipe)</t>
  </si>
  <si>
    <t>Доплата за ужин 38 долл,ребенок 19 долл</t>
  </si>
  <si>
    <t>Доплата за ужин 25 доллб ребенок 50%</t>
  </si>
  <si>
    <t>Доплапта за ужин 20 долл, ребенок 50%</t>
  </si>
  <si>
    <t>Максимальное размещение 2 взр+2 реб или 3 взр</t>
  </si>
  <si>
    <t xml:space="preserve"> Cayo  Largo del Sol</t>
  </si>
  <si>
    <t>DELUXE GARDEN EXTRA BED</t>
  </si>
  <si>
    <t>-</t>
  </si>
  <si>
    <t>Доплата за третьего взрослого 88 долл/ночь;доплата за ребенка от 6 до 13 лет 44 долл/ночь.Ребенок до 6 лет бесплатно</t>
  </si>
  <si>
    <t>Доплата за завтрак 32 долл- взрослый и 16 долл реб с 6 до 13 лет. Ребенок до 6 лет завтрак бесплатно</t>
  </si>
  <si>
    <t>В Jr Suite размещение max 2 чел , Royal Suite размещение max 2 чел, в Presidential Suite max 4 чел (третий и четвёртый в номере - скидка 15% от 1/2 DBL)</t>
  </si>
  <si>
    <t>Be Live Experience Tropical (ex.Naviti)</t>
  </si>
  <si>
    <t>STANDARD DBL GARDEN VIEW</t>
  </si>
  <si>
    <t>STANDARD SGL GARDEN VIEW</t>
  </si>
  <si>
    <t>STANDARD DBL SEA VIEW</t>
  </si>
  <si>
    <t>STANDARD SGL SEA VIEW</t>
  </si>
  <si>
    <t>JUNIOR SUITE DBL SEA VIEW</t>
  </si>
  <si>
    <t>JUNIOR SUITE SGL SEA VIEW</t>
  </si>
  <si>
    <t>BEACH CLUB  DBL</t>
  </si>
  <si>
    <t>BEACH CLUB  SGL</t>
  </si>
  <si>
    <t>BEACH CLUB  DBL SEA VIEW</t>
  </si>
  <si>
    <t>Максимальное размещение: 3 взр или 2 взр+2реб</t>
  </si>
  <si>
    <t xml:space="preserve">Для расчета  необходимо включить стоимость туристический сбор  3 долл с человека за весь тур + страховку 1,5 долл  в день </t>
  </si>
  <si>
    <t xml:space="preserve">   22.12.21 - 03.01.22</t>
  </si>
  <si>
    <t xml:space="preserve">  04.01.22 - 31.01.22</t>
  </si>
  <si>
    <t>01.02.22-31.03.22</t>
  </si>
  <si>
    <t>01.04.22-30.04.22</t>
  </si>
  <si>
    <t>от 18 лет</t>
  </si>
  <si>
    <t>JUNIOR SUITE DBL ROYAL SERVICE</t>
  </si>
  <si>
    <t>JUNIOR SUITE SGL ROYAL SERVICE</t>
  </si>
  <si>
    <t>SUITE DBL  ROYAL SERVICE</t>
  </si>
  <si>
    <t>JUNIOR SUITE DBL GARDEN SWIM-UP ROYAL SERVICE</t>
  </si>
  <si>
    <t>JUNIOR SUITE SGL GARDEN SWIM-UP ROYAL SERVICE</t>
  </si>
  <si>
    <t xml:space="preserve">  01.11.21 - 21.12.21</t>
  </si>
  <si>
    <t>Внимание! Отель только для взрослых c 18 лет! Размещение max. 3 взр</t>
  </si>
  <si>
    <t>DBL BUNGALOW  SUITE</t>
  </si>
  <si>
    <t>SGL BUNGALOW SUITE</t>
  </si>
  <si>
    <t>DBL  OCEAN  FRONT</t>
  </si>
  <si>
    <t>SGL  OCEAN  FRONT</t>
  </si>
  <si>
    <t>16+</t>
  </si>
  <si>
    <t>DBL STD con Balcon</t>
  </si>
  <si>
    <t>SGL STD con Balcon</t>
  </si>
  <si>
    <t>18+</t>
  </si>
  <si>
    <t xml:space="preserve">Blue Diamond                        </t>
  </si>
  <si>
    <t>Max размещение в номерах Bungalow Superior 2 взр, 2 взр+2 реб; в номере Bungalow Suite 3 взр, 3 взр+1 реб,2 взр+2реб.</t>
  </si>
  <si>
    <t>Roc Arenas Doradas</t>
  </si>
  <si>
    <t>PRESIDENCIAL  SUITE DBL</t>
  </si>
  <si>
    <t>PRESIDENCIAL  SUITE SGL</t>
  </si>
  <si>
    <t>BEACH CLUB SGL SEA VIEW</t>
  </si>
  <si>
    <t>ВНИМАНИЕ!!! ОТЕЛЬ РАБОТАЕТ БЕЗ ПИТАНИЯ!!! ДОПЛАТА ЗА ЗАВТРАК 20 долл С ЧЕЛОВЕКА/ДЕНЬ, УЖИН 25 долл С ЧЕЛОВЕКА/ДЕНЬ</t>
  </si>
  <si>
    <t>Скидка на 3-его взрослого 15% от 1/2 DBL, на ребенка до 13 лет скидка 30% от 1/2 DBL в номерах с террасой</t>
  </si>
  <si>
    <t>ВРЕМЯ ОТКРЫТИЯ НЕ ОПРЕДЕЛЕНО</t>
  </si>
  <si>
    <t>COMPLEJO ISLA DEL SUR SUS VILLAS (3*)</t>
  </si>
  <si>
    <t>(объединены 3 отеля:</t>
  </si>
  <si>
    <t>Isla del Sur, Villa Coral-Soledad, Villa Iguana</t>
  </si>
  <si>
    <t xml:space="preserve">Gran Caribe  </t>
  </si>
  <si>
    <t>ЗОНА ROYAL SERVISE для взрослых от 18 лет</t>
  </si>
  <si>
    <t>от 16 лет</t>
  </si>
  <si>
    <t>CHD + 2 взр (от 2 до 13лет)</t>
  </si>
  <si>
    <t>ПРИ БРОНИРОВАНИИ ОТЕЛЯ МИНИМУМ ЗА 30 ДНЕЙ ДО ЗАЕЗДА СКИДКА 6 долл/взр/ночь</t>
  </si>
  <si>
    <t>JR SUITE VISTA LAGUNA DBL Deluxe Servise</t>
  </si>
  <si>
    <t>JR SUITE VISTA SGL Deluxe Servise</t>
  </si>
  <si>
    <t>GRAND SUITE VISTA   LAGUNA DBL Deluxe Service</t>
  </si>
  <si>
    <t>GRAND SUITE VISTA  LAGUNA SGL Deluxe</t>
  </si>
  <si>
    <t>Во всех категориях номеров максимально размещение 2 взр+2 реб. Размещение 3х взрослых не допускается.</t>
  </si>
  <si>
    <t>BUNGALOW MADERA DBL</t>
  </si>
  <si>
    <t>BUNGALOW MADERA SGL</t>
  </si>
  <si>
    <t>JR SUITE SEA VIEW  SGL</t>
  </si>
  <si>
    <t>Максимальное размещение в номерах COSY 2 взрослых+ребенок. Третий взрослый  размещается в категориях начиная с COMFY.</t>
  </si>
  <si>
    <t>DBL THE LEVEL   JR SUITE</t>
  </si>
  <si>
    <t>SGL THE LEVEL   JR SUITE</t>
  </si>
  <si>
    <t>DBL ROC Plus</t>
  </si>
  <si>
    <t>SGL ROC Plus</t>
  </si>
  <si>
    <t xml:space="preserve">Capri                                   </t>
  </si>
  <si>
    <t>Стоимость ужина для взр 20 долл, для реб 15 долл</t>
  </si>
  <si>
    <t>Доплата за Panoramic View Dbl - 7 $  с человека в сутки</t>
  </si>
  <si>
    <t>ПРИ РАННЕМ БРОНИРОВАНИИ за 60 дней до заезда скидка 35% на все даты.</t>
  </si>
  <si>
    <t>Доплата за номер Std -15 долл за номер в сутки, за Ocean View Room - 28 долл за номер в сутки.</t>
  </si>
  <si>
    <t>EP</t>
  </si>
  <si>
    <t>Palacio de los Corredores</t>
  </si>
  <si>
    <t>JR SUITE DBL (в Santa Isabel , в Palacio Cueto,в Montehermoso,Corredores)</t>
  </si>
  <si>
    <t>JR SUITE SGL (в Santa Isabel ,в Palacio Cueto, в Моntehermoso,Corredores)</t>
  </si>
  <si>
    <t xml:space="preserve">Roc  Presidente                                  </t>
  </si>
  <si>
    <t>Deauville 3*</t>
  </si>
  <si>
    <t>Neptuno - Triton 3*</t>
  </si>
  <si>
    <t>за номер</t>
  </si>
  <si>
    <t>виллы на территории</t>
  </si>
  <si>
    <t>OFERTA</t>
  </si>
  <si>
    <t>SOL  ROOM  SGL</t>
  </si>
  <si>
    <t>DBL PROMO</t>
  </si>
  <si>
    <t>SGL PROMO</t>
  </si>
  <si>
    <t xml:space="preserve">Melia </t>
  </si>
  <si>
    <t>St. John's - Vedado 3*</t>
  </si>
  <si>
    <t>Доплата за завтрак 19 долл/чел, ребенок 50%</t>
  </si>
  <si>
    <t>Открытие планируется 30.06.</t>
  </si>
  <si>
    <t xml:space="preserve">Valentin Quinta Avenida </t>
  </si>
  <si>
    <t>включено питание завтрак-ужин</t>
  </si>
  <si>
    <t xml:space="preserve">Valentin </t>
  </si>
  <si>
    <t>(01.05.2022 - 31.10.2022)</t>
  </si>
  <si>
    <r>
      <t xml:space="preserve">                                                          </t>
    </r>
    <r>
      <rPr>
        <b/>
        <i/>
        <sz val="16"/>
        <color indexed="12"/>
        <rFont val="Arial Cyr"/>
        <family val="0"/>
      </rPr>
      <t xml:space="preserve"> </t>
    </r>
    <r>
      <rPr>
        <b/>
        <i/>
        <sz val="16"/>
        <color indexed="12"/>
        <rFont val="Arial Cyr"/>
        <family val="2"/>
      </rPr>
      <t xml:space="preserve">                VARADERO   -  ВАРАДЕРО </t>
    </r>
    <r>
      <rPr>
        <i/>
        <sz val="16"/>
        <rFont val="Arial Cyr"/>
        <family val="2"/>
      </rPr>
      <t xml:space="preserve">(140 км от Гаваны)                                                            </t>
    </r>
  </si>
  <si>
    <r>
      <t xml:space="preserve">TRINIDAD  -   ТРИНИДАД </t>
    </r>
    <r>
      <rPr>
        <i/>
        <sz val="16"/>
        <rFont val="Arial Cyr"/>
        <family val="2"/>
      </rPr>
      <t>(407 км от Гаваны, Карибское побережье)</t>
    </r>
  </si>
  <si>
    <r>
      <t xml:space="preserve">CIENFUEGOS  -   СЬЕНФУЭГОС </t>
    </r>
    <r>
      <rPr>
        <i/>
        <sz val="16"/>
        <rFont val="Arial Cyr"/>
        <family val="2"/>
      </rPr>
      <t>(336 км от Гаваны, Карибское побережье)</t>
    </r>
  </si>
  <si>
    <r>
      <t xml:space="preserve">                                                                                  CAYO  LARGO  -  ОСТРОВ  КАЙО  ЛАРГО </t>
    </r>
    <r>
      <rPr>
        <i/>
        <sz val="16"/>
        <rFont val="Arial Cyr"/>
        <family val="2"/>
      </rPr>
      <t>(в Карибском море - Южное побережье)</t>
    </r>
  </si>
  <si>
    <r>
      <t xml:space="preserve">CAYO  ENSENACHOS - ОСТРОВ  ЭНСЕНАЧОС </t>
    </r>
    <r>
      <rPr>
        <i/>
        <sz val="16"/>
        <rFont val="Arial Cyr"/>
        <family val="0"/>
      </rPr>
      <t>( в Атлантическом океане - Северное побережье)</t>
    </r>
  </si>
  <si>
    <r>
      <t xml:space="preserve">CAYO COCO    -  ОСТРОВ  КАЙО  КОКО </t>
    </r>
    <r>
      <rPr>
        <i/>
        <sz val="16"/>
        <rFont val="Arial Cyr"/>
        <family val="2"/>
      </rPr>
      <t>(Атлантический океан - Северное побережье)</t>
    </r>
  </si>
  <si>
    <r>
      <t xml:space="preserve">CAYO GUILLERMO  -  ОСТРОВ  КАЙО  ГИЛЬЕРМО </t>
    </r>
    <r>
      <rPr>
        <i/>
        <sz val="16"/>
        <rFont val="Arial Cyr"/>
        <family val="2"/>
      </rPr>
      <t>(</t>
    </r>
    <r>
      <rPr>
        <b/>
        <i/>
        <sz val="16"/>
        <rFont val="Arial Cyr"/>
        <family val="0"/>
      </rPr>
      <t>А</t>
    </r>
    <r>
      <rPr>
        <b/>
        <i/>
        <sz val="16"/>
        <rFont val="Arial Cyr"/>
        <family val="2"/>
      </rPr>
      <t>тлантический океан - Северное Побережье)</t>
    </r>
  </si>
  <si>
    <r>
      <t xml:space="preserve">                                                         PLAYA SANTA MARIA   -  ПЛЯЖ САНТА МАРИЯ </t>
    </r>
    <r>
      <rPr>
        <b/>
        <i/>
        <sz val="16"/>
        <rFont val="Arial Cyr"/>
        <family val="0"/>
      </rPr>
      <t>самый близкий пляж от Гаваны (18 км)</t>
    </r>
  </si>
  <si>
    <r>
      <t xml:space="preserve">JIBACOA -  ХИБАКОА </t>
    </r>
    <r>
      <rPr>
        <b/>
        <i/>
        <sz val="16"/>
        <rFont val="Arial Cyr"/>
        <family val="0"/>
      </rPr>
      <t>(местечко посередине между Гаваной и Варадеро, в 60 км от Гаваны и в 70 км от Варадеро)</t>
    </r>
  </si>
  <si>
    <r>
      <t>Внимание</t>
    </r>
    <r>
      <rPr>
        <b/>
        <i/>
        <sz val="16"/>
        <rFont val="Arial Cyr"/>
        <family val="2"/>
      </rPr>
      <t>: расчетный час в гостиницах Кубы - 12 часов.</t>
    </r>
  </si>
  <si>
    <r>
      <t xml:space="preserve">Для расчета  необходимо включить стоимость туристический сбор  </t>
    </r>
    <r>
      <rPr>
        <b/>
        <i/>
        <u val="single"/>
        <sz val="16"/>
        <color indexed="10"/>
        <rFont val="Arial Cyr"/>
        <family val="0"/>
      </rPr>
      <t>3 долл</t>
    </r>
    <r>
      <rPr>
        <b/>
        <i/>
        <u val="single"/>
        <sz val="16"/>
        <color indexed="12"/>
        <rFont val="Arial Cyr"/>
        <family val="0"/>
      </rPr>
      <t xml:space="preserve"> с человека за весь тур + страховку 1,5 долл  в день </t>
    </r>
  </si>
  <si>
    <t xml:space="preserve">                                               ЦЕНОВОЙ КАТAЛОГ  ЛЕТО-ОСЕНЬ  2022 ГОДА         </t>
  </si>
  <si>
    <t xml:space="preserve"> 01.05.22 - 14.07.22</t>
  </si>
  <si>
    <t xml:space="preserve">   15.07.21 - 24.08.22</t>
  </si>
  <si>
    <t xml:space="preserve">  25.08.22 - 31.10.22</t>
  </si>
  <si>
    <t>Максимальное размещение 2взр и 1 реб. Трое взрослых в номере не допускается.</t>
  </si>
  <si>
    <t>Максимальное размещение 2взр +2 реб. Или трое взрослых</t>
  </si>
  <si>
    <t xml:space="preserve">Категория LEVEL J SUITE  для взрослых от 18 лет </t>
  </si>
  <si>
    <t>При бронировании до 31.03. скидка за раннее бронирование 30%</t>
  </si>
  <si>
    <t>открытие планир. 01.04.</t>
  </si>
  <si>
    <t>DBL SUPERIOR GARDEN VIEW</t>
  </si>
  <si>
    <t>SGL SUPERIOR GARDEN VIEW</t>
  </si>
  <si>
    <t>DBL STANDARD SEA VIEW</t>
  </si>
  <si>
    <t>SGL STANDARD SEA VIEW</t>
  </si>
  <si>
    <t xml:space="preserve">Sunbeach </t>
  </si>
  <si>
    <t>EP (без питания)</t>
  </si>
  <si>
    <t>HB (завтрак-ужин)</t>
  </si>
  <si>
    <r>
      <t xml:space="preserve">Трансферы отель в Тринидаде - отель на Варадеро (OW) - такси (1-2 чел) </t>
    </r>
    <r>
      <rPr>
        <b/>
        <i/>
        <sz val="12"/>
        <color indexed="10"/>
        <rFont val="Arial Cyr"/>
        <family val="0"/>
      </rPr>
      <t>218 долл</t>
    </r>
    <r>
      <rPr>
        <b/>
        <i/>
        <sz val="12"/>
        <rFont val="Arial Cyr"/>
        <family val="0"/>
      </rPr>
      <t xml:space="preserve">, минивен (3-4 чел) </t>
    </r>
    <r>
      <rPr>
        <b/>
        <i/>
        <sz val="12"/>
        <color indexed="10"/>
        <rFont val="Arial Cyr"/>
        <family val="0"/>
      </rPr>
      <t>371 долл</t>
    </r>
    <r>
      <rPr>
        <b/>
        <i/>
        <sz val="12"/>
        <rFont val="Arial Cyr"/>
        <family val="0"/>
      </rPr>
      <t xml:space="preserve">, минибас (5-8 чел) </t>
    </r>
    <r>
      <rPr>
        <b/>
        <i/>
        <sz val="12"/>
        <color indexed="10"/>
        <rFont val="Arial Cyr"/>
        <family val="0"/>
      </rPr>
      <t xml:space="preserve">411 долл </t>
    </r>
  </si>
  <si>
    <r>
      <t xml:space="preserve">Трансферы отель в Тринидаде - отель в Сьенфуэгосe (OW) - такси (1-2 чел) </t>
    </r>
    <r>
      <rPr>
        <b/>
        <i/>
        <sz val="12"/>
        <color indexed="10"/>
        <rFont val="Arial Cyr"/>
        <family val="0"/>
      </rPr>
      <t>75 долл</t>
    </r>
    <r>
      <rPr>
        <b/>
        <i/>
        <sz val="12"/>
        <rFont val="Arial Cyr"/>
        <family val="0"/>
      </rPr>
      <t xml:space="preserve">, минивен (3-4 чел) </t>
    </r>
    <r>
      <rPr>
        <b/>
        <i/>
        <sz val="12"/>
        <color indexed="10"/>
        <rFont val="Arial Cyr"/>
        <family val="0"/>
      </rPr>
      <t>121 долл</t>
    </r>
    <r>
      <rPr>
        <b/>
        <i/>
        <sz val="12"/>
        <rFont val="Arial Cyr"/>
        <family val="0"/>
      </rPr>
      <t xml:space="preserve">, минибас (5-8 чел) </t>
    </r>
    <r>
      <rPr>
        <b/>
        <i/>
        <sz val="12"/>
        <color indexed="10"/>
        <rFont val="Arial Cyr"/>
        <family val="0"/>
      </rPr>
      <t xml:space="preserve">135 долл </t>
    </r>
  </si>
  <si>
    <r>
      <t xml:space="preserve">Трансферы отель в Тринидаде - аэропорт в Гаване (OW) - такси (1-2 чел) </t>
    </r>
    <r>
      <rPr>
        <b/>
        <i/>
        <sz val="12"/>
        <color indexed="10"/>
        <rFont val="Arial Cyr"/>
        <family val="0"/>
      </rPr>
      <t>270 долл</t>
    </r>
    <r>
      <rPr>
        <b/>
        <i/>
        <sz val="12"/>
        <rFont val="Arial Cyr"/>
        <family val="0"/>
      </rPr>
      <t xml:space="preserve">, минивен (3-4 чел) </t>
    </r>
    <r>
      <rPr>
        <b/>
        <i/>
        <sz val="12"/>
        <color indexed="10"/>
        <rFont val="Arial Cyr"/>
        <family val="0"/>
      </rPr>
      <t>441 долл</t>
    </r>
    <r>
      <rPr>
        <b/>
        <i/>
        <sz val="12"/>
        <rFont val="Arial Cyr"/>
        <family val="0"/>
      </rPr>
      <t xml:space="preserve">, минибас (5-8 чел) </t>
    </r>
    <r>
      <rPr>
        <b/>
        <i/>
        <sz val="12"/>
        <color indexed="10"/>
        <rFont val="Arial Cyr"/>
        <family val="0"/>
      </rPr>
      <t xml:space="preserve">490 долл </t>
    </r>
  </si>
  <si>
    <r>
      <t xml:space="preserve">Трансферы отель в Тринидаде - отель на острове Кайо Коко (OW) такси (1-2 чел) </t>
    </r>
    <r>
      <rPr>
        <b/>
        <i/>
        <sz val="12"/>
        <color indexed="10"/>
        <rFont val="Arial Cyr"/>
        <family val="0"/>
      </rPr>
      <t>192 долл</t>
    </r>
    <r>
      <rPr>
        <b/>
        <i/>
        <sz val="12"/>
        <rFont val="Arial Cyr"/>
        <family val="0"/>
      </rPr>
      <t xml:space="preserve">, минивен (3-4 чел) </t>
    </r>
    <r>
      <rPr>
        <b/>
        <i/>
        <sz val="12"/>
        <color indexed="10"/>
        <rFont val="Arial Cyr"/>
        <family val="0"/>
      </rPr>
      <t>317 долл</t>
    </r>
    <r>
      <rPr>
        <b/>
        <i/>
        <sz val="12"/>
        <rFont val="Arial Cyr"/>
        <family val="0"/>
      </rPr>
      <t xml:space="preserve">, минибас (5-8 чел) </t>
    </r>
    <r>
      <rPr>
        <b/>
        <i/>
        <sz val="12"/>
        <color indexed="10"/>
        <rFont val="Arial Cyr"/>
        <family val="0"/>
      </rPr>
      <t xml:space="preserve">351 долл </t>
    </r>
  </si>
  <si>
    <t>ПРИ БРОНИРОВАНИИ ОТЕЛЯ с 01.04. на период с 01.05. по 31.10. СКИДКА 10% БРОНИРОВАНИЕ ДОЛЖНО БЫТЬ СДЕЛАНО НЕ МЕНЕЕ,ЧЕМ ЗА 30 дней ДО ЗАЕЗДА</t>
  </si>
  <si>
    <t>откроется в январе 2023 г.</t>
  </si>
  <si>
    <r>
      <t xml:space="preserve">Трансферы отель в Сьенфуэгосe - отель на Варадеро (OW)  - такси (1-2 чел) </t>
    </r>
    <r>
      <rPr>
        <b/>
        <i/>
        <sz val="12"/>
        <color indexed="10"/>
        <rFont val="Arial Cyr"/>
        <family val="0"/>
      </rPr>
      <t>143 долл</t>
    </r>
    <r>
      <rPr>
        <b/>
        <i/>
        <sz val="12"/>
        <rFont val="Arial Cyr"/>
        <family val="0"/>
      </rPr>
      <t xml:space="preserve">, минивен (3-4 чел) </t>
    </r>
    <r>
      <rPr>
        <b/>
        <i/>
        <sz val="12"/>
        <color indexed="10"/>
        <rFont val="Arial Cyr"/>
        <family val="0"/>
      </rPr>
      <t>255 долл</t>
    </r>
    <r>
      <rPr>
        <b/>
        <i/>
        <sz val="12"/>
        <rFont val="Arial Cyr"/>
        <family val="0"/>
      </rPr>
      <t xml:space="preserve">, минибас (5-8 чел) </t>
    </r>
    <r>
      <rPr>
        <b/>
        <i/>
        <sz val="12"/>
        <color indexed="10"/>
        <rFont val="Arial Cyr"/>
        <family val="0"/>
      </rPr>
      <t>280 долл</t>
    </r>
    <r>
      <rPr>
        <b/>
        <i/>
        <sz val="12"/>
        <rFont val="Arial Cyr"/>
        <family val="0"/>
      </rPr>
      <t xml:space="preserve"> </t>
    </r>
  </si>
  <si>
    <r>
      <t xml:space="preserve">Трансферы отель в Сьенфуэгосe - отель в Тринидаде (OW) - такси (1-2 чел) </t>
    </r>
    <r>
      <rPr>
        <b/>
        <i/>
        <sz val="12"/>
        <color indexed="10"/>
        <rFont val="Arial Cyr"/>
        <family val="0"/>
      </rPr>
      <t>72 долл</t>
    </r>
    <r>
      <rPr>
        <b/>
        <i/>
        <sz val="12"/>
        <rFont val="Arial Cyr"/>
        <family val="0"/>
      </rPr>
      <t xml:space="preserve">, минивен (3-4 чел) </t>
    </r>
    <r>
      <rPr>
        <b/>
        <i/>
        <sz val="12"/>
        <color indexed="10"/>
        <rFont val="Arial Cyr"/>
        <family val="0"/>
      </rPr>
      <t>121 долл</t>
    </r>
    <r>
      <rPr>
        <b/>
        <i/>
        <sz val="12"/>
        <rFont val="Arial Cyr"/>
        <family val="0"/>
      </rPr>
      <t xml:space="preserve">, минибас (5-8 чел) </t>
    </r>
    <r>
      <rPr>
        <b/>
        <i/>
        <sz val="12"/>
        <color indexed="10"/>
        <rFont val="Arial Cyr"/>
        <family val="0"/>
      </rPr>
      <t>135 долл</t>
    </r>
  </si>
  <si>
    <r>
      <t xml:space="preserve">Трансферы отель в Сьенфуэгосe - отель на острове Санта Мария (OW) такси (1-2 чел) </t>
    </r>
    <r>
      <rPr>
        <b/>
        <i/>
        <sz val="12"/>
        <color indexed="10"/>
        <rFont val="Arial Cyr"/>
        <family val="0"/>
      </rPr>
      <t>155 долл</t>
    </r>
    <r>
      <rPr>
        <b/>
        <i/>
        <sz val="12"/>
        <rFont val="Arial Cyr"/>
        <family val="0"/>
      </rPr>
      <t xml:space="preserve">, минивен (3-4 чел) </t>
    </r>
    <r>
      <rPr>
        <b/>
        <i/>
        <sz val="12"/>
        <color indexed="10"/>
        <rFont val="Arial Cyr"/>
        <family val="0"/>
      </rPr>
      <t>280 долл</t>
    </r>
    <r>
      <rPr>
        <b/>
        <i/>
        <sz val="12"/>
        <rFont val="Arial Cyr"/>
        <family val="0"/>
      </rPr>
      <t xml:space="preserve">, минибас (5-8 чел) </t>
    </r>
    <r>
      <rPr>
        <b/>
        <i/>
        <sz val="12"/>
        <color indexed="10"/>
        <rFont val="Arial Cyr"/>
        <family val="0"/>
      </rPr>
      <t>303 долл</t>
    </r>
  </si>
  <si>
    <r>
      <t xml:space="preserve">Трансфер групповой отель на Кайо Энсеначос - отель на Варадеро - </t>
    </r>
    <r>
      <rPr>
        <b/>
        <i/>
        <sz val="12"/>
        <color indexed="10"/>
        <rFont val="Arial Cyr"/>
        <family val="0"/>
      </rPr>
      <t>35 долл OW</t>
    </r>
  </si>
  <si>
    <r>
      <t xml:space="preserve">Трансфер аэропорт или отель в Гаване - отель на Кайо Энсеначос OW - такси (1-2 чел) </t>
    </r>
    <r>
      <rPr>
        <b/>
        <i/>
        <sz val="12"/>
        <color indexed="10"/>
        <rFont val="Arial Cyr"/>
        <family val="0"/>
      </rPr>
      <t>292 долл</t>
    </r>
    <r>
      <rPr>
        <b/>
        <i/>
        <sz val="12"/>
        <rFont val="Arial Cyr"/>
        <family val="0"/>
      </rPr>
      <t xml:space="preserve">, минивен (3-4 чел) </t>
    </r>
    <r>
      <rPr>
        <b/>
        <i/>
        <sz val="12"/>
        <color indexed="10"/>
        <rFont val="Arial Cyr"/>
        <family val="0"/>
      </rPr>
      <t>458 долл</t>
    </r>
    <r>
      <rPr>
        <b/>
        <i/>
        <sz val="12"/>
        <rFont val="Arial Cyr"/>
        <family val="0"/>
      </rPr>
      <t xml:space="preserve">, минибас (5-8 чел) </t>
    </r>
    <r>
      <rPr>
        <b/>
        <i/>
        <sz val="12"/>
        <color indexed="10"/>
        <rFont val="Arial Cyr"/>
        <family val="0"/>
      </rPr>
      <t>510 долл</t>
    </r>
  </si>
  <si>
    <r>
      <t xml:space="preserve">Трансфер отель на Кайо Энсеначос - отель на Варадеро OW - такси (1-2 чел) </t>
    </r>
    <r>
      <rPr>
        <b/>
        <i/>
        <sz val="12"/>
        <color indexed="10"/>
        <rFont val="Arial Cyr"/>
        <family val="0"/>
      </rPr>
      <t>260 долл</t>
    </r>
    <r>
      <rPr>
        <b/>
        <i/>
        <sz val="12"/>
        <rFont val="Arial Cyr"/>
        <family val="0"/>
      </rPr>
      <t xml:space="preserve">, минивен (3-4 чел) </t>
    </r>
    <r>
      <rPr>
        <b/>
        <i/>
        <sz val="12"/>
        <color indexed="10"/>
        <rFont val="Arial Cyr"/>
        <family val="0"/>
      </rPr>
      <t>393 долл</t>
    </r>
    <r>
      <rPr>
        <b/>
        <i/>
        <sz val="12"/>
        <rFont val="Arial Cyr"/>
        <family val="0"/>
      </rPr>
      <t xml:space="preserve">, минибас (5-8 чел) </t>
    </r>
    <r>
      <rPr>
        <b/>
        <i/>
        <sz val="12"/>
        <color indexed="10"/>
        <rFont val="Arial Cyr"/>
        <family val="0"/>
      </rPr>
      <t>435 долл</t>
    </r>
  </si>
  <si>
    <r>
      <t xml:space="preserve">Трансфер групповой отель в Гаване - отель на Кайо Энсеначос - </t>
    </r>
    <r>
      <rPr>
        <b/>
        <i/>
        <sz val="12"/>
        <color indexed="10"/>
        <rFont val="Arial Cyr"/>
        <family val="0"/>
      </rPr>
      <t>35 долл  OW</t>
    </r>
  </si>
  <si>
    <t>открытие в августе 22 г</t>
  </si>
  <si>
    <t>При бронировании не менее чем за 30 дней до заезда, скидка 5 USD чел/ночь. Распространяется только на взрослых</t>
  </si>
  <si>
    <t xml:space="preserve"> 01.05.22 - 18.07.22</t>
  </si>
  <si>
    <t xml:space="preserve">   19.07.21 - 22.08.22</t>
  </si>
  <si>
    <t xml:space="preserve">  23.08.22 - 31.10.22</t>
  </si>
  <si>
    <r>
      <t xml:space="preserve">Трансфер групповой отель в Гаване - отель на Кайо Санта Мария  (выезд в 5.00) - </t>
    </r>
    <r>
      <rPr>
        <b/>
        <i/>
        <sz val="12"/>
        <color indexed="10"/>
        <rFont val="Arial Cyr"/>
        <family val="0"/>
      </rPr>
      <t xml:space="preserve">30 долл OW   </t>
    </r>
  </si>
  <si>
    <r>
      <t xml:space="preserve">Трансфер групповой отель на Кайо Санта Мария - отель в Гаване (выезд в 14.00) - </t>
    </r>
    <r>
      <rPr>
        <b/>
        <i/>
        <sz val="12"/>
        <color indexed="10"/>
        <rFont val="Arial Cyr"/>
        <family val="0"/>
      </rPr>
      <t xml:space="preserve">30 долл OW   </t>
    </r>
  </si>
  <si>
    <r>
      <t xml:space="preserve">Трансфер групповой отель на Кайо Санта Мария - отель на Варадеро - </t>
    </r>
    <r>
      <rPr>
        <b/>
        <i/>
        <sz val="12"/>
        <color indexed="10"/>
        <rFont val="Arial Cyr"/>
        <family val="0"/>
      </rPr>
      <t>35 долл OW</t>
    </r>
  </si>
  <si>
    <r>
      <t xml:space="preserve">Трансфер аэропорт или отель в Гаване - отель на Кайо Санта Мария OW - такси (1-2 чел) </t>
    </r>
    <r>
      <rPr>
        <b/>
        <i/>
        <sz val="12"/>
        <color indexed="10"/>
        <rFont val="Arial Cyr"/>
        <family val="0"/>
      </rPr>
      <t>300 долл</t>
    </r>
    <r>
      <rPr>
        <b/>
        <i/>
        <sz val="12"/>
        <rFont val="Arial Cyr"/>
        <family val="0"/>
      </rPr>
      <t xml:space="preserve">, минивен (3 чел) </t>
    </r>
    <r>
      <rPr>
        <b/>
        <i/>
        <sz val="12"/>
        <color indexed="10"/>
        <rFont val="Arial Cyr"/>
        <family val="0"/>
      </rPr>
      <t>400 долл</t>
    </r>
    <r>
      <rPr>
        <b/>
        <i/>
        <sz val="12"/>
        <rFont val="Arial Cyr"/>
        <family val="0"/>
      </rPr>
      <t xml:space="preserve">, минибас (4-8 чел) </t>
    </r>
    <r>
      <rPr>
        <b/>
        <i/>
        <sz val="12"/>
        <color indexed="10"/>
        <rFont val="Arial Cyr"/>
        <family val="0"/>
      </rPr>
      <t>510 долл</t>
    </r>
  </si>
  <si>
    <r>
      <t xml:space="preserve">Трансфер отель на Кайо Санта Мария - отель на Варадеро OW - такси (1-2 чел) </t>
    </r>
    <r>
      <rPr>
        <b/>
        <i/>
        <sz val="12"/>
        <color indexed="10"/>
        <rFont val="Arial Cyr"/>
        <family val="0"/>
      </rPr>
      <t>260 долл</t>
    </r>
    <r>
      <rPr>
        <b/>
        <i/>
        <sz val="12"/>
        <rFont val="Arial Cyr"/>
        <family val="0"/>
      </rPr>
      <t xml:space="preserve">, минивен (3 чел) </t>
    </r>
    <r>
      <rPr>
        <b/>
        <i/>
        <sz val="12"/>
        <color indexed="10"/>
        <rFont val="Arial Cyr"/>
        <family val="0"/>
      </rPr>
      <t>350 долл</t>
    </r>
    <r>
      <rPr>
        <b/>
        <i/>
        <sz val="12"/>
        <rFont val="Arial Cyr"/>
        <family val="0"/>
      </rPr>
      <t xml:space="preserve">, минибас (4-8 чел) </t>
    </r>
    <r>
      <rPr>
        <b/>
        <i/>
        <sz val="12"/>
        <color indexed="10"/>
        <rFont val="Arial Cyr"/>
        <family val="0"/>
      </rPr>
      <t>450 долл</t>
    </r>
  </si>
  <si>
    <t>ROC Laguna del Mar</t>
  </si>
  <si>
    <t>Ex. Labranda</t>
  </si>
  <si>
    <t>DELUXE SEA VIEW DBL</t>
  </si>
  <si>
    <t>DELUXE SEA VIEW  SGL</t>
  </si>
  <si>
    <t>Минимальное бронирование2 ночи</t>
  </si>
  <si>
    <t>SGL+CHD рассчитывается как SGL. Доплата за HABITACION EXCELSIOR CLUB 25 долл/чел/ночь</t>
  </si>
  <si>
    <t>ПРИ БРОНИРОВАНИИ ОТЕЛЯ МИНИМУМ ЗА 30 ДНЕЙ ДО ЗАЕЗДА СКИДКА 5 долл/взр/ночь</t>
  </si>
  <si>
    <r>
      <t xml:space="preserve">Групповые трансферы Гавана - Кайо Коко и обратно от отеля до отеля OW - </t>
    </r>
    <r>
      <rPr>
        <b/>
        <i/>
        <sz val="12"/>
        <color indexed="10"/>
        <rFont val="Arial Cyr"/>
        <family val="0"/>
      </rPr>
      <t>60 долл</t>
    </r>
    <r>
      <rPr>
        <b/>
        <i/>
        <sz val="12"/>
        <rFont val="Arial Cyr"/>
        <family val="0"/>
      </rPr>
      <t xml:space="preserve">       </t>
    </r>
    <r>
      <rPr>
        <b/>
        <i/>
        <sz val="12"/>
        <color indexed="10"/>
        <rFont val="Arial Cyr"/>
        <family val="0"/>
      </rPr>
      <t xml:space="preserve">   </t>
    </r>
    <r>
      <rPr>
        <b/>
        <i/>
        <sz val="12"/>
        <rFont val="Arial Cyr"/>
        <family val="0"/>
      </rPr>
      <t xml:space="preserve">                                                                                                                                    </t>
    </r>
  </si>
  <si>
    <r>
      <t xml:space="preserve">Трансфер аэропорт или отель в Гаване - отель на Кайо Коко OW - такси (1-2 чел) </t>
    </r>
    <r>
      <rPr>
        <b/>
        <i/>
        <sz val="12"/>
        <color indexed="10"/>
        <rFont val="Arial Cyr"/>
        <family val="0"/>
      </rPr>
      <t>400 долл</t>
    </r>
    <r>
      <rPr>
        <b/>
        <i/>
        <sz val="12"/>
        <rFont val="Arial Cyr"/>
        <family val="0"/>
      </rPr>
      <t xml:space="preserve">, минивен (3 чел) </t>
    </r>
    <r>
      <rPr>
        <b/>
        <i/>
        <sz val="12"/>
        <color indexed="10"/>
        <rFont val="Arial Cyr"/>
        <family val="0"/>
      </rPr>
      <t>500 долл</t>
    </r>
    <r>
      <rPr>
        <b/>
        <i/>
        <sz val="12"/>
        <rFont val="Arial Cyr"/>
        <family val="0"/>
      </rPr>
      <t xml:space="preserve">, минибас (4-8 чел) </t>
    </r>
    <r>
      <rPr>
        <b/>
        <i/>
        <sz val="12"/>
        <color indexed="10"/>
        <rFont val="Arial Cyr"/>
        <family val="0"/>
      </rPr>
      <t xml:space="preserve">680 долл </t>
    </r>
  </si>
  <si>
    <r>
      <t xml:space="preserve">Трансфер отель на Кайо Коко - отель на Варадеро OW - такси (1-2 чел) </t>
    </r>
    <r>
      <rPr>
        <b/>
        <i/>
        <sz val="12"/>
        <color indexed="10"/>
        <rFont val="Arial Cyr"/>
        <family val="0"/>
      </rPr>
      <t>350 долл</t>
    </r>
    <r>
      <rPr>
        <b/>
        <i/>
        <sz val="12"/>
        <rFont val="Arial Cyr"/>
        <family val="0"/>
      </rPr>
      <t xml:space="preserve">, минивен (3 чел) </t>
    </r>
    <r>
      <rPr>
        <b/>
        <i/>
        <sz val="12"/>
        <color indexed="10"/>
        <rFont val="Arial Cyr"/>
        <family val="0"/>
      </rPr>
      <t>450 долл</t>
    </r>
    <r>
      <rPr>
        <b/>
        <i/>
        <sz val="12"/>
        <rFont val="Arial Cyr"/>
        <family val="0"/>
      </rPr>
      <t xml:space="preserve">, минибас (4-8 чел) </t>
    </r>
    <r>
      <rPr>
        <b/>
        <i/>
        <sz val="12"/>
        <color indexed="10"/>
        <rFont val="Arial Cyr"/>
        <family val="0"/>
      </rPr>
      <t xml:space="preserve">630 долл </t>
    </r>
  </si>
  <si>
    <t>CORAL JR SUITE DBL SWIM OUT</t>
  </si>
  <si>
    <t>Максимум размещение 2 взрослых</t>
  </si>
  <si>
    <r>
      <t xml:space="preserve">Трансфер аэропорт или отель в Гаване - отель на Кайо Круз OW - такси (1-2 чел) </t>
    </r>
    <r>
      <rPr>
        <b/>
        <i/>
        <sz val="12"/>
        <color indexed="10"/>
        <rFont val="Arial Cyr"/>
        <family val="0"/>
      </rPr>
      <t>460 долл</t>
    </r>
    <r>
      <rPr>
        <b/>
        <i/>
        <sz val="12"/>
        <rFont val="Arial Cyr"/>
        <family val="0"/>
      </rPr>
      <t xml:space="preserve">, минивен (3 чел) </t>
    </r>
    <r>
      <rPr>
        <b/>
        <i/>
        <sz val="12"/>
        <color indexed="10"/>
        <rFont val="Arial Cyr"/>
        <family val="0"/>
      </rPr>
      <t>560 долл</t>
    </r>
    <r>
      <rPr>
        <b/>
        <i/>
        <sz val="12"/>
        <rFont val="Arial Cyr"/>
        <family val="0"/>
      </rPr>
      <t xml:space="preserve">, минибас (4-8 чел) </t>
    </r>
    <r>
      <rPr>
        <b/>
        <i/>
        <sz val="12"/>
        <color indexed="10"/>
        <rFont val="Arial Cyr"/>
        <family val="0"/>
      </rPr>
      <t xml:space="preserve">760 долл </t>
    </r>
  </si>
  <si>
    <r>
      <t xml:space="preserve">Трансфер отель на Кайо Круз - отель на Варадеро OW - такси (1-2 чел) </t>
    </r>
    <r>
      <rPr>
        <b/>
        <i/>
        <sz val="12"/>
        <color indexed="10"/>
        <rFont val="Arial Cyr"/>
        <family val="0"/>
      </rPr>
      <t>400 долл</t>
    </r>
    <r>
      <rPr>
        <b/>
        <i/>
        <sz val="12"/>
        <rFont val="Arial Cyr"/>
        <family val="0"/>
      </rPr>
      <t xml:space="preserve">, минивен (3 чел) </t>
    </r>
    <r>
      <rPr>
        <b/>
        <i/>
        <sz val="12"/>
        <color indexed="10"/>
        <rFont val="Arial Cyr"/>
        <family val="0"/>
      </rPr>
      <t>500 долл</t>
    </r>
    <r>
      <rPr>
        <b/>
        <i/>
        <sz val="12"/>
        <rFont val="Arial Cyr"/>
        <family val="0"/>
      </rPr>
      <t xml:space="preserve">, минибас (4-8 чел) </t>
    </r>
    <r>
      <rPr>
        <b/>
        <i/>
        <sz val="12"/>
        <color indexed="10"/>
        <rFont val="Arial Cyr"/>
        <family val="0"/>
      </rPr>
      <t xml:space="preserve">740 долл </t>
    </r>
  </si>
  <si>
    <t xml:space="preserve"> 01.05.22 - 31.05.22</t>
  </si>
  <si>
    <t xml:space="preserve">   01.06.22- 30.09.22</t>
  </si>
  <si>
    <t xml:space="preserve">  01.10.22 - 31.10.22</t>
  </si>
  <si>
    <t>Доплата за реб. До с 6 до 12 лет 57 долл, за 3-еговзрослого 114 долл</t>
  </si>
  <si>
    <r>
      <t xml:space="preserve">Трансфер аэропорт или отель в Гаване - отель на Кайо Гильермо OW - такси (1-2 чел) </t>
    </r>
    <r>
      <rPr>
        <b/>
        <i/>
        <sz val="12"/>
        <color indexed="10"/>
        <rFont val="Arial Cyr"/>
        <family val="0"/>
      </rPr>
      <t>420 долл</t>
    </r>
    <r>
      <rPr>
        <b/>
        <i/>
        <sz val="12"/>
        <rFont val="Arial Cyr"/>
        <family val="0"/>
      </rPr>
      <t xml:space="preserve">, минивен (3 чел) </t>
    </r>
    <r>
      <rPr>
        <b/>
        <i/>
        <sz val="12"/>
        <color indexed="10"/>
        <rFont val="Arial Cyr"/>
        <family val="0"/>
      </rPr>
      <t>520 долл</t>
    </r>
    <r>
      <rPr>
        <b/>
        <i/>
        <sz val="12"/>
        <rFont val="Arial Cyr"/>
        <family val="0"/>
      </rPr>
      <t xml:space="preserve">, минибас (4-8 чел) </t>
    </r>
    <r>
      <rPr>
        <b/>
        <i/>
        <sz val="12"/>
        <color indexed="10"/>
        <rFont val="Arial Cyr"/>
        <family val="0"/>
      </rPr>
      <t xml:space="preserve">720 долл </t>
    </r>
  </si>
  <si>
    <r>
      <t xml:space="preserve">Трансфер отель на Кайо Гильермо - отель на Варадеро OW - такси (1-2 чел) </t>
    </r>
    <r>
      <rPr>
        <b/>
        <i/>
        <sz val="12"/>
        <color indexed="10"/>
        <rFont val="Arial Cyr"/>
        <family val="0"/>
      </rPr>
      <t>360 долл</t>
    </r>
    <r>
      <rPr>
        <b/>
        <i/>
        <sz val="12"/>
        <rFont val="Arial Cyr"/>
        <family val="0"/>
      </rPr>
      <t xml:space="preserve">, минивен (3 чел) </t>
    </r>
    <r>
      <rPr>
        <b/>
        <i/>
        <sz val="12"/>
        <color indexed="10"/>
        <rFont val="Arial Cyr"/>
        <family val="0"/>
      </rPr>
      <t>460 долл</t>
    </r>
    <r>
      <rPr>
        <b/>
        <i/>
        <sz val="12"/>
        <rFont val="Arial Cyr"/>
        <family val="0"/>
      </rPr>
      <t xml:space="preserve">, минибас (5-8 чел) </t>
    </r>
    <r>
      <rPr>
        <b/>
        <i/>
        <sz val="12"/>
        <color indexed="10"/>
        <rFont val="Arial Cyr"/>
        <family val="0"/>
      </rPr>
      <t xml:space="preserve">655 долл </t>
    </r>
  </si>
  <si>
    <t xml:space="preserve"> 01.05.22 - 10.07.22</t>
  </si>
  <si>
    <t xml:space="preserve">   11.07.21 - 24.08.22</t>
  </si>
  <si>
    <t>открытие планируется в ноябре 2022</t>
  </si>
  <si>
    <t>Во всех категориях номеров максимально разрещение 2 взр+2 реб или 3 взр</t>
  </si>
  <si>
    <t>ВВ</t>
  </si>
  <si>
    <t xml:space="preserve"> 01.05.22 - 31.10.22</t>
  </si>
  <si>
    <t>открытие планируется 01.07.</t>
  </si>
  <si>
    <t xml:space="preserve"> 01.07.22 - 14.07.22</t>
  </si>
  <si>
    <t>Планируют летом открыть</t>
  </si>
  <si>
    <t>Доплата за номер Ocean View - 7 долл за номер в сутки</t>
  </si>
  <si>
    <t>Дата открытия не определена</t>
  </si>
  <si>
    <t xml:space="preserve">   01.06.21 - 30.09.22</t>
  </si>
  <si>
    <t>ПРИ РАННЕМ БРОНИРОВАНИИ за 60 дней до заезда скидка 35% ДЛЯ SUPERIOR</t>
  </si>
  <si>
    <t>Пока не открыты</t>
  </si>
  <si>
    <t>Доплата за ужин 25 долл, в отеле Terral 38 долл,ребенок 50%</t>
  </si>
  <si>
    <t xml:space="preserve"> 01.05.22 - 30.06.22</t>
  </si>
  <si>
    <t xml:space="preserve">   01.07.21 - 31.08.22</t>
  </si>
  <si>
    <t xml:space="preserve">  01.09.22 - 31.10.22</t>
  </si>
  <si>
    <r>
      <t>Трансферы групповые аэропорт Гаваны - отели Гаваны</t>
    </r>
    <r>
      <rPr>
        <b/>
        <i/>
        <sz val="12"/>
        <color indexed="10"/>
        <rFont val="Arial Cyr"/>
        <family val="2"/>
      </rPr>
      <t xml:space="preserve"> - 10 долл</t>
    </r>
    <r>
      <rPr>
        <b/>
        <i/>
        <sz val="12"/>
        <rFont val="Arial Cyr"/>
        <family val="2"/>
      </rPr>
      <t xml:space="preserve"> // такси (1-2 чел) </t>
    </r>
    <r>
      <rPr>
        <b/>
        <i/>
        <sz val="12"/>
        <rFont val="Arial Cyr"/>
        <family val="0"/>
      </rPr>
      <t>-</t>
    </r>
    <r>
      <rPr>
        <b/>
        <i/>
        <sz val="12"/>
        <color indexed="10"/>
        <rFont val="Arial Cyr"/>
        <family val="2"/>
      </rPr>
      <t xml:space="preserve"> 30 долл </t>
    </r>
    <r>
      <rPr>
        <b/>
        <i/>
        <sz val="12"/>
        <rFont val="Arial Cyr"/>
        <family val="0"/>
      </rPr>
      <t xml:space="preserve">// минивен (3 чел) - </t>
    </r>
    <r>
      <rPr>
        <b/>
        <i/>
        <sz val="12"/>
        <color indexed="10"/>
        <rFont val="Arial Cyr"/>
        <family val="0"/>
      </rPr>
      <t>50 долл</t>
    </r>
    <r>
      <rPr>
        <b/>
        <i/>
        <sz val="12"/>
        <rFont val="Arial Cyr"/>
        <family val="0"/>
      </rPr>
      <t xml:space="preserve"> // минибас (4-8 чел) - </t>
    </r>
    <r>
      <rPr>
        <b/>
        <i/>
        <sz val="12"/>
        <color indexed="10"/>
        <rFont val="Arial Cyr"/>
        <family val="0"/>
      </rPr>
      <t xml:space="preserve">85 долл  </t>
    </r>
  </si>
  <si>
    <r>
      <t xml:space="preserve">Трансферы групповые аэропорт Гаваны - отели Варадеро </t>
    </r>
    <r>
      <rPr>
        <b/>
        <i/>
        <sz val="12"/>
        <color indexed="10"/>
        <rFont val="Arial Cyr"/>
        <family val="2"/>
      </rPr>
      <t xml:space="preserve">- 25 долл </t>
    </r>
    <r>
      <rPr>
        <b/>
        <i/>
        <sz val="12"/>
        <rFont val="Arial Cyr"/>
        <family val="2"/>
      </rPr>
      <t xml:space="preserve">// такси (1-2 чел) </t>
    </r>
    <r>
      <rPr>
        <b/>
        <i/>
        <sz val="12"/>
        <color indexed="10"/>
        <rFont val="Arial Cyr"/>
        <family val="2"/>
      </rPr>
      <t xml:space="preserve">- 135 долл </t>
    </r>
    <r>
      <rPr>
        <b/>
        <i/>
        <sz val="12"/>
        <rFont val="Arial Cyr"/>
        <family val="0"/>
      </rPr>
      <t xml:space="preserve">// минивен (3 чел) - </t>
    </r>
    <r>
      <rPr>
        <b/>
        <i/>
        <sz val="12"/>
        <color indexed="10"/>
        <rFont val="Arial Cyr"/>
        <family val="0"/>
      </rPr>
      <t>150 долл</t>
    </r>
    <r>
      <rPr>
        <b/>
        <i/>
        <sz val="12"/>
        <rFont val="Arial Cyr"/>
        <family val="0"/>
      </rPr>
      <t xml:space="preserve"> // минибас (4-8 чел) - </t>
    </r>
    <r>
      <rPr>
        <b/>
        <i/>
        <sz val="12"/>
        <color indexed="10"/>
        <rFont val="Arial Cyr"/>
        <family val="0"/>
      </rPr>
      <t xml:space="preserve">285 долл  </t>
    </r>
  </si>
  <si>
    <r>
      <t xml:space="preserve">Трансферы групповые отели Варадеро - аэропорт Гаваны </t>
    </r>
    <r>
      <rPr>
        <b/>
        <i/>
        <sz val="12"/>
        <color indexed="10"/>
        <rFont val="Arial Cyr"/>
        <family val="2"/>
      </rPr>
      <t xml:space="preserve">- 25 долл </t>
    </r>
    <r>
      <rPr>
        <b/>
        <i/>
        <sz val="12"/>
        <rFont val="Arial Cyr"/>
        <family val="2"/>
      </rPr>
      <t xml:space="preserve">// такси (1-2 чел) </t>
    </r>
    <r>
      <rPr>
        <b/>
        <i/>
        <sz val="12"/>
        <color indexed="10"/>
        <rFont val="Arial Cyr"/>
        <family val="2"/>
      </rPr>
      <t xml:space="preserve">- 135 долл </t>
    </r>
    <r>
      <rPr>
        <b/>
        <i/>
        <sz val="12"/>
        <rFont val="Arial Cyr"/>
        <family val="0"/>
      </rPr>
      <t xml:space="preserve">// минивен (3 чел) - </t>
    </r>
    <r>
      <rPr>
        <b/>
        <i/>
        <sz val="12"/>
        <color indexed="10"/>
        <rFont val="Arial Cyr"/>
        <family val="0"/>
      </rPr>
      <t>150 долл</t>
    </r>
    <r>
      <rPr>
        <b/>
        <i/>
        <sz val="12"/>
        <rFont val="Arial Cyr"/>
        <family val="0"/>
      </rPr>
      <t xml:space="preserve"> // минибас (4-8 чел) - </t>
    </r>
    <r>
      <rPr>
        <b/>
        <i/>
        <sz val="12"/>
        <color indexed="10"/>
        <rFont val="Arial Cyr"/>
        <family val="0"/>
      </rPr>
      <t xml:space="preserve">285 долл  </t>
    </r>
  </si>
  <si>
    <r>
      <t xml:space="preserve">Трансферы групповые отели Гаваны - отели Варадеро </t>
    </r>
    <r>
      <rPr>
        <b/>
        <i/>
        <sz val="12"/>
        <color indexed="10"/>
        <rFont val="Arial Cyr"/>
        <family val="2"/>
      </rPr>
      <t xml:space="preserve">- 20 долл </t>
    </r>
    <r>
      <rPr>
        <b/>
        <i/>
        <sz val="12"/>
        <rFont val="Arial Cyr"/>
        <family val="2"/>
      </rPr>
      <t xml:space="preserve">// такси (1-2 чел) </t>
    </r>
    <r>
      <rPr>
        <b/>
        <i/>
        <sz val="12"/>
        <color indexed="10"/>
        <rFont val="Arial Cyr"/>
        <family val="2"/>
      </rPr>
      <t>- 120 долл</t>
    </r>
    <r>
      <rPr>
        <b/>
        <i/>
        <sz val="12"/>
        <rFont val="Arial Cyr"/>
        <family val="0"/>
      </rPr>
      <t xml:space="preserve"> // минивен (3  чел) - </t>
    </r>
    <r>
      <rPr>
        <b/>
        <i/>
        <sz val="12"/>
        <color indexed="10"/>
        <rFont val="Arial Cyr"/>
        <family val="0"/>
      </rPr>
      <t xml:space="preserve">150 долл </t>
    </r>
    <r>
      <rPr>
        <b/>
        <i/>
        <sz val="12"/>
        <rFont val="Arial Cyr"/>
        <family val="0"/>
      </rPr>
      <t xml:space="preserve">// минибас (4-8 чел) -  </t>
    </r>
    <r>
      <rPr>
        <b/>
        <i/>
        <sz val="12"/>
        <color indexed="10"/>
        <rFont val="Arial Cyr"/>
        <family val="0"/>
      </rPr>
      <t xml:space="preserve">240 долл  </t>
    </r>
  </si>
  <si>
    <r>
      <t xml:space="preserve">Трансферы  групповые аэропорт Варадеро - отели Варадеро </t>
    </r>
    <r>
      <rPr>
        <b/>
        <i/>
        <sz val="12"/>
        <color indexed="10"/>
        <rFont val="Arial Cyr"/>
        <family val="0"/>
      </rPr>
      <t>- 10 долл</t>
    </r>
    <r>
      <rPr>
        <b/>
        <i/>
        <sz val="12"/>
        <rFont val="Arial Cyr"/>
        <family val="2"/>
      </rPr>
      <t xml:space="preserve"> // такси (1-2 чел) </t>
    </r>
    <r>
      <rPr>
        <b/>
        <i/>
        <sz val="12"/>
        <color indexed="10"/>
        <rFont val="Arial Cyr"/>
        <family val="2"/>
      </rPr>
      <t>- 45 долл</t>
    </r>
    <r>
      <rPr>
        <b/>
        <i/>
        <sz val="12"/>
        <rFont val="Arial Cyr"/>
        <family val="0"/>
      </rPr>
      <t xml:space="preserve"> // минивен (3 чел) - </t>
    </r>
    <r>
      <rPr>
        <b/>
        <i/>
        <sz val="12"/>
        <color indexed="10"/>
        <rFont val="Arial Cyr"/>
        <family val="0"/>
      </rPr>
      <t>55 долл</t>
    </r>
    <r>
      <rPr>
        <b/>
        <i/>
        <sz val="12"/>
        <rFont val="Arial Cyr"/>
        <family val="0"/>
      </rPr>
      <t xml:space="preserve"> // минибас (4-8 чел) - </t>
    </r>
    <r>
      <rPr>
        <b/>
        <i/>
        <sz val="12"/>
        <color indexed="10"/>
        <rFont val="Arial Cyr"/>
        <family val="0"/>
      </rPr>
      <t xml:space="preserve">95 долл   </t>
    </r>
  </si>
  <si>
    <r>
      <t xml:space="preserve">Трансферы  индивидуальные аэропорт Варадеро - отели Гаваны </t>
    </r>
    <r>
      <rPr>
        <b/>
        <i/>
        <sz val="12"/>
        <color indexed="10"/>
        <rFont val="Arial Cyr"/>
        <family val="0"/>
      </rPr>
      <t>-</t>
    </r>
    <r>
      <rPr>
        <b/>
        <i/>
        <sz val="12"/>
        <rFont val="Arial Cyr"/>
        <family val="2"/>
      </rPr>
      <t xml:space="preserve"> такси (1-2 чел) </t>
    </r>
    <r>
      <rPr>
        <b/>
        <i/>
        <sz val="12"/>
        <color indexed="10"/>
        <rFont val="Arial Cyr"/>
        <family val="2"/>
      </rPr>
      <t>- 90 долл</t>
    </r>
    <r>
      <rPr>
        <b/>
        <i/>
        <sz val="12"/>
        <rFont val="Arial Cyr"/>
        <family val="0"/>
      </rPr>
      <t xml:space="preserve"> // минивен (3 чел) - </t>
    </r>
    <r>
      <rPr>
        <b/>
        <i/>
        <sz val="12"/>
        <color indexed="10"/>
        <rFont val="Arial Cyr"/>
        <family val="0"/>
      </rPr>
      <t>125 долл</t>
    </r>
    <r>
      <rPr>
        <b/>
        <i/>
        <sz val="12"/>
        <rFont val="Arial Cyr"/>
        <family val="0"/>
      </rPr>
      <t xml:space="preserve"> // минибас (4-8 чел) - </t>
    </r>
    <r>
      <rPr>
        <b/>
        <i/>
        <sz val="12"/>
        <color indexed="10"/>
        <rFont val="Arial Cyr"/>
        <family val="0"/>
      </rPr>
      <t xml:space="preserve">190 долл   </t>
    </r>
  </si>
  <si>
    <t xml:space="preserve"> 01.05.22 - 14.06.22</t>
  </si>
  <si>
    <t xml:space="preserve">   15.06.21 - 15.09.22</t>
  </si>
  <si>
    <t xml:space="preserve">  16.09.22 - 31.10.22</t>
  </si>
  <si>
    <r>
      <t xml:space="preserve">Трансфер индивидуальный аэропорт Гаваны - Пляж Санта Мария такси (1-2 чел.) - </t>
    </r>
    <r>
      <rPr>
        <b/>
        <i/>
        <sz val="12"/>
        <color indexed="10"/>
        <rFont val="Arial Cyr"/>
        <family val="0"/>
      </rPr>
      <t>50 долл</t>
    </r>
    <r>
      <rPr>
        <b/>
        <i/>
        <sz val="12"/>
        <rFont val="Arial Cyr"/>
        <family val="0"/>
      </rPr>
      <t xml:space="preserve">, минивен (3 чел) </t>
    </r>
    <r>
      <rPr>
        <b/>
        <i/>
        <sz val="12"/>
        <color indexed="10"/>
        <rFont val="Arial Cyr"/>
        <family val="0"/>
      </rPr>
      <t xml:space="preserve">60 долл, </t>
    </r>
    <r>
      <rPr>
        <b/>
        <i/>
        <sz val="12"/>
        <rFont val="Arial Cyr"/>
        <family val="0"/>
      </rPr>
      <t>минибас (4-8 чел)</t>
    </r>
    <r>
      <rPr>
        <b/>
        <i/>
        <sz val="12"/>
        <color indexed="10"/>
        <rFont val="Arial Cyr"/>
        <family val="0"/>
      </rPr>
      <t xml:space="preserve"> 90 долл     </t>
    </r>
    <r>
      <rPr>
        <b/>
        <i/>
        <sz val="12"/>
        <rFont val="Arial Cyr"/>
        <family val="0"/>
      </rPr>
      <t xml:space="preserve">  </t>
    </r>
  </si>
  <si>
    <r>
      <t xml:space="preserve">Трансфер индивидуальный аэропорт Гавана - Хибакоа  такси (1-2 чел.) - </t>
    </r>
    <r>
      <rPr>
        <b/>
        <i/>
        <sz val="12"/>
        <color indexed="10"/>
        <rFont val="Arial Cyr"/>
        <family val="0"/>
      </rPr>
      <t>65 долл</t>
    </r>
    <r>
      <rPr>
        <b/>
        <i/>
        <sz val="12"/>
        <rFont val="Arial Cyr"/>
        <family val="0"/>
      </rPr>
      <t>, минивен (3 чел)</t>
    </r>
    <r>
      <rPr>
        <b/>
        <i/>
        <sz val="12"/>
        <color indexed="10"/>
        <rFont val="Arial Cyr"/>
        <family val="0"/>
      </rPr>
      <t xml:space="preserve"> 85 долл, </t>
    </r>
    <r>
      <rPr>
        <b/>
        <i/>
        <sz val="12"/>
        <rFont val="Arial Cyr"/>
        <family val="0"/>
      </rPr>
      <t xml:space="preserve">минибас (4-8 чел) </t>
    </r>
    <r>
      <rPr>
        <b/>
        <i/>
        <sz val="12"/>
        <color indexed="10"/>
        <rFont val="Arial Cyr"/>
        <family val="0"/>
      </rPr>
      <t xml:space="preserve">125 долл     </t>
    </r>
    <r>
      <rPr>
        <b/>
        <i/>
        <sz val="12"/>
        <rFont val="Arial Cyr"/>
        <family val="0"/>
      </rPr>
      <t xml:space="preserve"> </t>
    </r>
  </si>
  <si>
    <r>
      <t xml:space="preserve">                                                                           ОТЕЛИ СИСТЕМЫ "ALL INCLUSIVE" (ВСЕ ВКЛЮЧЕНО)   НА ВАРАДЕРО                       </t>
    </r>
    <r>
      <rPr>
        <i/>
        <sz val="12"/>
        <color indexed="12"/>
        <rFont val="Arial Cyr"/>
        <family val="0"/>
      </rPr>
      <t xml:space="preserve">     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</si>
  <si>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    </t>
    </r>
  </si>
  <si>
    <r>
      <t>4</t>
    </r>
    <r>
      <rPr>
        <sz val="12"/>
        <rFont val="Arial Cyr"/>
        <family val="2"/>
      </rPr>
      <t xml:space="preserve">* </t>
    </r>
    <r>
      <rPr>
        <b/>
        <sz val="12"/>
        <rFont val="Arial Cyr"/>
        <family val="0"/>
      </rPr>
      <t>16+</t>
    </r>
  </si>
  <si>
    <r>
      <t xml:space="preserve">5* (новый отель </t>
    </r>
    <r>
      <rPr>
        <b/>
        <sz val="12"/>
        <color indexed="10"/>
        <rFont val="Arial Cyr"/>
        <family val="0"/>
      </rPr>
      <t>16+</t>
    </r>
    <r>
      <rPr>
        <b/>
        <sz val="12"/>
        <rFont val="Arial Cyr"/>
        <family val="0"/>
      </rPr>
      <t>)</t>
    </r>
  </si>
  <si>
    <r>
      <t xml:space="preserve">Отель только для взрослых от 16 лет! </t>
    </r>
    <r>
      <rPr>
        <i/>
        <sz val="12"/>
        <rFont val="Arial Cyr"/>
        <family val="0"/>
      </rPr>
      <t>Размещение 3-го взрослого в номере не допускается</t>
    </r>
  </si>
  <si>
    <r>
      <rPr>
        <i/>
        <sz val="12"/>
        <rFont val="Arial Cyr"/>
        <family val="0"/>
      </rPr>
      <t xml:space="preserve">Barcelo </t>
    </r>
    <r>
      <rPr>
        <i/>
        <sz val="12"/>
        <color indexed="30"/>
        <rFont val="Arial Cyr"/>
        <family val="0"/>
      </rPr>
      <t xml:space="preserve">                                </t>
    </r>
  </si>
  <si>
    <r>
      <rPr>
        <i/>
        <sz val="12"/>
        <rFont val="Arial Cyr"/>
        <family val="0"/>
      </rPr>
      <t xml:space="preserve">Barcelo </t>
    </r>
    <r>
      <rPr>
        <i/>
        <sz val="12"/>
        <color indexed="30"/>
        <rFont val="Arial Cyr"/>
        <family val="0"/>
      </rPr>
      <t xml:space="preserve">                                  </t>
    </r>
  </si>
  <si>
    <r>
      <rPr>
        <i/>
        <sz val="12"/>
        <rFont val="Arial Cyr"/>
        <family val="0"/>
      </rPr>
      <t xml:space="preserve">Blau                            </t>
    </r>
    <r>
      <rPr>
        <b/>
        <sz val="12"/>
        <rFont val="Arial Cyr"/>
        <family val="0"/>
      </rPr>
      <t xml:space="preserve">    </t>
    </r>
  </si>
  <si>
    <r>
      <t xml:space="preserve">Максимальное размещение: 3 взр или 2 взр+1  реб. </t>
    </r>
    <r>
      <rPr>
        <b/>
        <i/>
        <sz val="12"/>
        <rFont val="Arial Cyr"/>
        <family val="0"/>
      </rPr>
      <t>SGL+CHD рассчитывается как SGL</t>
    </r>
  </si>
  <si>
    <r>
      <t xml:space="preserve">Максимальное размещение: 3 взр+1 реб  или 2 взр+2 реб. </t>
    </r>
    <r>
      <rPr>
        <b/>
        <i/>
        <sz val="12"/>
        <rFont val="Arial Cyr"/>
        <family val="0"/>
      </rPr>
      <t>SGL+CHD рассчитывается как SGL</t>
    </r>
  </si>
  <si>
    <r>
      <t xml:space="preserve">4* </t>
    </r>
    <r>
      <rPr>
        <b/>
        <sz val="12"/>
        <color indexed="10"/>
        <rFont val="Arial Cyr"/>
        <family val="0"/>
      </rPr>
      <t xml:space="preserve"> 16+</t>
    </r>
  </si>
  <si>
    <r>
      <t>Gran  Caribe</t>
    </r>
    <r>
      <rPr>
        <i/>
        <sz val="12"/>
        <color indexed="48"/>
        <rFont val="Arial Cyr"/>
        <family val="0"/>
      </rPr>
      <t xml:space="preserve">                      </t>
    </r>
  </si>
  <si>
    <r>
      <t xml:space="preserve">Gran Caribe          </t>
    </r>
    <r>
      <rPr>
        <i/>
        <sz val="12"/>
        <color indexed="48"/>
        <rFont val="Arial Cyr"/>
        <family val="0"/>
      </rPr>
      <t xml:space="preserve">                  </t>
    </r>
  </si>
  <si>
    <r>
      <t xml:space="preserve">CAYO  SANTA  MARIA - ОСТРОВ  САНТА  МАРИЯ </t>
    </r>
    <r>
      <rPr>
        <i/>
        <sz val="12"/>
        <rFont val="Arial Cyr"/>
        <family val="0"/>
      </rPr>
      <t>( в Атлантическом океане - Северное побережье)</t>
    </r>
  </si>
  <si>
    <r>
      <t xml:space="preserve">Gaviota                  </t>
    </r>
    <r>
      <rPr>
        <sz val="12"/>
        <rFont val="Arial Cyr"/>
        <family val="2"/>
      </rPr>
      <t xml:space="preserve">       </t>
    </r>
    <r>
      <rPr>
        <b/>
        <sz val="12"/>
        <color indexed="12"/>
        <rFont val="Arial Cyr"/>
        <family val="2"/>
      </rPr>
      <t xml:space="preserve">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</si>
  <si>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</si>
  <si>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</si>
  <si>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</t>
    </r>
  </si>
  <si>
    <r>
      <t>GOLDEN VILLA (</t>
    </r>
    <r>
      <rPr>
        <b/>
        <sz val="12"/>
        <color indexed="8"/>
        <rFont val="Arial Cyr"/>
        <family val="0"/>
      </rPr>
      <t>за виллу,  4 взр</t>
    </r>
    <r>
      <rPr>
        <sz val="12"/>
        <color indexed="8"/>
        <rFont val="Arial Cyr"/>
        <family val="0"/>
      </rPr>
      <t xml:space="preserve">) </t>
    </r>
  </si>
  <si>
    <r>
      <t xml:space="preserve">Presidential Water Villa Hemingway </t>
    </r>
    <r>
      <rPr>
        <b/>
        <sz val="12"/>
        <color indexed="10"/>
        <rFont val="Arial Cyr"/>
        <family val="0"/>
      </rPr>
      <t>ПОД ЗАПРОС</t>
    </r>
  </si>
  <si>
    <r>
      <t xml:space="preserve">Melia             </t>
    </r>
    <r>
      <rPr>
        <b/>
        <sz val="12"/>
        <color indexed="8"/>
        <rFont val="Arial Cyr"/>
        <family val="2"/>
      </rPr>
      <t xml:space="preserve">                   </t>
    </r>
  </si>
  <si>
    <r>
      <rPr>
        <i/>
        <sz val="12"/>
        <rFont val="Arial Cyr"/>
        <family val="0"/>
      </rPr>
      <t xml:space="preserve">Islazul  </t>
    </r>
    <r>
      <rPr>
        <i/>
        <sz val="12"/>
        <color indexed="12"/>
        <rFont val="Arial Cyr"/>
        <family val="0"/>
      </rPr>
      <t xml:space="preserve">                            </t>
    </r>
  </si>
  <si>
    <r>
      <rPr>
        <i/>
        <sz val="12"/>
        <rFont val="Arial Cyr"/>
        <family val="0"/>
      </rPr>
      <t xml:space="preserve">Roc  </t>
    </r>
    <r>
      <rPr>
        <b/>
        <sz val="12"/>
        <color indexed="48"/>
        <rFont val="Arial Cyr"/>
        <family val="0"/>
      </rPr>
      <t xml:space="preserve">         </t>
    </r>
    <r>
      <rPr>
        <b/>
        <sz val="12"/>
        <color indexed="10"/>
        <rFont val="Arial Cyr"/>
        <family val="0"/>
      </rPr>
      <t xml:space="preserve">                         </t>
    </r>
  </si>
  <si>
    <r>
      <t xml:space="preserve">Доплата за номер Ocean View - 25 долл за номер в сутки, за Executive Floor - 63 долл за номер в сутки. </t>
    </r>
    <r>
      <rPr>
        <b/>
        <sz val="12"/>
        <rFont val="Arial Cyr"/>
        <family val="0"/>
      </rPr>
      <t>Доплата за HB 25 долл с человека</t>
    </r>
  </si>
  <si>
    <r>
      <t>2 Bedroom (</t>
    </r>
    <r>
      <rPr>
        <b/>
        <sz val="12"/>
        <rFont val="Arial Cyr"/>
        <family val="0"/>
      </rPr>
      <t>цена за номер, max 4</t>
    </r>
    <r>
      <rPr>
        <sz val="12"/>
        <rFont val="Arial Cyr"/>
        <family val="0"/>
      </rPr>
      <t>)</t>
    </r>
  </si>
  <si>
    <r>
      <t>2 Bedroom (</t>
    </r>
    <r>
      <rPr>
        <b/>
        <sz val="12"/>
        <rFont val="Arial Cyr"/>
        <family val="0"/>
      </rPr>
      <t>цена за номер, max 5</t>
    </r>
    <r>
      <rPr>
        <sz val="12"/>
        <rFont val="Arial Cyr"/>
        <family val="0"/>
      </rPr>
      <t>)</t>
    </r>
  </si>
  <si>
    <r>
      <t xml:space="preserve">SUITE PRESIDENCIAL CAPITOLIO </t>
    </r>
    <r>
      <rPr>
        <b/>
        <sz val="12"/>
        <color indexed="10"/>
        <rFont val="Arial Cyr"/>
        <family val="0"/>
      </rPr>
      <t>под запрос!!!</t>
    </r>
  </si>
  <si>
    <r>
      <t xml:space="preserve">Стоимость дана за виллу в день без питания. </t>
    </r>
    <r>
      <rPr>
        <b/>
        <i/>
        <sz val="12"/>
        <color indexed="10"/>
        <rFont val="Arial Cyr"/>
        <family val="0"/>
      </rPr>
      <t>Доплата за завтрак - 8 $ на человека, завтрак+ужин - 18 $ на человека.</t>
    </r>
  </si>
  <si>
    <r>
      <rPr>
        <b/>
        <i/>
        <sz val="14"/>
        <color indexed="18"/>
        <rFont val="Arial Cyr"/>
        <family val="0"/>
      </rPr>
      <t xml:space="preserve">Туроператор Havanatour International          </t>
    </r>
    <r>
      <rPr>
        <b/>
        <i/>
        <sz val="14"/>
        <color indexed="48"/>
        <rFont val="Arial Cyr"/>
        <family val="0"/>
      </rPr>
      <t xml:space="preserve">                                  </t>
    </r>
    <r>
      <rPr>
        <b/>
        <i/>
        <sz val="14"/>
        <color indexed="10"/>
        <rFont val="Arial Cyr"/>
        <family val="0"/>
      </rPr>
      <t xml:space="preserve">  </t>
    </r>
    <r>
      <rPr>
        <b/>
        <i/>
        <sz val="14"/>
        <color indexed="48"/>
        <rFont val="Arial Cyr"/>
        <family val="0"/>
      </rPr>
      <t xml:space="preserve"> </t>
    </r>
    <r>
      <rPr>
        <b/>
        <i/>
        <sz val="11"/>
        <color indexed="48"/>
        <rFont val="Arial Cyr"/>
        <family val="0"/>
      </rPr>
      <t xml:space="preserve">                                        </t>
    </r>
  </si>
  <si>
    <t>ЦЕНОВОЙ КАТAЛОГ ЛЕТО-ОСЕНЬ  2022 ГОДА</t>
  </si>
  <si>
    <r>
      <t>Gran  Caribe</t>
    </r>
    <r>
      <rPr>
        <i/>
        <sz val="12"/>
        <color indexed="48"/>
        <rFont val="Arial Cyr"/>
        <family val="0"/>
      </rPr>
      <t xml:space="preserve">                         </t>
    </r>
  </si>
  <si>
    <t>Special Summer 2022</t>
  </si>
  <si>
    <t>Sevilla 4*</t>
  </si>
  <si>
    <t>ДЛЯ ОТЕЛЯ SUN BEACH Завтрак : 5 долл/чел; завтрак-ужин 15 долл/чел. Отель имеет проблемы с бассейном</t>
  </si>
  <si>
    <t>220325-S-HVR12 для SGL</t>
  </si>
  <si>
    <t>DBL PREMIUM DELUXE PRADO</t>
  </si>
  <si>
    <t>SGL PREMIUM DELUXE  PRADO</t>
  </si>
  <si>
    <t>SGL DELUXE PRADO</t>
  </si>
  <si>
    <t>DBL DELUXE PREMIUM</t>
  </si>
  <si>
    <t>SGL DELUXE PREMIUM</t>
  </si>
  <si>
    <t xml:space="preserve">Aston Panorama    </t>
  </si>
  <si>
    <t>Открытие планируется 01.11.</t>
  </si>
  <si>
    <t>2022RUS736 до 31.10.</t>
  </si>
  <si>
    <t>2022RUS819 до 31.10.</t>
  </si>
  <si>
    <t>2022RUS816 до 31.10.</t>
  </si>
  <si>
    <t>2022RUS1937 до 31.10.</t>
  </si>
  <si>
    <r>
      <t xml:space="preserve">Melia      </t>
    </r>
    <r>
      <rPr>
        <b/>
        <sz val="12"/>
        <color indexed="12"/>
        <rFont val="Arial Cyr"/>
        <family val="2"/>
      </rPr>
      <t xml:space="preserve">2022RUS1937 до 31.10.            </t>
    </r>
  </si>
  <si>
    <t xml:space="preserve">  2022RUS1937 до 31.10.  </t>
  </si>
  <si>
    <t>SPO-009-Verano22 до 31.08.</t>
  </si>
  <si>
    <t>2022RUS1489 до 31.10.</t>
  </si>
  <si>
    <t>до 31.10.</t>
  </si>
  <si>
    <t>SUMMER 2022</t>
  </si>
  <si>
    <t>открытие планир. 31.10.</t>
  </si>
  <si>
    <t xml:space="preserve"> 10.06.22 - 14.07.22</t>
  </si>
  <si>
    <t>10.06.22 - 14.07.22</t>
  </si>
  <si>
    <t>2022ALRU0106 до 31.10.</t>
  </si>
  <si>
    <t>220325-S-HVR14</t>
  </si>
  <si>
    <t>220325-S-HVR14 до 31.10.</t>
  </si>
  <si>
    <t xml:space="preserve">При бронировании за 30 дней </t>
  </si>
  <si>
    <t>до заезда скидка 10%</t>
  </si>
  <si>
    <t>Аннуляция без штрафа за 14 ночей</t>
  </si>
  <si>
    <t>до заезда</t>
  </si>
  <si>
    <t>Deluxe</t>
  </si>
  <si>
    <t xml:space="preserve">Upgrade según disponibilidad de Patio a </t>
  </si>
  <si>
    <t>скидка 10% от 2-х ночей</t>
  </si>
  <si>
    <t>На даты заезда до 30.09.</t>
  </si>
  <si>
    <t>Аннуляция без штрафа за 3 ночи</t>
  </si>
  <si>
    <t xml:space="preserve">   15.07.21 - 31.08.22</t>
  </si>
  <si>
    <t>Autumn Promotion</t>
  </si>
  <si>
    <t>до 28.10.22</t>
  </si>
  <si>
    <t>Axel</t>
  </si>
  <si>
    <t>Telegrafo Axel hotel La Habana</t>
  </si>
  <si>
    <t>15.07.22 - 30.09.22</t>
  </si>
  <si>
    <t xml:space="preserve">   15.07.22 - 24.08.22</t>
  </si>
  <si>
    <t xml:space="preserve">   01.10.22 - 31.10.22</t>
  </si>
  <si>
    <t>DBL STD City</t>
  </si>
  <si>
    <t>SGL STD City</t>
  </si>
  <si>
    <t>DBL Premium</t>
  </si>
  <si>
    <t>SGL Premium</t>
  </si>
  <si>
    <t>Max размещение 2 чел</t>
  </si>
  <si>
    <t>При бронировании до 31.08. скидка 20%</t>
  </si>
  <si>
    <t>При бронировании до 31.08. от 3-х ночей скидка 24%</t>
  </si>
  <si>
    <t>При бронировании до 31.08. от 3-х ночей и за 30 дней до заезда скидка 30%</t>
  </si>
  <si>
    <t>для туристов от 18+  и  ЛГБТ</t>
  </si>
  <si>
    <t xml:space="preserve">В номере Bungalow Suite max 2 взр, в номерах Jr Suite, Suite и Bungalow 1 Bedroom разрешается max: 1 взр+3 реб, 2 взр+2 реб, 3 взр+1 реб (во всех номерах дополнительно ставится только одна доп.кровать). </t>
  </si>
  <si>
    <t>В номере FAMILIAR разрешается размещение минимально: 4 pax,  // максимально 6 pax</t>
  </si>
  <si>
    <t>RUSCAC-3107  31.10.</t>
  </si>
  <si>
    <t>RUSMOR до 31.10.</t>
  </si>
  <si>
    <t>SPO RUVAR-3107 до 31.10.</t>
  </si>
  <si>
    <t>СНЯТ С ПРОДАЖ</t>
  </si>
  <si>
    <t>RUSCOP-3107 от  31.10.</t>
  </si>
  <si>
    <t>закрыто до 1 ноября</t>
  </si>
  <si>
    <t>закрыто</t>
  </si>
  <si>
    <t xml:space="preserve"> 01.05.22 - 31.08.22</t>
  </si>
  <si>
    <t>Royalton Habana Paseo del Prado</t>
  </si>
  <si>
    <t>ex.SoPaseo del Prado</t>
  </si>
  <si>
    <t>Blue Diamind</t>
  </si>
  <si>
    <t>ПОКА СНЯТ С ПРОДАЖ</t>
  </si>
  <si>
    <t>Minimum stay 3 ночи</t>
  </si>
  <si>
    <t>Min stay 3 ночи</t>
  </si>
  <si>
    <t>По спец предложению ребенок с одним или 2мя родителями бесплатно</t>
  </si>
  <si>
    <t>При проживании от 3х ночей шоу-кабаре Парисьен бесплатно.</t>
  </si>
  <si>
    <t>Шоу+ приветственный коктейль 35 USD /нетто</t>
  </si>
  <si>
    <t>Шоу+ приветственный коктейль +ужин 65 USD /нетто</t>
  </si>
  <si>
    <t>SPO-011-Verano22 до 31.10.</t>
  </si>
  <si>
    <t xml:space="preserve">БЕЗ ПИТАНИЯ!!!SPO-011-Verano22 </t>
  </si>
  <si>
    <t>Vigia</t>
  </si>
  <si>
    <t xml:space="preserve"> 01.09.22 - 31.10.22</t>
  </si>
  <si>
    <t>При бронировании до 20.10. - 30%  от указанной цены</t>
  </si>
  <si>
    <t>При бронировании до 20.10.  15% от указанной цены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</si>
</sst>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%"/>
    <numFmt numFmtId="210" formatCode="[$-FC19]d\ mmmm\ yyyy\ &quot;г.&quot;"/>
    <numFmt numFmtId="211" formatCode="#,##0.00&quot;р.&quot;"/>
    <numFmt numFmtId="212" formatCode="#,##0.0_р_."/>
  </numFmts>
  <fonts count="1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color indexed="48"/>
      <name val="Arial Cyr"/>
      <family val="0"/>
    </font>
    <font>
      <b/>
      <i/>
      <sz val="16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i/>
      <sz val="16"/>
      <color indexed="48"/>
      <name val="Arial Cyr"/>
      <family val="0"/>
    </font>
    <font>
      <b/>
      <i/>
      <sz val="16"/>
      <color indexed="10"/>
      <name val="Arial Cyr"/>
      <family val="0"/>
    </font>
    <font>
      <i/>
      <sz val="16"/>
      <name val="Arial Cyr"/>
      <family val="2"/>
    </font>
    <font>
      <b/>
      <i/>
      <sz val="16"/>
      <name val="Arial Cyr"/>
      <family val="0"/>
    </font>
    <font>
      <sz val="16"/>
      <color indexed="8"/>
      <name val="Arial Cyr"/>
      <family val="0"/>
    </font>
    <font>
      <b/>
      <i/>
      <sz val="16"/>
      <color indexed="30"/>
      <name val="Arial Cyr"/>
      <family val="0"/>
    </font>
    <font>
      <b/>
      <sz val="16"/>
      <color indexed="10"/>
      <name val="Arial Cyr"/>
      <family val="0"/>
    </font>
    <font>
      <i/>
      <sz val="16"/>
      <color indexed="10"/>
      <name val="Arial Cyr"/>
      <family val="0"/>
    </font>
    <font>
      <sz val="16"/>
      <color indexed="10"/>
      <name val="Arial Cyr"/>
      <family val="2"/>
    </font>
    <font>
      <b/>
      <i/>
      <u val="single"/>
      <sz val="16"/>
      <name val="Arial Cyr"/>
      <family val="2"/>
    </font>
    <font>
      <b/>
      <i/>
      <u val="single"/>
      <sz val="16"/>
      <color indexed="12"/>
      <name val="Arial Cyr"/>
      <family val="0"/>
    </font>
    <font>
      <b/>
      <i/>
      <u val="single"/>
      <sz val="16"/>
      <color indexed="10"/>
      <name val="Arial Cyr"/>
      <family val="0"/>
    </font>
    <font>
      <u val="single"/>
      <sz val="16"/>
      <name val="Arial Cyr"/>
      <family val="0"/>
    </font>
    <font>
      <b/>
      <i/>
      <sz val="14"/>
      <color indexed="18"/>
      <name val="Arial Cyr"/>
      <family val="0"/>
    </font>
    <font>
      <b/>
      <i/>
      <sz val="14"/>
      <color indexed="48"/>
      <name val="Arial Cyr"/>
      <family val="0"/>
    </font>
    <font>
      <b/>
      <i/>
      <sz val="14"/>
      <color indexed="10"/>
      <name val="Arial Cyr"/>
      <family val="0"/>
    </font>
    <font>
      <b/>
      <i/>
      <sz val="12"/>
      <name val="Arial Cyr"/>
      <family val="0"/>
    </font>
    <font>
      <b/>
      <i/>
      <sz val="12"/>
      <color indexed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i/>
      <sz val="12"/>
      <name val="Arial Cyr"/>
      <family val="2"/>
    </font>
    <font>
      <b/>
      <sz val="12"/>
      <color indexed="12"/>
      <name val="Arial Cyr"/>
      <family val="0"/>
    </font>
    <font>
      <b/>
      <sz val="12"/>
      <color indexed="10"/>
      <name val="Arial Cyr"/>
      <family val="0"/>
    </font>
    <font>
      <sz val="12"/>
      <name val="Calibri"/>
      <family val="2"/>
    </font>
    <font>
      <i/>
      <sz val="12"/>
      <color indexed="8"/>
      <name val="Arial Cyr"/>
      <family val="0"/>
    </font>
    <font>
      <b/>
      <i/>
      <sz val="12"/>
      <color indexed="12"/>
      <name val="Arial Cyr"/>
      <family val="0"/>
    </font>
    <font>
      <sz val="12"/>
      <color indexed="12"/>
      <name val="Arial Cyr"/>
      <family val="2"/>
    </font>
    <font>
      <i/>
      <sz val="12"/>
      <color indexed="12"/>
      <name val="Arial Cyr"/>
      <family val="2"/>
    </font>
    <font>
      <sz val="12"/>
      <color indexed="10"/>
      <name val="Arial Cyr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b/>
      <i/>
      <sz val="12"/>
      <color indexed="30"/>
      <name val="Arial Cyr"/>
      <family val="0"/>
    </font>
    <font>
      <i/>
      <sz val="12"/>
      <color indexed="30"/>
      <name val="Arial Cyr"/>
      <family val="0"/>
    </font>
    <font>
      <i/>
      <sz val="12"/>
      <color indexed="48"/>
      <name val="Arial Cyr"/>
      <family val="0"/>
    </font>
    <font>
      <i/>
      <sz val="12"/>
      <color indexed="10"/>
      <name val="Arial Cyr"/>
      <family val="2"/>
    </font>
    <font>
      <b/>
      <sz val="12"/>
      <color indexed="48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6"/>
      <color indexed="14"/>
      <name val="Calibri"/>
      <family val="2"/>
    </font>
    <font>
      <sz val="16"/>
      <color indexed="8"/>
      <name val="Calibri"/>
      <family val="2"/>
    </font>
    <font>
      <b/>
      <u val="single"/>
      <sz val="16"/>
      <color indexed="12"/>
      <name val="Calibri"/>
      <family val="2"/>
    </font>
    <font>
      <b/>
      <i/>
      <u val="single"/>
      <sz val="16"/>
      <color indexed="12"/>
      <name val="Calibri"/>
      <family val="2"/>
    </font>
    <font>
      <b/>
      <i/>
      <sz val="16"/>
      <color indexed="12"/>
      <name val="Calibri"/>
      <family val="2"/>
    </font>
    <font>
      <sz val="16"/>
      <color indexed="12"/>
      <name val="Arial Cyr"/>
      <family val="0"/>
    </font>
    <font>
      <sz val="16"/>
      <color indexed="12"/>
      <name val="Calibri"/>
      <family val="2"/>
    </font>
    <font>
      <b/>
      <sz val="16"/>
      <color indexed="12"/>
      <name val="Calibri"/>
      <family val="2"/>
    </font>
    <font>
      <sz val="16"/>
      <color indexed="10"/>
      <name val="Calibri"/>
      <family val="2"/>
    </font>
    <font>
      <u val="single"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b/>
      <i/>
      <u val="single"/>
      <sz val="12"/>
      <color indexed="12"/>
      <name val="Arial Cyr"/>
      <family val="2"/>
    </font>
    <font>
      <b/>
      <i/>
      <u val="single"/>
      <sz val="12"/>
      <color indexed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Arial Cyr"/>
      <family val="0"/>
    </font>
    <font>
      <i/>
      <sz val="12"/>
      <name val="Calibri"/>
      <family val="2"/>
    </font>
    <font>
      <b/>
      <sz val="12"/>
      <color indexed="40"/>
      <name val="Arial Cyr"/>
      <family val="0"/>
    </font>
    <font>
      <b/>
      <sz val="12"/>
      <color indexed="36"/>
      <name val="Arial Cyr"/>
      <family val="0"/>
    </font>
    <font>
      <b/>
      <sz val="12"/>
      <color indexed="30"/>
      <name val="Arial"/>
      <family val="2"/>
    </font>
    <font>
      <sz val="16"/>
      <color indexed="14"/>
      <name val="Arial Cyr"/>
      <family val="0"/>
    </font>
    <font>
      <b/>
      <i/>
      <sz val="16"/>
      <color indexed="14"/>
      <name val="Arial Cyr"/>
      <family val="0"/>
    </font>
    <font>
      <b/>
      <i/>
      <sz val="16"/>
      <color indexed="56"/>
      <name val="Arial Cyr"/>
      <family val="0"/>
    </font>
    <font>
      <b/>
      <i/>
      <sz val="14"/>
      <color indexed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FF0000"/>
      <name val="Arial Cyr"/>
      <family val="2"/>
    </font>
    <font>
      <sz val="16"/>
      <color rgb="FFFF00FF"/>
      <name val="Calibri"/>
      <family val="2"/>
    </font>
    <font>
      <sz val="16"/>
      <color theme="1"/>
      <name val="Calibri"/>
      <family val="2"/>
    </font>
    <font>
      <b/>
      <u val="single"/>
      <sz val="16"/>
      <color rgb="FF0000FF"/>
      <name val="Calibri"/>
      <family val="2"/>
    </font>
    <font>
      <b/>
      <i/>
      <u val="single"/>
      <sz val="16"/>
      <color rgb="FF0000FF"/>
      <name val="Calibri"/>
      <family val="2"/>
    </font>
    <font>
      <b/>
      <i/>
      <sz val="16"/>
      <color rgb="FF0000FF"/>
      <name val="Calibri"/>
      <family val="2"/>
    </font>
    <font>
      <b/>
      <i/>
      <sz val="16"/>
      <color rgb="FF0000FF"/>
      <name val="Arial Cyr"/>
      <family val="2"/>
    </font>
    <font>
      <sz val="16"/>
      <color rgb="FF0000FF"/>
      <name val="Arial Cyr"/>
      <family val="0"/>
    </font>
    <font>
      <sz val="16"/>
      <color rgb="FF0000FF"/>
      <name val="Calibri"/>
      <family val="2"/>
    </font>
    <font>
      <b/>
      <sz val="16"/>
      <color rgb="FF0000FF"/>
      <name val="Calibri"/>
      <family val="2"/>
    </font>
    <font>
      <sz val="16"/>
      <color rgb="FFFF0000"/>
      <name val="Calibri"/>
      <family val="2"/>
    </font>
    <font>
      <i/>
      <sz val="16"/>
      <color rgb="FFFF0000"/>
      <name val="Arial Cyr"/>
      <family val="2"/>
    </font>
    <font>
      <sz val="16"/>
      <color rgb="FFFF0000"/>
      <name val="Arial Cyr"/>
      <family val="2"/>
    </font>
    <font>
      <u val="single"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Arial Cyr"/>
      <family val="0"/>
    </font>
    <font>
      <b/>
      <sz val="12"/>
      <color theme="1"/>
      <name val="Calibri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 Cyr"/>
      <family val="0"/>
    </font>
    <font>
      <b/>
      <i/>
      <sz val="12"/>
      <color rgb="FF0000FF"/>
      <name val="Arial Cyr"/>
      <family val="0"/>
    </font>
    <font>
      <sz val="12"/>
      <color rgb="FF0000FF"/>
      <name val="Arial Cyr"/>
      <family val="2"/>
    </font>
    <font>
      <sz val="12"/>
      <color rgb="FF0000FF"/>
      <name val="Calibri"/>
      <family val="2"/>
    </font>
    <font>
      <i/>
      <sz val="12"/>
      <color rgb="FF0000FF"/>
      <name val="Arial Cyr"/>
      <family val="2"/>
    </font>
    <font>
      <sz val="12"/>
      <color rgb="FFFF0000"/>
      <name val="Arial Cyr"/>
      <family val="0"/>
    </font>
    <font>
      <sz val="12"/>
      <color rgb="FFFF0000"/>
      <name val="Calibri"/>
      <family val="2"/>
    </font>
    <font>
      <b/>
      <sz val="12"/>
      <color theme="1"/>
      <name val="Arial Cyr"/>
      <family val="2"/>
    </font>
    <font>
      <b/>
      <sz val="12"/>
      <color rgb="FF0000FF"/>
      <name val="Arial Cyr"/>
      <family val="2"/>
    </font>
    <font>
      <i/>
      <sz val="12"/>
      <color theme="1"/>
      <name val="Arial Cyr"/>
      <family val="0"/>
    </font>
    <font>
      <b/>
      <sz val="12"/>
      <color rgb="FFFF0000"/>
      <name val="Times New Roman"/>
      <family val="1"/>
    </font>
    <font>
      <b/>
      <i/>
      <u val="single"/>
      <sz val="12"/>
      <color rgb="FF0000FF"/>
      <name val="Arial Cyr"/>
      <family val="2"/>
    </font>
    <font>
      <b/>
      <i/>
      <u val="single"/>
      <sz val="12"/>
      <color rgb="FF0000FF"/>
      <name val="Calibri"/>
      <family val="2"/>
    </font>
    <font>
      <b/>
      <sz val="12"/>
      <color rgb="FFFF0000"/>
      <name val="Calibri"/>
      <family val="2"/>
    </font>
    <font>
      <b/>
      <sz val="12"/>
      <color rgb="FF0000FF"/>
      <name val="Calibri"/>
      <family val="2"/>
    </font>
    <font>
      <b/>
      <i/>
      <sz val="12"/>
      <color rgb="FF0070C0"/>
      <name val="Arial Cyr"/>
      <family val="0"/>
    </font>
    <font>
      <sz val="12"/>
      <color rgb="FF0070C0"/>
      <name val="Calibri"/>
      <family val="2"/>
    </font>
    <font>
      <i/>
      <sz val="12"/>
      <color rgb="FF0070C0"/>
      <name val="Arial Cyr"/>
      <family val="2"/>
    </font>
    <font>
      <b/>
      <sz val="12"/>
      <color rgb="FF0070C0"/>
      <name val="Arial Cyr"/>
      <family val="0"/>
    </font>
    <font>
      <i/>
      <sz val="12"/>
      <color rgb="FFFF0000"/>
      <name val="Arial Cyr"/>
      <family val="0"/>
    </font>
    <font>
      <b/>
      <sz val="12"/>
      <color rgb="FF2C14DC"/>
      <name val="Arial Cyr"/>
      <family val="2"/>
    </font>
    <font>
      <b/>
      <sz val="12"/>
      <color rgb="FF00B0F0"/>
      <name val="Arial Cyr"/>
      <family val="0"/>
    </font>
    <font>
      <sz val="12"/>
      <color theme="1"/>
      <name val="Arial Cyr"/>
      <family val="2"/>
    </font>
    <font>
      <b/>
      <sz val="12"/>
      <color rgb="FF7030A0"/>
      <name val="Arial Cyr"/>
      <family val="0"/>
    </font>
    <font>
      <b/>
      <sz val="12"/>
      <color rgb="FF0070C0"/>
      <name val="Arial"/>
      <family val="2"/>
    </font>
    <font>
      <sz val="12"/>
      <color theme="1"/>
      <name val="Arial"/>
      <family val="2"/>
    </font>
    <font>
      <sz val="16"/>
      <color rgb="FFFF00FF"/>
      <name val="Arial Cyr"/>
      <family val="0"/>
    </font>
    <font>
      <b/>
      <sz val="16"/>
      <color rgb="FFFF0000"/>
      <name val="Arial Cyr"/>
      <family val="2"/>
    </font>
    <font>
      <b/>
      <u val="single"/>
      <sz val="16"/>
      <color theme="10"/>
      <name val="Calibri"/>
      <family val="2"/>
    </font>
    <font>
      <b/>
      <i/>
      <sz val="16"/>
      <color rgb="FF002060"/>
      <name val="Arial Cyr"/>
      <family val="0"/>
    </font>
    <font>
      <b/>
      <i/>
      <sz val="14"/>
      <color rgb="FF0000FF"/>
      <name val="Arial Cyr"/>
      <family val="0"/>
    </font>
    <font>
      <b/>
      <i/>
      <sz val="14"/>
      <color rgb="FFFF0000"/>
      <name val="Arial Cyr"/>
      <family val="0"/>
    </font>
    <font>
      <b/>
      <i/>
      <sz val="16"/>
      <color rgb="FFFF00FF"/>
      <name val="Arial Cyr"/>
      <family val="0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2EE4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DF35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9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9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9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9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9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96" fillId="32" borderId="1" applyNumberFormat="0" applyAlignment="0" applyProtection="0"/>
    <xf numFmtId="0" fontId="6" fillId="33" borderId="2" applyNumberFormat="0" applyAlignment="0" applyProtection="0"/>
    <xf numFmtId="0" fontId="6" fillId="33" borderId="2" applyNumberFormat="0" applyAlignment="0" applyProtection="0"/>
    <xf numFmtId="0" fontId="6" fillId="33" borderId="2" applyNumberFormat="0" applyAlignment="0" applyProtection="0"/>
    <xf numFmtId="0" fontId="97" fillId="34" borderId="3" applyNumberFormat="0" applyAlignment="0" applyProtection="0"/>
    <xf numFmtId="0" fontId="7" fillId="35" borderId="4" applyNumberFormat="0" applyAlignment="0" applyProtection="0"/>
    <xf numFmtId="0" fontId="7" fillId="35" borderId="4" applyNumberFormat="0" applyAlignment="0" applyProtection="0"/>
    <xf numFmtId="0" fontId="7" fillId="35" borderId="4" applyNumberFormat="0" applyAlignment="0" applyProtection="0"/>
    <xf numFmtId="0" fontId="98" fillId="34" borderId="1" applyNumberFormat="0" applyAlignment="0" applyProtection="0"/>
    <xf numFmtId="0" fontId="8" fillId="35" borderId="2" applyNumberFormat="0" applyAlignment="0" applyProtection="0"/>
    <xf numFmtId="0" fontId="8" fillId="35" borderId="2" applyNumberFormat="0" applyAlignment="0" applyProtection="0"/>
    <xf numFmtId="0" fontId="8" fillId="35" borderId="2" applyNumberFormat="0" applyAlignment="0" applyProtection="0"/>
    <xf numFmtId="0" fontId="9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0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1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2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0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04" fillId="36" borderId="13" applyNumberFormat="0" applyAlignment="0" applyProtection="0"/>
    <xf numFmtId="0" fontId="13" fillId="37" borderId="14" applyNumberFormat="0" applyAlignment="0" applyProtection="0"/>
    <xf numFmtId="0" fontId="13" fillId="37" borderId="14" applyNumberFormat="0" applyAlignment="0" applyProtection="0"/>
    <xf numFmtId="0" fontId="13" fillId="37" borderId="14" applyNumberFormat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6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7" fillId="0" borderId="0" applyNumberFormat="0" applyFill="0" applyBorder="0" applyAlignment="0" applyProtection="0"/>
    <xf numFmtId="0" fontId="10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0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42" borderId="15" applyNumberFormat="0" applyFont="0" applyAlignment="0" applyProtection="0"/>
    <xf numFmtId="0" fontId="2" fillId="43" borderId="16" applyNumberFormat="0" applyFont="0" applyAlignment="0" applyProtection="0"/>
    <xf numFmtId="0" fontId="2" fillId="43" borderId="16" applyNumberFormat="0" applyFont="0" applyAlignment="0" applyProtection="0"/>
    <xf numFmtId="0" fontId="2" fillId="43" borderId="16" applyNumberFormat="0" applyFont="0" applyAlignment="0" applyProtection="0"/>
    <xf numFmtId="9" fontId="1" fillId="0" borderId="0" applyFont="0" applyFill="0" applyBorder="0" applyAlignment="0" applyProtection="0"/>
    <xf numFmtId="0" fontId="110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2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</cellStyleXfs>
  <cellXfs count="1248">
    <xf numFmtId="0" fontId="0" fillId="0" borderId="0" xfId="0" applyFont="1" applyAlignment="1">
      <alignment/>
    </xf>
    <xf numFmtId="0" fontId="0" fillId="46" borderId="0" xfId="0" applyFill="1" applyAlignment="1">
      <alignment/>
    </xf>
    <xf numFmtId="0" fontId="0" fillId="0" borderId="0" xfId="0" applyAlignment="1">
      <alignment/>
    </xf>
    <xf numFmtId="0" fontId="113" fillId="47" borderId="19" xfId="105" applyFont="1" applyFill="1" applyBorder="1" applyAlignment="1">
      <alignment horizontal="left"/>
      <protection/>
    </xf>
    <xf numFmtId="0" fontId="4" fillId="46" borderId="0" xfId="105" applyFont="1" applyFill="1" applyBorder="1" applyAlignment="1" applyProtection="1">
      <alignment horizontal="center"/>
      <protection hidden="1"/>
    </xf>
    <xf numFmtId="0" fontId="22" fillId="48" borderId="0" xfId="0" applyFont="1" applyFill="1" applyAlignment="1">
      <alignment vertical="center"/>
    </xf>
    <xf numFmtId="0" fontId="114" fillId="49" borderId="0" xfId="0" applyFont="1" applyFill="1" applyAlignment="1">
      <alignment horizontal="left"/>
    </xf>
    <xf numFmtId="0" fontId="23" fillId="50" borderId="0" xfId="105" applyFont="1" applyFill="1" applyProtection="1">
      <alignment/>
      <protection hidden="1"/>
    </xf>
    <xf numFmtId="0" fontId="23" fillId="50" borderId="0" xfId="105" applyFont="1" applyFill="1">
      <alignment/>
      <protection/>
    </xf>
    <xf numFmtId="0" fontId="115" fillId="50" borderId="0" xfId="0" applyFont="1" applyFill="1" applyAlignment="1">
      <alignment/>
    </xf>
    <xf numFmtId="0" fontId="4" fillId="50" borderId="0" xfId="0" applyFont="1" applyFill="1" applyAlignment="1">
      <alignment horizontal="center"/>
    </xf>
    <xf numFmtId="0" fontId="4" fillId="46" borderId="0" xfId="0" applyFont="1" applyFill="1" applyBorder="1" applyAlignment="1">
      <alignment horizontal="center"/>
    </xf>
    <xf numFmtId="0" fontId="23" fillId="50" borderId="0" xfId="0" applyFont="1" applyFill="1" applyAlignment="1">
      <alignment horizontal="left" vertical="top"/>
    </xf>
    <xf numFmtId="0" fontId="23" fillId="50" borderId="0" xfId="105" applyFont="1" applyFill="1" applyAlignment="1" applyProtection="1">
      <alignment/>
      <protection hidden="1"/>
    </xf>
    <xf numFmtId="0" fontId="115" fillId="46" borderId="0" xfId="0" applyFont="1" applyFill="1" applyAlignment="1">
      <alignment/>
    </xf>
    <xf numFmtId="0" fontId="115" fillId="0" borderId="0" xfId="0" applyFont="1" applyAlignment="1">
      <alignment/>
    </xf>
    <xf numFmtId="0" fontId="116" fillId="46" borderId="0" xfId="105" applyFont="1" applyFill="1" applyBorder="1" applyAlignment="1" applyProtection="1">
      <alignment horizontal="left" wrapText="1"/>
      <protection hidden="1"/>
    </xf>
    <xf numFmtId="0" fontId="117" fillId="46" borderId="0" xfId="0" applyFont="1" applyFill="1" applyAlignment="1">
      <alignment horizontal="left" wrapText="1"/>
    </xf>
    <xf numFmtId="0" fontId="117" fillId="46" borderId="0" xfId="0" applyFont="1" applyFill="1" applyAlignment="1">
      <alignment horizontal="center"/>
    </xf>
    <xf numFmtId="0" fontId="118" fillId="50" borderId="0" xfId="0" applyFont="1" applyFill="1" applyAlignment="1">
      <alignment horizontal="center"/>
    </xf>
    <xf numFmtId="0" fontId="119" fillId="46" borderId="0" xfId="0" applyFont="1" applyFill="1" applyBorder="1" applyAlignment="1">
      <alignment horizontal="center"/>
    </xf>
    <xf numFmtId="0" fontId="120" fillId="50" borderId="0" xfId="0" applyFont="1" applyFill="1" applyAlignment="1">
      <alignment horizontal="left" vertical="top"/>
    </xf>
    <xf numFmtId="0" fontId="120" fillId="50" borderId="0" xfId="105" applyFont="1" applyFill="1" applyAlignment="1" applyProtection="1">
      <alignment/>
      <protection hidden="1"/>
    </xf>
    <xf numFmtId="0" fontId="121" fillId="0" borderId="0" xfId="0" applyFont="1" applyAlignment="1">
      <alignment/>
    </xf>
    <xf numFmtId="0" fontId="121" fillId="0" borderId="0" xfId="0" applyFont="1" applyBorder="1" applyAlignment="1">
      <alignment/>
    </xf>
    <xf numFmtId="0" fontId="122" fillId="50" borderId="0" xfId="0" applyFont="1" applyFill="1" applyAlignment="1">
      <alignment horizontal="left" indent="3"/>
    </xf>
    <xf numFmtId="0" fontId="119" fillId="46" borderId="0" xfId="0" applyFont="1" applyFill="1" applyBorder="1" applyAlignment="1">
      <alignment horizontal="left" indent="3"/>
    </xf>
    <xf numFmtId="0" fontId="118" fillId="46" borderId="0" xfId="0" applyFont="1" applyFill="1" applyAlignment="1">
      <alignment horizontal="left" wrapText="1"/>
    </xf>
    <xf numFmtId="0" fontId="118" fillId="46" borderId="0" xfId="0" applyFont="1" applyFill="1" applyAlignment="1">
      <alignment horizontal="center"/>
    </xf>
    <xf numFmtId="0" fontId="113" fillId="51" borderId="0" xfId="0" applyFont="1" applyFill="1" applyAlignment="1">
      <alignment horizontal="center"/>
    </xf>
    <xf numFmtId="0" fontId="123" fillId="51" borderId="0" xfId="0" applyFont="1" applyFill="1" applyAlignment="1">
      <alignment/>
    </xf>
    <xf numFmtId="0" fontId="113" fillId="51" borderId="0" xfId="105" applyFont="1" applyFill="1" applyAlignment="1">
      <alignment horizontal="left"/>
      <protection/>
    </xf>
    <xf numFmtId="0" fontId="123" fillId="51" borderId="0" xfId="0" applyFont="1" applyFill="1" applyAlignment="1">
      <alignment/>
    </xf>
    <xf numFmtId="0" fontId="115" fillId="50" borderId="0" xfId="0" applyFont="1" applyFill="1" applyBorder="1" applyAlignment="1">
      <alignment/>
    </xf>
    <xf numFmtId="0" fontId="115" fillId="0" borderId="0" xfId="0" applyFont="1" applyBorder="1" applyAlignment="1">
      <alignment/>
    </xf>
    <xf numFmtId="0" fontId="23" fillId="50" borderId="0" xfId="105" applyFont="1" applyFill="1" applyBorder="1" applyProtection="1">
      <alignment/>
      <protection hidden="1"/>
    </xf>
    <xf numFmtId="0" fontId="25" fillId="46" borderId="0" xfId="105" applyFont="1" applyFill="1" applyBorder="1" applyAlignment="1" applyProtection="1">
      <alignment horizontal="left"/>
      <protection hidden="1"/>
    </xf>
    <xf numFmtId="0" fontId="23" fillId="46" borderId="0" xfId="105" applyFont="1" applyFill="1" applyBorder="1" applyAlignment="1" applyProtection="1">
      <alignment/>
      <protection hidden="1"/>
    </xf>
    <xf numFmtId="1" fontId="23" fillId="50" borderId="0" xfId="105" applyNumberFormat="1" applyFont="1" applyFill="1" applyBorder="1" applyAlignment="1" applyProtection="1">
      <alignment horizontal="center"/>
      <protection hidden="1"/>
    </xf>
    <xf numFmtId="208" fontId="23" fillId="50" borderId="0" xfId="105" applyNumberFormat="1" applyFont="1" applyFill="1" applyBorder="1" applyAlignment="1" applyProtection="1">
      <alignment horizontal="center"/>
      <protection hidden="1"/>
    </xf>
    <xf numFmtId="0" fontId="23" fillId="50" borderId="0" xfId="105" applyFont="1" applyFill="1" applyBorder="1">
      <alignment/>
      <protection/>
    </xf>
    <xf numFmtId="0" fontId="115" fillId="46" borderId="0" xfId="0" applyFont="1" applyFill="1" applyBorder="1" applyAlignment="1">
      <alignment/>
    </xf>
    <xf numFmtId="0" fontId="28" fillId="46" borderId="0" xfId="105" applyFont="1" applyFill="1" applyBorder="1" applyProtection="1">
      <alignment/>
      <protection hidden="1"/>
    </xf>
    <xf numFmtId="0" fontId="29" fillId="46" borderId="0" xfId="105" applyFont="1" applyFill="1" applyBorder="1" applyAlignment="1" applyProtection="1">
      <alignment horizontal="left"/>
      <protection hidden="1"/>
    </xf>
    <xf numFmtId="0" fontId="115" fillId="50" borderId="0" xfId="0" applyFont="1" applyFill="1" applyBorder="1" applyAlignment="1">
      <alignment/>
    </xf>
    <xf numFmtId="1" fontId="23" fillId="50" borderId="0" xfId="105" applyNumberFormat="1" applyFont="1" applyFill="1" applyBorder="1" applyAlignment="1" applyProtection="1">
      <alignment/>
      <protection hidden="1"/>
    </xf>
    <xf numFmtId="0" fontId="23" fillId="46" borderId="20" xfId="105" applyFont="1" applyFill="1" applyBorder="1" applyProtection="1">
      <alignment/>
      <protection hidden="1"/>
    </xf>
    <xf numFmtId="0" fontId="119" fillId="50" borderId="0" xfId="105" applyFont="1" applyFill="1" applyBorder="1" applyAlignment="1" applyProtection="1">
      <alignment horizontal="left"/>
      <protection hidden="1"/>
    </xf>
    <xf numFmtId="0" fontId="25" fillId="50" borderId="0" xfId="105" applyFont="1" applyFill="1" applyBorder="1" applyAlignment="1" applyProtection="1">
      <alignment horizontal="left"/>
      <protection hidden="1"/>
    </xf>
    <xf numFmtId="0" fontId="113" fillId="46" borderId="21" xfId="105" applyFont="1" applyFill="1" applyBorder="1" applyAlignment="1" applyProtection="1">
      <alignment horizontal="left"/>
      <protection hidden="1"/>
    </xf>
    <xf numFmtId="0" fontId="25" fillId="50" borderId="21" xfId="105" applyFont="1" applyFill="1" applyBorder="1" applyAlignment="1" applyProtection="1">
      <alignment horizontal="left"/>
      <protection hidden="1"/>
    </xf>
    <xf numFmtId="0" fontId="23" fillId="46" borderId="0" xfId="105" applyFont="1" applyFill="1" applyBorder="1" applyAlignment="1" applyProtection="1">
      <alignment horizontal="left"/>
      <protection hidden="1"/>
    </xf>
    <xf numFmtId="0" fontId="115" fillId="46" borderId="0" xfId="0" applyFont="1" applyFill="1" applyBorder="1" applyAlignment="1">
      <alignment/>
    </xf>
    <xf numFmtId="0" fontId="123" fillId="50" borderId="0" xfId="0" applyFont="1" applyFill="1" applyAlignment="1">
      <alignment/>
    </xf>
    <xf numFmtId="0" fontId="121" fillId="50" borderId="0" xfId="0" applyFont="1" applyFill="1" applyAlignment="1">
      <alignment/>
    </xf>
    <xf numFmtId="0" fontId="115" fillId="46" borderId="0" xfId="0" applyFont="1" applyFill="1" applyAlignment="1">
      <alignment/>
    </xf>
    <xf numFmtId="0" fontId="22" fillId="46" borderId="0" xfId="105" applyFont="1" applyFill="1" applyBorder="1" applyAlignment="1" applyProtection="1">
      <alignment/>
      <protection hidden="1"/>
    </xf>
    <xf numFmtId="0" fontId="26" fillId="46" borderId="0" xfId="105" applyFont="1" applyFill="1" applyBorder="1" applyProtection="1">
      <alignment/>
      <protection hidden="1"/>
    </xf>
    <xf numFmtId="0" fontId="26" fillId="46" borderId="0" xfId="105" applyFont="1" applyFill="1" applyBorder="1" applyAlignment="1">
      <alignment horizontal="left"/>
      <protection/>
    </xf>
    <xf numFmtId="0" fontId="120" fillId="50" borderId="0" xfId="105" applyFont="1" applyFill="1" applyProtection="1">
      <alignment/>
      <protection hidden="1"/>
    </xf>
    <xf numFmtId="0" fontId="120" fillId="50" borderId="0" xfId="105" applyFont="1" applyFill="1">
      <alignment/>
      <protection/>
    </xf>
    <xf numFmtId="0" fontId="31" fillId="50" borderId="0" xfId="105" applyFont="1" applyFill="1" applyBorder="1" applyAlignment="1" applyProtection="1">
      <alignment horizontal="left"/>
      <protection hidden="1"/>
    </xf>
    <xf numFmtId="0" fontId="23" fillId="50" borderId="0" xfId="105" applyFont="1" applyFill="1" applyBorder="1" applyAlignment="1">
      <alignment/>
      <protection/>
    </xf>
    <xf numFmtId="0" fontId="26" fillId="50" borderId="0" xfId="105" applyFont="1" applyFill="1" applyBorder="1" applyAlignment="1" applyProtection="1">
      <alignment horizontal="left"/>
      <protection hidden="1"/>
    </xf>
    <xf numFmtId="1" fontId="22" fillId="46" borderId="0" xfId="105" applyNumberFormat="1" applyFont="1" applyFill="1" applyBorder="1" applyAlignment="1" applyProtection="1">
      <alignment horizontal="left"/>
      <protection hidden="1"/>
    </xf>
    <xf numFmtId="0" fontId="27" fillId="46" borderId="0" xfId="105" applyFont="1" applyFill="1" applyAlignment="1">
      <alignment horizontal="left"/>
      <protection/>
    </xf>
    <xf numFmtId="0" fontId="26" fillId="46" borderId="0" xfId="105" applyFont="1" applyFill="1" applyAlignment="1">
      <alignment horizontal="left"/>
      <protection/>
    </xf>
    <xf numFmtId="0" fontId="22" fillId="46" borderId="0" xfId="105" applyFont="1" applyFill="1" applyBorder="1" applyAlignment="1" applyProtection="1">
      <alignment horizontal="center"/>
      <protection hidden="1"/>
    </xf>
    <xf numFmtId="1" fontId="23" fillId="52" borderId="0" xfId="105" applyNumberFormat="1" applyFont="1" applyFill="1" applyBorder="1" applyAlignment="1" applyProtection="1">
      <alignment horizontal="center"/>
      <protection hidden="1"/>
    </xf>
    <xf numFmtId="0" fontId="4" fillId="46" borderId="0" xfId="105" applyFont="1" applyFill="1" applyBorder="1" applyAlignment="1" applyProtection="1">
      <alignment horizontal="center"/>
      <protection hidden="1"/>
    </xf>
    <xf numFmtId="0" fontId="4" fillId="46" borderId="21" xfId="105" applyFont="1" applyFill="1" applyBorder="1" applyAlignment="1" applyProtection="1">
      <alignment horizontal="center"/>
      <protection hidden="1"/>
    </xf>
    <xf numFmtId="0" fontId="23" fillId="50" borderId="0" xfId="105" applyFont="1" applyFill="1" applyAlignment="1">
      <alignment/>
      <protection/>
    </xf>
    <xf numFmtId="0" fontId="4" fillId="46" borderId="21" xfId="105" applyFont="1" applyFill="1" applyBorder="1" applyAlignment="1" applyProtection="1">
      <alignment horizontal="center"/>
      <protection hidden="1"/>
    </xf>
    <xf numFmtId="0" fontId="115" fillId="0" borderId="0" xfId="0" applyFont="1" applyAlignment="1">
      <alignment/>
    </xf>
    <xf numFmtId="1" fontId="23" fillId="50" borderId="0" xfId="105" applyNumberFormat="1" applyFont="1" applyFill="1" applyBorder="1" applyAlignment="1" applyProtection="1">
      <alignment horizontal="center"/>
      <protection hidden="1"/>
    </xf>
    <xf numFmtId="0" fontId="23" fillId="46" borderId="22" xfId="105" applyFont="1" applyFill="1" applyBorder="1">
      <alignment/>
      <protection/>
    </xf>
    <xf numFmtId="0" fontId="23" fillId="50" borderId="0" xfId="105" applyFont="1" applyFill="1" applyBorder="1" applyAlignment="1" applyProtection="1">
      <alignment/>
      <protection hidden="1"/>
    </xf>
    <xf numFmtId="1" fontId="27" fillId="46" borderId="0" xfId="0" applyNumberFormat="1" applyFont="1" applyFill="1" applyBorder="1" applyAlignment="1">
      <alignment horizontal="left"/>
    </xf>
    <xf numFmtId="1" fontId="32" fillId="46" borderId="0" xfId="105" applyNumberFormat="1" applyFont="1" applyFill="1" applyBorder="1" applyAlignment="1" applyProtection="1">
      <alignment horizontal="center"/>
      <protection hidden="1"/>
    </xf>
    <xf numFmtId="0" fontId="4" fillId="46" borderId="0" xfId="105" applyFont="1" applyFill="1" applyBorder="1" applyAlignment="1" applyProtection="1">
      <alignment/>
      <protection hidden="1"/>
    </xf>
    <xf numFmtId="0" fontId="4" fillId="46" borderId="0" xfId="105" applyFont="1" applyFill="1" applyAlignment="1" applyProtection="1">
      <alignment horizontal="center"/>
      <protection hidden="1"/>
    </xf>
    <xf numFmtId="1" fontId="28" fillId="50" borderId="0" xfId="105" applyNumberFormat="1" applyFont="1" applyFill="1" applyBorder="1" applyAlignment="1" applyProtection="1">
      <alignment horizontal="center"/>
      <protection hidden="1"/>
    </xf>
    <xf numFmtId="1" fontId="28" fillId="46" borderId="0" xfId="105" applyNumberFormat="1" applyFont="1" applyFill="1" applyBorder="1" applyAlignment="1" applyProtection="1">
      <alignment/>
      <protection hidden="1"/>
    </xf>
    <xf numFmtId="0" fontId="23" fillId="50" borderId="0" xfId="0" applyFont="1" applyFill="1" applyAlignment="1">
      <alignment/>
    </xf>
    <xf numFmtId="0" fontId="23" fillId="50" borderId="0" xfId="0" applyFont="1" applyFill="1" applyBorder="1" applyAlignment="1">
      <alignment/>
    </xf>
    <xf numFmtId="0" fontId="115" fillId="0" borderId="0" xfId="0" applyFont="1" applyFill="1" applyAlignment="1">
      <alignment/>
    </xf>
    <xf numFmtId="0" fontId="27" fillId="46" borderId="0" xfId="105" applyFont="1" applyFill="1" applyAlignment="1" applyProtection="1">
      <alignment horizontal="left" wrapText="1"/>
      <protection hidden="1"/>
    </xf>
    <xf numFmtId="0" fontId="4" fillId="46" borderId="21" xfId="0" applyFont="1" applyFill="1" applyBorder="1" applyAlignment="1">
      <alignment horizontal="center"/>
    </xf>
    <xf numFmtId="0" fontId="27" fillId="50" borderId="0" xfId="0" applyFont="1" applyFill="1" applyBorder="1" applyAlignment="1">
      <alignment horizontal="left"/>
    </xf>
    <xf numFmtId="0" fontId="26" fillId="46" borderId="0" xfId="105" applyFont="1" applyFill="1">
      <alignment/>
      <protection/>
    </xf>
    <xf numFmtId="0" fontId="4" fillId="46" borderId="0" xfId="105" applyFont="1" applyFill="1" applyAlignment="1">
      <alignment horizontal="left"/>
      <protection/>
    </xf>
    <xf numFmtId="0" fontId="113" fillId="47" borderId="23" xfId="105" applyFont="1" applyFill="1" applyBorder="1" applyAlignment="1">
      <alignment horizontal="center"/>
      <protection/>
    </xf>
    <xf numFmtId="0" fontId="124" fillId="47" borderId="23" xfId="105" applyFont="1" applyFill="1" applyBorder="1">
      <alignment/>
      <protection/>
    </xf>
    <xf numFmtId="0" fontId="125" fillId="47" borderId="24" xfId="105" applyFont="1" applyFill="1" applyBorder="1">
      <alignment/>
      <protection/>
    </xf>
    <xf numFmtId="0" fontId="26" fillId="46" borderId="0" xfId="105" applyFont="1" applyFill="1" applyBorder="1" applyAlignment="1">
      <alignment horizontal="left"/>
      <protection/>
    </xf>
    <xf numFmtId="0" fontId="30" fillId="46" borderId="0" xfId="105" applyFont="1" applyFill="1" applyAlignment="1">
      <alignment/>
      <protection/>
    </xf>
    <xf numFmtId="0" fontId="36" fillId="47" borderId="25" xfId="105" applyFont="1" applyFill="1" applyBorder="1" applyAlignment="1">
      <alignment wrapText="1"/>
      <protection/>
    </xf>
    <xf numFmtId="0" fontId="36" fillId="50" borderId="0" xfId="105" applyFont="1" applyFill="1" applyBorder="1" applyAlignment="1">
      <alignment wrapText="1"/>
      <protection/>
    </xf>
    <xf numFmtId="0" fontId="126" fillId="50" borderId="0" xfId="0" applyFont="1" applyFill="1" applyBorder="1" applyAlignment="1">
      <alignment/>
    </xf>
    <xf numFmtId="0" fontId="126" fillId="50" borderId="0" xfId="0" applyFont="1" applyFill="1" applyAlignment="1">
      <alignment/>
    </xf>
    <xf numFmtId="0" fontId="126" fillId="47" borderId="0" xfId="0" applyFont="1" applyFill="1" applyAlignment="1">
      <alignment/>
    </xf>
    <xf numFmtId="0" fontId="25" fillId="50" borderId="0" xfId="105" applyFont="1" applyFill="1" applyBorder="1" applyAlignment="1" applyProtection="1">
      <alignment horizontal="left"/>
      <protection hidden="1"/>
    </xf>
    <xf numFmtId="0" fontId="113" fillId="50" borderId="0" xfId="105" applyFont="1" applyFill="1" applyBorder="1" applyAlignment="1" applyProtection="1">
      <alignment horizontal="left"/>
      <protection hidden="1"/>
    </xf>
    <xf numFmtId="0" fontId="42" fillId="50" borderId="0" xfId="105" applyFont="1" applyFill="1" applyBorder="1">
      <alignment/>
      <protection/>
    </xf>
    <xf numFmtId="0" fontId="42" fillId="50" borderId="0" xfId="105" applyFont="1" applyFill="1" applyAlignment="1" applyProtection="1">
      <alignment/>
      <protection hidden="1"/>
    </xf>
    <xf numFmtId="0" fontId="127" fillId="46" borderId="0" xfId="0" applyFont="1" applyFill="1" applyAlignment="1">
      <alignment/>
    </xf>
    <xf numFmtId="1" fontId="42" fillId="50" borderId="0" xfId="105" applyNumberFormat="1" applyFont="1" applyFill="1" applyBorder="1" applyAlignment="1" applyProtection="1">
      <alignment horizontal="center"/>
      <protection hidden="1"/>
    </xf>
    <xf numFmtId="0" fontId="127" fillId="0" borderId="0" xfId="0" applyFont="1" applyAlignment="1">
      <alignment/>
    </xf>
    <xf numFmtId="0" fontId="127" fillId="46" borderId="0" xfId="0" applyFont="1" applyFill="1" applyBorder="1" applyAlignment="1">
      <alignment/>
    </xf>
    <xf numFmtId="1" fontId="43" fillId="46" borderId="0" xfId="105" applyNumberFormat="1" applyFont="1" applyFill="1" applyBorder="1" applyAlignment="1" applyProtection="1">
      <alignment horizontal="left"/>
      <protection hidden="1"/>
    </xf>
    <xf numFmtId="0" fontId="42" fillId="50" borderId="0" xfId="105" applyFont="1" applyFill="1" applyProtection="1">
      <alignment/>
      <protection hidden="1"/>
    </xf>
    <xf numFmtId="0" fontId="42" fillId="50" borderId="0" xfId="105" applyFont="1" applyFill="1">
      <alignment/>
      <protection/>
    </xf>
    <xf numFmtId="1" fontId="42" fillId="52" borderId="0" xfId="105" applyNumberFormat="1" applyFont="1" applyFill="1" applyBorder="1" applyAlignment="1" applyProtection="1">
      <alignment horizontal="center"/>
      <protection hidden="1"/>
    </xf>
    <xf numFmtId="0" fontId="42" fillId="46" borderId="0" xfId="105" applyFont="1" applyFill="1" applyBorder="1" applyAlignment="1" applyProtection="1">
      <alignment/>
      <protection hidden="1"/>
    </xf>
    <xf numFmtId="0" fontId="127" fillId="50" borderId="0" xfId="0" applyFont="1" applyFill="1" applyBorder="1" applyAlignment="1">
      <alignment/>
    </xf>
    <xf numFmtId="0" fontId="127" fillId="46" borderId="0" xfId="0" applyFont="1" applyFill="1" applyBorder="1" applyAlignment="1">
      <alignment/>
    </xf>
    <xf numFmtId="0" fontId="128" fillId="50" borderId="26" xfId="105" applyFont="1" applyFill="1" applyBorder="1" applyAlignment="1" applyProtection="1">
      <alignment horizontal="center"/>
      <protection hidden="1"/>
    </xf>
    <xf numFmtId="0" fontId="42" fillId="52" borderId="0" xfId="105" applyFont="1" applyFill="1">
      <alignment/>
      <protection/>
    </xf>
    <xf numFmtId="0" fontId="42" fillId="52" borderId="0" xfId="105" applyFont="1" applyFill="1" applyAlignment="1" applyProtection="1">
      <alignment/>
      <protection hidden="1"/>
    </xf>
    <xf numFmtId="1" fontId="40" fillId="52" borderId="0" xfId="105" applyNumberFormat="1" applyFont="1" applyFill="1" applyBorder="1" applyAlignment="1" applyProtection="1">
      <alignment horizontal="left"/>
      <protection hidden="1"/>
    </xf>
    <xf numFmtId="0" fontId="128" fillId="50" borderId="26" xfId="105" applyFont="1" applyFill="1" applyBorder="1" applyAlignment="1">
      <alignment horizontal="center"/>
      <protection/>
    </xf>
    <xf numFmtId="208" fontId="23" fillId="50" borderId="0" xfId="105" applyNumberFormat="1" applyFont="1" applyFill="1" applyBorder="1" applyAlignment="1" applyProtection="1">
      <alignment horizontal="center"/>
      <protection hidden="1"/>
    </xf>
    <xf numFmtId="0" fontId="42" fillId="52" borderId="0" xfId="105" applyFont="1" applyFill="1" applyBorder="1">
      <alignment/>
      <protection/>
    </xf>
    <xf numFmtId="0" fontId="42" fillId="50" borderId="0" xfId="105" applyFont="1" applyFill="1" applyBorder="1" applyAlignment="1" applyProtection="1">
      <alignment/>
      <protection hidden="1"/>
    </xf>
    <xf numFmtId="0" fontId="42" fillId="50" borderId="0" xfId="105" applyFont="1" applyFill="1" applyBorder="1" applyProtection="1">
      <alignment/>
      <protection hidden="1"/>
    </xf>
    <xf numFmtId="1" fontId="44" fillId="46" borderId="0" xfId="105" applyNumberFormat="1" applyFont="1" applyFill="1" applyBorder="1" applyAlignment="1" applyProtection="1">
      <alignment horizontal="center"/>
      <protection hidden="1"/>
    </xf>
    <xf numFmtId="0" fontId="42" fillId="50" borderId="0" xfId="105" applyFont="1" applyFill="1" applyBorder="1" applyAlignment="1" applyProtection="1">
      <alignment horizontal="center"/>
      <protection hidden="1"/>
    </xf>
    <xf numFmtId="0" fontId="40" fillId="46" borderId="0" xfId="105" applyFont="1" applyFill="1" applyBorder="1" applyAlignment="1" applyProtection="1">
      <alignment horizontal="center"/>
      <protection hidden="1"/>
    </xf>
    <xf numFmtId="1" fontId="40" fillId="46" borderId="0" xfId="105" applyNumberFormat="1" applyFont="1" applyFill="1" applyBorder="1" applyAlignment="1" applyProtection="1">
      <alignment wrapText="1"/>
      <protection hidden="1"/>
    </xf>
    <xf numFmtId="0" fontId="42" fillId="50" borderId="0" xfId="105" applyFont="1" applyFill="1" applyBorder="1" applyAlignment="1" applyProtection="1">
      <alignment horizontal="center" vertical="center"/>
      <protection hidden="1"/>
    </xf>
    <xf numFmtId="0" fontId="42" fillId="50" borderId="0" xfId="105" applyFont="1" applyFill="1" applyAlignment="1" applyProtection="1">
      <alignment horizontal="center" vertical="center"/>
      <protection hidden="1"/>
    </xf>
    <xf numFmtId="1" fontId="40" fillId="52" borderId="0" xfId="105" applyNumberFormat="1" applyFont="1" applyFill="1" applyBorder="1" applyAlignment="1" applyProtection="1">
      <alignment wrapText="1"/>
      <protection hidden="1"/>
    </xf>
    <xf numFmtId="0" fontId="128" fillId="46" borderId="27" xfId="105" applyFont="1" applyFill="1" applyBorder="1" applyAlignment="1" applyProtection="1">
      <alignment horizontal="center"/>
      <protection hidden="1"/>
    </xf>
    <xf numFmtId="0" fontId="45" fillId="50" borderId="28" xfId="0" applyFont="1" applyFill="1" applyBorder="1" applyAlignment="1">
      <alignment horizontal="center"/>
    </xf>
    <xf numFmtId="0" fontId="128" fillId="46" borderId="26" xfId="105" applyFont="1" applyFill="1" applyBorder="1" applyAlignment="1" applyProtection="1">
      <alignment horizontal="center"/>
      <protection hidden="1"/>
    </xf>
    <xf numFmtId="0" fontId="129" fillId="0" borderId="0" xfId="0" applyFont="1" applyAlignment="1">
      <alignment/>
    </xf>
    <xf numFmtId="0" fontId="129" fillId="46" borderId="0" xfId="0" applyFont="1" applyFill="1" applyAlignment="1">
      <alignment/>
    </xf>
    <xf numFmtId="0" fontId="42" fillId="50" borderId="0" xfId="0" applyFont="1" applyFill="1" applyAlignment="1">
      <alignment/>
    </xf>
    <xf numFmtId="0" fontId="127" fillId="46" borderId="0" xfId="0" applyFont="1" applyFill="1" applyAlignment="1">
      <alignment/>
    </xf>
    <xf numFmtId="0" fontId="42" fillId="50" borderId="0" xfId="105" applyFont="1" applyFill="1" applyBorder="1" applyAlignment="1">
      <alignment/>
      <protection/>
    </xf>
    <xf numFmtId="0" fontId="127" fillId="0" borderId="0" xfId="0" applyFont="1" applyBorder="1" applyAlignment="1">
      <alignment/>
    </xf>
    <xf numFmtId="0" fontId="26" fillId="53" borderId="0" xfId="105" applyFont="1" applyFill="1">
      <alignment/>
      <protection/>
    </xf>
    <xf numFmtId="0" fontId="23" fillId="53" borderId="0" xfId="105" applyFont="1" applyFill="1">
      <alignment/>
      <protection/>
    </xf>
    <xf numFmtId="0" fontId="130" fillId="0" borderId="22" xfId="0" applyFont="1" applyBorder="1" applyAlignment="1">
      <alignment/>
    </xf>
    <xf numFmtId="0" fontId="25" fillId="50" borderId="0" xfId="105" applyFont="1" applyFill="1" applyBorder="1" applyAlignment="1" applyProtection="1">
      <alignment horizontal="left"/>
      <protection hidden="1"/>
    </xf>
    <xf numFmtId="0" fontId="127" fillId="0" borderId="0" xfId="0" applyFont="1" applyAlignment="1">
      <alignment horizontal="left"/>
    </xf>
    <xf numFmtId="0" fontId="127" fillId="0" borderId="0" xfId="0" applyFont="1" applyAlignment="1">
      <alignment/>
    </xf>
    <xf numFmtId="0" fontId="127" fillId="0" borderId="0" xfId="0" applyFont="1" applyBorder="1" applyAlignment="1">
      <alignment/>
    </xf>
    <xf numFmtId="1" fontId="42" fillId="50" borderId="0" xfId="105" applyNumberFormat="1" applyFont="1" applyFill="1" applyBorder="1" applyAlignment="1" applyProtection="1">
      <alignment horizontal="center"/>
      <protection hidden="1"/>
    </xf>
    <xf numFmtId="0" fontId="40" fillId="50" borderId="0" xfId="105" applyFont="1" applyFill="1" applyBorder="1" applyAlignment="1">
      <alignment horizontal="left"/>
      <protection/>
    </xf>
    <xf numFmtId="0" fontId="40" fillId="46" borderId="0" xfId="105" applyFont="1" applyFill="1" applyBorder="1" applyAlignment="1">
      <alignment/>
      <protection/>
    </xf>
    <xf numFmtId="0" fontId="47" fillId="46" borderId="0" xfId="0" applyFont="1" applyFill="1" applyAlignment="1">
      <alignment/>
    </xf>
    <xf numFmtId="0" fontId="44" fillId="46" borderId="0" xfId="105" applyFont="1" applyFill="1" applyBorder="1" applyAlignment="1" applyProtection="1">
      <alignment horizontal="center"/>
      <protection hidden="1"/>
    </xf>
    <xf numFmtId="0" fontId="47" fillId="50" borderId="0" xfId="0" applyFont="1" applyFill="1" applyBorder="1" applyAlignment="1">
      <alignment/>
    </xf>
    <xf numFmtId="0" fontId="47" fillId="50" borderId="0" xfId="0" applyFont="1" applyFill="1" applyAlignment="1">
      <alignment/>
    </xf>
    <xf numFmtId="0" fontId="47" fillId="0" borderId="0" xfId="0" applyFont="1" applyAlignment="1">
      <alignment/>
    </xf>
    <xf numFmtId="0" fontId="40" fillId="50" borderId="0" xfId="105" applyFont="1" applyFill="1" applyBorder="1" applyAlignment="1">
      <alignment horizontal="left"/>
      <protection/>
    </xf>
    <xf numFmtId="1" fontId="42" fillId="50" borderId="0" xfId="105" applyNumberFormat="1" applyFont="1" applyFill="1" applyBorder="1" applyAlignment="1" applyProtection="1">
      <alignment/>
      <protection hidden="1"/>
    </xf>
    <xf numFmtId="0" fontId="127" fillId="50" borderId="0" xfId="0" applyFont="1" applyFill="1" applyAlignment="1">
      <alignment/>
    </xf>
    <xf numFmtId="0" fontId="41" fillId="46" borderId="0" xfId="0" applyFont="1" applyFill="1" applyBorder="1" applyAlignment="1">
      <alignment horizontal="left"/>
    </xf>
    <xf numFmtId="0" fontId="48" fillId="46" borderId="0" xfId="105" applyFont="1" applyFill="1" applyBorder="1" applyAlignment="1" applyProtection="1">
      <alignment horizontal="left"/>
      <protection hidden="1"/>
    </xf>
    <xf numFmtId="0" fontId="131" fillId="46" borderId="0" xfId="105" applyFont="1" applyFill="1" applyBorder="1" applyAlignment="1" applyProtection="1">
      <alignment horizontal="left"/>
      <protection hidden="1"/>
    </xf>
    <xf numFmtId="0" fontId="41" fillId="50" borderId="0" xfId="105" applyFont="1" applyFill="1" applyBorder="1" applyAlignment="1" applyProtection="1">
      <alignment horizontal="left"/>
      <protection hidden="1"/>
    </xf>
    <xf numFmtId="0" fontId="132" fillId="46" borderId="0" xfId="105" applyFont="1" applyFill="1" applyBorder="1" applyAlignment="1" applyProtection="1">
      <alignment horizontal="left"/>
      <protection hidden="1"/>
    </xf>
    <xf numFmtId="0" fontId="132" fillId="50" borderId="0" xfId="105" applyFont="1" applyFill="1" applyBorder="1" applyAlignment="1" applyProtection="1">
      <alignment horizontal="left"/>
      <protection hidden="1"/>
    </xf>
    <xf numFmtId="1" fontId="133" fillId="50" borderId="0" xfId="105" applyNumberFormat="1" applyFont="1" applyFill="1" applyBorder="1" applyAlignment="1" applyProtection="1">
      <alignment/>
      <protection hidden="1"/>
    </xf>
    <xf numFmtId="0" fontId="134" fillId="46" borderId="0" xfId="0" applyFont="1" applyFill="1" applyBorder="1" applyAlignment="1">
      <alignment/>
    </xf>
    <xf numFmtId="0" fontId="134" fillId="0" borderId="0" xfId="0" applyFont="1" applyBorder="1" applyAlignment="1">
      <alignment/>
    </xf>
    <xf numFmtId="0" fontId="41" fillId="46" borderId="0" xfId="105" applyFont="1" applyFill="1" applyBorder="1" applyAlignment="1" applyProtection="1">
      <alignment/>
      <protection hidden="1"/>
    </xf>
    <xf numFmtId="0" fontId="41" fillId="50" borderId="0" xfId="105" applyFont="1" applyFill="1" applyBorder="1" applyAlignment="1" applyProtection="1">
      <alignment/>
      <protection hidden="1"/>
    </xf>
    <xf numFmtId="0" fontId="127" fillId="50" borderId="0" xfId="0" applyFont="1" applyFill="1" applyBorder="1" applyAlignment="1">
      <alignment/>
    </xf>
    <xf numFmtId="0" fontId="132" fillId="50" borderId="0" xfId="105" applyFont="1" applyFill="1" applyBorder="1" applyProtection="1">
      <alignment/>
      <protection hidden="1"/>
    </xf>
    <xf numFmtId="0" fontId="133" fillId="50" borderId="0" xfId="105" applyFont="1" applyFill="1" applyBorder="1" applyProtection="1">
      <alignment/>
      <protection hidden="1"/>
    </xf>
    <xf numFmtId="208" fontId="133" fillId="50" borderId="0" xfId="105" applyNumberFormat="1" applyFont="1" applyFill="1" applyBorder="1" applyAlignment="1" applyProtection="1">
      <alignment horizontal="center"/>
      <protection hidden="1"/>
    </xf>
    <xf numFmtId="1" fontId="133" fillId="50" borderId="0" xfId="105" applyNumberFormat="1" applyFont="1" applyFill="1" applyBorder="1" applyAlignment="1" applyProtection="1">
      <alignment horizontal="center"/>
      <protection hidden="1"/>
    </xf>
    <xf numFmtId="0" fontId="133" fillId="50" borderId="0" xfId="105" applyFont="1" applyFill="1" applyBorder="1" applyAlignment="1" applyProtection="1">
      <alignment/>
      <protection hidden="1"/>
    </xf>
    <xf numFmtId="0" fontId="133" fillId="50" borderId="0" xfId="105" applyFont="1" applyFill="1" applyAlignment="1" applyProtection="1">
      <alignment/>
      <protection hidden="1"/>
    </xf>
    <xf numFmtId="0" fontId="133" fillId="50" borderId="0" xfId="105" applyFont="1" applyFill="1" applyProtection="1">
      <alignment/>
      <protection hidden="1"/>
    </xf>
    <xf numFmtId="0" fontId="133" fillId="50" borderId="0" xfId="105" applyFont="1" applyFill="1">
      <alignment/>
      <protection/>
    </xf>
    <xf numFmtId="0" fontId="134" fillId="50" borderId="0" xfId="0" applyFont="1" applyFill="1" applyAlignment="1">
      <alignment/>
    </xf>
    <xf numFmtId="0" fontId="43" fillId="46" borderId="0" xfId="105" applyFont="1" applyFill="1" applyBorder="1" applyAlignment="1" applyProtection="1">
      <alignment horizontal="left"/>
      <protection hidden="1"/>
    </xf>
    <xf numFmtId="0" fontId="43" fillId="50" borderId="0" xfId="105" applyFont="1" applyFill="1" applyBorder="1" applyProtection="1">
      <alignment/>
      <protection hidden="1"/>
    </xf>
    <xf numFmtId="1" fontId="43" fillId="50" borderId="0" xfId="105" applyNumberFormat="1" applyFont="1" applyFill="1" applyBorder="1" applyAlignment="1" applyProtection="1">
      <alignment horizontal="center"/>
      <protection hidden="1"/>
    </xf>
    <xf numFmtId="0" fontId="78" fillId="46" borderId="0" xfId="0" applyFont="1" applyFill="1" applyBorder="1" applyAlignment="1">
      <alignment/>
    </xf>
    <xf numFmtId="0" fontId="43" fillId="50" borderId="0" xfId="105" applyFont="1" applyFill="1" applyProtection="1">
      <alignment/>
      <protection hidden="1"/>
    </xf>
    <xf numFmtId="0" fontId="43" fillId="50" borderId="0" xfId="105" applyFont="1" applyFill="1">
      <alignment/>
      <protection/>
    </xf>
    <xf numFmtId="0" fontId="78" fillId="46" borderId="0" xfId="0" applyFont="1" applyFill="1" applyAlignment="1">
      <alignment/>
    </xf>
    <xf numFmtId="0" fontId="78" fillId="0" borderId="0" xfId="0" applyFont="1" applyAlignment="1">
      <alignment/>
    </xf>
    <xf numFmtId="0" fontId="132" fillId="46" borderId="0" xfId="105" applyFont="1" applyFill="1" applyBorder="1" applyAlignment="1">
      <alignment horizontal="left"/>
      <protection/>
    </xf>
    <xf numFmtId="0" fontId="135" fillId="46" borderId="0" xfId="105" applyFont="1" applyFill="1" applyBorder="1" applyAlignment="1" applyProtection="1">
      <alignment horizontal="center"/>
      <protection hidden="1"/>
    </xf>
    <xf numFmtId="0" fontId="133" fillId="46" borderId="0" xfId="105" applyFont="1" applyFill="1" applyBorder="1" applyAlignment="1" applyProtection="1">
      <alignment/>
      <protection hidden="1"/>
    </xf>
    <xf numFmtId="0" fontId="133" fillId="46" borderId="0" xfId="105" applyFont="1" applyFill="1" applyBorder="1" applyProtection="1">
      <alignment/>
      <protection hidden="1"/>
    </xf>
    <xf numFmtId="0" fontId="131" fillId="50" borderId="0" xfId="105" applyFont="1" applyFill="1" applyBorder="1" applyAlignment="1" applyProtection="1">
      <alignment horizontal="left"/>
      <protection hidden="1"/>
    </xf>
    <xf numFmtId="0" fontId="131" fillId="46" borderId="0" xfId="105" applyFont="1" applyFill="1" applyBorder="1" applyAlignment="1" applyProtection="1">
      <alignment horizontal="center"/>
      <protection hidden="1"/>
    </xf>
    <xf numFmtId="0" fontId="136" fillId="46" borderId="0" xfId="105" applyFont="1" applyFill="1" applyBorder="1" applyAlignment="1" applyProtection="1">
      <alignment/>
      <protection hidden="1"/>
    </xf>
    <xf numFmtId="208" fontId="136" fillId="50" borderId="0" xfId="105" applyNumberFormat="1" applyFont="1" applyFill="1" applyBorder="1" applyAlignment="1" applyProtection="1">
      <alignment horizontal="center"/>
      <protection hidden="1"/>
    </xf>
    <xf numFmtId="0" fontId="136" fillId="46" borderId="0" xfId="105" applyFont="1" applyFill="1" applyBorder="1" applyProtection="1">
      <alignment/>
      <protection hidden="1"/>
    </xf>
    <xf numFmtId="0" fontId="136" fillId="46" borderId="0" xfId="105" applyFont="1" applyFill="1" applyBorder="1">
      <alignment/>
      <protection/>
    </xf>
    <xf numFmtId="0" fontId="137" fillId="46" borderId="0" xfId="0" applyFont="1" applyFill="1" applyBorder="1" applyAlignment="1">
      <alignment/>
    </xf>
    <xf numFmtId="0" fontId="137" fillId="0" borderId="0" xfId="0" applyFont="1" applyBorder="1" applyAlignment="1">
      <alignment/>
    </xf>
    <xf numFmtId="0" fontId="127" fillId="50" borderId="29" xfId="0" applyFont="1" applyFill="1" applyBorder="1" applyAlignment="1">
      <alignment/>
    </xf>
    <xf numFmtId="0" fontId="40" fillId="46" borderId="0" xfId="105" applyFont="1" applyFill="1" applyBorder="1" applyAlignment="1" applyProtection="1">
      <alignment horizontal="left"/>
      <protection hidden="1"/>
    </xf>
    <xf numFmtId="0" fontId="53" fillId="46" borderId="0" xfId="105" applyFont="1" applyFill="1" applyBorder="1" applyProtection="1">
      <alignment/>
      <protection hidden="1"/>
    </xf>
    <xf numFmtId="0" fontId="129" fillId="46" borderId="0" xfId="0" applyFont="1" applyFill="1" applyAlignment="1">
      <alignment/>
    </xf>
    <xf numFmtId="0" fontId="43" fillId="50" borderId="0" xfId="105" applyFont="1" applyFill="1" applyBorder="1" applyAlignment="1" applyProtection="1">
      <alignment horizontal="center"/>
      <protection hidden="1"/>
    </xf>
    <xf numFmtId="0" fontId="129" fillId="46" borderId="0" xfId="0" applyFont="1" applyFill="1" applyBorder="1" applyAlignment="1">
      <alignment horizontal="center"/>
    </xf>
    <xf numFmtId="0" fontId="40" fillId="46" borderId="21" xfId="105" applyFont="1" applyFill="1" applyBorder="1" applyAlignment="1" applyProtection="1">
      <alignment horizontal="right"/>
      <protection hidden="1"/>
    </xf>
    <xf numFmtId="0" fontId="138" fillId="54" borderId="30" xfId="105" applyFont="1" applyFill="1" applyBorder="1" applyAlignment="1" applyProtection="1">
      <alignment horizontal="center" vertical="center"/>
      <protection hidden="1"/>
    </xf>
    <xf numFmtId="0" fontId="138" fillId="54" borderId="30" xfId="105" applyFont="1" applyFill="1" applyBorder="1" applyAlignment="1" applyProtection="1">
      <alignment horizontal="center"/>
      <protection hidden="1"/>
    </xf>
    <xf numFmtId="0" fontId="43" fillId="54" borderId="31" xfId="105" applyNumberFormat="1" applyFont="1" applyFill="1" applyBorder="1" applyAlignment="1" applyProtection="1">
      <alignment vertical="center"/>
      <protection hidden="1"/>
    </xf>
    <xf numFmtId="0" fontId="43" fillId="54" borderId="32" xfId="105" applyNumberFormat="1" applyFont="1" applyFill="1" applyBorder="1" applyAlignment="1" applyProtection="1">
      <alignment vertical="center"/>
      <protection hidden="1"/>
    </xf>
    <xf numFmtId="0" fontId="138" fillId="54" borderId="31" xfId="105" applyFont="1" applyFill="1" applyBorder="1" applyAlignment="1" applyProtection="1">
      <alignment vertical="center"/>
      <protection hidden="1"/>
    </xf>
    <xf numFmtId="0" fontId="138" fillId="54" borderId="32" xfId="105" applyFont="1" applyFill="1" applyBorder="1" applyAlignment="1" applyProtection="1">
      <alignment vertical="center"/>
      <protection hidden="1"/>
    </xf>
    <xf numFmtId="0" fontId="134" fillId="50" borderId="0" xfId="0" applyFont="1" applyFill="1" applyBorder="1" applyAlignment="1">
      <alignment/>
    </xf>
    <xf numFmtId="0" fontId="134" fillId="54" borderId="0" xfId="0" applyFont="1" applyFill="1" applyBorder="1" applyAlignment="1">
      <alignment/>
    </xf>
    <xf numFmtId="0" fontId="53" fillId="50" borderId="28" xfId="105" applyFont="1" applyFill="1" applyBorder="1" applyProtection="1">
      <alignment/>
      <protection hidden="1"/>
    </xf>
    <xf numFmtId="0" fontId="54" fillId="50" borderId="33" xfId="105" applyFont="1" applyFill="1" applyBorder="1">
      <alignment/>
      <protection/>
    </xf>
    <xf numFmtId="0" fontId="53" fillId="50" borderId="28" xfId="105" applyFont="1" applyFill="1" applyBorder="1" applyAlignment="1" applyProtection="1">
      <alignment horizontal="center"/>
      <protection hidden="1"/>
    </xf>
    <xf numFmtId="0" fontId="54" fillId="50" borderId="34" xfId="105" applyFont="1" applyFill="1" applyBorder="1">
      <alignment/>
      <protection/>
    </xf>
    <xf numFmtId="0" fontId="42" fillId="50" borderId="34" xfId="105" applyFont="1" applyFill="1" applyBorder="1">
      <alignment/>
      <protection/>
    </xf>
    <xf numFmtId="0" fontId="54" fillId="50" borderId="35" xfId="105" applyFont="1" applyFill="1" applyBorder="1">
      <alignment/>
      <protection/>
    </xf>
    <xf numFmtId="0" fontId="54" fillId="50" borderId="36" xfId="105" applyFont="1" applyFill="1" applyBorder="1" applyAlignment="1">
      <alignment horizontal="left"/>
      <protection/>
    </xf>
    <xf numFmtId="0" fontId="127" fillId="50" borderId="0" xfId="0" applyFont="1" applyFill="1" applyBorder="1" applyAlignment="1">
      <alignment horizontal="center"/>
    </xf>
    <xf numFmtId="0" fontId="127" fillId="0" borderId="0" xfId="0" applyFont="1" applyBorder="1" applyAlignment="1">
      <alignment horizontal="center"/>
    </xf>
    <xf numFmtId="0" fontId="139" fillId="50" borderId="28" xfId="105" applyFont="1" applyFill="1" applyBorder="1" applyProtection="1">
      <alignment/>
      <protection hidden="1"/>
    </xf>
    <xf numFmtId="0" fontId="54" fillId="50" borderId="26" xfId="105" applyFont="1" applyFill="1" applyBorder="1" applyAlignment="1">
      <alignment horizontal="left"/>
      <protection/>
    </xf>
    <xf numFmtId="0" fontId="54" fillId="50" borderId="26" xfId="105" applyFont="1" applyFill="1" applyBorder="1">
      <alignment/>
      <protection/>
    </xf>
    <xf numFmtId="0" fontId="45" fillId="50" borderId="28" xfId="0" applyFont="1" applyFill="1" applyBorder="1" applyAlignment="1">
      <alignment horizontal="left"/>
    </xf>
    <xf numFmtId="0" fontId="54" fillId="50" borderId="37" xfId="105" applyFont="1" applyFill="1" applyBorder="1">
      <alignment/>
      <protection/>
    </xf>
    <xf numFmtId="0" fontId="53" fillId="50" borderId="27" xfId="105" applyFont="1" applyFill="1" applyBorder="1" applyProtection="1">
      <alignment/>
      <protection hidden="1"/>
    </xf>
    <xf numFmtId="0" fontId="48" fillId="50" borderId="38" xfId="105" applyFont="1" applyFill="1" applyBorder="1" applyProtection="1">
      <alignment/>
      <protection hidden="1"/>
    </xf>
    <xf numFmtId="0" fontId="54" fillId="50" borderId="39" xfId="105" applyFont="1" applyFill="1" applyBorder="1">
      <alignment/>
      <protection/>
    </xf>
    <xf numFmtId="0" fontId="127" fillId="0" borderId="21" xfId="0" applyFont="1" applyBorder="1" applyAlignment="1">
      <alignment/>
    </xf>
    <xf numFmtId="0" fontId="41" fillId="46" borderId="0" xfId="105" applyFont="1" applyFill="1" applyBorder="1" applyAlignment="1">
      <alignment horizontal="left"/>
      <protection/>
    </xf>
    <xf numFmtId="0" fontId="48" fillId="46" borderId="0" xfId="105" applyFont="1" applyFill="1" applyBorder="1" applyAlignment="1" applyProtection="1">
      <alignment horizontal="center"/>
      <protection hidden="1"/>
    </xf>
    <xf numFmtId="0" fontId="43" fillId="46" borderId="28" xfId="105" applyFont="1" applyFill="1" applyBorder="1" applyAlignment="1" applyProtection="1">
      <alignment horizontal="left" wrapText="1"/>
      <protection hidden="1"/>
    </xf>
    <xf numFmtId="0" fontId="42" fillId="46" borderId="36" xfId="105" applyFont="1" applyFill="1" applyBorder="1" applyProtection="1">
      <alignment/>
      <protection hidden="1"/>
    </xf>
    <xf numFmtId="0" fontId="43" fillId="46" borderId="28" xfId="105" applyFont="1" applyFill="1" applyBorder="1" applyAlignment="1" applyProtection="1">
      <alignment horizontal="center" wrapText="1"/>
      <protection hidden="1"/>
    </xf>
    <xf numFmtId="0" fontId="42" fillId="46" borderId="26" xfId="105" applyFont="1" applyFill="1" applyBorder="1" applyProtection="1">
      <alignment/>
      <protection hidden="1"/>
    </xf>
    <xf numFmtId="208" fontId="42" fillId="50" borderId="0" xfId="105" applyNumberFormat="1" applyFont="1" applyFill="1" applyBorder="1" applyAlignment="1" applyProtection="1">
      <alignment horizontal="center"/>
      <protection hidden="1"/>
    </xf>
    <xf numFmtId="0" fontId="128" fillId="46" borderId="28" xfId="105" applyFont="1" applyFill="1" applyBorder="1" applyAlignment="1" applyProtection="1">
      <alignment horizontal="center" wrapText="1"/>
      <protection hidden="1"/>
    </xf>
    <xf numFmtId="0" fontId="42" fillId="46" borderId="34" xfId="105" applyFont="1" applyFill="1" applyBorder="1" applyProtection="1">
      <alignment/>
      <protection hidden="1"/>
    </xf>
    <xf numFmtId="0" fontId="140" fillId="46" borderId="40" xfId="105" applyFont="1" applyFill="1" applyBorder="1" applyAlignment="1" applyProtection="1">
      <alignment horizontal="left"/>
      <protection hidden="1"/>
    </xf>
    <xf numFmtId="0" fontId="42" fillId="46" borderId="39" xfId="105" applyFont="1" applyFill="1" applyBorder="1" applyProtection="1">
      <alignment/>
      <protection hidden="1"/>
    </xf>
    <xf numFmtId="0" fontId="43" fillId="46" borderId="33" xfId="105" applyFont="1" applyFill="1" applyBorder="1" applyAlignment="1" applyProtection="1">
      <alignment wrapText="1"/>
      <protection hidden="1"/>
    </xf>
    <xf numFmtId="0" fontId="42" fillId="46" borderId="36" xfId="105" applyFont="1" applyFill="1" applyBorder="1" applyAlignment="1" applyProtection="1">
      <alignment wrapText="1"/>
      <protection hidden="1"/>
    </xf>
    <xf numFmtId="0" fontId="43" fillId="46" borderId="34" xfId="105" applyFont="1" applyFill="1" applyBorder="1" applyAlignment="1" applyProtection="1">
      <alignment horizontal="center" wrapText="1"/>
      <protection hidden="1"/>
    </xf>
    <xf numFmtId="0" fontId="42" fillId="46" borderId="26" xfId="105" applyFont="1" applyFill="1" applyBorder="1" applyAlignment="1" applyProtection="1">
      <alignment wrapText="1"/>
      <protection hidden="1"/>
    </xf>
    <xf numFmtId="0" fontId="139" fillId="46" borderId="22" xfId="0" applyFont="1" applyFill="1" applyBorder="1" applyAlignment="1">
      <alignment horizontal="center"/>
    </xf>
    <xf numFmtId="0" fontId="42" fillId="46" borderId="26" xfId="105" applyFont="1" applyFill="1" applyBorder="1" applyAlignment="1" applyProtection="1">
      <alignment horizontal="left" wrapText="1"/>
      <protection hidden="1"/>
    </xf>
    <xf numFmtId="0" fontId="54" fillId="46" borderId="26" xfId="105" applyFont="1" applyFill="1" applyBorder="1" applyAlignment="1" applyProtection="1">
      <alignment wrapText="1"/>
      <protection hidden="1"/>
    </xf>
    <xf numFmtId="0" fontId="128" fillId="46" borderId="28" xfId="0" applyFont="1" applyFill="1" applyBorder="1" applyAlignment="1">
      <alignment horizontal="center"/>
    </xf>
    <xf numFmtId="0" fontId="45" fillId="50" borderId="40" xfId="0" applyFont="1" applyFill="1" applyBorder="1" applyAlignment="1">
      <alignment horizontal="left"/>
    </xf>
    <xf numFmtId="0" fontId="54" fillId="46" borderId="20" xfId="105" applyFont="1" applyFill="1" applyBorder="1" applyAlignment="1" applyProtection="1">
      <alignment wrapText="1"/>
      <protection hidden="1"/>
    </xf>
    <xf numFmtId="0" fontId="43" fillId="46" borderId="33" xfId="105" applyFont="1" applyFill="1" applyBorder="1" applyAlignment="1" applyProtection="1">
      <alignment horizontal="left"/>
      <protection hidden="1"/>
    </xf>
    <xf numFmtId="0" fontId="54" fillId="46" borderId="0" xfId="105" applyFont="1" applyFill="1" applyBorder="1" applyProtection="1">
      <alignment/>
      <protection hidden="1"/>
    </xf>
    <xf numFmtId="0" fontId="43" fillId="55" borderId="22" xfId="105" applyFont="1" applyFill="1" applyBorder="1" applyAlignment="1">
      <alignment horizontal="left"/>
      <protection/>
    </xf>
    <xf numFmtId="0" fontId="127" fillId="0" borderId="0" xfId="0" applyFont="1" applyFill="1" applyBorder="1" applyAlignment="1">
      <alignment/>
    </xf>
    <xf numFmtId="0" fontId="128" fillId="46" borderId="22" xfId="0" applyFont="1" applyFill="1" applyBorder="1" applyAlignment="1">
      <alignment horizontal="center"/>
    </xf>
    <xf numFmtId="0" fontId="54" fillId="46" borderId="22" xfId="105" applyFont="1" applyFill="1" applyBorder="1" applyProtection="1">
      <alignment/>
      <protection hidden="1"/>
    </xf>
    <xf numFmtId="0" fontId="44" fillId="46" borderId="40" xfId="0" applyFont="1" applyFill="1" applyBorder="1" applyAlignment="1">
      <alignment horizontal="left"/>
    </xf>
    <xf numFmtId="0" fontId="54" fillId="46" borderId="41" xfId="105" applyFont="1" applyFill="1" applyBorder="1" applyProtection="1">
      <alignment/>
      <protection hidden="1"/>
    </xf>
    <xf numFmtId="0" fontId="127" fillId="0" borderId="21" xfId="0" applyFont="1" applyFill="1" applyBorder="1" applyAlignment="1">
      <alignment/>
    </xf>
    <xf numFmtId="0" fontId="43" fillId="46" borderId="42" xfId="105" applyFont="1" applyFill="1" applyBorder="1" applyProtection="1">
      <alignment/>
      <protection hidden="1"/>
    </xf>
    <xf numFmtId="0" fontId="42" fillId="46" borderId="33" xfId="105" applyFont="1" applyFill="1" applyBorder="1" applyProtection="1">
      <alignment/>
      <protection hidden="1"/>
    </xf>
    <xf numFmtId="0" fontId="43" fillId="46" borderId="28" xfId="105" applyFont="1" applyFill="1" applyBorder="1" applyAlignment="1" applyProtection="1">
      <alignment horizontal="center"/>
      <protection hidden="1"/>
    </xf>
    <xf numFmtId="0" fontId="54" fillId="46" borderId="34" xfId="105" applyFont="1" applyFill="1" applyBorder="1" applyProtection="1">
      <alignment/>
      <protection hidden="1"/>
    </xf>
    <xf numFmtId="0" fontId="128" fillId="46" borderId="28" xfId="105" applyFont="1" applyFill="1" applyBorder="1" applyAlignment="1" applyProtection="1">
      <alignment horizontal="center"/>
      <protection hidden="1"/>
    </xf>
    <xf numFmtId="0" fontId="44" fillId="46" borderId="41" xfId="105" applyFont="1" applyFill="1" applyBorder="1" applyAlignment="1" applyProtection="1">
      <alignment wrapText="1"/>
      <protection hidden="1"/>
    </xf>
    <xf numFmtId="0" fontId="53" fillId="46" borderId="33" xfId="105" applyFont="1" applyFill="1" applyBorder="1" applyAlignment="1" applyProtection="1">
      <alignment horizontal="left" vertical="center"/>
      <protection hidden="1"/>
    </xf>
    <xf numFmtId="0" fontId="54" fillId="46" borderId="33" xfId="105" applyFont="1" applyFill="1" applyBorder="1" applyProtection="1">
      <alignment/>
      <protection hidden="1"/>
    </xf>
    <xf numFmtId="0" fontId="53" fillId="46" borderId="34" xfId="105" applyFont="1" applyFill="1" applyBorder="1" applyAlignment="1" applyProtection="1">
      <alignment horizontal="center" vertical="center"/>
      <protection hidden="1"/>
    </xf>
    <xf numFmtId="0" fontId="45" fillId="46" borderId="22" xfId="0" applyFont="1" applyFill="1" applyBorder="1" applyAlignment="1">
      <alignment horizontal="center"/>
    </xf>
    <xf numFmtId="0" fontId="138" fillId="48" borderId="0" xfId="105" applyFont="1" applyFill="1" applyBorder="1" applyAlignment="1" applyProtection="1">
      <alignment horizontal="center" vertical="center"/>
      <protection hidden="1"/>
    </xf>
    <xf numFmtId="0" fontId="138" fillId="48" borderId="0" xfId="105" applyFont="1" applyFill="1" applyBorder="1" applyAlignment="1" applyProtection="1">
      <alignment horizontal="center"/>
      <protection hidden="1"/>
    </xf>
    <xf numFmtId="0" fontId="43" fillId="48" borderId="0" xfId="105" applyNumberFormat="1" applyFont="1" applyFill="1" applyBorder="1" applyAlignment="1" applyProtection="1">
      <alignment vertical="center"/>
      <protection hidden="1"/>
    </xf>
    <xf numFmtId="0" fontId="138" fillId="48" borderId="0" xfId="105" applyFont="1" applyFill="1" applyBorder="1" applyAlignment="1" applyProtection="1">
      <alignment vertical="center"/>
      <protection hidden="1"/>
    </xf>
    <xf numFmtId="0" fontId="127" fillId="56" borderId="0" xfId="0" applyFont="1" applyFill="1" applyBorder="1" applyAlignment="1">
      <alignment/>
    </xf>
    <xf numFmtId="0" fontId="53" fillId="46" borderId="0" xfId="105" applyFont="1" applyFill="1" applyBorder="1" applyAlignment="1" applyProtection="1">
      <alignment horizontal="left" vertical="center"/>
      <protection hidden="1"/>
    </xf>
    <xf numFmtId="0" fontId="53" fillId="46" borderId="0" xfId="105" applyFont="1" applyFill="1" applyBorder="1" applyAlignment="1" applyProtection="1">
      <alignment horizontal="center" vertical="center"/>
      <protection hidden="1"/>
    </xf>
    <xf numFmtId="0" fontId="46" fillId="46" borderId="0" xfId="0" applyFont="1" applyFill="1" applyBorder="1" applyAlignment="1">
      <alignment horizontal="center"/>
    </xf>
    <xf numFmtId="0" fontId="139" fillId="46" borderId="0" xfId="0" applyFont="1" applyFill="1" applyBorder="1" applyAlignment="1">
      <alignment horizontal="center"/>
    </xf>
    <xf numFmtId="0" fontId="128" fillId="46" borderId="0" xfId="105" applyFont="1" applyFill="1" applyBorder="1" applyAlignment="1" applyProtection="1">
      <alignment horizontal="center" wrapText="1"/>
      <protection hidden="1"/>
    </xf>
    <xf numFmtId="0" fontId="45" fillId="46" borderId="0" xfId="0" applyFont="1" applyFill="1" applyBorder="1" applyAlignment="1">
      <alignment horizontal="center"/>
    </xf>
    <xf numFmtId="0" fontId="44" fillId="46" borderId="0" xfId="105" applyFont="1" applyFill="1" applyBorder="1" applyAlignment="1" applyProtection="1">
      <alignment wrapText="1"/>
      <protection hidden="1"/>
    </xf>
    <xf numFmtId="0" fontId="55" fillId="46" borderId="0" xfId="105" applyFont="1" applyFill="1" applyBorder="1" applyAlignment="1" applyProtection="1">
      <alignment horizontal="left"/>
      <protection hidden="1"/>
    </xf>
    <xf numFmtId="0" fontId="43" fillId="46" borderId="42" xfId="105" applyFont="1" applyFill="1" applyBorder="1" applyAlignment="1" applyProtection="1">
      <alignment horizontal="left" wrapText="1"/>
      <protection hidden="1"/>
    </xf>
    <xf numFmtId="0" fontId="141" fillId="0" borderId="0" xfId="0" applyFont="1" applyAlignment="1">
      <alignment horizontal="center"/>
    </xf>
    <xf numFmtId="0" fontId="54" fillId="46" borderId="35" xfId="105" applyFont="1" applyFill="1" applyBorder="1" applyProtection="1">
      <alignment/>
      <protection hidden="1"/>
    </xf>
    <xf numFmtId="0" fontId="42" fillId="50" borderId="26" xfId="105" applyFont="1" applyFill="1" applyBorder="1" applyProtection="1">
      <alignment/>
      <protection hidden="1"/>
    </xf>
    <xf numFmtId="0" fontId="127" fillId="50" borderId="29" xfId="0" applyFont="1" applyFill="1" applyBorder="1" applyAlignment="1">
      <alignment/>
    </xf>
    <xf numFmtId="0" fontId="127" fillId="0" borderId="29" xfId="0" applyFont="1" applyBorder="1" applyAlignment="1">
      <alignment/>
    </xf>
    <xf numFmtId="0" fontId="44" fillId="46" borderId="0" xfId="105" applyFont="1" applyFill="1" applyBorder="1" applyAlignment="1" applyProtection="1">
      <alignment horizontal="left" wrapText="1"/>
      <protection hidden="1"/>
    </xf>
    <xf numFmtId="0" fontId="43" fillId="50" borderId="36" xfId="105" applyFont="1" applyFill="1" applyBorder="1" applyAlignment="1" applyProtection="1">
      <alignment horizontal="left"/>
      <protection hidden="1"/>
    </xf>
    <xf numFmtId="0" fontId="42" fillId="50" borderId="33" xfId="105" applyFont="1" applyFill="1" applyBorder="1" applyProtection="1">
      <alignment/>
      <protection hidden="1"/>
    </xf>
    <xf numFmtId="0" fontId="43" fillId="50" borderId="26" xfId="105" applyFont="1" applyFill="1" applyBorder="1" applyAlignment="1" applyProtection="1">
      <alignment horizontal="center"/>
      <protection hidden="1"/>
    </xf>
    <xf numFmtId="0" fontId="42" fillId="50" borderId="34" xfId="105" applyFont="1" applyFill="1" applyBorder="1" applyProtection="1">
      <alignment/>
      <protection hidden="1"/>
    </xf>
    <xf numFmtId="0" fontId="42" fillId="50" borderId="20" xfId="105" applyFont="1" applyFill="1" applyBorder="1" applyProtection="1">
      <alignment/>
      <protection hidden="1"/>
    </xf>
    <xf numFmtId="0" fontId="127" fillId="50" borderId="21" xfId="0" applyFont="1" applyFill="1" applyBorder="1" applyAlignment="1">
      <alignment/>
    </xf>
    <xf numFmtId="0" fontId="41" fillId="46" borderId="0" xfId="105" applyFont="1" applyFill="1" applyBorder="1" applyAlignment="1" applyProtection="1">
      <alignment horizontal="center"/>
      <protection hidden="1"/>
    </xf>
    <xf numFmtId="0" fontId="43" fillId="46" borderId="36" xfId="105" applyFont="1" applyFill="1" applyBorder="1" applyProtection="1">
      <alignment/>
      <protection hidden="1"/>
    </xf>
    <xf numFmtId="0" fontId="139" fillId="46" borderId="28" xfId="0" applyFont="1" applyFill="1" applyBorder="1" applyAlignment="1">
      <alignment horizontal="center"/>
    </xf>
    <xf numFmtId="0" fontId="139" fillId="46" borderId="0" xfId="105" applyFont="1" applyFill="1" applyBorder="1" applyAlignment="1">
      <alignment horizontal="center"/>
      <protection/>
    </xf>
    <xf numFmtId="0" fontId="42" fillId="46" borderId="20" xfId="105" applyFont="1" applyFill="1" applyBorder="1" applyProtection="1">
      <alignment/>
      <protection hidden="1"/>
    </xf>
    <xf numFmtId="0" fontId="43" fillId="46" borderId="43" xfId="105" applyFont="1" applyFill="1" applyBorder="1" applyProtection="1">
      <alignment/>
      <protection hidden="1"/>
    </xf>
    <xf numFmtId="0" fontId="43" fillId="46" borderId="22" xfId="105" applyFont="1" applyFill="1" applyBorder="1" applyAlignment="1" applyProtection="1">
      <alignment horizontal="center"/>
      <protection hidden="1"/>
    </xf>
    <xf numFmtId="0" fontId="142" fillId="50" borderId="21" xfId="105" applyFont="1" applyFill="1" applyBorder="1" applyProtection="1">
      <alignment/>
      <protection hidden="1"/>
    </xf>
    <xf numFmtId="0" fontId="142" fillId="50" borderId="21" xfId="105" applyFont="1" applyFill="1" applyBorder="1" applyProtection="1">
      <alignment/>
      <protection hidden="1"/>
    </xf>
    <xf numFmtId="1" fontId="142" fillId="50" borderId="21" xfId="105" applyNumberFormat="1" applyFont="1" applyFill="1" applyBorder="1" applyAlignment="1" applyProtection="1">
      <alignment horizontal="center"/>
      <protection hidden="1"/>
    </xf>
    <xf numFmtId="0" fontId="142" fillId="50" borderId="0" xfId="105" applyFont="1" applyFill="1" applyBorder="1" applyAlignment="1" applyProtection="1">
      <alignment/>
      <protection hidden="1"/>
    </xf>
    <xf numFmtId="0" fontId="143" fillId="50" borderId="0" xfId="0" applyFont="1" applyFill="1" applyAlignment="1">
      <alignment/>
    </xf>
    <xf numFmtId="0" fontId="53" fillId="46" borderId="36" xfId="105" applyFont="1" applyFill="1" applyBorder="1" applyProtection="1">
      <alignment/>
      <protection hidden="1"/>
    </xf>
    <xf numFmtId="0" fontId="53" fillId="46" borderId="26" xfId="105" applyFont="1" applyFill="1" applyBorder="1" applyAlignment="1" applyProtection="1">
      <alignment horizontal="center"/>
      <protection hidden="1"/>
    </xf>
    <xf numFmtId="0" fontId="128" fillId="46" borderId="26" xfId="105" applyFont="1" applyFill="1" applyBorder="1" applyAlignment="1" applyProtection="1">
      <alignment horizontal="center"/>
      <protection hidden="1"/>
    </xf>
    <xf numFmtId="0" fontId="128" fillId="46" borderId="0" xfId="105" applyFont="1" applyFill="1" applyBorder="1" applyProtection="1">
      <alignment/>
      <protection hidden="1"/>
    </xf>
    <xf numFmtId="0" fontId="144" fillId="46" borderId="0" xfId="0" applyFont="1" applyFill="1" applyAlignment="1">
      <alignment/>
    </xf>
    <xf numFmtId="0" fontId="144" fillId="0" borderId="0" xfId="0" applyFont="1" applyAlignment="1">
      <alignment/>
    </xf>
    <xf numFmtId="0" fontId="43" fillId="46" borderId="26" xfId="105" applyFont="1" applyFill="1" applyBorder="1" applyAlignment="1" applyProtection="1">
      <alignment horizontal="center"/>
      <protection hidden="1"/>
    </xf>
    <xf numFmtId="0" fontId="46" fillId="46" borderId="28" xfId="105" applyFont="1" applyFill="1" applyBorder="1" applyAlignment="1" applyProtection="1">
      <alignment horizontal="center"/>
      <protection hidden="1"/>
    </xf>
    <xf numFmtId="0" fontId="45" fillId="46" borderId="34" xfId="0" applyFont="1" applyFill="1" applyBorder="1" applyAlignment="1">
      <alignment horizontal="center"/>
    </xf>
    <xf numFmtId="0" fontId="128" fillId="46" borderId="34" xfId="105" applyFont="1" applyFill="1" applyBorder="1" applyAlignment="1" applyProtection="1">
      <alignment horizontal="center"/>
      <protection hidden="1"/>
    </xf>
    <xf numFmtId="0" fontId="42" fillId="46" borderId="34" xfId="105" applyFont="1" applyFill="1" applyBorder="1" applyAlignment="1" applyProtection="1">
      <alignment horizontal="left"/>
      <protection hidden="1"/>
    </xf>
    <xf numFmtId="0" fontId="127" fillId="50" borderId="0" xfId="0" applyFont="1" applyFill="1" applyAlignment="1">
      <alignment horizontal="center"/>
    </xf>
    <xf numFmtId="0" fontId="127" fillId="0" borderId="0" xfId="0" applyFont="1" applyAlignment="1">
      <alignment horizontal="center"/>
    </xf>
    <xf numFmtId="0" fontId="128" fillId="46" borderId="0" xfId="105" applyFont="1" applyFill="1" applyBorder="1" applyAlignment="1" applyProtection="1">
      <alignment horizontal="center"/>
      <protection hidden="1"/>
    </xf>
    <xf numFmtId="0" fontId="42" fillId="46" borderId="35" xfId="105" applyFont="1" applyFill="1" applyBorder="1" applyProtection="1">
      <alignment/>
      <protection hidden="1"/>
    </xf>
    <xf numFmtId="0" fontId="128" fillId="50" borderId="22" xfId="0" applyFont="1" applyFill="1" applyBorder="1" applyAlignment="1">
      <alignment horizontal="center"/>
    </xf>
    <xf numFmtId="208" fontId="42" fillId="50" borderId="0" xfId="105" applyNumberFormat="1" applyFont="1" applyFill="1" applyBorder="1" applyAlignment="1" applyProtection="1">
      <alignment/>
      <protection hidden="1"/>
    </xf>
    <xf numFmtId="0" fontId="131" fillId="46" borderId="21" xfId="105" applyFont="1" applyFill="1" applyBorder="1" applyAlignment="1" applyProtection="1">
      <alignment horizontal="left"/>
      <protection hidden="1"/>
    </xf>
    <xf numFmtId="0" fontId="41" fillId="50" borderId="21" xfId="105" applyFont="1" applyFill="1" applyBorder="1" applyAlignment="1" applyProtection="1">
      <alignment horizontal="left"/>
      <protection hidden="1"/>
    </xf>
    <xf numFmtId="0" fontId="54" fillId="46" borderId="26" xfId="105" applyFont="1" applyFill="1" applyBorder="1" applyProtection="1">
      <alignment/>
      <protection hidden="1"/>
    </xf>
    <xf numFmtId="0" fontId="42" fillId="46" borderId="37" xfId="105" applyFont="1" applyFill="1" applyBorder="1" applyProtection="1">
      <alignment/>
      <protection hidden="1"/>
    </xf>
    <xf numFmtId="0" fontId="53" fillId="46" borderId="22" xfId="105" applyFont="1" applyFill="1" applyBorder="1" applyAlignment="1" applyProtection="1">
      <alignment horizontal="center"/>
      <protection hidden="1"/>
    </xf>
    <xf numFmtId="0" fontId="128" fillId="46" borderId="22" xfId="105" applyFont="1" applyFill="1" applyBorder="1" applyAlignment="1" applyProtection="1">
      <alignment horizontal="center"/>
      <protection hidden="1"/>
    </xf>
    <xf numFmtId="0" fontId="42" fillId="46" borderId="44" xfId="105" applyFont="1" applyFill="1" applyBorder="1" applyProtection="1">
      <alignment/>
      <protection hidden="1"/>
    </xf>
    <xf numFmtId="1" fontId="42" fillId="50" borderId="0" xfId="105" applyNumberFormat="1" applyFont="1" applyFill="1" applyBorder="1" applyAlignment="1" applyProtection="1">
      <alignment horizontal="center" vertical="center"/>
      <protection hidden="1"/>
    </xf>
    <xf numFmtId="0" fontId="43" fillId="50" borderId="0" xfId="105" applyFont="1" applyFill="1" applyBorder="1" applyAlignment="1" applyProtection="1">
      <alignment horizontal="center" vertical="center"/>
      <protection hidden="1"/>
    </xf>
    <xf numFmtId="0" fontId="46" fillId="46" borderId="22" xfId="105" applyFont="1" applyFill="1" applyBorder="1" applyAlignment="1" applyProtection="1">
      <alignment horizontal="center"/>
      <protection hidden="1"/>
    </xf>
    <xf numFmtId="0" fontId="46" fillId="46" borderId="0" xfId="105" applyFont="1" applyFill="1" applyBorder="1" applyAlignment="1" applyProtection="1">
      <alignment horizontal="center"/>
      <protection hidden="1"/>
    </xf>
    <xf numFmtId="0" fontId="53" fillId="46" borderId="0" xfId="105" applyFont="1" applyFill="1" applyBorder="1" applyAlignment="1" applyProtection="1">
      <alignment horizontal="center"/>
      <protection hidden="1"/>
    </xf>
    <xf numFmtId="0" fontId="48" fillId="46" borderId="40" xfId="105" applyFont="1" applyFill="1" applyBorder="1" applyProtection="1">
      <alignment/>
      <protection hidden="1"/>
    </xf>
    <xf numFmtId="0" fontId="127" fillId="0" borderId="0" xfId="0" applyFont="1" applyBorder="1" applyAlignment="1">
      <alignment horizontal="left"/>
    </xf>
    <xf numFmtId="0" fontId="43" fillId="50" borderId="42" xfId="105" applyFont="1" applyFill="1" applyBorder="1" applyAlignment="1" applyProtection="1">
      <alignment horizontal="left"/>
      <protection hidden="1"/>
    </xf>
    <xf numFmtId="0" fontId="42" fillId="50" borderId="36" xfId="105" applyFont="1" applyFill="1" applyBorder="1" applyProtection="1">
      <alignment/>
      <protection hidden="1"/>
    </xf>
    <xf numFmtId="0" fontId="43" fillId="50" borderId="28" xfId="105" applyFont="1" applyFill="1" applyBorder="1" applyAlignment="1" applyProtection="1">
      <alignment horizontal="center"/>
      <protection hidden="1"/>
    </xf>
    <xf numFmtId="0" fontId="53" fillId="46" borderId="34" xfId="105" applyFont="1" applyFill="1" applyBorder="1" applyProtection="1">
      <alignment/>
      <protection hidden="1"/>
    </xf>
    <xf numFmtId="0" fontId="127" fillId="50" borderId="0" xfId="0" applyNumberFormat="1" applyFont="1" applyFill="1" applyAlignment="1">
      <alignment/>
    </xf>
    <xf numFmtId="0" fontId="127" fillId="0" borderId="0" xfId="0" applyNumberFormat="1" applyFont="1" applyAlignment="1">
      <alignment/>
    </xf>
    <xf numFmtId="0" fontId="53" fillId="46" borderId="34" xfId="105" applyFont="1" applyFill="1" applyBorder="1" applyAlignment="1" applyProtection="1">
      <alignment horizontal="center"/>
      <protection hidden="1"/>
    </xf>
    <xf numFmtId="0" fontId="48" fillId="46" borderId="35" xfId="105" applyFont="1" applyFill="1" applyBorder="1" applyProtection="1">
      <alignment/>
      <protection hidden="1"/>
    </xf>
    <xf numFmtId="0" fontId="43" fillId="46" borderId="26" xfId="105" applyFont="1" applyFill="1" applyBorder="1" applyAlignment="1" applyProtection="1">
      <alignment horizontal="left"/>
      <protection hidden="1"/>
    </xf>
    <xf numFmtId="0" fontId="43" fillId="46" borderId="34" xfId="105" applyFont="1" applyFill="1" applyBorder="1" applyAlignment="1" applyProtection="1">
      <alignment horizontal="center"/>
      <protection hidden="1"/>
    </xf>
    <xf numFmtId="0" fontId="145" fillId="50" borderId="26" xfId="0" applyFont="1" applyFill="1" applyBorder="1" applyAlignment="1">
      <alignment horizontal="center"/>
    </xf>
    <xf numFmtId="0" fontId="42" fillId="46" borderId="26" xfId="105" applyFont="1" applyFill="1" applyBorder="1" applyAlignment="1" applyProtection="1">
      <alignment horizontal="left"/>
      <protection hidden="1"/>
    </xf>
    <xf numFmtId="0" fontId="42" fillId="46" borderId="37" xfId="105" applyFont="1" applyFill="1" applyBorder="1" applyAlignment="1" applyProtection="1">
      <alignment horizontal="left"/>
      <protection hidden="1"/>
    </xf>
    <xf numFmtId="0" fontId="128" fillId="46" borderId="34" xfId="105" applyFont="1" applyFill="1" applyBorder="1" applyAlignment="1" applyProtection="1">
      <alignment horizontal="center"/>
      <protection hidden="1"/>
    </xf>
    <xf numFmtId="0" fontId="44" fillId="46" borderId="26" xfId="105" applyFont="1" applyFill="1" applyBorder="1" applyProtection="1">
      <alignment/>
      <protection hidden="1"/>
    </xf>
    <xf numFmtId="0" fontId="44" fillId="46" borderId="35" xfId="105" applyFont="1" applyFill="1" applyBorder="1" applyProtection="1">
      <alignment/>
      <protection hidden="1"/>
    </xf>
    <xf numFmtId="0" fontId="43" fillId="46" borderId="27" xfId="105" applyFont="1" applyFill="1" applyBorder="1">
      <alignment/>
      <protection/>
    </xf>
    <xf numFmtId="0" fontId="43" fillId="46" borderId="27" xfId="105" applyFont="1" applyFill="1" applyBorder="1" applyAlignment="1">
      <alignment horizontal="center"/>
      <protection/>
    </xf>
    <xf numFmtId="0" fontId="46" fillId="46" borderId="27" xfId="105" applyFont="1" applyFill="1" applyBorder="1" applyAlignment="1">
      <alignment horizontal="center"/>
      <protection/>
    </xf>
    <xf numFmtId="0" fontId="42" fillId="46" borderId="34" xfId="105" applyFont="1" applyFill="1" applyBorder="1" applyAlignment="1">
      <alignment horizontal="left"/>
      <protection/>
    </xf>
    <xf numFmtId="0" fontId="43" fillId="46" borderId="27" xfId="105" applyFont="1" applyFill="1" applyBorder="1" applyAlignment="1">
      <alignment horizontal="center"/>
      <protection/>
    </xf>
    <xf numFmtId="0" fontId="44" fillId="46" borderId="39" xfId="105" applyFont="1" applyFill="1" applyBorder="1" applyAlignment="1">
      <alignment horizontal="left"/>
      <protection/>
    </xf>
    <xf numFmtId="0" fontId="41" fillId="50" borderId="45" xfId="105" applyFont="1" applyFill="1" applyBorder="1" applyAlignment="1" applyProtection="1">
      <alignment horizontal="left"/>
      <protection hidden="1"/>
    </xf>
    <xf numFmtId="0" fontId="129" fillId="50" borderId="0" xfId="0" applyFont="1" applyFill="1" applyBorder="1" applyAlignment="1">
      <alignment/>
    </xf>
    <xf numFmtId="0" fontId="129" fillId="50" borderId="0" xfId="0" applyFont="1" applyFill="1" applyAlignment="1">
      <alignment/>
    </xf>
    <xf numFmtId="1" fontId="136" fillId="46" borderId="0" xfId="105" applyNumberFormat="1" applyFont="1" applyFill="1" applyBorder="1" applyAlignment="1" applyProtection="1">
      <alignment/>
      <protection hidden="1"/>
    </xf>
    <xf numFmtId="0" fontId="137" fillId="50" borderId="0" xfId="0" applyFont="1" applyFill="1" applyAlignment="1">
      <alignment/>
    </xf>
    <xf numFmtId="0" fontId="137" fillId="0" borderId="0" xfId="0" applyFont="1" applyAlignment="1">
      <alignment/>
    </xf>
    <xf numFmtId="1" fontId="133" fillId="46" borderId="0" xfId="105" applyNumberFormat="1" applyFont="1" applyFill="1" applyBorder="1" applyAlignment="1" applyProtection="1">
      <alignment/>
      <protection hidden="1"/>
    </xf>
    <xf numFmtId="0" fontId="134" fillId="0" borderId="0" xfId="0" applyFont="1" applyAlignment="1">
      <alignment/>
    </xf>
    <xf numFmtId="0" fontId="55" fillId="46" borderId="21" xfId="105" applyFont="1" applyFill="1" applyBorder="1" applyAlignment="1" applyProtection="1">
      <alignment horizontal="left"/>
      <protection hidden="1"/>
    </xf>
    <xf numFmtId="0" fontId="127" fillId="50" borderId="0" xfId="0" applyFont="1" applyFill="1" applyAlignment="1">
      <alignment/>
    </xf>
    <xf numFmtId="0" fontId="42" fillId="46" borderId="33" xfId="105" applyFont="1" applyFill="1" applyBorder="1">
      <alignment/>
      <protection/>
    </xf>
    <xf numFmtId="0" fontId="136" fillId="50" borderId="0" xfId="105" applyFont="1" applyFill="1" applyBorder="1" applyProtection="1">
      <alignment/>
      <protection hidden="1"/>
    </xf>
    <xf numFmtId="0" fontId="42" fillId="46" borderId="34" xfId="105" applyFont="1" applyFill="1" applyBorder="1">
      <alignment/>
      <protection/>
    </xf>
    <xf numFmtId="0" fontId="42" fillId="46" borderId="34" xfId="105" applyFont="1" applyFill="1" applyBorder="1" applyAlignment="1">
      <alignment horizontal="left"/>
      <protection/>
    </xf>
    <xf numFmtId="0" fontId="43" fillId="46" borderId="27" xfId="0" applyFont="1" applyFill="1" applyBorder="1" applyAlignment="1">
      <alignment horizontal="center"/>
    </xf>
    <xf numFmtId="0" fontId="42" fillId="46" borderId="34" xfId="105" applyFont="1" applyFill="1" applyBorder="1" applyProtection="1">
      <alignment/>
      <protection hidden="1"/>
    </xf>
    <xf numFmtId="0" fontId="43" fillId="46" borderId="28" xfId="0" applyFont="1" applyFill="1" applyBorder="1" applyAlignment="1">
      <alignment horizontal="center"/>
    </xf>
    <xf numFmtId="0" fontId="43" fillId="46" borderId="0" xfId="105" applyFont="1" applyFill="1" applyBorder="1" applyAlignment="1">
      <alignment horizontal="center"/>
      <protection/>
    </xf>
    <xf numFmtId="0" fontId="44" fillId="46" borderId="39" xfId="105" applyFont="1" applyFill="1" applyBorder="1" applyAlignment="1">
      <alignment horizontal="left"/>
      <protection/>
    </xf>
    <xf numFmtId="0" fontId="42" fillId="46" borderId="39" xfId="105" applyFont="1" applyFill="1" applyBorder="1">
      <alignment/>
      <protection/>
    </xf>
    <xf numFmtId="0" fontId="44" fillId="50" borderId="45" xfId="105" applyFont="1" applyFill="1" applyBorder="1" applyAlignment="1" applyProtection="1">
      <alignment horizontal="left"/>
      <protection hidden="1"/>
    </xf>
    <xf numFmtId="0" fontId="40" fillId="46" borderId="45" xfId="105" applyFont="1" applyFill="1" applyBorder="1" applyAlignment="1" applyProtection="1">
      <alignment horizontal="left"/>
      <protection hidden="1"/>
    </xf>
    <xf numFmtId="0" fontId="40" fillId="50" borderId="0" xfId="105" applyFont="1" applyFill="1" applyBorder="1" applyAlignment="1" applyProtection="1">
      <alignment horizontal="left"/>
      <protection hidden="1"/>
    </xf>
    <xf numFmtId="0" fontId="40" fillId="46" borderId="0" xfId="105" applyFont="1" applyFill="1" applyBorder="1" applyAlignment="1" applyProtection="1">
      <alignment/>
      <protection hidden="1"/>
    </xf>
    <xf numFmtId="0" fontId="134" fillId="46" borderId="0" xfId="0" applyFont="1" applyFill="1" applyAlignment="1">
      <alignment/>
    </xf>
    <xf numFmtId="0" fontId="146" fillId="50" borderId="0" xfId="105" applyFont="1" applyFill="1" applyBorder="1" applyAlignment="1">
      <alignment horizontal="left"/>
      <protection/>
    </xf>
    <xf numFmtId="0" fontId="147" fillId="50" borderId="0" xfId="0" applyFont="1" applyFill="1" applyAlignment="1">
      <alignment horizontal="left"/>
    </xf>
    <xf numFmtId="0" fontId="147" fillId="50" borderId="0" xfId="0" applyFont="1" applyFill="1" applyAlignment="1">
      <alignment/>
    </xf>
    <xf numFmtId="0" fontId="147" fillId="50" borderId="0" xfId="0" applyFont="1" applyFill="1" applyBorder="1" applyAlignment="1">
      <alignment/>
    </xf>
    <xf numFmtId="0" fontId="147" fillId="50" borderId="0" xfId="0" applyFont="1" applyFill="1" applyAlignment="1">
      <alignment/>
    </xf>
    <xf numFmtId="0" fontId="131" fillId="46" borderId="26" xfId="105" applyFont="1" applyFill="1" applyBorder="1" applyAlignment="1" applyProtection="1">
      <alignment horizontal="left"/>
      <protection hidden="1"/>
    </xf>
    <xf numFmtId="0" fontId="128" fillId="46" borderId="26" xfId="105" applyFont="1" applyFill="1" applyBorder="1" applyAlignment="1">
      <alignment horizontal="center"/>
      <protection/>
    </xf>
    <xf numFmtId="0" fontId="44" fillId="46" borderId="37" xfId="105" applyFont="1" applyFill="1" applyBorder="1" applyAlignment="1" applyProtection="1">
      <alignment horizontal="left"/>
      <protection hidden="1"/>
    </xf>
    <xf numFmtId="0" fontId="44" fillId="46" borderId="0" xfId="105" applyFont="1" applyFill="1" applyBorder="1" applyAlignment="1" applyProtection="1">
      <alignment horizontal="left"/>
      <protection hidden="1"/>
    </xf>
    <xf numFmtId="0" fontId="42" fillId="46" borderId="26" xfId="105" applyFont="1" applyFill="1" applyBorder="1">
      <alignment/>
      <protection/>
    </xf>
    <xf numFmtId="0" fontId="46" fillId="46" borderId="0" xfId="105" applyFont="1" applyFill="1" applyBorder="1" applyAlignment="1">
      <alignment horizontal="center"/>
      <protection/>
    </xf>
    <xf numFmtId="0" fontId="44" fillId="46" borderId="20" xfId="105" applyFont="1" applyFill="1" applyBorder="1" applyAlignment="1" applyProtection="1">
      <alignment horizontal="left"/>
      <protection hidden="1"/>
    </xf>
    <xf numFmtId="0" fontId="42" fillId="46" borderId="39" xfId="105" applyFont="1" applyFill="1" applyBorder="1">
      <alignment/>
      <protection/>
    </xf>
    <xf numFmtId="0" fontId="43" fillId="46" borderId="0" xfId="105" applyFont="1" applyFill="1" applyBorder="1" applyAlignment="1" applyProtection="1">
      <alignment/>
      <protection hidden="1"/>
    </xf>
    <xf numFmtId="0" fontId="44" fillId="46" borderId="21" xfId="105" applyFont="1" applyFill="1" applyBorder="1" applyAlignment="1">
      <alignment horizontal="left"/>
      <protection/>
    </xf>
    <xf numFmtId="0" fontId="42" fillId="46" borderId="21" xfId="105" applyFont="1" applyFill="1" applyBorder="1">
      <alignment/>
      <protection/>
    </xf>
    <xf numFmtId="1" fontId="42" fillId="46" borderId="21" xfId="105" applyNumberFormat="1" applyFont="1" applyFill="1" applyBorder="1" applyAlignment="1" applyProtection="1">
      <alignment horizontal="center"/>
      <protection hidden="1"/>
    </xf>
    <xf numFmtId="0" fontId="43" fillId="46" borderId="36" xfId="105" applyFont="1" applyFill="1" applyBorder="1">
      <alignment/>
      <protection/>
    </xf>
    <xf numFmtId="0" fontId="42" fillId="46" borderId="33" xfId="105" applyFont="1" applyFill="1" applyBorder="1">
      <alignment/>
      <protection/>
    </xf>
    <xf numFmtId="0" fontId="43" fillId="46" borderId="26" xfId="105" applyFont="1" applyFill="1" applyBorder="1" applyAlignment="1">
      <alignment horizontal="center"/>
      <protection/>
    </xf>
    <xf numFmtId="0" fontId="43" fillId="46" borderId="36" xfId="105" applyFont="1" applyFill="1" applyBorder="1" applyAlignment="1" applyProtection="1">
      <alignment horizontal="center"/>
      <protection hidden="1"/>
    </xf>
    <xf numFmtId="0" fontId="42" fillId="46" borderId="36" xfId="105" applyFont="1" applyFill="1" applyBorder="1" applyAlignment="1" applyProtection="1">
      <alignment horizontal="left"/>
      <protection hidden="1"/>
    </xf>
    <xf numFmtId="208" fontId="42" fillId="50" borderId="36" xfId="105" applyNumberFormat="1" applyFont="1" applyFill="1" applyBorder="1" applyAlignment="1" applyProtection="1">
      <alignment/>
      <protection hidden="1"/>
    </xf>
    <xf numFmtId="1" fontId="42" fillId="50" borderId="29" xfId="105" applyNumberFormat="1" applyFont="1" applyFill="1" applyBorder="1" applyAlignment="1" applyProtection="1">
      <alignment/>
      <protection hidden="1"/>
    </xf>
    <xf numFmtId="208" fontId="42" fillId="50" borderId="36" xfId="105" applyNumberFormat="1" applyFont="1" applyFill="1" applyBorder="1" applyAlignment="1" applyProtection="1">
      <alignment horizontal="center"/>
      <protection hidden="1"/>
    </xf>
    <xf numFmtId="1" fontId="42" fillId="50" borderId="43" xfId="105" applyNumberFormat="1" applyFont="1" applyFill="1" applyBorder="1" applyAlignment="1" applyProtection="1">
      <alignment horizontal="center"/>
      <protection hidden="1"/>
    </xf>
    <xf numFmtId="208" fontId="42" fillId="50" borderId="26" xfId="105" applyNumberFormat="1" applyFont="1" applyFill="1" applyBorder="1" applyAlignment="1" applyProtection="1">
      <alignment/>
      <protection hidden="1"/>
    </xf>
    <xf numFmtId="208" fontId="42" fillId="50" borderId="26" xfId="105" applyNumberFormat="1" applyFont="1" applyFill="1" applyBorder="1" applyAlignment="1" applyProtection="1">
      <alignment horizontal="center"/>
      <protection hidden="1"/>
    </xf>
    <xf numFmtId="1" fontId="42" fillId="50" borderId="22" xfId="105" applyNumberFormat="1" applyFont="1" applyFill="1" applyBorder="1" applyAlignment="1" applyProtection="1">
      <alignment horizontal="center"/>
      <protection hidden="1"/>
    </xf>
    <xf numFmtId="208" fontId="42" fillId="50" borderId="20" xfId="105" applyNumberFormat="1" applyFont="1" applyFill="1" applyBorder="1" applyAlignment="1" applyProtection="1">
      <alignment/>
      <protection hidden="1"/>
    </xf>
    <xf numFmtId="1" fontId="42" fillId="46" borderId="21" xfId="105" applyNumberFormat="1" applyFont="1" applyFill="1" applyBorder="1" applyAlignment="1" applyProtection="1">
      <alignment/>
      <protection hidden="1"/>
    </xf>
    <xf numFmtId="208" fontId="42" fillId="50" borderId="20" xfId="105" applyNumberFormat="1" applyFont="1" applyFill="1" applyBorder="1" applyAlignment="1" applyProtection="1">
      <alignment horizontal="center"/>
      <protection hidden="1"/>
    </xf>
    <xf numFmtId="1" fontId="42" fillId="50" borderId="41" xfId="105" applyNumberFormat="1" applyFont="1" applyFill="1" applyBorder="1" applyAlignment="1" applyProtection="1">
      <alignment horizontal="center"/>
      <protection hidden="1"/>
    </xf>
    <xf numFmtId="0" fontId="43" fillId="46" borderId="36" xfId="0" applyFont="1" applyFill="1" applyBorder="1" applyAlignment="1">
      <alignment horizontal="left"/>
    </xf>
    <xf numFmtId="0" fontId="43" fillId="46" borderId="26" xfId="0" applyFont="1" applyFill="1" applyBorder="1" applyAlignment="1">
      <alignment horizontal="center"/>
    </xf>
    <xf numFmtId="0" fontId="128" fillId="46" borderId="26" xfId="0" applyFont="1" applyFill="1" applyBorder="1" applyAlignment="1">
      <alignment horizontal="left"/>
    </xf>
    <xf numFmtId="208" fontId="42" fillId="50" borderId="22" xfId="105" applyNumberFormat="1" applyFont="1" applyFill="1" applyBorder="1" applyAlignment="1" applyProtection="1">
      <alignment horizontal="center"/>
      <protection hidden="1"/>
    </xf>
    <xf numFmtId="0" fontId="43" fillId="46" borderId="20" xfId="0" applyFont="1" applyFill="1" applyBorder="1" applyAlignment="1">
      <alignment horizontal="center"/>
    </xf>
    <xf numFmtId="0" fontId="40" fillId="46" borderId="21" xfId="105" applyFont="1" applyFill="1" applyBorder="1" applyProtection="1">
      <alignment/>
      <protection hidden="1"/>
    </xf>
    <xf numFmtId="0" fontId="42" fillId="46" borderId="21" xfId="105" applyFont="1" applyFill="1" applyBorder="1" applyProtection="1">
      <alignment/>
      <protection hidden="1"/>
    </xf>
    <xf numFmtId="0" fontId="44" fillId="46" borderId="21" xfId="105" applyFont="1" applyFill="1" applyBorder="1" applyAlignment="1" applyProtection="1">
      <alignment/>
      <protection hidden="1"/>
    </xf>
    <xf numFmtId="0" fontId="44" fillId="46" borderId="0" xfId="105" applyFont="1" applyFill="1" applyBorder="1" applyAlignment="1" applyProtection="1">
      <alignment/>
      <protection hidden="1"/>
    </xf>
    <xf numFmtId="0" fontId="43" fillId="46" borderId="27" xfId="105" applyFont="1" applyFill="1" applyBorder="1" applyAlignment="1" applyProtection="1">
      <alignment horizontal="left"/>
      <protection hidden="1"/>
    </xf>
    <xf numFmtId="0" fontId="43" fillId="46" borderId="27" xfId="105" applyFont="1" applyFill="1" applyBorder="1" applyAlignment="1" applyProtection="1">
      <alignment horizontal="center"/>
      <protection hidden="1"/>
    </xf>
    <xf numFmtId="0" fontId="42" fillId="50" borderId="0" xfId="105" applyFont="1" applyFill="1" applyBorder="1" applyAlignment="1" applyProtection="1">
      <alignment horizontal="center"/>
      <protection hidden="1"/>
    </xf>
    <xf numFmtId="0" fontId="145" fillId="50" borderId="0" xfId="0" applyFont="1" applyFill="1" applyAlignment="1">
      <alignment horizontal="center"/>
    </xf>
    <xf numFmtId="0" fontId="56" fillId="46" borderId="38" xfId="105" applyFont="1" applyFill="1" applyBorder="1" applyAlignment="1" applyProtection="1">
      <alignment horizontal="left"/>
      <protection hidden="1"/>
    </xf>
    <xf numFmtId="0" fontId="40" fillId="46" borderId="0" xfId="105" applyFont="1" applyFill="1" applyBorder="1" applyProtection="1">
      <alignment/>
      <protection hidden="1"/>
    </xf>
    <xf numFmtId="0" fontId="44" fillId="46" borderId="21" xfId="105" applyFont="1" applyFill="1" applyBorder="1" applyAlignment="1" applyProtection="1">
      <alignment/>
      <protection hidden="1"/>
    </xf>
    <xf numFmtId="0" fontId="44" fillId="46" borderId="0" xfId="105" applyFont="1" applyFill="1" applyBorder="1" applyAlignment="1" applyProtection="1">
      <alignment/>
      <protection hidden="1"/>
    </xf>
    <xf numFmtId="0" fontId="78" fillId="50" borderId="0" xfId="0" applyFont="1" applyFill="1" applyAlignment="1">
      <alignment horizontal="center"/>
    </xf>
    <xf numFmtId="0" fontId="42" fillId="46" borderId="21" xfId="105" applyFont="1" applyFill="1" applyBorder="1" applyAlignment="1" applyProtection="1">
      <alignment horizontal="left"/>
      <protection hidden="1"/>
    </xf>
    <xf numFmtId="0" fontId="43" fillId="46" borderId="28" xfId="105" applyFont="1" applyFill="1" applyBorder="1" applyAlignment="1" applyProtection="1">
      <alignment horizontal="left"/>
      <protection hidden="1"/>
    </xf>
    <xf numFmtId="0" fontId="42" fillId="46" borderId="27" xfId="105" applyFont="1" applyFill="1" applyBorder="1" applyAlignment="1" applyProtection="1">
      <alignment horizontal="center"/>
      <protection hidden="1"/>
    </xf>
    <xf numFmtId="0" fontId="43" fillId="46" borderId="26" xfId="105" applyFont="1" applyFill="1" applyBorder="1" applyAlignment="1" applyProtection="1">
      <alignment horizontal="left"/>
      <protection hidden="1"/>
    </xf>
    <xf numFmtId="0" fontId="43" fillId="46" borderId="37" xfId="105" applyFont="1" applyFill="1" applyBorder="1" applyAlignment="1" applyProtection="1">
      <alignment horizontal="center"/>
      <protection hidden="1"/>
    </xf>
    <xf numFmtId="0" fontId="139" fillId="46" borderId="34" xfId="0" applyFont="1" applyFill="1" applyBorder="1" applyAlignment="1">
      <alignment horizontal="center"/>
    </xf>
    <xf numFmtId="0" fontId="45" fillId="46" borderId="27" xfId="0" applyFont="1" applyFill="1" applyBorder="1" applyAlignment="1">
      <alignment horizontal="center"/>
    </xf>
    <xf numFmtId="0" fontId="44" fillId="46" borderId="0" xfId="105" applyFont="1" applyFill="1" applyBorder="1" applyProtection="1">
      <alignment/>
      <protection hidden="1"/>
    </xf>
    <xf numFmtId="0" fontId="139" fillId="46" borderId="0" xfId="105" applyFont="1" applyFill="1" applyBorder="1" applyProtection="1">
      <alignment/>
      <protection hidden="1"/>
    </xf>
    <xf numFmtId="0" fontId="43" fillId="46" borderId="44" xfId="105" applyFont="1" applyFill="1" applyBorder="1" applyAlignment="1" applyProtection="1">
      <alignment horizontal="center"/>
      <protection hidden="1"/>
    </xf>
    <xf numFmtId="0" fontId="42" fillId="46" borderId="38" xfId="105" applyFont="1" applyFill="1" applyBorder="1" applyProtection="1">
      <alignment/>
      <protection hidden="1"/>
    </xf>
    <xf numFmtId="0" fontId="44" fillId="50" borderId="0" xfId="105" applyFont="1" applyFill="1" applyBorder="1" applyAlignment="1" applyProtection="1">
      <alignment horizontal="left"/>
      <protection hidden="1"/>
    </xf>
    <xf numFmtId="0" fontId="43" fillId="50" borderId="27" xfId="105" applyFont="1" applyFill="1" applyBorder="1" applyAlignment="1" applyProtection="1">
      <alignment horizontal="left"/>
      <protection hidden="1"/>
    </xf>
    <xf numFmtId="0" fontId="43" fillId="50" borderId="27" xfId="105" applyFont="1" applyFill="1" applyBorder="1" applyAlignment="1" applyProtection="1">
      <alignment horizontal="center"/>
      <protection hidden="1"/>
    </xf>
    <xf numFmtId="0" fontId="128" fillId="50" borderId="0" xfId="105" applyFont="1" applyFill="1" applyBorder="1" applyAlignment="1" applyProtection="1">
      <alignment horizontal="center"/>
      <protection hidden="1"/>
    </xf>
    <xf numFmtId="0" fontId="144" fillId="0" borderId="0" xfId="0" applyFont="1" applyAlignment="1">
      <alignment horizontal="center"/>
    </xf>
    <xf numFmtId="0" fontId="42" fillId="50" borderId="35" xfId="105" applyFont="1" applyFill="1" applyBorder="1" applyProtection="1">
      <alignment/>
      <protection hidden="1"/>
    </xf>
    <xf numFmtId="0" fontId="146" fillId="46" borderId="0" xfId="105" applyFont="1" applyFill="1" applyBorder="1" applyAlignment="1" applyProtection="1">
      <alignment horizontal="left"/>
      <protection hidden="1"/>
    </xf>
    <xf numFmtId="0" fontId="148" fillId="46" borderId="0" xfId="105" applyFont="1" applyFill="1" applyBorder="1" applyAlignment="1" applyProtection="1">
      <alignment/>
      <protection hidden="1"/>
    </xf>
    <xf numFmtId="0" fontId="44" fillId="46" borderId="39" xfId="105" applyFont="1" applyFill="1" applyBorder="1" applyProtection="1">
      <alignment/>
      <protection hidden="1"/>
    </xf>
    <xf numFmtId="0" fontId="43" fillId="46" borderId="27" xfId="105" applyFont="1" applyFill="1" applyBorder="1" applyAlignment="1" applyProtection="1">
      <alignment horizontal="right"/>
      <protection hidden="1"/>
    </xf>
    <xf numFmtId="0" fontId="44" fillId="46" borderId="38" xfId="105" applyFont="1" applyFill="1" applyBorder="1" applyProtection="1">
      <alignment/>
      <protection hidden="1"/>
    </xf>
    <xf numFmtId="0" fontId="43" fillId="46" borderId="27" xfId="105" applyFont="1" applyFill="1" applyBorder="1" applyAlignment="1" applyProtection="1">
      <alignment horizontal="center"/>
      <protection hidden="1"/>
    </xf>
    <xf numFmtId="0" fontId="40" fillId="47" borderId="0" xfId="105" applyFont="1" applyFill="1" applyBorder="1" applyAlignment="1" applyProtection="1">
      <alignment horizontal="left"/>
      <protection hidden="1"/>
    </xf>
    <xf numFmtId="0" fontId="47" fillId="50" borderId="0" xfId="0" applyFont="1" applyFill="1" applyBorder="1" applyAlignment="1">
      <alignment/>
    </xf>
    <xf numFmtId="0" fontId="47" fillId="47" borderId="0" xfId="0" applyFont="1" applyFill="1" applyAlignment="1">
      <alignment/>
    </xf>
    <xf numFmtId="0" fontId="42" fillId="46" borderId="36" xfId="105" applyFont="1" applyFill="1" applyBorder="1">
      <alignment/>
      <protection/>
    </xf>
    <xf numFmtId="0" fontId="42" fillId="46" borderId="26" xfId="105" applyFont="1" applyFill="1" applyBorder="1" applyAlignment="1">
      <alignment horizontal="left"/>
      <protection/>
    </xf>
    <xf numFmtId="0" fontId="128" fillId="46" borderId="26" xfId="105" applyFont="1" applyFill="1" applyBorder="1" applyAlignment="1">
      <alignment horizontal="center"/>
      <protection/>
    </xf>
    <xf numFmtId="0" fontId="42" fillId="46" borderId="20" xfId="105" applyFont="1" applyFill="1" applyBorder="1">
      <alignment/>
      <protection/>
    </xf>
    <xf numFmtId="1" fontId="42" fillId="50" borderId="0" xfId="0" applyNumberFormat="1" applyFont="1" applyFill="1" applyBorder="1" applyAlignment="1" applyProtection="1">
      <alignment horizontal="center"/>
      <protection hidden="1"/>
    </xf>
    <xf numFmtId="0" fontId="43" fillId="46" borderId="28" xfId="105" applyFont="1" applyFill="1" applyBorder="1" applyProtection="1">
      <alignment/>
      <protection hidden="1"/>
    </xf>
    <xf numFmtId="0" fontId="43" fillId="46" borderId="28" xfId="105" applyFont="1" applyFill="1" applyBorder="1" applyAlignment="1" applyProtection="1">
      <alignment horizontal="center"/>
      <protection hidden="1"/>
    </xf>
    <xf numFmtId="0" fontId="127" fillId="0" borderId="44" xfId="0" applyFont="1" applyBorder="1" applyAlignment="1">
      <alignment/>
    </xf>
    <xf numFmtId="0" fontId="134" fillId="50" borderId="0" xfId="0" applyFont="1" applyFill="1" applyBorder="1" applyAlignment="1">
      <alignment/>
    </xf>
    <xf numFmtId="0" fontId="45" fillId="46" borderId="27" xfId="105" applyFont="1" applyFill="1" applyBorder="1" applyAlignment="1">
      <alignment horizontal="center"/>
      <protection/>
    </xf>
    <xf numFmtId="0" fontId="42" fillId="46" borderId="20" xfId="105" applyFont="1" applyFill="1" applyBorder="1" applyAlignment="1" applyProtection="1">
      <alignment horizontal="left"/>
      <protection hidden="1"/>
    </xf>
    <xf numFmtId="0" fontId="146" fillId="46" borderId="0" xfId="105" applyFont="1" applyFill="1" applyBorder="1" applyProtection="1">
      <alignment/>
      <protection hidden="1"/>
    </xf>
    <xf numFmtId="0" fontId="149" fillId="46" borderId="0" xfId="105" applyFont="1" applyFill="1" applyBorder="1" applyProtection="1">
      <alignment/>
      <protection hidden="1"/>
    </xf>
    <xf numFmtId="208" fontId="149" fillId="50" borderId="0" xfId="105" applyNumberFormat="1" applyFont="1" applyFill="1" applyBorder="1" applyAlignment="1" applyProtection="1">
      <alignment horizontal="center"/>
      <protection hidden="1"/>
    </xf>
    <xf numFmtId="0" fontId="43" fillId="46" borderId="36" xfId="105" applyFont="1" applyFill="1" applyBorder="1" applyAlignment="1" applyProtection="1">
      <alignment horizontal="left"/>
      <protection hidden="1"/>
    </xf>
    <xf numFmtId="0" fontId="54" fillId="46" borderId="37" xfId="105" applyFont="1" applyFill="1" applyBorder="1" applyProtection="1">
      <alignment/>
      <protection hidden="1"/>
    </xf>
    <xf numFmtId="0" fontId="48" fillId="46" borderId="0" xfId="105" applyFont="1" applyFill="1" applyBorder="1" applyProtection="1">
      <alignment/>
      <protection hidden="1"/>
    </xf>
    <xf numFmtId="0" fontId="42" fillId="46" borderId="0" xfId="105" applyFont="1" applyFill="1" applyBorder="1" applyProtection="1">
      <alignment/>
      <protection hidden="1"/>
    </xf>
    <xf numFmtId="0" fontId="138" fillId="54" borderId="46" xfId="105" applyFont="1" applyFill="1" applyBorder="1" applyAlignment="1" applyProtection="1">
      <alignment vertical="center"/>
      <protection hidden="1"/>
    </xf>
    <xf numFmtId="0" fontId="138" fillId="54" borderId="36" xfId="105" applyFont="1" applyFill="1" applyBorder="1" applyAlignment="1" applyProtection="1">
      <alignment vertical="center"/>
      <protection hidden="1"/>
    </xf>
    <xf numFmtId="0" fontId="138" fillId="54" borderId="43" xfId="105" applyFont="1" applyFill="1" applyBorder="1" applyAlignment="1" applyProtection="1">
      <alignment vertical="center"/>
      <protection hidden="1"/>
    </xf>
    <xf numFmtId="0" fontId="42" fillId="50" borderId="0" xfId="105" applyFont="1" applyFill="1" applyBorder="1" applyProtection="1">
      <alignment/>
      <protection hidden="1"/>
    </xf>
    <xf numFmtId="0" fontId="48" fillId="46" borderId="47" xfId="105" applyFont="1" applyFill="1" applyBorder="1" applyProtection="1">
      <alignment/>
      <protection hidden="1"/>
    </xf>
    <xf numFmtId="0" fontId="42" fillId="46" borderId="0" xfId="105" applyFont="1" applyFill="1" applyBorder="1" applyAlignment="1" applyProtection="1">
      <alignment/>
      <protection hidden="1"/>
    </xf>
    <xf numFmtId="0" fontId="48" fillId="0" borderId="0" xfId="105" applyFont="1" applyBorder="1" applyProtection="1">
      <alignment/>
      <protection hidden="1"/>
    </xf>
    <xf numFmtId="0" fontId="129" fillId="46" borderId="0" xfId="0" applyFont="1" applyFill="1" applyBorder="1" applyAlignment="1">
      <alignment/>
    </xf>
    <xf numFmtId="0" fontId="129" fillId="0" borderId="0" xfId="0" applyFont="1" applyBorder="1" applyAlignment="1">
      <alignment/>
    </xf>
    <xf numFmtId="0" fontId="43" fillId="50" borderId="36" xfId="105" applyFont="1" applyFill="1" applyBorder="1" applyProtection="1">
      <alignment/>
      <protection hidden="1"/>
    </xf>
    <xf numFmtId="208" fontId="42" fillId="50" borderId="43" xfId="105" applyNumberFormat="1" applyFont="1" applyFill="1" applyBorder="1" applyAlignment="1" applyProtection="1">
      <alignment/>
      <protection hidden="1"/>
    </xf>
    <xf numFmtId="208" fontId="42" fillId="50" borderId="22" xfId="105" applyNumberFormat="1" applyFont="1" applyFill="1" applyBorder="1" applyAlignment="1" applyProtection="1">
      <alignment/>
      <protection hidden="1"/>
    </xf>
    <xf numFmtId="0" fontId="54" fillId="50" borderId="34" xfId="105" applyFont="1" applyFill="1" applyBorder="1" applyProtection="1">
      <alignment/>
      <protection hidden="1"/>
    </xf>
    <xf numFmtId="0" fontId="44" fillId="46" borderId="40" xfId="105" applyFont="1" applyFill="1" applyBorder="1" applyAlignment="1" applyProtection="1">
      <alignment horizontal="left"/>
      <protection hidden="1"/>
    </xf>
    <xf numFmtId="208" fontId="42" fillId="50" borderId="41" xfId="105" applyNumberFormat="1" applyFont="1" applyFill="1" applyBorder="1" applyAlignment="1" applyProtection="1">
      <alignment/>
      <protection hidden="1"/>
    </xf>
    <xf numFmtId="0" fontId="48" fillId="50" borderId="38" xfId="105" applyFont="1" applyFill="1" applyBorder="1" applyAlignment="1" applyProtection="1">
      <alignment horizontal="center"/>
      <protection hidden="1"/>
    </xf>
    <xf numFmtId="0" fontId="48" fillId="50" borderId="21" xfId="105" applyFont="1" applyFill="1" applyBorder="1" applyAlignment="1" applyProtection="1">
      <alignment horizontal="center"/>
      <protection hidden="1"/>
    </xf>
    <xf numFmtId="0" fontId="48" fillId="50" borderId="21" xfId="105" applyFont="1" applyFill="1" applyBorder="1" applyAlignment="1" applyProtection="1">
      <alignment horizontal="left"/>
      <protection hidden="1"/>
    </xf>
    <xf numFmtId="0" fontId="48" fillId="50" borderId="0" xfId="105" applyFont="1" applyFill="1" applyBorder="1" applyAlignment="1" applyProtection="1">
      <alignment horizontal="left"/>
      <protection hidden="1"/>
    </xf>
    <xf numFmtId="0" fontId="43" fillId="50" borderId="0" xfId="105" applyFont="1" applyFill="1" applyBorder="1" applyAlignment="1" applyProtection="1">
      <alignment/>
      <protection hidden="1"/>
    </xf>
    <xf numFmtId="0" fontId="43" fillId="50" borderId="28" xfId="105" applyFont="1" applyFill="1" applyBorder="1" applyProtection="1">
      <alignment/>
      <protection hidden="1"/>
    </xf>
    <xf numFmtId="0" fontId="42" fillId="50" borderId="34" xfId="0" applyFont="1" applyFill="1" applyBorder="1" applyAlignment="1">
      <alignment/>
    </xf>
    <xf numFmtId="0" fontId="42" fillId="50" borderId="26" xfId="0" applyFont="1" applyFill="1" applyBorder="1" applyAlignment="1">
      <alignment/>
    </xf>
    <xf numFmtId="0" fontId="54" fillId="50" borderId="34" xfId="0" applyFont="1" applyFill="1" applyBorder="1" applyAlignment="1">
      <alignment/>
    </xf>
    <xf numFmtId="0" fontId="128" fillId="50" borderId="27" xfId="105" applyFont="1" applyFill="1" applyBorder="1" applyAlignment="1" applyProtection="1">
      <alignment horizontal="center"/>
      <protection hidden="1"/>
    </xf>
    <xf numFmtId="0" fontId="42" fillId="50" borderId="20" xfId="0" applyFont="1" applyFill="1" applyBorder="1" applyAlignment="1">
      <alignment/>
    </xf>
    <xf numFmtId="0" fontId="54" fillId="50" borderId="26" xfId="0" applyFont="1" applyFill="1" applyBorder="1" applyAlignment="1">
      <alignment/>
    </xf>
    <xf numFmtId="0" fontId="44" fillId="50" borderId="40" xfId="105" applyFont="1" applyFill="1" applyBorder="1" applyAlignment="1" applyProtection="1">
      <alignment horizontal="left"/>
      <protection hidden="1"/>
    </xf>
    <xf numFmtId="0" fontId="54" fillId="50" borderId="20" xfId="0" applyFont="1" applyFill="1" applyBorder="1" applyAlignment="1">
      <alignment/>
    </xf>
    <xf numFmtId="0" fontId="42" fillId="50" borderId="0" xfId="105" applyNumberFormat="1" applyFont="1" applyFill="1" applyBorder="1" applyAlignment="1" applyProtection="1">
      <alignment horizontal="center"/>
      <protection hidden="1"/>
    </xf>
    <xf numFmtId="0" fontId="42" fillId="50" borderId="0" xfId="105" applyFont="1" applyFill="1" applyAlignment="1">
      <alignment/>
      <protection/>
    </xf>
    <xf numFmtId="0" fontId="134" fillId="46" borderId="0" xfId="0" applyFont="1" applyFill="1" applyBorder="1" applyAlignment="1">
      <alignment/>
    </xf>
    <xf numFmtId="0" fontId="44" fillId="50" borderId="38" xfId="105" applyFont="1" applyFill="1" applyBorder="1" applyAlignment="1" applyProtection="1">
      <alignment horizontal="left"/>
      <protection hidden="1"/>
    </xf>
    <xf numFmtId="0" fontId="42" fillId="50" borderId="39" xfId="105" applyFont="1" applyFill="1" applyBorder="1" applyProtection="1">
      <alignment/>
      <protection hidden="1"/>
    </xf>
    <xf numFmtId="0" fontId="55" fillId="50" borderId="0" xfId="105" applyFont="1" applyFill="1" applyBorder="1" applyAlignment="1" applyProtection="1">
      <alignment horizontal="left"/>
      <protection hidden="1"/>
    </xf>
    <xf numFmtId="0" fontId="43" fillId="50" borderId="42" xfId="105" applyFont="1" applyFill="1" applyBorder="1" applyProtection="1">
      <alignment/>
      <protection hidden="1"/>
    </xf>
    <xf numFmtId="0" fontId="44" fillId="50" borderId="48" xfId="105" applyFont="1" applyFill="1" applyBorder="1" applyProtection="1">
      <alignment/>
      <protection hidden="1"/>
    </xf>
    <xf numFmtId="0" fontId="42" fillId="50" borderId="37" xfId="105" applyFont="1" applyFill="1" applyBorder="1" applyProtection="1">
      <alignment/>
      <protection hidden="1"/>
    </xf>
    <xf numFmtId="0" fontId="40" fillId="50" borderId="28" xfId="105" applyFont="1" applyFill="1" applyBorder="1" applyAlignment="1" applyProtection="1">
      <alignment horizontal="center"/>
      <protection hidden="1"/>
    </xf>
    <xf numFmtId="0" fontId="87" fillId="50" borderId="0" xfId="0" applyFont="1" applyFill="1" applyBorder="1" applyAlignment="1">
      <alignment/>
    </xf>
    <xf numFmtId="0" fontId="54" fillId="50" borderId="39" xfId="105" applyFont="1" applyFill="1" applyBorder="1" applyProtection="1">
      <alignment/>
      <protection hidden="1"/>
    </xf>
    <xf numFmtId="0" fontId="43" fillId="50" borderId="29" xfId="105" applyFont="1" applyFill="1" applyBorder="1" applyAlignment="1" applyProtection="1">
      <alignment horizontal="left" vertical="top" wrapText="1"/>
      <protection hidden="1"/>
    </xf>
    <xf numFmtId="0" fontId="43" fillId="50" borderId="0" xfId="105" applyFont="1" applyFill="1" applyBorder="1" applyAlignment="1" applyProtection="1">
      <alignment horizontal="center" vertical="top" wrapText="1"/>
      <protection hidden="1"/>
    </xf>
    <xf numFmtId="1" fontId="52" fillId="50" borderId="0" xfId="105" applyNumberFormat="1" applyFont="1" applyFill="1" applyBorder="1" applyAlignment="1">
      <alignment horizontal="center"/>
      <protection/>
    </xf>
    <xf numFmtId="0" fontId="46" fillId="50" borderId="0" xfId="105" applyFont="1" applyFill="1" applyBorder="1" applyAlignment="1" applyProtection="1">
      <alignment horizontal="center" vertical="top" wrapText="1"/>
      <protection hidden="1"/>
    </xf>
    <xf numFmtId="0" fontId="48" fillId="50" borderId="48" xfId="105" applyFont="1" applyFill="1" applyBorder="1" applyProtection="1">
      <alignment/>
      <protection hidden="1"/>
    </xf>
    <xf numFmtId="0" fontId="44" fillId="50" borderId="0" xfId="105" applyFont="1" applyFill="1" applyBorder="1" applyAlignment="1" applyProtection="1">
      <alignment horizontal="left"/>
      <protection hidden="1"/>
    </xf>
    <xf numFmtId="1" fontId="40" fillId="46" borderId="0" xfId="105" applyNumberFormat="1" applyFont="1" applyFill="1" applyBorder="1" applyAlignment="1" applyProtection="1">
      <alignment horizontal="left"/>
      <protection hidden="1"/>
    </xf>
    <xf numFmtId="0" fontId="43" fillId="50" borderId="33" xfId="105" applyFont="1" applyFill="1" applyBorder="1">
      <alignment/>
      <protection/>
    </xf>
    <xf numFmtId="0" fontId="42" fillId="50" borderId="36" xfId="105" applyFont="1" applyFill="1" applyBorder="1">
      <alignment/>
      <protection/>
    </xf>
    <xf numFmtId="0" fontId="43" fillId="50" borderId="34" xfId="105" applyFont="1" applyFill="1" applyBorder="1" applyAlignment="1">
      <alignment horizontal="center"/>
      <protection/>
    </xf>
    <xf numFmtId="0" fontId="42" fillId="50" borderId="26" xfId="105" applyFont="1" applyFill="1" applyBorder="1">
      <alignment/>
      <protection/>
    </xf>
    <xf numFmtId="0" fontId="46" fillId="50" borderId="34" xfId="105" applyFont="1" applyFill="1" applyBorder="1" applyAlignment="1">
      <alignment horizontal="center"/>
      <protection/>
    </xf>
    <xf numFmtId="0" fontId="42" fillId="50" borderId="26" xfId="105" applyFont="1" applyFill="1" applyBorder="1" applyAlignment="1">
      <alignment horizontal="left"/>
      <protection/>
    </xf>
    <xf numFmtId="0" fontId="41" fillId="50" borderId="34" xfId="0" applyFont="1" applyFill="1" applyBorder="1" applyAlignment="1">
      <alignment horizontal="center"/>
    </xf>
    <xf numFmtId="0" fontId="42" fillId="50" borderId="33" xfId="105" applyFont="1" applyFill="1" applyBorder="1">
      <alignment/>
      <protection/>
    </xf>
    <xf numFmtId="0" fontId="44" fillId="50" borderId="39" xfId="105" applyFont="1" applyFill="1" applyBorder="1" applyAlignment="1">
      <alignment horizontal="left"/>
      <protection/>
    </xf>
    <xf numFmtId="0" fontId="132" fillId="46" borderId="0" xfId="105" applyFont="1" applyFill="1" applyBorder="1" applyAlignment="1" applyProtection="1">
      <alignment horizontal="center"/>
      <protection hidden="1"/>
    </xf>
    <xf numFmtId="0" fontId="133" fillId="46" borderId="0" xfId="105" applyFont="1" applyFill="1" applyAlignment="1" applyProtection="1">
      <alignment/>
      <protection hidden="1"/>
    </xf>
    <xf numFmtId="0" fontId="133" fillId="46" borderId="0" xfId="105" applyFont="1" applyFill="1" applyProtection="1">
      <alignment/>
      <protection hidden="1"/>
    </xf>
    <xf numFmtId="0" fontId="133" fillId="46" borderId="0" xfId="105" applyFont="1" applyFill="1">
      <alignment/>
      <protection/>
    </xf>
    <xf numFmtId="0" fontId="44" fillId="50" borderId="34" xfId="105" applyFont="1" applyFill="1" applyBorder="1" applyAlignment="1">
      <alignment horizontal="left"/>
      <protection/>
    </xf>
    <xf numFmtId="0" fontId="49" fillId="50" borderId="0" xfId="105" applyFont="1" applyFill="1" applyBorder="1" applyAlignment="1" applyProtection="1">
      <alignment/>
      <protection hidden="1"/>
    </xf>
    <xf numFmtId="0" fontId="49" fillId="46" borderId="0" xfId="105" applyFont="1" applyFill="1" applyBorder="1" applyAlignment="1" applyProtection="1">
      <alignment horizontal="left"/>
      <protection hidden="1"/>
    </xf>
    <xf numFmtId="0" fontId="42" fillId="46" borderId="0" xfId="105" applyFont="1" applyFill="1" applyBorder="1" applyAlignment="1" applyProtection="1">
      <alignment horizontal="left"/>
      <protection hidden="1"/>
    </xf>
    <xf numFmtId="0" fontId="42" fillId="46" borderId="0" xfId="105" applyFont="1" applyFill="1" applyAlignment="1" applyProtection="1">
      <alignment horizontal="left"/>
      <protection hidden="1"/>
    </xf>
    <xf numFmtId="0" fontId="42" fillId="46" borderId="0" xfId="105" applyFont="1" applyFill="1" applyBorder="1" applyAlignment="1">
      <alignment horizontal="left"/>
      <protection/>
    </xf>
    <xf numFmtId="0" fontId="127" fillId="46" borderId="0" xfId="0" applyFont="1" applyFill="1" applyBorder="1" applyAlignment="1">
      <alignment horizontal="left"/>
    </xf>
    <xf numFmtId="0" fontId="45" fillId="50" borderId="26" xfId="105" applyFont="1" applyFill="1" applyBorder="1" applyAlignment="1">
      <alignment horizontal="center"/>
      <protection/>
    </xf>
    <xf numFmtId="0" fontId="41" fillId="46" borderId="21" xfId="105" applyFont="1" applyFill="1" applyBorder="1" applyAlignment="1" applyProtection="1">
      <alignment horizontal="center"/>
      <protection hidden="1"/>
    </xf>
    <xf numFmtId="0" fontId="43" fillId="46" borderId="33" xfId="105" applyFont="1" applyFill="1" applyBorder="1" applyProtection="1">
      <alignment/>
      <protection hidden="1"/>
    </xf>
    <xf numFmtId="0" fontId="44" fillId="46" borderId="21" xfId="105" applyFont="1" applyFill="1" applyBorder="1" applyProtection="1">
      <alignment/>
      <protection hidden="1"/>
    </xf>
    <xf numFmtId="0" fontId="43" fillId="50" borderId="33" xfId="105" applyFont="1" applyFill="1" applyBorder="1" applyProtection="1">
      <alignment/>
      <protection hidden="1"/>
    </xf>
    <xf numFmtId="0" fontId="43" fillId="50" borderId="34" xfId="105" applyFont="1" applyFill="1" applyBorder="1" applyAlignment="1" applyProtection="1">
      <alignment horizontal="center"/>
      <protection hidden="1"/>
    </xf>
    <xf numFmtId="0" fontId="54" fillId="46" borderId="21" xfId="105" applyFont="1" applyFill="1" applyBorder="1" applyProtection="1">
      <alignment/>
      <protection hidden="1"/>
    </xf>
    <xf numFmtId="0" fontId="43" fillId="46" borderId="34" xfId="105" applyFont="1" applyFill="1" applyBorder="1" applyProtection="1">
      <alignment/>
      <protection hidden="1"/>
    </xf>
    <xf numFmtId="0" fontId="46" fillId="46" borderId="34" xfId="105" applyFont="1" applyFill="1" applyBorder="1" applyAlignment="1" applyProtection="1">
      <alignment horizontal="center"/>
      <protection hidden="1"/>
    </xf>
    <xf numFmtId="0" fontId="131" fillId="46" borderId="0" xfId="105" applyFont="1" applyFill="1" applyBorder="1" applyProtection="1">
      <alignment/>
      <protection hidden="1"/>
    </xf>
    <xf numFmtId="208" fontId="43" fillId="50" borderId="0" xfId="105" applyNumberFormat="1" applyFont="1" applyFill="1" applyBorder="1" applyAlignment="1" applyProtection="1">
      <alignment horizontal="center"/>
      <protection hidden="1"/>
    </xf>
    <xf numFmtId="1" fontId="43" fillId="50" borderId="0" xfId="105" applyNumberFormat="1" applyFont="1" applyFill="1" applyBorder="1" applyAlignment="1" applyProtection="1">
      <alignment/>
      <protection hidden="1"/>
    </xf>
    <xf numFmtId="0" fontId="42" fillId="46" borderId="33" xfId="105" applyFont="1" applyFill="1" applyBorder="1" applyAlignment="1" applyProtection="1">
      <alignment horizontal="left"/>
      <protection hidden="1"/>
    </xf>
    <xf numFmtId="0" fontId="127" fillId="46" borderId="0" xfId="0" applyFont="1" applyFill="1" applyBorder="1" applyAlignment="1">
      <alignment horizontal="center"/>
    </xf>
    <xf numFmtId="0" fontId="46" fillId="46" borderId="26" xfId="105" applyFont="1" applyFill="1" applyBorder="1" applyAlignment="1" applyProtection="1">
      <alignment horizontal="center"/>
      <protection hidden="1"/>
    </xf>
    <xf numFmtId="0" fontId="46" fillId="46" borderId="26" xfId="105" applyFont="1" applyFill="1" applyBorder="1" applyAlignment="1" applyProtection="1">
      <alignment horizontal="center"/>
      <protection hidden="1"/>
    </xf>
    <xf numFmtId="0" fontId="54" fillId="46" borderId="34" xfId="105" applyFont="1" applyFill="1" applyBorder="1" applyAlignment="1" applyProtection="1">
      <alignment horizontal="left"/>
      <protection hidden="1"/>
    </xf>
    <xf numFmtId="0" fontId="44" fillId="46" borderId="20" xfId="105" applyFont="1" applyFill="1" applyBorder="1" applyAlignment="1">
      <alignment horizontal="left"/>
      <protection/>
    </xf>
    <xf numFmtId="0" fontId="43" fillId="46" borderId="26" xfId="105" applyFont="1" applyFill="1" applyBorder="1" applyAlignment="1" applyProtection="1">
      <alignment horizontal="right"/>
      <protection hidden="1"/>
    </xf>
    <xf numFmtId="0" fontId="54" fillId="46" borderId="20" xfId="105" applyFont="1" applyFill="1" applyBorder="1" applyProtection="1">
      <alignment/>
      <protection hidden="1"/>
    </xf>
    <xf numFmtId="0" fontId="42" fillId="46" borderId="29" xfId="105" applyFont="1" applyFill="1" applyBorder="1" applyAlignment="1" applyProtection="1">
      <alignment horizontal="left"/>
      <protection hidden="1"/>
    </xf>
    <xf numFmtId="0" fontId="44" fillId="46" borderId="0" xfId="105" applyFont="1" applyFill="1" applyBorder="1" applyAlignment="1">
      <alignment horizontal="left"/>
      <protection/>
    </xf>
    <xf numFmtId="0" fontId="43" fillId="46" borderId="26" xfId="105" applyFont="1" applyFill="1" applyBorder="1" applyProtection="1">
      <alignment/>
      <protection hidden="1"/>
    </xf>
    <xf numFmtId="0" fontId="146" fillId="46" borderId="0" xfId="105" applyFont="1" applyFill="1" applyBorder="1" applyAlignment="1">
      <alignment horizontal="left"/>
      <protection/>
    </xf>
    <xf numFmtId="0" fontId="149" fillId="46" borderId="0" xfId="105" applyFont="1" applyFill="1" applyBorder="1">
      <alignment/>
      <protection/>
    </xf>
    <xf numFmtId="1" fontId="42" fillId="50" borderId="0" xfId="105" applyNumberFormat="1" applyFont="1" applyFill="1" applyBorder="1" applyAlignment="1" applyProtection="1">
      <alignment horizontal="center"/>
      <protection hidden="1"/>
    </xf>
    <xf numFmtId="0" fontId="44" fillId="50" borderId="20" xfId="105" applyFont="1" applyFill="1" applyBorder="1" applyAlignment="1">
      <alignment horizontal="left"/>
      <protection/>
    </xf>
    <xf numFmtId="0" fontId="150" fillId="46" borderId="0" xfId="105" applyFont="1" applyFill="1" applyBorder="1" applyAlignment="1" applyProtection="1">
      <alignment horizontal="left"/>
      <protection hidden="1"/>
    </xf>
    <xf numFmtId="0" fontId="150" fillId="50" borderId="0" xfId="105" applyFont="1" applyFill="1" applyBorder="1" applyAlignment="1" applyProtection="1">
      <alignment horizontal="left"/>
      <protection hidden="1"/>
    </xf>
    <xf numFmtId="0" fontId="137" fillId="46" borderId="0" xfId="0" applyFont="1" applyFill="1" applyBorder="1" applyAlignment="1">
      <alignment/>
    </xf>
    <xf numFmtId="1" fontId="136" fillId="50" borderId="0" xfId="105" applyNumberFormat="1" applyFont="1" applyFill="1" applyBorder="1" applyAlignment="1" applyProtection="1">
      <alignment horizontal="center"/>
      <protection hidden="1"/>
    </xf>
    <xf numFmtId="0" fontId="41" fillId="46" borderId="27" xfId="0" applyFont="1" applyFill="1" applyBorder="1" applyAlignment="1">
      <alignment horizontal="center"/>
    </xf>
    <xf numFmtId="0" fontId="150" fillId="46" borderId="0" xfId="105" applyFont="1" applyFill="1" applyBorder="1" applyAlignment="1">
      <alignment horizontal="left"/>
      <protection/>
    </xf>
    <xf numFmtId="0" fontId="43" fillId="50" borderId="27" xfId="105" applyFont="1" applyFill="1" applyBorder="1">
      <alignment/>
      <protection/>
    </xf>
    <xf numFmtId="0" fontId="43" fillId="50" borderId="27" xfId="105" applyFont="1" applyFill="1" applyBorder="1" applyAlignment="1">
      <alignment horizontal="center"/>
      <protection/>
    </xf>
    <xf numFmtId="0" fontId="43" fillId="50" borderId="27" xfId="105" applyFont="1" applyFill="1" applyBorder="1" applyAlignment="1">
      <alignment horizontal="center"/>
      <protection/>
    </xf>
    <xf numFmtId="0" fontId="42" fillId="50" borderId="34" xfId="105" applyFont="1" applyFill="1" applyBorder="1" applyAlignment="1">
      <alignment horizontal="left"/>
      <protection/>
    </xf>
    <xf numFmtId="0" fontId="41" fillId="50" borderId="27" xfId="0" applyFont="1" applyFill="1" applyBorder="1" applyAlignment="1">
      <alignment horizontal="center"/>
    </xf>
    <xf numFmtId="0" fontId="46" fillId="50" borderId="27" xfId="105" applyFont="1" applyFill="1" applyBorder="1" applyAlignment="1">
      <alignment horizontal="center"/>
      <protection/>
    </xf>
    <xf numFmtId="0" fontId="47" fillId="46" borderId="0" xfId="0" applyFont="1" applyFill="1" applyBorder="1" applyAlignment="1">
      <alignment/>
    </xf>
    <xf numFmtId="0" fontId="42" fillId="46" borderId="43" xfId="105" applyFont="1" applyFill="1" applyBorder="1">
      <alignment/>
      <protection/>
    </xf>
    <xf numFmtId="0" fontId="42" fillId="46" borderId="22" xfId="105" applyFont="1" applyFill="1" applyBorder="1">
      <alignment/>
      <protection/>
    </xf>
    <xf numFmtId="0" fontId="138" fillId="46" borderId="34" xfId="105" applyFont="1" applyFill="1" applyBorder="1" applyAlignment="1">
      <alignment horizontal="center"/>
      <protection/>
    </xf>
    <xf numFmtId="0" fontId="42" fillId="46" borderId="22" xfId="105" applyFont="1" applyFill="1" applyBorder="1" applyAlignment="1">
      <alignment horizontal="left"/>
      <protection/>
    </xf>
    <xf numFmtId="0" fontId="42" fillId="46" borderId="22" xfId="105" applyFont="1" applyFill="1" applyBorder="1" applyProtection="1">
      <alignment/>
      <protection hidden="1"/>
    </xf>
    <xf numFmtId="0" fontId="46" fillId="50" borderId="34" xfId="105" applyFont="1" applyFill="1" applyBorder="1" applyAlignment="1">
      <alignment horizontal="center"/>
      <protection/>
    </xf>
    <xf numFmtId="0" fontId="54" fillId="46" borderId="22" xfId="105" applyFont="1" applyFill="1" applyBorder="1">
      <alignment/>
      <protection/>
    </xf>
    <xf numFmtId="0" fontId="46" fillId="46" borderId="26" xfId="105" applyFont="1" applyFill="1" applyBorder="1" applyAlignment="1">
      <alignment horizontal="center"/>
      <protection/>
    </xf>
    <xf numFmtId="0" fontId="46" fillId="46" borderId="35" xfId="105" applyFont="1" applyFill="1" applyBorder="1" applyAlignment="1">
      <alignment horizontal="center"/>
      <protection/>
    </xf>
    <xf numFmtId="0" fontId="54" fillId="46" borderId="0" xfId="105" applyFont="1" applyFill="1" applyBorder="1">
      <alignment/>
      <protection/>
    </xf>
    <xf numFmtId="0" fontId="43" fillId="46" borderId="36" xfId="105" applyFont="1" applyFill="1" applyBorder="1">
      <alignment/>
      <protection/>
    </xf>
    <xf numFmtId="0" fontId="43" fillId="46" borderId="26" xfId="105" applyFont="1" applyFill="1" applyBorder="1" applyAlignment="1">
      <alignment horizontal="center"/>
      <protection/>
    </xf>
    <xf numFmtId="0" fontId="41" fillId="46" borderId="26" xfId="0" applyFont="1" applyFill="1" applyBorder="1" applyAlignment="1">
      <alignment horizontal="center"/>
    </xf>
    <xf numFmtId="0" fontId="46" fillId="46" borderId="37" xfId="105" applyFont="1" applyFill="1" applyBorder="1" applyAlignment="1">
      <alignment horizontal="center"/>
      <protection/>
    </xf>
    <xf numFmtId="0" fontId="140" fillId="46" borderId="20" xfId="105" applyFont="1" applyFill="1" applyBorder="1" applyAlignment="1">
      <alignment horizontal="left"/>
      <protection/>
    </xf>
    <xf numFmtId="0" fontId="127" fillId="50" borderId="44" xfId="0" applyFont="1" applyFill="1" applyBorder="1" applyAlignment="1">
      <alignment/>
    </xf>
    <xf numFmtId="0" fontId="139" fillId="46" borderId="27" xfId="105" applyFont="1" applyFill="1" applyBorder="1" applyAlignment="1" applyProtection="1">
      <alignment horizontal="center"/>
      <protection hidden="1"/>
    </xf>
    <xf numFmtId="0" fontId="43" fillId="50" borderId="26" xfId="105" applyFont="1" applyFill="1" applyBorder="1" applyProtection="1">
      <alignment/>
      <protection hidden="1"/>
    </xf>
    <xf numFmtId="0" fontId="139" fillId="50" borderId="26" xfId="105" applyFont="1" applyFill="1" applyBorder="1" applyAlignment="1" applyProtection="1">
      <alignment horizontal="center"/>
      <protection hidden="1"/>
    </xf>
    <xf numFmtId="0" fontId="54" fillId="50" borderId="26" xfId="105" applyFont="1" applyFill="1" applyBorder="1" applyProtection="1">
      <alignment/>
      <protection hidden="1"/>
    </xf>
    <xf numFmtId="0" fontId="42" fillId="50" borderId="20" xfId="105" applyFont="1" applyFill="1" applyBorder="1" applyProtection="1">
      <alignment/>
      <protection hidden="1"/>
    </xf>
    <xf numFmtId="0" fontId="44" fillId="46" borderId="21" xfId="105" applyFont="1" applyFill="1" applyBorder="1" applyAlignment="1" applyProtection="1">
      <alignment horizontal="left"/>
      <protection hidden="1"/>
    </xf>
    <xf numFmtId="0" fontId="139" fillId="46" borderId="26" xfId="105" applyFont="1" applyFill="1" applyBorder="1" applyAlignment="1" applyProtection="1">
      <alignment horizontal="center"/>
      <protection hidden="1"/>
    </xf>
    <xf numFmtId="0" fontId="43" fillId="46" borderId="49" xfId="106" applyFont="1" applyFill="1" applyBorder="1">
      <alignment/>
      <protection/>
    </xf>
    <xf numFmtId="0" fontId="42" fillId="46" borderId="36" xfId="106" applyFont="1" applyFill="1" applyBorder="1">
      <alignment/>
      <protection/>
    </xf>
    <xf numFmtId="0" fontId="42" fillId="50" borderId="0" xfId="106" applyFont="1" applyFill="1">
      <alignment/>
      <protection/>
    </xf>
    <xf numFmtId="0" fontId="43" fillId="46" borderId="27" xfId="106" applyFont="1" applyFill="1" applyBorder="1" applyAlignment="1">
      <alignment horizontal="center"/>
      <protection/>
    </xf>
    <xf numFmtId="0" fontId="42" fillId="46" borderId="26" xfId="106" applyFont="1" applyFill="1" applyBorder="1">
      <alignment/>
      <protection/>
    </xf>
    <xf numFmtId="0" fontId="46" fillId="46" borderId="27" xfId="106" applyFont="1" applyFill="1" applyBorder="1" applyAlignment="1">
      <alignment horizontal="center"/>
      <protection/>
    </xf>
    <xf numFmtId="0" fontId="42" fillId="46" borderId="26" xfId="106" applyFont="1" applyFill="1" applyBorder="1" applyAlignment="1">
      <alignment horizontal="left"/>
      <protection/>
    </xf>
    <xf numFmtId="0" fontId="41" fillId="46" borderId="27" xfId="106" applyFont="1" applyFill="1" applyBorder="1" applyAlignment="1">
      <alignment horizontal="center"/>
      <protection/>
    </xf>
    <xf numFmtId="0" fontId="42" fillId="46" borderId="26" xfId="106" applyFont="1" applyFill="1" applyBorder="1" applyProtection="1">
      <alignment/>
      <protection hidden="1"/>
    </xf>
    <xf numFmtId="0" fontId="46" fillId="46" borderId="0" xfId="106" applyFont="1" applyFill="1" applyBorder="1" applyAlignment="1">
      <alignment horizontal="center"/>
      <protection/>
    </xf>
    <xf numFmtId="0" fontId="54" fillId="46" borderId="26" xfId="106" applyFont="1" applyFill="1" applyBorder="1">
      <alignment/>
      <protection/>
    </xf>
    <xf numFmtId="0" fontId="44" fillId="46" borderId="20" xfId="106" applyFont="1" applyFill="1" applyBorder="1" applyAlignment="1">
      <alignment horizontal="left"/>
      <protection/>
    </xf>
    <xf numFmtId="0" fontId="54" fillId="46" borderId="20" xfId="106" applyFont="1" applyFill="1" applyBorder="1">
      <alignment/>
      <protection/>
    </xf>
    <xf numFmtId="0" fontId="138" fillId="50" borderId="28" xfId="105" applyFont="1" applyFill="1" applyBorder="1" applyProtection="1">
      <alignment/>
      <protection hidden="1"/>
    </xf>
    <xf numFmtId="0" fontId="138" fillId="50" borderId="28" xfId="105" applyFont="1" applyFill="1" applyBorder="1" applyAlignment="1" applyProtection="1">
      <alignment horizontal="center"/>
      <protection hidden="1"/>
    </xf>
    <xf numFmtId="0" fontId="128" fillId="50" borderId="27" xfId="105" applyFont="1" applyFill="1" applyBorder="1" applyAlignment="1" applyProtection="1">
      <alignment horizontal="center"/>
      <protection hidden="1"/>
    </xf>
    <xf numFmtId="0" fontId="140" fillId="50" borderId="40" xfId="105" applyFont="1" applyFill="1" applyBorder="1" applyProtection="1">
      <alignment/>
      <protection hidden="1"/>
    </xf>
    <xf numFmtId="0" fontId="45" fillId="46" borderId="28" xfId="0" applyFont="1" applyFill="1" applyBorder="1" applyAlignment="1">
      <alignment horizontal="center" wrapText="1"/>
    </xf>
    <xf numFmtId="0" fontId="40" fillId="46" borderId="0" xfId="105" applyFont="1" applyFill="1" applyBorder="1" applyAlignment="1" applyProtection="1">
      <alignment/>
      <protection hidden="1"/>
    </xf>
    <xf numFmtId="0" fontId="128" fillId="46" borderId="26" xfId="105" applyFont="1" applyFill="1" applyBorder="1" applyProtection="1">
      <alignment/>
      <protection hidden="1"/>
    </xf>
    <xf numFmtId="0" fontId="42" fillId="50" borderId="50" xfId="105" applyFont="1" applyFill="1" applyBorder="1" applyAlignment="1" applyProtection="1">
      <alignment horizontal="left"/>
      <protection hidden="1"/>
    </xf>
    <xf numFmtId="0" fontId="133" fillId="50" borderId="0" xfId="105" applyFont="1" applyFill="1" applyBorder="1" applyAlignment="1" applyProtection="1">
      <alignment horizontal="center"/>
      <protection hidden="1"/>
    </xf>
    <xf numFmtId="0" fontId="138" fillId="54" borderId="51" xfId="105" applyFont="1" applyFill="1" applyBorder="1" applyAlignment="1" applyProtection="1">
      <alignment horizontal="center" vertical="center"/>
      <protection hidden="1"/>
    </xf>
    <xf numFmtId="0" fontId="138" fillId="54" borderId="51" xfId="105" applyFont="1" applyFill="1" applyBorder="1" applyAlignment="1" applyProtection="1">
      <alignment horizontal="center"/>
      <protection hidden="1"/>
    </xf>
    <xf numFmtId="0" fontId="43" fillId="54" borderId="52" xfId="105" applyNumberFormat="1" applyFont="1" applyFill="1" applyBorder="1" applyAlignment="1" applyProtection="1">
      <alignment vertical="center"/>
      <protection hidden="1"/>
    </xf>
    <xf numFmtId="0" fontId="43" fillId="54" borderId="53" xfId="105" applyNumberFormat="1" applyFont="1" applyFill="1" applyBorder="1" applyAlignment="1" applyProtection="1">
      <alignment vertical="center"/>
      <protection hidden="1"/>
    </xf>
    <xf numFmtId="0" fontId="138" fillId="54" borderId="52" xfId="105" applyFont="1" applyFill="1" applyBorder="1" applyAlignment="1" applyProtection="1">
      <alignment vertical="center"/>
      <protection hidden="1"/>
    </xf>
    <xf numFmtId="0" fontId="138" fillId="54" borderId="53" xfId="105" applyFont="1" applyFill="1" applyBorder="1" applyAlignment="1" applyProtection="1">
      <alignment vertical="center"/>
      <protection hidden="1"/>
    </xf>
    <xf numFmtId="208" fontId="42" fillId="50" borderId="0" xfId="105" applyNumberFormat="1" applyFont="1" applyFill="1" applyBorder="1" applyAlignment="1" applyProtection="1">
      <alignment horizontal="right"/>
      <protection hidden="1"/>
    </xf>
    <xf numFmtId="0" fontId="128" fillId="50" borderId="26" xfId="105" applyFont="1" applyFill="1" applyBorder="1" applyAlignment="1" applyProtection="1">
      <alignment horizontal="center"/>
      <protection hidden="1"/>
    </xf>
    <xf numFmtId="0" fontId="128" fillId="46" borderId="0" xfId="105" applyFont="1" applyFill="1" applyBorder="1">
      <alignment/>
      <protection/>
    </xf>
    <xf numFmtId="0" fontId="144" fillId="46" borderId="0" xfId="0" applyFont="1" applyFill="1" applyBorder="1" applyAlignment="1">
      <alignment/>
    </xf>
    <xf numFmtId="0" fontId="144" fillId="0" borderId="0" xfId="0" applyFont="1" applyBorder="1" applyAlignment="1">
      <alignment/>
    </xf>
    <xf numFmtId="0" fontId="44" fillId="50" borderId="37" xfId="105" applyFont="1" applyFill="1" applyBorder="1" applyAlignment="1">
      <alignment horizontal="left"/>
      <protection/>
    </xf>
    <xf numFmtId="0" fontId="54" fillId="50" borderId="37" xfId="105" applyFont="1" applyFill="1" applyBorder="1" applyProtection="1">
      <alignment/>
      <protection hidden="1"/>
    </xf>
    <xf numFmtId="1" fontId="44" fillId="46" borderId="0" xfId="105" applyNumberFormat="1" applyFont="1" applyFill="1" applyBorder="1" applyAlignment="1" applyProtection="1">
      <alignment/>
      <protection hidden="1"/>
    </xf>
    <xf numFmtId="0" fontId="87" fillId="46" borderId="0" xfId="0" applyFont="1" applyFill="1" applyBorder="1" applyAlignment="1">
      <alignment/>
    </xf>
    <xf numFmtId="0" fontId="87" fillId="0" borderId="0" xfId="0" applyFont="1" applyBorder="1" applyAlignment="1">
      <alignment/>
    </xf>
    <xf numFmtId="0" fontId="87" fillId="0" borderId="0" xfId="0" applyFont="1" applyAlignment="1">
      <alignment/>
    </xf>
    <xf numFmtId="0" fontId="43" fillId="50" borderId="36" xfId="105" applyFont="1" applyFill="1" applyBorder="1">
      <alignment/>
      <protection/>
    </xf>
    <xf numFmtId="0" fontId="43" fillId="50" borderId="26" xfId="105" applyFont="1" applyFill="1" applyBorder="1" applyAlignment="1">
      <alignment horizontal="center"/>
      <protection/>
    </xf>
    <xf numFmtId="0" fontId="41" fillId="50" borderId="26" xfId="0" applyFont="1" applyFill="1" applyBorder="1" applyAlignment="1">
      <alignment horizontal="center"/>
    </xf>
    <xf numFmtId="0" fontId="46" fillId="50" borderId="26" xfId="105" applyFont="1" applyFill="1" applyBorder="1" applyAlignment="1">
      <alignment horizontal="center"/>
      <protection/>
    </xf>
    <xf numFmtId="0" fontId="139" fillId="50" borderId="26" xfId="105" applyFont="1" applyFill="1" applyBorder="1" applyAlignment="1">
      <alignment horizontal="center"/>
      <protection/>
    </xf>
    <xf numFmtId="0" fontId="40" fillId="50" borderId="0" xfId="105" applyFont="1" applyFill="1" applyBorder="1" applyAlignment="1" applyProtection="1">
      <alignment horizontal="center"/>
      <protection hidden="1"/>
    </xf>
    <xf numFmtId="0" fontId="139" fillId="46" borderId="26" xfId="105" applyFont="1" applyFill="1" applyBorder="1" applyProtection="1">
      <alignment/>
      <protection hidden="1"/>
    </xf>
    <xf numFmtId="0" fontId="151" fillId="46" borderId="27" xfId="0" applyFont="1" applyFill="1" applyBorder="1" applyAlignment="1">
      <alignment horizontal="center"/>
    </xf>
    <xf numFmtId="0" fontId="152" fillId="46" borderId="26" xfId="105" applyFont="1" applyFill="1" applyBorder="1" applyAlignment="1">
      <alignment horizontal="center"/>
      <protection/>
    </xf>
    <xf numFmtId="0" fontId="132" fillId="46" borderId="27" xfId="105" applyFont="1" applyFill="1" applyBorder="1" applyAlignment="1" applyProtection="1">
      <alignment horizontal="left"/>
      <protection hidden="1"/>
    </xf>
    <xf numFmtId="0" fontId="132" fillId="46" borderId="0" xfId="105" applyFont="1" applyFill="1" applyBorder="1" applyAlignment="1" applyProtection="1">
      <alignment horizontal="left"/>
      <protection hidden="1"/>
    </xf>
    <xf numFmtId="0" fontId="145" fillId="46" borderId="0" xfId="0" applyFont="1" applyFill="1" applyBorder="1" applyAlignment="1">
      <alignment/>
    </xf>
    <xf numFmtId="0" fontId="139" fillId="46" borderId="0" xfId="105" applyFont="1" applyFill="1" applyProtection="1">
      <alignment/>
      <protection hidden="1"/>
    </xf>
    <xf numFmtId="0" fontId="139" fillId="46" borderId="0" xfId="105" applyFont="1" applyFill="1">
      <alignment/>
      <protection/>
    </xf>
    <xf numFmtId="0" fontId="145" fillId="46" borderId="0" xfId="0" applyFont="1" applyFill="1" applyAlignment="1">
      <alignment/>
    </xf>
    <xf numFmtId="0" fontId="145" fillId="0" borderId="0" xfId="0" applyFont="1" applyAlignment="1">
      <alignment/>
    </xf>
    <xf numFmtId="0" fontId="145" fillId="46" borderId="0" xfId="0" applyFont="1" applyFill="1" applyBorder="1" applyAlignment="1">
      <alignment horizontal="left"/>
    </xf>
    <xf numFmtId="0" fontId="139" fillId="46" borderId="0" xfId="105" applyFont="1" applyFill="1" applyBorder="1" applyAlignment="1" applyProtection="1">
      <alignment horizontal="left"/>
      <protection hidden="1"/>
    </xf>
    <xf numFmtId="0" fontId="139" fillId="46" borderId="0" xfId="105" applyFont="1" applyFill="1" applyAlignment="1">
      <alignment horizontal="left"/>
      <protection/>
    </xf>
    <xf numFmtId="0" fontId="145" fillId="46" borderId="0" xfId="0" applyFont="1" applyFill="1" applyAlignment="1">
      <alignment horizontal="left"/>
    </xf>
    <xf numFmtId="0" fontId="145" fillId="0" borderId="0" xfId="0" applyFont="1" applyAlignment="1">
      <alignment horizontal="left"/>
    </xf>
    <xf numFmtId="0" fontId="47" fillId="46" borderId="0" xfId="0" applyFont="1" applyFill="1" applyBorder="1" applyAlignment="1">
      <alignment horizontal="left"/>
    </xf>
    <xf numFmtId="0" fontId="42" fillId="46" borderId="0" xfId="105" applyFont="1" applyFill="1" applyAlignment="1">
      <alignment horizontal="left"/>
      <protection/>
    </xf>
    <xf numFmtId="0" fontId="47" fillId="46" borderId="0" xfId="0" applyFont="1" applyFill="1" applyAlignment="1">
      <alignment horizontal="left"/>
    </xf>
    <xf numFmtId="0" fontId="47" fillId="0" borderId="0" xfId="0" applyFont="1" applyAlignment="1">
      <alignment horizontal="left"/>
    </xf>
    <xf numFmtId="0" fontId="42" fillId="46" borderId="38" xfId="105" applyFont="1" applyFill="1" applyBorder="1" applyAlignment="1">
      <alignment horizontal="left"/>
      <protection/>
    </xf>
    <xf numFmtId="0" fontId="139" fillId="46" borderId="27" xfId="105" applyFont="1" applyFill="1" applyBorder="1" applyAlignment="1">
      <alignment horizontal="center"/>
      <protection/>
    </xf>
    <xf numFmtId="0" fontId="41" fillId="50" borderId="0" xfId="105" applyFont="1" applyFill="1" applyBorder="1" applyAlignment="1">
      <alignment horizontal="left"/>
      <protection/>
    </xf>
    <xf numFmtId="0" fontId="46" fillId="50" borderId="0" xfId="105" applyFont="1" applyFill="1" applyBorder="1" applyAlignment="1">
      <alignment horizontal="center"/>
      <protection/>
    </xf>
    <xf numFmtId="0" fontId="44" fillId="50" borderId="26" xfId="105" applyFont="1" applyFill="1" applyBorder="1" applyAlignment="1">
      <alignment horizontal="left"/>
      <protection/>
    </xf>
    <xf numFmtId="0" fontId="48" fillId="50" borderId="33" xfId="105" applyFont="1" applyFill="1" applyBorder="1" applyAlignment="1" applyProtection="1">
      <alignment horizontal="left"/>
      <protection hidden="1"/>
    </xf>
    <xf numFmtId="0" fontId="54" fillId="50" borderId="36" xfId="105" applyFont="1" applyFill="1" applyBorder="1" applyAlignment="1" applyProtection="1">
      <alignment horizontal="left"/>
      <protection hidden="1"/>
    </xf>
    <xf numFmtId="0" fontId="48" fillId="50" borderId="39" xfId="105" applyFont="1" applyFill="1" applyBorder="1" applyAlignment="1" applyProtection="1">
      <alignment horizontal="left"/>
      <protection hidden="1"/>
    </xf>
    <xf numFmtId="0" fontId="42" fillId="50" borderId="20" xfId="105" applyFont="1" applyFill="1" applyBorder="1">
      <alignment/>
      <protection/>
    </xf>
    <xf numFmtId="0" fontId="44" fillId="50" borderId="0" xfId="105" applyFont="1" applyFill="1" applyBorder="1" applyAlignment="1">
      <alignment horizontal="left"/>
      <protection/>
    </xf>
    <xf numFmtId="0" fontId="48" fillId="46" borderId="39" xfId="105" applyFont="1" applyFill="1" applyBorder="1" applyProtection="1">
      <alignment/>
      <protection hidden="1"/>
    </xf>
    <xf numFmtId="1" fontId="44" fillId="46" borderId="0" xfId="105" applyNumberFormat="1" applyFont="1" applyFill="1" applyBorder="1" applyAlignment="1" applyProtection="1">
      <alignment horizontal="center" wrapText="1"/>
      <protection hidden="1"/>
    </xf>
    <xf numFmtId="0" fontId="46" fillId="46" borderId="27" xfId="105" applyFont="1" applyFill="1" applyBorder="1" applyAlignment="1" applyProtection="1">
      <alignment horizontal="left"/>
      <protection hidden="1"/>
    </xf>
    <xf numFmtId="0" fontId="128" fillId="46" borderId="0" xfId="105" applyFont="1" applyFill="1" applyBorder="1" applyAlignment="1" applyProtection="1">
      <alignment wrapText="1"/>
      <protection hidden="1"/>
    </xf>
    <xf numFmtId="0" fontId="153" fillId="50" borderId="20" xfId="105" applyFont="1" applyFill="1" applyBorder="1" applyProtection="1">
      <alignment/>
      <protection hidden="1"/>
    </xf>
    <xf numFmtId="0" fontId="41" fillId="46" borderId="38" xfId="105" applyFont="1" applyFill="1" applyBorder="1" applyAlignment="1" applyProtection="1">
      <alignment/>
      <protection hidden="1"/>
    </xf>
    <xf numFmtId="0" fontId="41" fillId="0" borderId="21" xfId="105" applyFont="1" applyBorder="1" applyAlignment="1" applyProtection="1">
      <alignment/>
      <protection hidden="1"/>
    </xf>
    <xf numFmtId="0" fontId="41" fillId="46" borderId="21" xfId="105" applyFont="1" applyFill="1" applyBorder="1" applyAlignment="1" applyProtection="1">
      <alignment/>
      <protection hidden="1"/>
    </xf>
    <xf numFmtId="0" fontId="138" fillId="50" borderId="36" xfId="105" applyFont="1" applyFill="1" applyBorder="1" applyProtection="1">
      <alignment/>
      <protection hidden="1"/>
    </xf>
    <xf numFmtId="0" fontId="153" fillId="50" borderId="33" xfId="105" applyFont="1" applyFill="1" applyBorder="1" applyProtection="1">
      <alignment/>
      <protection hidden="1"/>
    </xf>
    <xf numFmtId="0" fontId="138" fillId="50" borderId="26" xfId="105" applyFont="1" applyFill="1" applyBorder="1" applyAlignment="1" applyProtection="1">
      <alignment horizontal="center"/>
      <protection hidden="1"/>
    </xf>
    <xf numFmtId="0" fontId="153" fillId="50" borderId="34" xfId="105" applyFont="1" applyFill="1" applyBorder="1" applyProtection="1">
      <alignment/>
      <protection hidden="1"/>
    </xf>
    <xf numFmtId="0" fontId="138" fillId="50" borderId="26" xfId="105" applyFont="1" applyFill="1" applyBorder="1" applyProtection="1">
      <alignment/>
      <protection hidden="1"/>
    </xf>
    <xf numFmtId="0" fontId="153" fillId="50" borderId="34" xfId="105" applyFont="1" applyFill="1" applyBorder="1">
      <alignment/>
      <protection/>
    </xf>
    <xf numFmtId="0" fontId="139" fillId="50" borderId="26" xfId="105" applyFont="1" applyFill="1" applyBorder="1" applyProtection="1">
      <alignment/>
      <protection hidden="1"/>
    </xf>
    <xf numFmtId="0" fontId="138" fillId="50" borderId="20" xfId="105" applyFont="1" applyFill="1" applyBorder="1" applyProtection="1">
      <alignment/>
      <protection hidden="1"/>
    </xf>
    <xf numFmtId="0" fontId="153" fillId="50" borderId="39" xfId="105" applyFont="1" applyFill="1" applyBorder="1" applyProtection="1">
      <alignment/>
      <protection hidden="1"/>
    </xf>
    <xf numFmtId="0" fontId="44" fillId="46" borderId="37" xfId="105" applyFont="1" applyFill="1" applyBorder="1" applyProtection="1">
      <alignment/>
      <protection hidden="1"/>
    </xf>
    <xf numFmtId="0" fontId="53" fillId="46" borderId="33" xfId="106" applyFont="1" applyFill="1" applyBorder="1" applyProtection="1">
      <alignment/>
      <protection hidden="1"/>
    </xf>
    <xf numFmtId="0" fontId="53" fillId="46" borderId="34" xfId="106" applyFont="1" applyFill="1" applyBorder="1" applyAlignment="1" applyProtection="1">
      <alignment horizontal="center"/>
      <protection hidden="1"/>
    </xf>
    <xf numFmtId="0" fontId="128" fillId="46" borderId="34" xfId="0" applyFont="1" applyFill="1" applyBorder="1" applyAlignment="1">
      <alignment horizontal="center"/>
    </xf>
    <xf numFmtId="0" fontId="128" fillId="46" borderId="34" xfId="105" applyFont="1" applyFill="1" applyBorder="1" applyAlignment="1">
      <alignment horizontal="center"/>
      <protection/>
    </xf>
    <xf numFmtId="0" fontId="46" fillId="46" borderId="34" xfId="106" applyFont="1" applyFill="1" applyBorder="1" applyAlignment="1" applyProtection="1">
      <alignment horizontal="center"/>
      <protection hidden="1"/>
    </xf>
    <xf numFmtId="0" fontId="46" fillId="50" borderId="34" xfId="106" applyFont="1" applyFill="1" applyBorder="1" applyAlignment="1" applyProtection="1">
      <alignment horizontal="center"/>
      <protection hidden="1"/>
    </xf>
    <xf numFmtId="0" fontId="48" fillId="46" borderId="35" xfId="106" applyFont="1" applyFill="1" applyBorder="1" applyAlignment="1" applyProtection="1">
      <alignment horizontal="left"/>
      <protection hidden="1"/>
    </xf>
    <xf numFmtId="0" fontId="42" fillId="0" borderId="0" xfId="0" applyFont="1" applyBorder="1" applyAlignment="1">
      <alignment horizontal="left"/>
    </xf>
    <xf numFmtId="0" fontId="44" fillId="46" borderId="40" xfId="105" applyFont="1" applyFill="1" applyBorder="1" applyProtection="1">
      <alignment/>
      <protection hidden="1"/>
    </xf>
    <xf numFmtId="1" fontId="54" fillId="50" borderId="0" xfId="105" applyNumberFormat="1" applyFont="1" applyFill="1" applyBorder="1" applyAlignment="1" applyProtection="1">
      <alignment horizontal="center"/>
      <protection hidden="1"/>
    </xf>
    <xf numFmtId="0" fontId="127" fillId="50" borderId="22" xfId="0" applyFont="1" applyFill="1" applyBorder="1" applyAlignment="1">
      <alignment/>
    </xf>
    <xf numFmtId="0" fontId="44" fillId="46" borderId="48" xfId="105" applyFont="1" applyFill="1" applyBorder="1" applyAlignment="1" applyProtection="1">
      <alignment horizontal="left"/>
      <protection hidden="1"/>
    </xf>
    <xf numFmtId="0" fontId="40" fillId="46" borderId="0" xfId="105" applyFont="1" applyFill="1" applyAlignment="1" applyProtection="1">
      <alignment horizontal="left"/>
      <protection hidden="1"/>
    </xf>
    <xf numFmtId="0" fontId="44" fillId="46" borderId="0" xfId="105" applyFont="1" applyFill="1" applyAlignment="1" applyProtection="1">
      <alignment horizontal="left"/>
      <protection hidden="1"/>
    </xf>
    <xf numFmtId="0" fontId="44" fillId="46" borderId="0" xfId="105" applyFont="1" applyFill="1" applyAlignment="1" applyProtection="1">
      <alignment horizontal="center"/>
      <protection hidden="1"/>
    </xf>
    <xf numFmtId="1" fontId="54" fillId="46" borderId="0" xfId="105" applyNumberFormat="1" applyFont="1" applyFill="1" applyBorder="1" applyAlignment="1" applyProtection="1">
      <alignment/>
      <protection hidden="1"/>
    </xf>
    <xf numFmtId="0" fontId="54" fillId="50" borderId="36" xfId="105" applyFont="1" applyFill="1" applyBorder="1" applyProtection="1">
      <alignment/>
      <protection hidden="1"/>
    </xf>
    <xf numFmtId="0" fontId="42" fillId="50" borderId="26" xfId="105" applyFont="1" applyFill="1" applyBorder="1" applyProtection="1">
      <alignment/>
      <protection hidden="1"/>
    </xf>
    <xf numFmtId="0" fontId="139" fillId="50" borderId="41" xfId="105" applyFont="1" applyFill="1" applyBorder="1" applyAlignment="1" applyProtection="1">
      <alignment horizontal="center"/>
      <protection hidden="1"/>
    </xf>
    <xf numFmtId="0" fontId="146" fillId="46" borderId="21" xfId="105" applyFont="1" applyFill="1" applyBorder="1" applyAlignment="1" applyProtection="1">
      <alignment horizontal="left"/>
      <protection hidden="1"/>
    </xf>
    <xf numFmtId="0" fontId="41" fillId="46" borderId="21" xfId="105" applyFont="1" applyFill="1" applyBorder="1" applyAlignment="1">
      <alignment horizontal="left"/>
      <protection/>
    </xf>
    <xf numFmtId="1" fontId="54" fillId="50" borderId="0" xfId="105" applyNumberFormat="1" applyFont="1" applyFill="1" applyBorder="1" applyAlignment="1" applyProtection="1">
      <alignment/>
      <protection hidden="1"/>
    </xf>
    <xf numFmtId="0" fontId="50" fillId="50" borderId="0" xfId="105" applyFont="1" applyFill="1" applyBorder="1" applyProtection="1">
      <alignment/>
      <protection hidden="1"/>
    </xf>
    <xf numFmtId="0" fontId="44" fillId="46" borderId="47" xfId="105" applyFont="1" applyFill="1" applyBorder="1" applyAlignment="1" applyProtection="1">
      <alignment horizontal="left"/>
      <protection hidden="1"/>
    </xf>
    <xf numFmtId="0" fontId="42" fillId="46" borderId="21" xfId="105" applyFont="1" applyFill="1" applyBorder="1" applyProtection="1">
      <alignment/>
      <protection hidden="1"/>
    </xf>
    <xf numFmtId="1" fontId="52" fillId="46" borderId="0" xfId="105" applyNumberFormat="1" applyFont="1" applyFill="1" applyBorder="1" applyAlignment="1" applyProtection="1">
      <alignment horizontal="center"/>
      <protection hidden="1"/>
    </xf>
    <xf numFmtId="0" fontId="50" fillId="46" borderId="0" xfId="105" applyFont="1" applyFill="1" applyBorder="1" applyAlignment="1" applyProtection="1">
      <alignment/>
      <protection hidden="1"/>
    </xf>
    <xf numFmtId="0" fontId="43" fillId="50" borderId="0" xfId="105" applyFont="1" applyFill="1" applyBorder="1" applyAlignment="1" applyProtection="1">
      <alignment horizontal="left"/>
      <protection hidden="1"/>
    </xf>
    <xf numFmtId="0" fontId="42" fillId="46" borderId="26" xfId="105" applyFont="1" applyFill="1" applyBorder="1" applyAlignment="1" applyProtection="1">
      <alignment horizontal="center"/>
      <protection hidden="1"/>
    </xf>
    <xf numFmtId="0" fontId="43" fillId="46" borderId="28" xfId="105" applyFont="1" applyFill="1" applyBorder="1" applyAlignment="1" applyProtection="1">
      <alignment horizontal="left"/>
      <protection hidden="1"/>
    </xf>
    <xf numFmtId="0" fontId="43" fillId="50" borderId="0" xfId="105" applyFont="1" applyFill="1" applyBorder="1" applyAlignment="1" applyProtection="1">
      <alignment horizontal="center"/>
      <protection hidden="1"/>
    </xf>
    <xf numFmtId="0" fontId="127" fillId="50" borderId="0" xfId="0" applyFont="1" applyFill="1" applyBorder="1" applyAlignment="1">
      <alignment horizontal="center" vertical="center"/>
    </xf>
    <xf numFmtId="0" fontId="51" fillId="46" borderId="40" xfId="105" applyFont="1" applyFill="1" applyBorder="1" applyProtection="1">
      <alignment/>
      <protection hidden="1"/>
    </xf>
    <xf numFmtId="0" fontId="43" fillId="50" borderId="0" xfId="105" applyFont="1" applyFill="1" applyBorder="1" applyAlignment="1" applyProtection="1">
      <alignment horizontal="center"/>
      <protection hidden="1"/>
    </xf>
    <xf numFmtId="0" fontId="49" fillId="46" borderId="0" xfId="105" applyFont="1" applyFill="1" applyBorder="1" applyAlignment="1" applyProtection="1">
      <alignment horizontal="center"/>
      <protection hidden="1"/>
    </xf>
    <xf numFmtId="0" fontId="53" fillId="46" borderId="33" xfId="105" applyFont="1" applyFill="1" applyBorder="1" applyProtection="1">
      <alignment/>
      <protection hidden="1"/>
    </xf>
    <xf numFmtId="208" fontId="42" fillId="2" borderId="36" xfId="105" applyNumberFormat="1" applyFont="1" applyFill="1" applyBorder="1" applyAlignment="1" applyProtection="1">
      <alignment vertical="center"/>
      <protection hidden="1"/>
    </xf>
    <xf numFmtId="208" fontId="42" fillId="50" borderId="0" xfId="105" applyNumberFormat="1" applyFont="1" applyFill="1" applyBorder="1" applyAlignment="1" applyProtection="1">
      <alignment vertical="center"/>
      <protection hidden="1"/>
    </xf>
    <xf numFmtId="0" fontId="139" fillId="46" borderId="27" xfId="105" applyFont="1" applyFill="1" applyBorder="1" applyAlignment="1">
      <alignment horizontal="center"/>
      <protection/>
    </xf>
    <xf numFmtId="208" fontId="42" fillId="2" borderId="26" xfId="105" applyNumberFormat="1" applyFont="1" applyFill="1" applyBorder="1" applyAlignment="1" applyProtection="1">
      <alignment vertical="center"/>
      <protection hidden="1"/>
    </xf>
    <xf numFmtId="208" fontId="42" fillId="50" borderId="26" xfId="105" applyNumberFormat="1" applyFont="1" applyFill="1" applyBorder="1" applyAlignment="1" applyProtection="1">
      <alignment vertical="center"/>
      <protection hidden="1"/>
    </xf>
    <xf numFmtId="0" fontId="42" fillId="50" borderId="0" xfId="105" applyFont="1" applyFill="1" applyBorder="1" applyAlignment="1" applyProtection="1">
      <alignment horizontal="center" vertical="center"/>
      <protection hidden="1"/>
    </xf>
    <xf numFmtId="0" fontId="47" fillId="50" borderId="0" xfId="0" applyFont="1" applyFill="1" applyBorder="1" applyAlignment="1">
      <alignment horizontal="center" vertical="center"/>
    </xf>
    <xf numFmtId="0" fontId="135" fillId="46" borderId="0" xfId="105" applyFont="1" applyFill="1" applyBorder="1" applyAlignment="1" applyProtection="1">
      <alignment horizontal="left"/>
      <protection hidden="1"/>
    </xf>
    <xf numFmtId="0" fontId="139" fillId="50" borderId="0" xfId="105" applyFont="1" applyFill="1" applyBorder="1" applyAlignment="1" applyProtection="1">
      <alignment/>
      <protection hidden="1"/>
    </xf>
    <xf numFmtId="0" fontId="135" fillId="50" borderId="0" xfId="105" applyFont="1" applyFill="1" applyBorder="1" applyAlignment="1" applyProtection="1">
      <alignment horizontal="left"/>
      <protection hidden="1"/>
    </xf>
    <xf numFmtId="0" fontId="49" fillId="46" borderId="44" xfId="105" applyFont="1" applyFill="1" applyBorder="1" applyAlignment="1" applyProtection="1">
      <alignment horizontal="center"/>
      <protection hidden="1"/>
    </xf>
    <xf numFmtId="208" fontId="42" fillId="50" borderId="36" xfId="105" applyNumberFormat="1" applyFont="1" applyFill="1" applyBorder="1" applyAlignment="1" applyProtection="1">
      <alignment vertical="center"/>
      <protection hidden="1"/>
    </xf>
    <xf numFmtId="208" fontId="42" fillId="50" borderId="43" xfId="105" applyNumberFormat="1" applyFont="1" applyFill="1" applyBorder="1" applyAlignment="1" applyProtection="1">
      <alignment vertical="center"/>
      <protection hidden="1"/>
    </xf>
    <xf numFmtId="208" fontId="42" fillId="50" borderId="22" xfId="105" applyNumberFormat="1" applyFont="1" applyFill="1" applyBorder="1" applyAlignment="1" applyProtection="1">
      <alignment vertical="center"/>
      <protection hidden="1"/>
    </xf>
    <xf numFmtId="0" fontId="42" fillId="46" borderId="39" xfId="105" applyFont="1" applyFill="1" applyBorder="1" applyProtection="1">
      <alignment/>
      <protection hidden="1"/>
    </xf>
    <xf numFmtId="208" fontId="42" fillId="50" borderId="20" xfId="105" applyNumberFormat="1" applyFont="1" applyFill="1" applyBorder="1" applyAlignment="1" applyProtection="1">
      <alignment vertical="center"/>
      <protection hidden="1"/>
    </xf>
    <xf numFmtId="208" fontId="42" fillId="50" borderId="41" xfId="105" applyNumberFormat="1" applyFont="1" applyFill="1" applyBorder="1" applyAlignment="1" applyProtection="1">
      <alignment vertical="center"/>
      <protection hidden="1"/>
    </xf>
    <xf numFmtId="0" fontId="40" fillId="50" borderId="0" xfId="105" applyFont="1" applyFill="1" applyBorder="1" applyProtection="1">
      <alignment/>
      <protection hidden="1"/>
    </xf>
    <xf numFmtId="0" fontId="44" fillId="50" borderId="0" xfId="105" applyFont="1" applyFill="1" applyBorder="1" applyProtection="1">
      <alignment/>
      <protection hidden="1"/>
    </xf>
    <xf numFmtId="0" fontId="53" fillId="46" borderId="54" xfId="105" applyFont="1" applyFill="1" applyBorder="1" applyProtection="1">
      <alignment/>
      <protection hidden="1"/>
    </xf>
    <xf numFmtId="0" fontId="53" fillId="46" borderId="54" xfId="105" applyFont="1" applyFill="1" applyBorder="1" applyAlignment="1" applyProtection="1">
      <alignment horizontal="center"/>
      <protection hidden="1"/>
    </xf>
    <xf numFmtId="0" fontId="58" fillId="46" borderId="0" xfId="105" applyFont="1" applyFill="1" applyBorder="1" applyAlignment="1" applyProtection="1">
      <alignment horizontal="left"/>
      <protection hidden="1"/>
    </xf>
    <xf numFmtId="0" fontId="51" fillId="46" borderId="0" xfId="105" applyFont="1" applyFill="1" applyBorder="1" applyAlignment="1" applyProtection="1">
      <alignment/>
      <protection hidden="1"/>
    </xf>
    <xf numFmtId="0" fontId="43" fillId="46" borderId="27" xfId="105" applyFont="1" applyFill="1" applyBorder="1" applyAlignment="1" applyProtection="1">
      <alignment horizontal="left"/>
      <protection hidden="1"/>
    </xf>
    <xf numFmtId="208" fontId="42" fillId="2" borderId="43" xfId="105" applyNumberFormat="1" applyFont="1" applyFill="1" applyBorder="1" applyAlignment="1" applyProtection="1">
      <alignment vertical="center"/>
      <protection hidden="1"/>
    </xf>
    <xf numFmtId="208" fontId="42" fillId="2" borderId="22" xfId="105" applyNumberFormat="1" applyFont="1" applyFill="1" applyBorder="1" applyAlignment="1" applyProtection="1">
      <alignment vertical="center"/>
      <protection hidden="1"/>
    </xf>
    <xf numFmtId="0" fontId="141" fillId="0" borderId="26" xfId="0" applyFont="1" applyBorder="1" applyAlignment="1">
      <alignment horizontal="center"/>
    </xf>
    <xf numFmtId="0" fontId="42" fillId="46" borderId="37" xfId="105" applyFont="1" applyFill="1" applyBorder="1">
      <alignment/>
      <protection/>
    </xf>
    <xf numFmtId="208" fontId="42" fillId="2" borderId="37" xfId="105" applyNumberFormat="1" applyFont="1" applyFill="1" applyBorder="1" applyAlignment="1" applyProtection="1">
      <alignment vertical="center"/>
      <protection hidden="1"/>
    </xf>
    <xf numFmtId="208" fontId="42" fillId="2" borderId="55" xfId="105" applyNumberFormat="1" applyFont="1" applyFill="1" applyBorder="1" applyAlignment="1" applyProtection="1">
      <alignment vertical="center"/>
      <protection hidden="1"/>
    </xf>
    <xf numFmtId="0" fontId="43" fillId="57" borderId="56" xfId="105" applyFont="1" applyFill="1" applyBorder="1" applyAlignment="1" applyProtection="1">
      <alignment horizontal="center" vertical="center"/>
      <protection hidden="1"/>
    </xf>
    <xf numFmtId="0" fontId="138" fillId="57" borderId="30" xfId="105" applyFont="1" applyFill="1" applyBorder="1" applyAlignment="1" applyProtection="1">
      <alignment horizontal="center"/>
      <protection hidden="1"/>
    </xf>
    <xf numFmtId="0" fontId="43" fillId="57" borderId="31" xfId="105" applyNumberFormat="1" applyFont="1" applyFill="1" applyBorder="1" applyAlignment="1" applyProtection="1">
      <alignment vertical="center"/>
      <protection hidden="1"/>
    </xf>
    <xf numFmtId="0" fontId="43" fillId="57" borderId="32" xfId="105" applyNumberFormat="1" applyFont="1" applyFill="1" applyBorder="1" applyAlignment="1" applyProtection="1">
      <alignment vertical="center"/>
      <protection hidden="1"/>
    </xf>
    <xf numFmtId="0" fontId="43" fillId="0" borderId="0" xfId="105" applyFont="1" applyFill="1" applyBorder="1" applyAlignment="1" applyProtection="1">
      <alignment horizontal="center"/>
      <protection hidden="1"/>
    </xf>
    <xf numFmtId="0" fontId="42" fillId="50" borderId="26" xfId="105" applyFont="1" applyFill="1" applyBorder="1" applyAlignment="1" applyProtection="1">
      <alignment horizontal="left"/>
      <protection hidden="1"/>
    </xf>
    <xf numFmtId="0" fontId="43" fillId="50" borderId="26" xfId="105" applyFont="1" applyFill="1" applyBorder="1" applyAlignment="1" applyProtection="1">
      <alignment horizontal="left"/>
      <protection hidden="1"/>
    </xf>
    <xf numFmtId="0" fontId="43" fillId="46" borderId="26" xfId="0" applyFont="1" applyFill="1" applyBorder="1" applyAlignment="1">
      <alignment horizontal="center"/>
    </xf>
    <xf numFmtId="0" fontId="42" fillId="46" borderId="26" xfId="105" applyFont="1" applyFill="1" applyBorder="1">
      <alignment/>
      <protection/>
    </xf>
    <xf numFmtId="0" fontId="55" fillId="46" borderId="26" xfId="105" applyFont="1" applyFill="1" applyBorder="1" applyAlignment="1" applyProtection="1">
      <alignment horizontal="right"/>
      <protection hidden="1"/>
    </xf>
    <xf numFmtId="0" fontId="43" fillId="46" borderId="48" xfId="105" applyFont="1" applyFill="1" applyBorder="1" applyProtection="1">
      <alignment/>
      <protection hidden="1"/>
    </xf>
    <xf numFmtId="0" fontId="42" fillId="46" borderId="37" xfId="105" applyFont="1" applyFill="1" applyBorder="1" applyAlignment="1">
      <alignment horizontal="left"/>
      <protection/>
    </xf>
    <xf numFmtId="208" fontId="42" fillId="50" borderId="37" xfId="105" applyNumberFormat="1" applyFont="1" applyFill="1" applyBorder="1" applyAlignment="1" applyProtection="1">
      <alignment vertical="center"/>
      <protection hidden="1"/>
    </xf>
    <xf numFmtId="208" fontId="42" fillId="50" borderId="55" xfId="105" applyNumberFormat="1" applyFont="1" applyFill="1" applyBorder="1" applyAlignment="1" applyProtection="1">
      <alignment vertical="center"/>
      <protection hidden="1"/>
    </xf>
    <xf numFmtId="0" fontId="50" fillId="50" borderId="0" xfId="105" applyFont="1" applyFill="1" applyBorder="1" applyAlignment="1" applyProtection="1">
      <alignment/>
      <protection hidden="1"/>
    </xf>
    <xf numFmtId="0" fontId="45" fillId="46" borderId="26" xfId="0" applyFont="1" applyFill="1" applyBorder="1" applyAlignment="1">
      <alignment horizontal="center"/>
    </xf>
    <xf numFmtId="0" fontId="44" fillId="46" borderId="39" xfId="105" applyFont="1" applyFill="1" applyBorder="1" applyAlignment="1" applyProtection="1">
      <alignment horizontal="left"/>
      <protection hidden="1"/>
    </xf>
    <xf numFmtId="208" fontId="42" fillId="2" borderId="20" xfId="105" applyNumberFormat="1" applyFont="1" applyFill="1" applyBorder="1" applyAlignment="1" applyProtection="1">
      <alignment vertical="center"/>
      <protection hidden="1"/>
    </xf>
    <xf numFmtId="208" fontId="42" fillId="2" borderId="41" xfId="105" applyNumberFormat="1" applyFont="1" applyFill="1" applyBorder="1" applyAlignment="1" applyProtection="1">
      <alignment vertical="center"/>
      <protection hidden="1"/>
    </xf>
    <xf numFmtId="0" fontId="58" fillId="46" borderId="45" xfId="105" applyFont="1" applyFill="1" applyBorder="1" applyAlignment="1" applyProtection="1">
      <alignment horizontal="left"/>
      <protection hidden="1"/>
    </xf>
    <xf numFmtId="0" fontId="58" fillId="50" borderId="0" xfId="105" applyFont="1" applyFill="1" applyBorder="1" applyAlignment="1" applyProtection="1">
      <alignment horizontal="left"/>
      <protection hidden="1"/>
    </xf>
    <xf numFmtId="0" fontId="58" fillId="0" borderId="0" xfId="105" applyFont="1" applyBorder="1" applyAlignment="1" applyProtection="1">
      <alignment horizontal="left"/>
      <protection hidden="1"/>
    </xf>
    <xf numFmtId="0" fontId="43" fillId="50" borderId="0" xfId="105" applyFont="1" applyFill="1" applyBorder="1" applyAlignment="1" applyProtection="1">
      <alignment/>
      <protection hidden="1"/>
    </xf>
    <xf numFmtId="0" fontId="43" fillId="50" borderId="27" xfId="105" applyFont="1" applyFill="1" applyBorder="1" applyProtection="1">
      <alignment/>
      <protection hidden="1"/>
    </xf>
    <xf numFmtId="208" fontId="42" fillId="50" borderId="36" xfId="105" applyNumberFormat="1" applyFont="1" applyFill="1" applyBorder="1" applyAlignment="1" applyProtection="1">
      <alignment horizontal="right" vertical="center"/>
      <protection hidden="1"/>
    </xf>
    <xf numFmtId="208" fontId="42" fillId="50" borderId="43" xfId="105" applyNumberFormat="1" applyFont="1" applyFill="1" applyBorder="1" applyAlignment="1" applyProtection="1">
      <alignment horizontal="right" vertical="center"/>
      <protection hidden="1"/>
    </xf>
    <xf numFmtId="208" fontId="42" fillId="50" borderId="26" xfId="105" applyNumberFormat="1" applyFont="1" applyFill="1" applyBorder="1" applyAlignment="1" applyProtection="1">
      <alignment horizontal="right" vertical="center"/>
      <protection hidden="1"/>
    </xf>
    <xf numFmtId="208" fontId="42" fillId="50" borderId="22" xfId="105" applyNumberFormat="1" applyFont="1" applyFill="1" applyBorder="1" applyAlignment="1" applyProtection="1">
      <alignment horizontal="right" vertical="center"/>
      <protection hidden="1"/>
    </xf>
    <xf numFmtId="208" fontId="42" fillId="50" borderId="20" xfId="105" applyNumberFormat="1" applyFont="1" applyFill="1" applyBorder="1" applyAlignment="1" applyProtection="1">
      <alignment horizontal="right" vertical="center"/>
      <protection hidden="1"/>
    </xf>
    <xf numFmtId="208" fontId="42" fillId="50" borderId="41" xfId="105" applyNumberFormat="1" applyFont="1" applyFill="1" applyBorder="1" applyAlignment="1" applyProtection="1">
      <alignment horizontal="right" vertical="center"/>
      <protection hidden="1"/>
    </xf>
    <xf numFmtId="0" fontId="58" fillId="46" borderId="21" xfId="105" applyFont="1" applyFill="1" applyBorder="1" applyAlignment="1" applyProtection="1">
      <alignment/>
      <protection hidden="1"/>
    </xf>
    <xf numFmtId="0" fontId="44" fillId="46" borderId="0" xfId="106" applyFont="1" applyFill="1" applyBorder="1" applyProtection="1">
      <alignment/>
      <protection hidden="1"/>
    </xf>
    <xf numFmtId="0" fontId="40" fillId="46" borderId="21" xfId="105" applyFont="1" applyFill="1" applyBorder="1" applyAlignment="1" applyProtection="1">
      <alignment horizontal="left"/>
      <protection hidden="1"/>
    </xf>
    <xf numFmtId="0" fontId="43" fillId="46" borderId="34" xfId="105" applyFont="1" applyFill="1" applyBorder="1" applyAlignment="1">
      <alignment horizontal="left"/>
      <protection/>
    </xf>
    <xf numFmtId="0" fontId="128" fillId="46" borderId="34" xfId="105" applyFont="1" applyFill="1" applyBorder="1" applyAlignment="1">
      <alignment horizontal="center"/>
      <protection/>
    </xf>
    <xf numFmtId="208" fontId="42" fillId="50" borderId="57" xfId="105" applyNumberFormat="1" applyFont="1" applyFill="1" applyBorder="1" applyAlignment="1" applyProtection="1">
      <alignment vertical="center"/>
      <protection hidden="1"/>
    </xf>
    <xf numFmtId="208" fontId="42" fillId="50" borderId="58" xfId="105" applyNumberFormat="1" applyFont="1" applyFill="1" applyBorder="1" applyAlignment="1" applyProtection="1">
      <alignment vertical="center"/>
      <protection hidden="1"/>
    </xf>
    <xf numFmtId="0" fontId="44" fillId="46" borderId="21" xfId="106" applyFont="1" applyFill="1" applyBorder="1" applyAlignment="1" applyProtection="1">
      <alignment horizontal="left"/>
      <protection hidden="1"/>
    </xf>
    <xf numFmtId="1" fontId="42" fillId="0" borderId="0" xfId="105" applyNumberFormat="1" applyFont="1" applyFill="1" applyBorder="1" applyAlignment="1" applyProtection="1">
      <alignment horizontal="center"/>
      <protection hidden="1"/>
    </xf>
    <xf numFmtId="0" fontId="47" fillId="46" borderId="0" xfId="0" applyFont="1" applyFill="1" applyBorder="1" applyAlignment="1">
      <alignment/>
    </xf>
    <xf numFmtId="0" fontId="40" fillId="46" borderId="0" xfId="105" applyFont="1" applyFill="1" applyBorder="1" applyAlignment="1" applyProtection="1">
      <alignment horizontal="left" wrapText="1"/>
      <protection hidden="1"/>
    </xf>
    <xf numFmtId="0" fontId="42" fillId="50" borderId="0" xfId="0" applyFont="1" applyFill="1" applyBorder="1" applyAlignment="1">
      <alignment/>
    </xf>
    <xf numFmtId="0" fontId="43" fillId="46" borderId="27" xfId="0" applyFont="1" applyFill="1" applyBorder="1" applyAlignment="1">
      <alignment/>
    </xf>
    <xf numFmtId="0" fontId="44" fillId="46" borderId="26" xfId="105" applyFont="1" applyFill="1" applyBorder="1" applyAlignment="1" applyProtection="1">
      <alignment horizontal="left"/>
      <protection hidden="1"/>
    </xf>
    <xf numFmtId="0" fontId="127" fillId="0" borderId="0" xfId="0" applyFont="1" applyFill="1" applyAlignment="1">
      <alignment/>
    </xf>
    <xf numFmtId="0" fontId="43" fillId="46" borderId="28" xfId="0" applyFont="1" applyFill="1" applyBorder="1" applyAlignment="1">
      <alignment/>
    </xf>
    <xf numFmtId="0" fontId="128" fillId="46" borderId="27" xfId="0" applyFont="1" applyFill="1" applyBorder="1" applyAlignment="1">
      <alignment horizontal="center"/>
    </xf>
    <xf numFmtId="0" fontId="151" fillId="50" borderId="27" xfId="0" applyFont="1" applyFill="1" applyBorder="1" applyAlignment="1">
      <alignment horizontal="center"/>
    </xf>
    <xf numFmtId="1" fontId="42" fillId="50" borderId="26" xfId="105" applyNumberFormat="1" applyFont="1" applyFill="1" applyBorder="1" applyAlignment="1" applyProtection="1">
      <alignment vertical="center"/>
      <protection hidden="1"/>
    </xf>
    <xf numFmtId="1" fontId="42" fillId="50" borderId="22" xfId="105" applyNumberFormat="1" applyFont="1" applyFill="1" applyBorder="1" applyAlignment="1" applyProtection="1">
      <alignment vertical="center"/>
      <protection hidden="1"/>
    </xf>
    <xf numFmtId="1" fontId="42" fillId="50" borderId="0" xfId="105" applyNumberFormat="1" applyFont="1" applyFill="1" applyBorder="1" applyAlignment="1" applyProtection="1">
      <alignment vertical="center"/>
      <protection hidden="1"/>
    </xf>
    <xf numFmtId="0" fontId="154" fillId="50" borderId="27" xfId="0" applyFont="1" applyFill="1" applyBorder="1" applyAlignment="1">
      <alignment horizontal="center"/>
    </xf>
    <xf numFmtId="0" fontId="44" fillId="46" borderId="38" xfId="0" applyFont="1" applyFill="1" applyBorder="1" applyAlignment="1">
      <alignment/>
    </xf>
    <xf numFmtId="0" fontId="40" fillId="46" borderId="0" xfId="0" applyFont="1" applyFill="1" applyBorder="1" applyAlignment="1">
      <alignment horizontal="left"/>
    </xf>
    <xf numFmtId="0" fontId="44" fillId="46" borderId="0" xfId="0" applyFont="1" applyFill="1" applyBorder="1" applyAlignment="1">
      <alignment horizontal="left"/>
    </xf>
    <xf numFmtId="0" fontId="131" fillId="46" borderId="0" xfId="0" applyFont="1" applyFill="1" applyBorder="1" applyAlignment="1">
      <alignment horizontal="left"/>
    </xf>
    <xf numFmtId="0" fontId="150" fillId="46" borderId="0" xfId="0" applyFont="1" applyFill="1" applyBorder="1" applyAlignment="1">
      <alignment horizontal="left"/>
    </xf>
    <xf numFmtId="0" fontId="128" fillId="50" borderId="27" xfId="0" applyFont="1" applyFill="1" applyBorder="1" applyAlignment="1">
      <alignment horizontal="center"/>
    </xf>
    <xf numFmtId="0" fontId="128" fillId="50" borderId="27" xfId="0" applyFont="1" applyFill="1" applyBorder="1" applyAlignment="1">
      <alignment horizontal="center"/>
    </xf>
    <xf numFmtId="0" fontId="155" fillId="50" borderId="0" xfId="0" applyFont="1" applyFill="1" applyAlignment="1">
      <alignment/>
    </xf>
    <xf numFmtId="1" fontId="42" fillId="2" borderId="26" xfId="105" applyNumberFormat="1" applyFont="1" applyFill="1" applyBorder="1" applyAlignment="1" applyProtection="1">
      <alignment vertical="center"/>
      <protection hidden="1"/>
    </xf>
    <xf numFmtId="1" fontId="42" fillId="2" borderId="22" xfId="105" applyNumberFormat="1" applyFont="1" applyFill="1" applyBorder="1" applyAlignment="1" applyProtection="1">
      <alignment vertical="center"/>
      <protection hidden="1"/>
    </xf>
    <xf numFmtId="0" fontId="43" fillId="50" borderId="0" xfId="105" applyFont="1" applyFill="1" applyBorder="1" applyAlignment="1" applyProtection="1">
      <alignment horizontal="left"/>
      <protection hidden="1"/>
    </xf>
    <xf numFmtId="0" fontId="144" fillId="50" borderId="0" xfId="0" applyFont="1" applyFill="1" applyBorder="1" applyAlignment="1">
      <alignment/>
    </xf>
    <xf numFmtId="0" fontId="127" fillId="58" borderId="0" xfId="0" applyFont="1" applyFill="1" applyAlignment="1">
      <alignment/>
    </xf>
    <xf numFmtId="0" fontId="131" fillId="46" borderId="21" xfId="105" applyFont="1" applyFill="1" applyBorder="1" applyProtection="1">
      <alignment/>
      <protection hidden="1"/>
    </xf>
    <xf numFmtId="0" fontId="128" fillId="46" borderId="21" xfId="105" applyFont="1" applyFill="1" applyBorder="1" applyProtection="1">
      <alignment/>
      <protection hidden="1"/>
    </xf>
    <xf numFmtId="1" fontId="128" fillId="46" borderId="21" xfId="105" applyNumberFormat="1" applyFont="1" applyFill="1" applyBorder="1" applyAlignment="1" applyProtection="1">
      <alignment horizontal="center"/>
      <protection hidden="1"/>
    </xf>
    <xf numFmtId="1" fontId="128" fillId="46" borderId="0" xfId="105" applyNumberFormat="1" applyFont="1" applyFill="1" applyBorder="1" applyAlignment="1" applyProtection="1">
      <alignment horizontal="center"/>
      <protection hidden="1"/>
    </xf>
    <xf numFmtId="0" fontId="43" fillId="46" borderId="49" xfId="105" applyFont="1" applyFill="1" applyBorder="1" applyProtection="1">
      <alignment/>
      <protection hidden="1"/>
    </xf>
    <xf numFmtId="0" fontId="156" fillId="46" borderId="26" xfId="105" applyFont="1" applyFill="1" applyBorder="1" applyProtection="1">
      <alignment/>
      <protection hidden="1"/>
    </xf>
    <xf numFmtId="0" fontId="128" fillId="46" borderId="27" xfId="105" applyFont="1" applyFill="1" applyBorder="1" applyAlignment="1" applyProtection="1">
      <alignment horizontal="center"/>
      <protection hidden="1"/>
    </xf>
    <xf numFmtId="0" fontId="44" fillId="46" borderId="59" xfId="105" applyFont="1" applyFill="1" applyBorder="1" applyAlignment="1" applyProtection="1">
      <alignment horizontal="left"/>
      <protection hidden="1"/>
    </xf>
    <xf numFmtId="0" fontId="42" fillId="46" borderId="50" xfId="105" applyFont="1" applyFill="1" applyBorder="1" applyProtection="1">
      <alignment/>
      <protection hidden="1"/>
    </xf>
    <xf numFmtId="208" fontId="42" fillId="50" borderId="50" xfId="105" applyNumberFormat="1" applyFont="1" applyFill="1" applyBorder="1" applyAlignment="1" applyProtection="1">
      <alignment vertical="center"/>
      <protection hidden="1"/>
    </xf>
    <xf numFmtId="208" fontId="42" fillId="50" borderId="25" xfId="105" applyNumberFormat="1" applyFont="1" applyFill="1" applyBorder="1" applyAlignment="1" applyProtection="1">
      <alignment vertical="center"/>
      <protection hidden="1"/>
    </xf>
    <xf numFmtId="0" fontId="146" fillId="50" borderId="0" xfId="105" applyFont="1" applyFill="1" applyBorder="1" applyAlignment="1" applyProtection="1">
      <alignment horizontal="left"/>
      <protection hidden="1"/>
    </xf>
    <xf numFmtId="0" fontId="44" fillId="50" borderId="0" xfId="105" applyFont="1" applyFill="1" applyBorder="1" applyProtection="1">
      <alignment/>
      <protection hidden="1"/>
    </xf>
    <xf numFmtId="1" fontId="42" fillId="50" borderId="21" xfId="105" applyNumberFormat="1" applyFont="1" applyFill="1" applyBorder="1" applyAlignment="1" applyProtection="1">
      <alignment horizontal="center"/>
      <protection hidden="1"/>
    </xf>
    <xf numFmtId="0" fontId="44" fillId="50" borderId="21" xfId="105" applyFont="1" applyFill="1" applyBorder="1" applyProtection="1">
      <alignment/>
      <protection hidden="1"/>
    </xf>
    <xf numFmtId="0" fontId="44" fillId="0" borderId="21" xfId="105" applyFont="1" applyBorder="1" applyProtection="1">
      <alignment/>
      <protection hidden="1"/>
    </xf>
    <xf numFmtId="0" fontId="47" fillId="46" borderId="0" xfId="0" applyFont="1" applyFill="1" applyBorder="1" applyAlignment="1">
      <alignment horizontal="left"/>
    </xf>
    <xf numFmtId="1" fontId="42" fillId="50" borderId="36" xfId="105" applyNumberFormat="1" applyFont="1" applyFill="1" applyBorder="1" applyAlignment="1" applyProtection="1">
      <alignment horizontal="center"/>
      <protection hidden="1"/>
    </xf>
    <xf numFmtId="1" fontId="42" fillId="50" borderId="26" xfId="105" applyNumberFormat="1" applyFont="1" applyFill="1" applyBorder="1" applyAlignment="1" applyProtection="1">
      <alignment horizontal="center"/>
      <protection hidden="1"/>
    </xf>
    <xf numFmtId="0" fontId="43" fillId="46" borderId="34" xfId="105" applyFont="1" applyFill="1" applyBorder="1" applyAlignment="1" applyProtection="1">
      <alignment horizontal="left" wrapText="1"/>
      <protection hidden="1"/>
    </xf>
    <xf numFmtId="0" fontId="43" fillId="46" borderId="34" xfId="105" applyFont="1" applyFill="1" applyBorder="1" applyAlignment="1" applyProtection="1">
      <alignment horizontal="left"/>
      <protection hidden="1"/>
    </xf>
    <xf numFmtId="0" fontId="128" fillId="46" borderId="27" xfId="105" applyFont="1" applyFill="1" applyBorder="1" applyAlignment="1" applyProtection="1">
      <alignment horizontal="left"/>
      <protection hidden="1"/>
    </xf>
    <xf numFmtId="208" fontId="42" fillId="50" borderId="34" xfId="105" applyNumberFormat="1" applyFont="1" applyFill="1" applyBorder="1" applyAlignment="1" applyProtection="1">
      <alignment horizontal="center"/>
      <protection hidden="1"/>
    </xf>
    <xf numFmtId="208" fontId="42" fillId="50" borderId="39" xfId="105" applyNumberFormat="1" applyFont="1" applyFill="1" applyBorder="1" applyAlignment="1" applyProtection="1">
      <alignment horizontal="center"/>
      <protection hidden="1"/>
    </xf>
    <xf numFmtId="1" fontId="42" fillId="50" borderId="20" xfId="105" applyNumberFormat="1" applyFont="1" applyFill="1" applyBorder="1" applyAlignment="1" applyProtection="1">
      <alignment horizontal="center"/>
      <protection hidden="1"/>
    </xf>
    <xf numFmtId="0" fontId="44" fillId="0" borderId="0" xfId="105" applyFont="1" applyBorder="1" applyProtection="1">
      <alignment/>
      <protection hidden="1"/>
    </xf>
    <xf numFmtId="0" fontId="128" fillId="46" borderId="34" xfId="105" applyFont="1" applyFill="1" applyBorder="1" applyAlignment="1" applyProtection="1">
      <alignment horizontal="left"/>
      <protection hidden="1"/>
    </xf>
    <xf numFmtId="1" fontId="42" fillId="46" borderId="33" xfId="105" applyNumberFormat="1" applyFont="1" applyFill="1" applyBorder="1" applyAlignment="1" applyProtection="1">
      <alignment horizontal="center"/>
      <protection hidden="1"/>
    </xf>
    <xf numFmtId="1" fontId="42" fillId="46" borderId="34" xfId="105" applyNumberFormat="1" applyFont="1" applyFill="1" applyBorder="1" applyAlignment="1" applyProtection="1">
      <alignment horizontal="center"/>
      <protection hidden="1"/>
    </xf>
    <xf numFmtId="0" fontId="43" fillId="46" borderId="37" xfId="105" applyFont="1" applyFill="1" applyBorder="1" applyAlignment="1" applyProtection="1">
      <alignment horizontal="left"/>
      <protection hidden="1"/>
    </xf>
    <xf numFmtId="208" fontId="42" fillId="50" borderId="37" xfId="105" applyNumberFormat="1" applyFont="1" applyFill="1" applyBorder="1" applyAlignment="1" applyProtection="1">
      <alignment horizontal="center"/>
      <protection hidden="1"/>
    </xf>
    <xf numFmtId="1" fontId="42" fillId="46" borderId="35" xfId="105" applyNumberFormat="1" applyFont="1" applyFill="1" applyBorder="1" applyAlignment="1" applyProtection="1">
      <alignment horizontal="center"/>
      <protection hidden="1"/>
    </xf>
    <xf numFmtId="0" fontId="43" fillId="50" borderId="0" xfId="105" applyFont="1" applyFill="1" applyBorder="1" applyAlignment="1" applyProtection="1">
      <alignment horizontal="left" vertical="center"/>
      <protection hidden="1"/>
    </xf>
    <xf numFmtId="208" fontId="42" fillId="50" borderId="35" xfId="105" applyNumberFormat="1" applyFont="1" applyFill="1" applyBorder="1" applyAlignment="1" applyProtection="1">
      <alignment horizontal="center"/>
      <protection hidden="1"/>
    </xf>
    <xf numFmtId="0" fontId="128" fillId="46" borderId="26" xfId="105" applyFont="1" applyFill="1" applyBorder="1" applyAlignment="1" applyProtection="1">
      <alignment horizontal="left"/>
      <protection hidden="1"/>
    </xf>
    <xf numFmtId="0" fontId="42" fillId="46" borderId="0" xfId="0" applyFont="1" applyFill="1" applyAlignment="1">
      <alignment/>
    </xf>
    <xf numFmtId="0" fontId="44" fillId="46" borderId="44" xfId="105" applyFont="1" applyFill="1" applyBorder="1" applyAlignment="1" applyProtection="1">
      <alignment horizontal="left"/>
      <protection hidden="1"/>
    </xf>
    <xf numFmtId="0" fontId="49" fillId="46" borderId="21" xfId="105" applyFont="1" applyFill="1" applyBorder="1" applyAlignment="1" applyProtection="1">
      <alignment horizontal="center"/>
      <protection hidden="1"/>
    </xf>
    <xf numFmtId="0" fontId="43" fillId="46" borderId="20" xfId="105" applyFont="1" applyFill="1" applyBorder="1" applyProtection="1">
      <alignment/>
      <protection hidden="1"/>
    </xf>
    <xf numFmtId="0" fontId="42" fillId="46" borderId="35" xfId="105" applyFont="1" applyFill="1" applyBorder="1">
      <alignment/>
      <protection/>
    </xf>
    <xf numFmtId="0" fontId="44" fillId="50" borderId="0" xfId="0" applyFont="1" applyFill="1" applyAlignment="1">
      <alignment horizontal="left"/>
    </xf>
    <xf numFmtId="0" fontId="44" fillId="50" borderId="0" xfId="0" applyFont="1" applyFill="1" applyAlignment="1">
      <alignment horizontal="center"/>
    </xf>
    <xf numFmtId="0" fontId="60" fillId="46" borderId="34" xfId="105" applyFont="1" applyFill="1" applyBorder="1" applyAlignment="1" applyProtection="1">
      <alignment horizontal="left"/>
      <protection hidden="1"/>
    </xf>
    <xf numFmtId="0" fontId="61" fillId="46" borderId="34" xfId="105" applyFont="1" applyFill="1" applyBorder="1" applyProtection="1">
      <alignment/>
      <protection hidden="1"/>
    </xf>
    <xf numFmtId="0" fontId="60" fillId="46" borderId="34" xfId="105" applyFont="1" applyFill="1" applyBorder="1" applyProtection="1">
      <alignment/>
      <protection hidden="1"/>
    </xf>
    <xf numFmtId="0" fontId="60" fillId="46" borderId="39" xfId="105" applyFont="1" applyFill="1" applyBorder="1">
      <alignment/>
      <protection/>
    </xf>
    <xf numFmtId="0" fontId="41" fillId="46" borderId="0" xfId="0" applyFont="1" applyFill="1" applyAlignment="1">
      <alignment/>
    </xf>
    <xf numFmtId="0" fontId="42" fillId="46" borderId="21" xfId="0" applyFont="1" applyFill="1" applyBorder="1" applyAlignment="1">
      <alignment/>
    </xf>
    <xf numFmtId="0" fontId="23" fillId="50" borderId="60" xfId="105" applyFont="1" applyFill="1" applyBorder="1" applyAlignment="1">
      <alignment wrapText="1"/>
      <protection/>
    </xf>
    <xf numFmtId="0" fontId="115" fillId="50" borderId="60" xfId="0" applyFont="1" applyFill="1" applyBorder="1" applyAlignment="1">
      <alignment/>
    </xf>
    <xf numFmtId="0" fontId="24" fillId="50" borderId="0" xfId="0" applyFont="1" applyFill="1" applyAlignment="1">
      <alignment horizontal="center" wrapText="1"/>
    </xf>
    <xf numFmtId="0" fontId="4" fillId="50" borderId="0" xfId="0" applyFont="1" applyFill="1" applyBorder="1" applyAlignment="1">
      <alignment horizontal="center"/>
    </xf>
    <xf numFmtId="0" fontId="23" fillId="50" borderId="0" xfId="0" applyFont="1" applyFill="1" applyAlignment="1">
      <alignment horizontal="center"/>
    </xf>
    <xf numFmtId="0" fontId="115" fillId="50" borderId="0" xfId="0" applyFont="1" applyFill="1" applyAlignment="1">
      <alignment/>
    </xf>
    <xf numFmtId="0" fontId="22" fillId="50" borderId="0" xfId="0" applyFont="1" applyFill="1" applyAlignment="1">
      <alignment vertical="center"/>
    </xf>
    <xf numFmtId="0" fontId="157" fillId="50" borderId="0" xfId="105" applyFont="1" applyFill="1" applyAlignment="1" applyProtection="1">
      <alignment horizontal="left"/>
      <protection hidden="1"/>
    </xf>
    <xf numFmtId="0" fontId="157" fillId="50" borderId="0" xfId="105" applyFont="1" applyFill="1" applyAlignment="1">
      <alignment horizontal="left"/>
      <protection/>
    </xf>
    <xf numFmtId="0" fontId="114" fillId="50" borderId="0" xfId="0" applyFont="1" applyFill="1" applyAlignment="1">
      <alignment horizontal="left"/>
    </xf>
    <xf numFmtId="0" fontId="119" fillId="50" borderId="0" xfId="105" applyFont="1" applyFill="1" applyAlignment="1" applyProtection="1">
      <alignment horizontal="center"/>
      <protection hidden="1"/>
    </xf>
    <xf numFmtId="0" fontId="40" fillId="50" borderId="0" xfId="105" applyFont="1" applyFill="1" applyBorder="1" applyAlignment="1" applyProtection="1">
      <alignment/>
      <protection hidden="1"/>
    </xf>
    <xf numFmtId="0" fontId="99" fillId="50" borderId="0" xfId="69" applyFill="1" applyBorder="1" applyAlignment="1" applyProtection="1">
      <alignment horizontal="left" indent="3"/>
      <protection/>
    </xf>
    <xf numFmtId="0" fontId="99" fillId="50" borderId="0" xfId="69" applyFill="1" applyBorder="1" applyAlignment="1" applyProtection="1">
      <alignment horizontal="left" wrapText="1" indent="3"/>
      <protection hidden="1"/>
    </xf>
    <xf numFmtId="208" fontId="42" fillId="50" borderId="0" xfId="105" applyNumberFormat="1" applyFont="1" applyFill="1" applyBorder="1" applyAlignment="1" applyProtection="1">
      <alignment horizontal="center"/>
      <protection hidden="1"/>
    </xf>
    <xf numFmtId="208" fontId="42" fillId="2" borderId="36" xfId="105" applyNumberFormat="1" applyFont="1" applyFill="1" applyBorder="1" applyAlignment="1" applyProtection="1">
      <alignment horizontal="center"/>
      <protection hidden="1"/>
    </xf>
    <xf numFmtId="208" fontId="42" fillId="2" borderId="43" xfId="105" applyNumberFormat="1" applyFont="1" applyFill="1" applyBorder="1" applyAlignment="1" applyProtection="1">
      <alignment horizontal="center"/>
      <protection hidden="1"/>
    </xf>
    <xf numFmtId="208" fontId="42" fillId="50" borderId="36" xfId="105" applyNumberFormat="1" applyFont="1" applyFill="1" applyBorder="1" applyAlignment="1" applyProtection="1">
      <alignment horizontal="center"/>
      <protection hidden="1"/>
    </xf>
    <xf numFmtId="208" fontId="42" fillId="50" borderId="43" xfId="105" applyNumberFormat="1" applyFont="1" applyFill="1" applyBorder="1" applyAlignment="1" applyProtection="1">
      <alignment horizontal="center"/>
      <protection hidden="1"/>
    </xf>
    <xf numFmtId="1" fontId="42" fillId="50" borderId="0" xfId="105" applyNumberFormat="1" applyFont="1" applyFill="1" applyBorder="1" applyAlignment="1" applyProtection="1">
      <alignment horizontal="center"/>
      <protection hidden="1"/>
    </xf>
    <xf numFmtId="208" fontId="42" fillId="50" borderId="26" xfId="105" applyNumberFormat="1" applyFont="1" applyFill="1" applyBorder="1" applyAlignment="1" applyProtection="1">
      <alignment horizontal="center"/>
      <protection hidden="1"/>
    </xf>
    <xf numFmtId="208" fontId="42" fillId="50" borderId="22" xfId="105" applyNumberFormat="1" applyFont="1" applyFill="1" applyBorder="1" applyAlignment="1" applyProtection="1">
      <alignment horizontal="center"/>
      <protection hidden="1"/>
    </xf>
    <xf numFmtId="208" fontId="42" fillId="50" borderId="37" xfId="105" applyNumberFormat="1" applyFont="1" applyFill="1" applyBorder="1" applyAlignment="1" applyProtection="1">
      <alignment horizontal="center"/>
      <protection hidden="1"/>
    </xf>
    <xf numFmtId="208" fontId="42" fillId="50" borderId="55" xfId="105" applyNumberFormat="1" applyFont="1" applyFill="1" applyBorder="1" applyAlignment="1" applyProtection="1">
      <alignment horizontal="center"/>
      <protection hidden="1"/>
    </xf>
    <xf numFmtId="1" fontId="43" fillId="50" borderId="0" xfId="105" applyNumberFormat="1" applyFont="1" applyFill="1" applyBorder="1" applyAlignment="1" applyProtection="1">
      <alignment horizontal="center"/>
      <protection hidden="1"/>
    </xf>
    <xf numFmtId="208" fontId="42" fillId="2" borderId="26" xfId="105" applyNumberFormat="1" applyFont="1" applyFill="1" applyBorder="1" applyAlignment="1" applyProtection="1">
      <alignment horizontal="center"/>
      <protection hidden="1"/>
    </xf>
    <xf numFmtId="208" fontId="42" fillId="2" borderId="22" xfId="105" applyNumberFormat="1" applyFont="1" applyFill="1" applyBorder="1" applyAlignment="1" applyProtection="1">
      <alignment horizontal="center"/>
      <protection hidden="1"/>
    </xf>
    <xf numFmtId="208" fontId="42" fillId="2" borderId="37" xfId="105" applyNumberFormat="1" applyFont="1" applyFill="1" applyBorder="1" applyAlignment="1" applyProtection="1">
      <alignment horizontal="center"/>
      <protection hidden="1"/>
    </xf>
    <xf numFmtId="208" fontId="42" fillId="2" borderId="55" xfId="105" applyNumberFormat="1" applyFont="1" applyFill="1" applyBorder="1" applyAlignment="1" applyProtection="1">
      <alignment horizontal="center"/>
      <protection hidden="1"/>
    </xf>
    <xf numFmtId="208" fontId="42" fillId="2" borderId="20" xfId="105" applyNumberFormat="1" applyFont="1" applyFill="1" applyBorder="1" applyAlignment="1" applyProtection="1">
      <alignment horizontal="center"/>
      <protection hidden="1"/>
    </xf>
    <xf numFmtId="208" fontId="42" fillId="2" borderId="41" xfId="105" applyNumberFormat="1" applyFont="1" applyFill="1" applyBorder="1" applyAlignment="1" applyProtection="1">
      <alignment horizontal="center"/>
      <protection hidden="1"/>
    </xf>
    <xf numFmtId="0" fontId="41" fillId="50" borderId="0" xfId="105" applyFont="1" applyFill="1" applyBorder="1" applyAlignment="1" applyProtection="1">
      <alignment horizontal="left"/>
      <protection hidden="1"/>
    </xf>
    <xf numFmtId="208" fontId="42" fillId="50" borderId="29" xfId="105" applyNumberFormat="1" applyFont="1" applyFill="1" applyBorder="1" applyAlignment="1" applyProtection="1">
      <alignment horizontal="center"/>
      <protection hidden="1"/>
    </xf>
    <xf numFmtId="208" fontId="42" fillId="50" borderId="44" xfId="105" applyNumberFormat="1" applyFont="1" applyFill="1" applyBorder="1" applyAlignment="1" applyProtection="1">
      <alignment horizontal="center"/>
      <protection hidden="1"/>
    </xf>
    <xf numFmtId="0" fontId="43" fillId="50" borderId="0" xfId="105" applyFont="1" applyFill="1" applyBorder="1" applyAlignment="1" applyProtection="1">
      <alignment horizontal="center"/>
      <protection hidden="1"/>
    </xf>
    <xf numFmtId="0" fontId="41" fillId="50" borderId="0" xfId="105" applyFont="1" applyFill="1" applyBorder="1" applyAlignment="1" applyProtection="1">
      <alignment horizontal="left"/>
      <protection hidden="1"/>
    </xf>
    <xf numFmtId="0" fontId="128" fillId="50" borderId="34" xfId="105" applyFont="1" applyFill="1" applyBorder="1" applyAlignment="1">
      <alignment horizontal="center"/>
      <protection/>
    </xf>
    <xf numFmtId="0" fontId="113" fillId="50" borderId="0" xfId="0" applyFont="1" applyFill="1" applyAlignment="1">
      <alignment horizontal="center"/>
    </xf>
    <xf numFmtId="0" fontId="113" fillId="50" borderId="0" xfId="0" applyFont="1" applyFill="1" applyBorder="1" applyAlignment="1">
      <alignment horizontal="center"/>
    </xf>
    <xf numFmtId="0" fontId="125" fillId="50" borderId="0" xfId="0" applyFont="1" applyFill="1" applyAlignment="1">
      <alignment horizontal="left" vertical="top"/>
    </xf>
    <xf numFmtId="0" fontId="125" fillId="50" borderId="0" xfId="105" applyFont="1" applyFill="1" applyAlignment="1" applyProtection="1">
      <alignment/>
      <protection hidden="1"/>
    </xf>
    <xf numFmtId="0" fontId="123" fillId="50" borderId="0" xfId="0" applyFont="1" applyFill="1" applyAlignment="1">
      <alignment/>
    </xf>
    <xf numFmtId="0" fontId="49" fillId="46" borderId="21" xfId="105" applyFont="1" applyFill="1" applyBorder="1" applyAlignment="1" applyProtection="1">
      <alignment horizontal="center" vertical="center"/>
      <protection hidden="1"/>
    </xf>
    <xf numFmtId="0" fontId="49" fillId="46" borderId="0" xfId="105" applyFont="1" applyFill="1" applyAlignment="1" applyProtection="1">
      <alignment horizontal="center" vertical="center"/>
      <protection hidden="1"/>
    </xf>
    <xf numFmtId="9" fontId="42" fillId="50" borderId="0" xfId="105" applyNumberFormat="1" applyFont="1" applyFill="1" applyBorder="1" applyAlignment="1" applyProtection="1">
      <alignment horizontal="center"/>
      <protection hidden="1"/>
    </xf>
    <xf numFmtId="0" fontId="87" fillId="46" borderId="0" xfId="0" applyFont="1" applyFill="1" applyBorder="1" applyAlignment="1">
      <alignment/>
    </xf>
    <xf numFmtId="0" fontId="44" fillId="46" borderId="0" xfId="105" applyFont="1" applyFill="1" applyProtection="1">
      <alignment/>
      <protection hidden="1"/>
    </xf>
    <xf numFmtId="0" fontId="44" fillId="46" borderId="0" xfId="105" applyFont="1" applyFill="1">
      <alignment/>
      <protection/>
    </xf>
    <xf numFmtId="0" fontId="87" fillId="46" borderId="0" xfId="0" applyFont="1" applyFill="1" applyAlignment="1">
      <alignment/>
    </xf>
    <xf numFmtId="1" fontId="44" fillId="50" borderId="0" xfId="105" applyNumberFormat="1" applyFont="1" applyFill="1" applyBorder="1" applyAlignment="1" applyProtection="1">
      <alignment horizontal="center"/>
      <protection hidden="1"/>
    </xf>
    <xf numFmtId="0" fontId="46" fillId="46" borderId="0" xfId="105" applyFont="1" applyFill="1" applyBorder="1" applyAlignment="1" applyProtection="1">
      <alignment horizontal="center"/>
      <protection hidden="1"/>
    </xf>
    <xf numFmtId="0" fontId="46" fillId="46" borderId="27" xfId="105" applyFont="1" applyFill="1" applyBorder="1" applyAlignment="1" applyProtection="1">
      <alignment horizontal="center"/>
      <protection hidden="1"/>
    </xf>
    <xf numFmtId="0" fontId="43" fillId="46" borderId="47" xfId="105" applyFont="1" applyFill="1" applyBorder="1" applyAlignment="1" applyProtection="1">
      <alignment horizontal="center"/>
      <protection hidden="1"/>
    </xf>
    <xf numFmtId="208" fontId="42" fillId="50" borderId="0" xfId="105" applyNumberFormat="1" applyFont="1" applyFill="1" applyBorder="1" applyAlignment="1" applyProtection="1">
      <alignment horizontal="center"/>
      <protection hidden="1"/>
    </xf>
    <xf numFmtId="1" fontId="42" fillId="50" borderId="0" xfId="105" applyNumberFormat="1" applyFont="1" applyFill="1" applyBorder="1" applyAlignment="1" applyProtection="1">
      <alignment horizontal="center"/>
      <protection hidden="1"/>
    </xf>
    <xf numFmtId="1" fontId="42" fillId="50" borderId="21" xfId="105" applyNumberFormat="1" applyFont="1" applyFill="1" applyBorder="1" applyAlignment="1" applyProtection="1">
      <alignment horizontal="center"/>
      <protection hidden="1"/>
    </xf>
    <xf numFmtId="0" fontId="43" fillId="0" borderId="0" xfId="105" applyFont="1" applyBorder="1" applyAlignment="1" applyProtection="1">
      <alignment vertical="center"/>
      <protection hidden="1"/>
    </xf>
    <xf numFmtId="0" fontId="43" fillId="46" borderId="0" xfId="105" applyFont="1" applyFill="1" applyBorder="1" applyAlignment="1" applyProtection="1">
      <alignment vertical="center"/>
      <protection hidden="1"/>
    </xf>
    <xf numFmtId="0" fontId="139" fillId="46" borderId="0" xfId="105" applyFont="1" applyFill="1" applyBorder="1" applyAlignment="1" applyProtection="1">
      <alignment horizontal="center"/>
      <protection hidden="1"/>
    </xf>
    <xf numFmtId="0" fontId="44" fillId="50" borderId="0" xfId="105" applyFont="1" applyFill="1" applyBorder="1" applyAlignment="1" applyProtection="1">
      <alignment/>
      <protection hidden="1"/>
    </xf>
    <xf numFmtId="0" fontId="42" fillId="46" borderId="34" xfId="105" applyFont="1" applyFill="1" applyBorder="1" applyAlignment="1" applyProtection="1">
      <alignment horizontal="center"/>
      <protection hidden="1"/>
    </xf>
    <xf numFmtId="0" fontId="58" fillId="50" borderId="21" xfId="105" applyFont="1" applyFill="1" applyBorder="1" applyAlignment="1" applyProtection="1">
      <alignment horizontal="left"/>
      <protection hidden="1"/>
    </xf>
    <xf numFmtId="0" fontId="44" fillId="46" borderId="45" xfId="106" applyFont="1" applyFill="1" applyBorder="1" applyAlignment="1" applyProtection="1">
      <alignment horizontal="left"/>
      <protection hidden="1"/>
    </xf>
    <xf numFmtId="1" fontId="54" fillId="46" borderId="21" xfId="105" applyNumberFormat="1" applyFont="1" applyFill="1" applyBorder="1" applyAlignment="1" applyProtection="1">
      <alignment horizontal="center"/>
      <protection hidden="1"/>
    </xf>
    <xf numFmtId="1" fontId="54" fillId="50" borderId="0" xfId="105" applyNumberFormat="1" applyFont="1" applyFill="1" applyBorder="1" applyAlignment="1" applyProtection="1">
      <alignment horizontal="center"/>
      <protection hidden="1"/>
    </xf>
    <xf numFmtId="0" fontId="44" fillId="46" borderId="0" xfId="106" applyFont="1" applyFill="1" applyBorder="1" applyAlignment="1" applyProtection="1">
      <alignment horizontal="left"/>
      <protection hidden="1"/>
    </xf>
    <xf numFmtId="1" fontId="42" fillId="50" borderId="0" xfId="105" applyNumberFormat="1" applyFont="1" applyFill="1" applyBorder="1" applyAlignment="1" applyProtection="1">
      <alignment horizontal="center"/>
      <protection hidden="1"/>
    </xf>
    <xf numFmtId="0" fontId="138" fillId="50" borderId="0" xfId="105" applyFont="1" applyFill="1" applyBorder="1" applyAlignment="1" applyProtection="1">
      <alignment horizontal="center" vertical="center"/>
      <protection hidden="1"/>
    </xf>
    <xf numFmtId="0" fontId="139" fillId="50" borderId="0" xfId="105" applyFont="1" applyFill="1" applyBorder="1" applyAlignment="1" applyProtection="1">
      <alignment horizontal="center" vertical="center"/>
      <protection hidden="1"/>
    </xf>
    <xf numFmtId="1" fontId="42" fillId="50" borderId="0" xfId="105" applyNumberFormat="1" applyFont="1" applyFill="1" applyBorder="1" applyAlignment="1" applyProtection="1">
      <alignment horizontal="center"/>
      <protection hidden="1"/>
    </xf>
    <xf numFmtId="0" fontId="41" fillId="50" borderId="0" xfId="105" applyFont="1" applyFill="1" applyBorder="1" applyAlignment="1" applyProtection="1">
      <alignment horizontal="left"/>
      <protection hidden="1"/>
    </xf>
    <xf numFmtId="208" fontId="42" fillId="2" borderId="0" xfId="105" applyNumberFormat="1" applyFont="1" applyFill="1" applyBorder="1" applyAlignment="1" applyProtection="1">
      <alignment vertical="center"/>
      <protection hidden="1"/>
    </xf>
    <xf numFmtId="208" fontId="42" fillId="2" borderId="50" xfId="105" applyNumberFormat="1" applyFont="1" applyFill="1" applyBorder="1" applyAlignment="1" applyProtection="1">
      <alignment vertical="center"/>
      <protection hidden="1"/>
    </xf>
    <xf numFmtId="208" fontId="42" fillId="2" borderId="25" xfId="105" applyNumberFormat="1" applyFont="1" applyFill="1" applyBorder="1" applyAlignment="1" applyProtection="1">
      <alignment vertical="center"/>
      <protection hidden="1"/>
    </xf>
    <xf numFmtId="0" fontId="153" fillId="50" borderId="0" xfId="105" applyFont="1" applyFill="1" applyBorder="1" applyAlignment="1" applyProtection="1">
      <alignment horizontal="left"/>
      <protection hidden="1"/>
    </xf>
    <xf numFmtId="0" fontId="138" fillId="54" borderId="61" xfId="105" applyFont="1" applyFill="1" applyBorder="1" applyAlignment="1" applyProtection="1">
      <alignment horizontal="center" vertical="center"/>
      <protection hidden="1"/>
    </xf>
    <xf numFmtId="0" fontId="43" fillId="50" borderId="28" xfId="105" applyFont="1" applyFill="1" applyBorder="1" applyAlignment="1" applyProtection="1">
      <alignment horizontal="left"/>
      <protection hidden="1"/>
    </xf>
    <xf numFmtId="0" fontId="128" fillId="50" borderId="28" xfId="105" applyFont="1" applyFill="1" applyBorder="1" applyAlignment="1" applyProtection="1">
      <alignment horizontal="center"/>
      <protection hidden="1"/>
    </xf>
    <xf numFmtId="208" fontId="42" fillId="2" borderId="36" xfId="105" applyNumberFormat="1" applyFont="1" applyFill="1" applyBorder="1" applyAlignment="1" applyProtection="1">
      <alignment horizontal="right"/>
      <protection hidden="1"/>
    </xf>
    <xf numFmtId="1" fontId="42" fillId="2" borderId="29" xfId="105" applyNumberFormat="1" applyFont="1" applyFill="1" applyBorder="1" applyAlignment="1" applyProtection="1">
      <alignment horizontal="right"/>
      <protection hidden="1"/>
    </xf>
    <xf numFmtId="1" fontId="42" fillId="2" borderId="43" xfId="105" applyNumberFormat="1" applyFont="1" applyFill="1" applyBorder="1" applyAlignment="1" applyProtection="1">
      <alignment horizontal="right"/>
      <protection hidden="1"/>
    </xf>
    <xf numFmtId="208" fontId="42" fillId="2" borderId="26" xfId="105" applyNumberFormat="1" applyFont="1" applyFill="1" applyBorder="1" applyAlignment="1" applyProtection="1">
      <alignment horizontal="right"/>
      <protection hidden="1"/>
    </xf>
    <xf numFmtId="1" fontId="42" fillId="2" borderId="0" xfId="105" applyNumberFormat="1" applyFont="1" applyFill="1" applyBorder="1" applyAlignment="1" applyProtection="1">
      <alignment horizontal="right"/>
      <protection hidden="1"/>
    </xf>
    <xf numFmtId="1" fontId="42" fillId="2" borderId="22" xfId="105" applyNumberFormat="1" applyFont="1" applyFill="1" applyBorder="1" applyAlignment="1" applyProtection="1">
      <alignment horizontal="right"/>
      <protection hidden="1"/>
    </xf>
    <xf numFmtId="208" fontId="42" fillId="2" borderId="37" xfId="105" applyNumberFormat="1" applyFont="1" applyFill="1" applyBorder="1" applyAlignment="1" applyProtection="1">
      <alignment horizontal="right"/>
      <protection hidden="1"/>
    </xf>
    <xf numFmtId="1" fontId="42" fillId="2" borderId="44" xfId="105" applyNumberFormat="1" applyFont="1" applyFill="1" applyBorder="1" applyAlignment="1" applyProtection="1">
      <alignment horizontal="right"/>
      <protection hidden="1"/>
    </xf>
    <xf numFmtId="1" fontId="42" fillId="2" borderId="55" xfId="105" applyNumberFormat="1" applyFont="1" applyFill="1" applyBorder="1" applyAlignment="1" applyProtection="1">
      <alignment horizontal="right"/>
      <protection hidden="1"/>
    </xf>
    <xf numFmtId="208" fontId="42" fillId="2" borderId="22" xfId="105" applyNumberFormat="1" applyFont="1" applyFill="1" applyBorder="1" applyAlignment="1" applyProtection="1">
      <alignment horizontal="right"/>
      <protection hidden="1"/>
    </xf>
    <xf numFmtId="0" fontId="128" fillId="50" borderId="36" xfId="105" applyFont="1" applyFill="1" applyBorder="1" applyProtection="1">
      <alignment/>
      <protection hidden="1"/>
    </xf>
    <xf numFmtId="208" fontId="42" fillId="2" borderId="26" xfId="105" applyNumberFormat="1" applyFont="1" applyFill="1" applyBorder="1" applyAlignment="1" applyProtection="1">
      <alignment horizontal="center"/>
      <protection hidden="1"/>
    </xf>
    <xf numFmtId="208" fontId="42" fillId="2" borderId="22" xfId="105" applyNumberFormat="1" applyFont="1" applyFill="1" applyBorder="1" applyAlignment="1" applyProtection="1">
      <alignment horizontal="center"/>
      <protection hidden="1"/>
    </xf>
    <xf numFmtId="208" fontId="42" fillId="2" borderId="36" xfId="105" applyNumberFormat="1" applyFont="1" applyFill="1" applyBorder="1" applyAlignment="1" applyProtection="1">
      <alignment horizontal="center"/>
      <protection hidden="1"/>
    </xf>
    <xf numFmtId="208" fontId="42" fillId="2" borderId="43" xfId="105" applyNumberFormat="1" applyFont="1" applyFill="1" applyBorder="1" applyAlignment="1" applyProtection="1">
      <alignment horizontal="center"/>
      <protection hidden="1"/>
    </xf>
    <xf numFmtId="208" fontId="42" fillId="2" borderId="20" xfId="105" applyNumberFormat="1" applyFont="1" applyFill="1" applyBorder="1" applyAlignment="1" applyProtection="1">
      <alignment horizontal="center"/>
      <protection hidden="1"/>
    </xf>
    <xf numFmtId="208" fontId="42" fillId="2" borderId="41" xfId="105" applyNumberFormat="1" applyFont="1" applyFill="1" applyBorder="1" applyAlignment="1" applyProtection="1">
      <alignment horizontal="center"/>
      <protection hidden="1"/>
    </xf>
    <xf numFmtId="0" fontId="128" fillId="46" borderId="28" xfId="105" applyFont="1" applyFill="1" applyBorder="1" applyAlignment="1" applyProtection="1">
      <alignment horizontal="center"/>
      <protection hidden="1"/>
    </xf>
    <xf numFmtId="208" fontId="42" fillId="50" borderId="0" xfId="105" applyNumberFormat="1" applyFont="1" applyFill="1" applyBorder="1" applyAlignment="1" applyProtection="1">
      <alignment horizontal="center"/>
      <protection hidden="1"/>
    </xf>
    <xf numFmtId="1" fontId="42" fillId="50" borderId="0" xfId="105" applyNumberFormat="1" applyFont="1" applyFill="1" applyBorder="1" applyAlignment="1" applyProtection="1">
      <alignment horizontal="center"/>
      <protection hidden="1"/>
    </xf>
    <xf numFmtId="0" fontId="151" fillId="49" borderId="27" xfId="0" applyFont="1" applyFill="1" applyBorder="1" applyAlignment="1">
      <alignment horizontal="center"/>
    </xf>
    <xf numFmtId="0" fontId="128" fillId="49" borderId="27" xfId="0" applyFont="1" applyFill="1" applyBorder="1" applyAlignment="1">
      <alignment horizontal="center"/>
    </xf>
    <xf numFmtId="0" fontId="128" fillId="47" borderId="27" xfId="0" applyFont="1" applyFill="1" applyBorder="1" applyAlignment="1">
      <alignment horizontal="center"/>
    </xf>
    <xf numFmtId="0" fontId="128" fillId="47" borderId="27" xfId="0" applyFont="1" applyFill="1" applyBorder="1" applyAlignment="1">
      <alignment horizontal="center" wrapText="1"/>
    </xf>
    <xf numFmtId="0" fontId="139" fillId="47" borderId="27" xfId="0" applyFont="1" applyFill="1" applyBorder="1" applyAlignment="1">
      <alignment horizontal="center"/>
    </xf>
    <xf numFmtId="0" fontId="132" fillId="47" borderId="0" xfId="105" applyFont="1" applyFill="1" applyBorder="1" applyProtection="1">
      <alignment/>
      <protection hidden="1"/>
    </xf>
    <xf numFmtId="0" fontId="139" fillId="47" borderId="0" xfId="105" applyFont="1" applyFill="1" applyBorder="1" applyProtection="1">
      <alignment/>
      <protection hidden="1"/>
    </xf>
    <xf numFmtId="208" fontId="42" fillId="2" borderId="36" xfId="105" applyNumberFormat="1" applyFont="1" applyFill="1" applyBorder="1" applyAlignment="1" applyProtection="1">
      <alignment horizontal="center"/>
      <protection hidden="1"/>
    </xf>
    <xf numFmtId="208" fontId="42" fillId="2" borderId="43" xfId="105" applyNumberFormat="1" applyFont="1" applyFill="1" applyBorder="1" applyAlignment="1" applyProtection="1">
      <alignment horizontal="center"/>
      <protection hidden="1"/>
    </xf>
    <xf numFmtId="208" fontId="42" fillId="2" borderId="26" xfId="105" applyNumberFormat="1" applyFont="1" applyFill="1" applyBorder="1" applyAlignment="1" applyProtection="1">
      <alignment horizontal="center"/>
      <protection hidden="1"/>
    </xf>
    <xf numFmtId="208" fontId="42" fillId="2" borderId="22" xfId="105" applyNumberFormat="1" applyFont="1" applyFill="1" applyBorder="1" applyAlignment="1" applyProtection="1">
      <alignment horizontal="center"/>
      <protection hidden="1"/>
    </xf>
    <xf numFmtId="208" fontId="42" fillId="2" borderId="20" xfId="105" applyNumberFormat="1" applyFont="1" applyFill="1" applyBorder="1" applyAlignment="1" applyProtection="1">
      <alignment horizontal="center"/>
      <protection hidden="1"/>
    </xf>
    <xf numFmtId="208" fontId="42" fillId="2" borderId="41" xfId="105" applyNumberFormat="1" applyFont="1" applyFill="1" applyBorder="1" applyAlignment="1" applyProtection="1">
      <alignment horizontal="center"/>
      <protection hidden="1"/>
    </xf>
    <xf numFmtId="0" fontId="41" fillId="47" borderId="0" xfId="105" applyFont="1" applyFill="1" applyBorder="1" applyAlignment="1" applyProtection="1">
      <alignment horizontal="left"/>
      <protection hidden="1"/>
    </xf>
    <xf numFmtId="0" fontId="42" fillId="47" borderId="0" xfId="105" applyFont="1" applyFill="1" applyBorder="1" applyProtection="1">
      <alignment/>
      <protection hidden="1"/>
    </xf>
    <xf numFmtId="1" fontId="42" fillId="47" borderId="0" xfId="105" applyNumberFormat="1" applyFont="1" applyFill="1" applyBorder="1" applyAlignment="1" applyProtection="1">
      <alignment horizontal="center"/>
      <protection hidden="1"/>
    </xf>
    <xf numFmtId="0" fontId="127" fillId="47" borderId="0" xfId="0" applyFont="1" applyFill="1" applyAlignment="1">
      <alignment/>
    </xf>
    <xf numFmtId="0" fontId="131" fillId="47" borderId="0" xfId="105" applyFont="1" applyFill="1" applyBorder="1" applyAlignment="1" applyProtection="1">
      <alignment horizontal="left"/>
      <protection hidden="1"/>
    </xf>
    <xf numFmtId="0" fontId="128" fillId="47" borderId="0" xfId="105" applyFont="1" applyFill="1" applyBorder="1" applyProtection="1">
      <alignment/>
      <protection hidden="1"/>
    </xf>
    <xf numFmtId="208" fontId="128" fillId="47" borderId="0" xfId="105" applyNumberFormat="1" applyFont="1" applyFill="1" applyBorder="1" applyAlignment="1" applyProtection="1">
      <alignment horizontal="center"/>
      <protection hidden="1"/>
    </xf>
    <xf numFmtId="0" fontId="144" fillId="47" borderId="0" xfId="0" applyFont="1" applyFill="1" applyBorder="1" applyAlignment="1">
      <alignment/>
    </xf>
    <xf numFmtId="0" fontId="138" fillId="59" borderId="30" xfId="105" applyFont="1" applyFill="1" applyBorder="1" applyAlignment="1" applyProtection="1">
      <alignment horizontal="center" vertical="center"/>
      <protection hidden="1"/>
    </xf>
    <xf numFmtId="0" fontId="138" fillId="59" borderId="30" xfId="105" applyFont="1" applyFill="1" applyBorder="1" applyAlignment="1" applyProtection="1">
      <alignment horizontal="center"/>
      <protection hidden="1"/>
    </xf>
    <xf numFmtId="0" fontId="43" fillId="59" borderId="31" xfId="105" applyNumberFormat="1" applyFont="1" applyFill="1" applyBorder="1" applyAlignment="1" applyProtection="1">
      <alignment vertical="center"/>
      <protection hidden="1"/>
    </xf>
    <xf numFmtId="0" fontId="43" fillId="59" borderId="32" xfId="105" applyNumberFormat="1" applyFont="1" applyFill="1" applyBorder="1" applyAlignment="1" applyProtection="1">
      <alignment vertical="center"/>
      <protection hidden="1"/>
    </xf>
    <xf numFmtId="0" fontId="138" fillId="59" borderId="31" xfId="105" applyFont="1" applyFill="1" applyBorder="1" applyAlignment="1" applyProtection="1">
      <alignment vertical="center"/>
      <protection hidden="1"/>
    </xf>
    <xf numFmtId="0" fontId="138" fillId="59" borderId="32" xfId="105" applyFont="1" applyFill="1" applyBorder="1" applyAlignment="1" applyProtection="1">
      <alignment vertical="center"/>
      <protection hidden="1"/>
    </xf>
    <xf numFmtId="0" fontId="43" fillId="59" borderId="27" xfId="105" applyFont="1" applyFill="1" applyBorder="1">
      <alignment/>
      <protection/>
    </xf>
    <xf numFmtId="0" fontId="42" fillId="59" borderId="33" xfId="105" applyFont="1" applyFill="1" applyBorder="1">
      <alignment/>
      <protection/>
    </xf>
    <xf numFmtId="0" fontId="43" fillId="59" borderId="27" xfId="105" applyFont="1" applyFill="1" applyBorder="1" applyAlignment="1">
      <alignment horizontal="center"/>
      <protection/>
    </xf>
    <xf numFmtId="0" fontId="42" fillId="59" borderId="34" xfId="105" applyFont="1" applyFill="1" applyBorder="1">
      <alignment/>
      <protection/>
    </xf>
    <xf numFmtId="0" fontId="46" fillId="59" borderId="27" xfId="105" applyFont="1" applyFill="1" applyBorder="1" applyAlignment="1">
      <alignment horizontal="center"/>
      <protection/>
    </xf>
    <xf numFmtId="0" fontId="42" fillId="59" borderId="34" xfId="105" applyFont="1" applyFill="1" applyBorder="1" applyAlignment="1">
      <alignment horizontal="left"/>
      <protection/>
    </xf>
    <xf numFmtId="0" fontId="45" fillId="59" borderId="27" xfId="0" applyFont="1" applyFill="1" applyBorder="1" applyAlignment="1">
      <alignment horizontal="center"/>
    </xf>
    <xf numFmtId="0" fontId="42" fillId="59" borderId="34" xfId="105" applyFont="1" applyFill="1" applyBorder="1" applyProtection="1">
      <alignment/>
      <protection hidden="1"/>
    </xf>
    <xf numFmtId="0" fontId="54" fillId="59" borderId="34" xfId="105" applyFont="1" applyFill="1" applyBorder="1">
      <alignment/>
      <protection/>
    </xf>
    <xf numFmtId="0" fontId="139" fillId="59" borderId="28" xfId="0" applyFont="1" applyFill="1" applyBorder="1" applyAlignment="1">
      <alignment horizontal="center"/>
    </xf>
    <xf numFmtId="0" fontId="139" fillId="59" borderId="28" xfId="105" applyFont="1" applyFill="1" applyBorder="1" applyAlignment="1" applyProtection="1">
      <alignment horizontal="center"/>
      <protection hidden="1"/>
    </xf>
    <xf numFmtId="0" fontId="139" fillId="59" borderId="0" xfId="105" applyFont="1" applyFill="1" applyBorder="1" applyAlignment="1">
      <alignment horizontal="center"/>
      <protection/>
    </xf>
    <xf numFmtId="0" fontId="46" fillId="59" borderId="0" xfId="105" applyFont="1" applyFill="1" applyBorder="1" applyAlignment="1">
      <alignment horizontal="center"/>
      <protection/>
    </xf>
    <xf numFmtId="0" fontId="44" fillId="59" borderId="39" xfId="105" applyFont="1" applyFill="1" applyBorder="1" applyAlignment="1">
      <alignment horizontal="left"/>
      <protection/>
    </xf>
    <xf numFmtId="0" fontId="54" fillId="59" borderId="39" xfId="105" applyFont="1" applyFill="1" applyBorder="1">
      <alignment/>
      <protection/>
    </xf>
    <xf numFmtId="208" fontId="42" fillId="59" borderId="36" xfId="105" applyNumberFormat="1" applyFont="1" applyFill="1" applyBorder="1" applyAlignment="1" applyProtection="1">
      <alignment vertical="center"/>
      <protection hidden="1"/>
    </xf>
    <xf numFmtId="208" fontId="42" fillId="59" borderId="26" xfId="105" applyNumberFormat="1" applyFont="1" applyFill="1" applyBorder="1" applyAlignment="1" applyProtection="1">
      <alignment/>
      <protection hidden="1"/>
    </xf>
    <xf numFmtId="208" fontId="42" fillId="59" borderId="22" xfId="105" applyNumberFormat="1" applyFont="1" applyFill="1" applyBorder="1" applyAlignment="1" applyProtection="1">
      <alignment/>
      <protection hidden="1"/>
    </xf>
    <xf numFmtId="208" fontId="42" fillId="59" borderId="26" xfId="105" applyNumberFormat="1" applyFont="1" applyFill="1" applyBorder="1" applyAlignment="1" applyProtection="1">
      <alignment vertical="center"/>
      <protection hidden="1"/>
    </xf>
    <xf numFmtId="208" fontId="42" fillId="59" borderId="20" xfId="105" applyNumberFormat="1" applyFont="1" applyFill="1" applyBorder="1" applyAlignment="1" applyProtection="1">
      <alignment/>
      <protection hidden="1"/>
    </xf>
    <xf numFmtId="208" fontId="128" fillId="50" borderId="0" xfId="105" applyNumberFormat="1" applyFont="1" applyFill="1" applyBorder="1" applyAlignment="1" applyProtection="1">
      <alignment horizontal="center"/>
      <protection hidden="1"/>
    </xf>
    <xf numFmtId="0" fontId="144" fillId="50" borderId="0" xfId="0" applyFont="1" applyFill="1" applyBorder="1" applyAlignment="1">
      <alignment/>
    </xf>
    <xf numFmtId="208" fontId="42" fillId="50" borderId="0" xfId="105" applyNumberFormat="1" applyFont="1" applyFill="1" applyBorder="1" applyAlignment="1" applyProtection="1">
      <alignment horizontal="center"/>
      <protection hidden="1"/>
    </xf>
    <xf numFmtId="208" fontId="42" fillId="59" borderId="22" xfId="105" applyNumberFormat="1" applyFont="1" applyFill="1" applyBorder="1" applyAlignment="1" applyProtection="1">
      <alignment horizontal="center"/>
      <protection hidden="1"/>
    </xf>
    <xf numFmtId="208" fontId="42" fillId="59" borderId="41" xfId="105" applyNumberFormat="1" applyFont="1" applyFill="1" applyBorder="1" applyAlignment="1" applyProtection="1">
      <alignment horizontal="center"/>
      <protection hidden="1"/>
    </xf>
    <xf numFmtId="208" fontId="42" fillId="59" borderId="43" xfId="105" applyNumberFormat="1" applyFont="1" applyFill="1" applyBorder="1" applyAlignment="1" applyProtection="1">
      <alignment horizontal="center"/>
      <protection hidden="1"/>
    </xf>
    <xf numFmtId="208" fontId="42" fillId="50" borderId="0" xfId="105" applyNumberFormat="1" applyFont="1" applyFill="1" applyBorder="1" applyAlignment="1" applyProtection="1">
      <alignment horizontal="center"/>
      <protection hidden="1"/>
    </xf>
    <xf numFmtId="1" fontId="42" fillId="50" borderId="0" xfId="105" applyNumberFormat="1" applyFont="1" applyFill="1" applyBorder="1" applyAlignment="1" applyProtection="1">
      <alignment horizontal="center"/>
      <protection hidden="1"/>
    </xf>
    <xf numFmtId="0" fontId="41" fillId="50" borderId="0" xfId="105" applyFont="1" applyFill="1" applyBorder="1" applyAlignment="1" applyProtection="1">
      <alignment horizontal="left"/>
      <protection hidden="1"/>
    </xf>
    <xf numFmtId="0" fontId="127" fillId="0" borderId="0" xfId="0" applyFont="1" applyAlignment="1">
      <alignment horizontal="left"/>
    </xf>
    <xf numFmtId="0" fontId="131" fillId="50" borderId="0" xfId="105" applyFont="1" applyFill="1" applyBorder="1" applyAlignment="1" applyProtection="1">
      <alignment horizontal="left"/>
      <protection hidden="1"/>
    </xf>
    <xf numFmtId="0" fontId="43" fillId="59" borderId="33" xfId="105" applyFont="1" applyFill="1" applyBorder="1" applyProtection="1">
      <alignment/>
      <protection hidden="1"/>
    </xf>
    <xf numFmtId="0" fontId="42" fillId="59" borderId="36" xfId="105" applyFont="1" applyFill="1" applyBorder="1" applyProtection="1">
      <alignment/>
      <protection hidden="1"/>
    </xf>
    <xf numFmtId="0" fontId="43" fillId="59" borderId="34" xfId="105" applyFont="1" applyFill="1" applyBorder="1" applyAlignment="1" applyProtection="1">
      <alignment horizontal="center"/>
      <protection hidden="1"/>
    </xf>
    <xf numFmtId="0" fontId="42" fillId="59" borderId="26" xfId="105" applyFont="1" applyFill="1" applyBorder="1" applyProtection="1">
      <alignment/>
      <protection hidden="1"/>
    </xf>
    <xf numFmtId="0" fontId="43" fillId="59" borderId="28" xfId="0" applyFont="1" applyFill="1" applyBorder="1" applyAlignment="1">
      <alignment horizontal="center"/>
    </xf>
    <xf numFmtId="0" fontId="43" fillId="59" borderId="0" xfId="105" applyFont="1" applyFill="1" applyBorder="1" applyAlignment="1" applyProtection="1">
      <alignment horizontal="center"/>
      <protection hidden="1"/>
    </xf>
    <xf numFmtId="0" fontId="43" fillId="59" borderId="0" xfId="105" applyFont="1" applyFill="1" applyBorder="1" applyAlignment="1" applyProtection="1">
      <alignment wrapText="1"/>
      <protection hidden="1"/>
    </xf>
    <xf numFmtId="0" fontId="44" fillId="59" borderId="39" xfId="105" applyFont="1" applyFill="1" applyBorder="1" applyProtection="1">
      <alignment/>
      <protection hidden="1"/>
    </xf>
    <xf numFmtId="0" fontId="42" fillId="59" borderId="20" xfId="105" applyFont="1" applyFill="1" applyBorder="1" applyProtection="1">
      <alignment/>
      <protection hidden="1"/>
    </xf>
    <xf numFmtId="208" fontId="42" fillId="50" borderId="0" xfId="105" applyNumberFormat="1" applyFont="1" applyFill="1" applyBorder="1" applyAlignment="1" applyProtection="1">
      <alignment horizontal="left"/>
      <protection hidden="1"/>
    </xf>
    <xf numFmtId="0" fontId="127" fillId="46" borderId="0" xfId="0" applyFont="1" applyFill="1" applyAlignment="1">
      <alignment horizontal="left"/>
    </xf>
    <xf numFmtId="0" fontId="137" fillId="50" borderId="0" xfId="0" applyFont="1" applyFill="1" applyBorder="1" applyAlignment="1">
      <alignment/>
    </xf>
    <xf numFmtId="0" fontId="55" fillId="47" borderId="0" xfId="105" applyFont="1" applyFill="1" applyBorder="1" applyAlignment="1" applyProtection="1">
      <alignment horizontal="left"/>
      <protection hidden="1"/>
    </xf>
    <xf numFmtId="0" fontId="44" fillId="46" borderId="44" xfId="105" applyFont="1" applyFill="1" applyBorder="1" applyAlignment="1">
      <alignment horizontal="left"/>
      <protection/>
    </xf>
    <xf numFmtId="1" fontId="42" fillId="50" borderId="0" xfId="105" applyNumberFormat="1" applyFont="1" applyFill="1" applyBorder="1" applyAlignment="1" applyProtection="1">
      <alignment horizontal="center"/>
      <protection hidden="1"/>
    </xf>
    <xf numFmtId="208" fontId="42" fillId="50" borderId="26" xfId="105" applyNumberFormat="1" applyFont="1" applyFill="1" applyBorder="1" applyAlignment="1" applyProtection="1">
      <alignment horizontal="center"/>
      <protection hidden="1"/>
    </xf>
    <xf numFmtId="208" fontId="42" fillId="50" borderId="22" xfId="105" applyNumberFormat="1" applyFont="1" applyFill="1" applyBorder="1" applyAlignment="1" applyProtection="1">
      <alignment horizontal="center"/>
      <protection hidden="1"/>
    </xf>
    <xf numFmtId="208" fontId="42" fillId="50" borderId="37" xfId="105" applyNumberFormat="1" applyFont="1" applyFill="1" applyBorder="1" applyAlignment="1" applyProtection="1">
      <alignment horizontal="center"/>
      <protection hidden="1"/>
    </xf>
    <xf numFmtId="208" fontId="42" fillId="50" borderId="55" xfId="105" applyNumberFormat="1" applyFont="1" applyFill="1" applyBorder="1" applyAlignment="1" applyProtection="1">
      <alignment horizontal="center"/>
      <protection hidden="1"/>
    </xf>
    <xf numFmtId="208" fontId="42" fillId="50" borderId="0" xfId="105" applyNumberFormat="1" applyFont="1" applyFill="1" applyBorder="1" applyAlignment="1" applyProtection="1">
      <alignment horizontal="center"/>
      <protection hidden="1"/>
    </xf>
    <xf numFmtId="1" fontId="42" fillId="50" borderId="0" xfId="105" applyNumberFormat="1" applyFont="1" applyFill="1" applyBorder="1" applyAlignment="1" applyProtection="1">
      <alignment horizontal="center"/>
      <protection hidden="1"/>
    </xf>
    <xf numFmtId="208" fontId="42" fillId="2" borderId="36" xfId="105" applyNumberFormat="1" applyFont="1" applyFill="1" applyBorder="1" applyAlignment="1" applyProtection="1">
      <alignment horizontal="center"/>
      <protection hidden="1"/>
    </xf>
    <xf numFmtId="208" fontId="42" fillId="2" borderId="43" xfId="105" applyNumberFormat="1" applyFont="1" applyFill="1" applyBorder="1" applyAlignment="1" applyProtection="1">
      <alignment horizontal="center"/>
      <protection hidden="1"/>
    </xf>
    <xf numFmtId="208" fontId="42" fillId="2" borderId="26" xfId="105" applyNumberFormat="1" applyFont="1" applyFill="1" applyBorder="1" applyAlignment="1" applyProtection="1">
      <alignment horizontal="center"/>
      <protection hidden="1"/>
    </xf>
    <xf numFmtId="208" fontId="42" fillId="2" borderId="22" xfId="105" applyNumberFormat="1" applyFont="1" applyFill="1" applyBorder="1" applyAlignment="1" applyProtection="1">
      <alignment horizontal="center"/>
      <protection hidden="1"/>
    </xf>
    <xf numFmtId="208" fontId="42" fillId="2" borderId="20" xfId="105" applyNumberFormat="1" applyFont="1" applyFill="1" applyBorder="1" applyAlignment="1" applyProtection="1">
      <alignment horizontal="center"/>
      <protection hidden="1"/>
    </xf>
    <xf numFmtId="208" fontId="42" fillId="2" borderId="41" xfId="105" applyNumberFormat="1" applyFont="1" applyFill="1" applyBorder="1" applyAlignment="1" applyProtection="1">
      <alignment horizontal="center"/>
      <protection hidden="1"/>
    </xf>
    <xf numFmtId="0" fontId="43" fillId="50" borderId="0" xfId="105" applyFont="1" applyFill="1" applyBorder="1" applyAlignment="1" applyProtection="1">
      <alignment horizontal="center" vertical="center"/>
      <protection hidden="1"/>
    </xf>
    <xf numFmtId="0" fontId="138" fillId="50" borderId="0" xfId="105" applyFont="1" applyFill="1" applyBorder="1" applyAlignment="1" applyProtection="1">
      <alignment horizontal="center" vertical="center"/>
      <protection hidden="1"/>
    </xf>
    <xf numFmtId="0" fontId="139" fillId="50" borderId="0" xfId="105" applyFont="1" applyFill="1" applyBorder="1" applyAlignment="1" applyProtection="1">
      <alignment horizontal="center" vertical="center"/>
      <protection hidden="1"/>
    </xf>
    <xf numFmtId="208" fontId="42" fillId="50" borderId="0" xfId="0" applyNumberFormat="1" applyFont="1" applyFill="1" applyBorder="1" applyAlignment="1" applyProtection="1">
      <alignment horizontal="center"/>
      <protection hidden="1"/>
    </xf>
    <xf numFmtId="208" fontId="42" fillId="50" borderId="36" xfId="105" applyNumberFormat="1" applyFont="1" applyFill="1" applyBorder="1" applyAlignment="1" applyProtection="1">
      <alignment horizontal="center"/>
      <protection hidden="1"/>
    </xf>
    <xf numFmtId="208" fontId="42" fillId="50" borderId="43" xfId="105" applyNumberFormat="1" applyFont="1" applyFill="1" applyBorder="1" applyAlignment="1" applyProtection="1">
      <alignment horizontal="center"/>
      <protection hidden="1"/>
    </xf>
    <xf numFmtId="0" fontId="44" fillId="50" borderId="0" xfId="105" applyFont="1" applyFill="1" applyBorder="1" applyAlignment="1" applyProtection="1">
      <alignment horizontal="left"/>
      <protection hidden="1"/>
    </xf>
    <xf numFmtId="208" fontId="42" fillId="50" borderId="20" xfId="105" applyNumberFormat="1" applyFont="1" applyFill="1" applyBorder="1" applyAlignment="1" applyProtection="1">
      <alignment horizontal="center"/>
      <protection hidden="1"/>
    </xf>
    <xf numFmtId="208" fontId="42" fillId="50" borderId="41" xfId="105" applyNumberFormat="1" applyFont="1" applyFill="1" applyBorder="1" applyAlignment="1" applyProtection="1">
      <alignment horizontal="center"/>
      <protection hidden="1"/>
    </xf>
    <xf numFmtId="208" fontId="42" fillId="2" borderId="37" xfId="105" applyNumberFormat="1" applyFont="1" applyFill="1" applyBorder="1" applyAlignment="1" applyProtection="1">
      <alignment horizontal="center"/>
      <protection hidden="1"/>
    </xf>
    <xf numFmtId="208" fontId="42" fillId="2" borderId="55" xfId="105" applyNumberFormat="1" applyFont="1" applyFill="1" applyBorder="1" applyAlignment="1" applyProtection="1">
      <alignment horizontal="center"/>
      <protection hidden="1"/>
    </xf>
    <xf numFmtId="208" fontId="42" fillId="50" borderId="22" xfId="0" applyNumberFormat="1" applyFont="1" applyFill="1" applyBorder="1" applyAlignment="1" applyProtection="1">
      <alignment horizontal="center"/>
      <protection hidden="1"/>
    </xf>
    <xf numFmtId="208" fontId="42" fillId="50" borderId="21" xfId="105" applyNumberFormat="1" applyFont="1" applyFill="1" applyBorder="1" applyAlignment="1" applyProtection="1">
      <alignment horizontal="center"/>
      <protection hidden="1"/>
    </xf>
    <xf numFmtId="208" fontId="42" fillId="2" borderId="26" xfId="105" applyNumberFormat="1" applyFont="1" applyFill="1" applyBorder="1" applyAlignment="1" applyProtection="1">
      <alignment horizontal="center" vertical="top"/>
      <protection hidden="1"/>
    </xf>
    <xf numFmtId="208" fontId="42" fillId="2" borderId="22" xfId="105" applyNumberFormat="1" applyFont="1" applyFill="1" applyBorder="1" applyAlignment="1" applyProtection="1">
      <alignment horizontal="center" vertical="top"/>
      <protection hidden="1"/>
    </xf>
    <xf numFmtId="208" fontId="42" fillId="50" borderId="0" xfId="105" applyNumberFormat="1" applyFont="1" applyFill="1" applyBorder="1" applyAlignment="1" applyProtection="1">
      <alignment horizontal="center" vertical="top"/>
      <protection hidden="1"/>
    </xf>
    <xf numFmtId="1" fontId="42" fillId="50" borderId="26" xfId="105" applyNumberFormat="1" applyFont="1" applyFill="1" applyBorder="1" applyAlignment="1" applyProtection="1">
      <alignment horizontal="center"/>
      <protection hidden="1"/>
    </xf>
    <xf numFmtId="1" fontId="42" fillId="50" borderId="22" xfId="105" applyNumberFormat="1" applyFont="1" applyFill="1" applyBorder="1" applyAlignment="1" applyProtection="1">
      <alignment horizontal="center"/>
      <protection hidden="1"/>
    </xf>
    <xf numFmtId="208" fontId="42" fillId="59" borderId="26" xfId="105" applyNumberFormat="1" applyFont="1" applyFill="1" applyBorder="1" applyAlignment="1" applyProtection="1">
      <alignment horizontal="center"/>
      <protection hidden="1"/>
    </xf>
    <xf numFmtId="208" fontId="42" fillId="59" borderId="22" xfId="105" applyNumberFormat="1" applyFont="1" applyFill="1" applyBorder="1" applyAlignment="1" applyProtection="1">
      <alignment horizontal="center"/>
      <protection hidden="1"/>
    </xf>
    <xf numFmtId="0" fontId="22" fillId="50" borderId="0" xfId="105" applyFont="1" applyFill="1" applyBorder="1" applyAlignment="1" applyProtection="1">
      <alignment horizontal="center" vertical="center"/>
      <protection hidden="1"/>
    </xf>
    <xf numFmtId="0" fontId="44" fillId="46" borderId="45" xfId="0" applyFont="1" applyFill="1" applyBorder="1" applyAlignment="1" applyProtection="1">
      <alignment wrapText="1"/>
      <protection hidden="1"/>
    </xf>
    <xf numFmtId="0" fontId="44" fillId="46" borderId="0" xfId="0" applyFont="1" applyFill="1" applyBorder="1" applyAlignment="1" applyProtection="1">
      <alignment wrapText="1"/>
      <protection hidden="1"/>
    </xf>
    <xf numFmtId="208" fontId="42" fillId="2" borderId="36" xfId="106" applyNumberFormat="1" applyFont="1" applyFill="1" applyBorder="1" applyAlignment="1" applyProtection="1">
      <alignment horizontal="center"/>
      <protection hidden="1"/>
    </xf>
    <xf numFmtId="208" fontId="42" fillId="2" borderId="43" xfId="106" applyNumberFormat="1" applyFont="1" applyFill="1" applyBorder="1" applyAlignment="1" applyProtection="1">
      <alignment horizontal="center"/>
      <protection hidden="1"/>
    </xf>
    <xf numFmtId="0" fontId="43" fillId="50" borderId="26" xfId="105" applyFont="1" applyFill="1" applyBorder="1" applyAlignment="1" applyProtection="1">
      <alignment horizontal="center"/>
      <protection hidden="1"/>
    </xf>
    <xf numFmtId="0" fontId="43" fillId="50" borderId="0" xfId="105" applyFont="1" applyFill="1" applyBorder="1" applyAlignment="1" applyProtection="1">
      <alignment horizontal="center"/>
      <protection hidden="1"/>
    </xf>
    <xf numFmtId="208" fontId="42" fillId="50" borderId="57" xfId="105" applyNumberFormat="1" applyFont="1" applyFill="1" applyBorder="1" applyAlignment="1" applyProtection="1">
      <alignment horizontal="center"/>
      <protection hidden="1"/>
    </xf>
    <xf numFmtId="208" fontId="42" fillId="50" borderId="58" xfId="105" applyNumberFormat="1" applyFont="1" applyFill="1" applyBorder="1" applyAlignment="1" applyProtection="1">
      <alignment horizontal="center"/>
      <protection hidden="1"/>
    </xf>
    <xf numFmtId="0" fontId="40" fillId="45" borderId="0" xfId="105" applyFont="1" applyFill="1" applyAlignment="1">
      <alignment horizontal="left"/>
      <protection/>
    </xf>
    <xf numFmtId="208" fontId="42" fillId="50" borderId="26" xfId="0" applyNumberFormat="1" applyFont="1" applyFill="1" applyBorder="1" applyAlignment="1" applyProtection="1">
      <alignment horizontal="center"/>
      <protection hidden="1"/>
    </xf>
    <xf numFmtId="208" fontId="42" fillId="59" borderId="36" xfId="105" applyNumberFormat="1" applyFont="1" applyFill="1" applyBorder="1" applyAlignment="1" applyProtection="1">
      <alignment horizontal="center"/>
      <protection hidden="1"/>
    </xf>
    <xf numFmtId="208" fontId="42" fillId="59" borderId="43" xfId="105" applyNumberFormat="1" applyFont="1" applyFill="1" applyBorder="1" applyAlignment="1" applyProtection="1">
      <alignment horizontal="center"/>
      <protection hidden="1"/>
    </xf>
    <xf numFmtId="0" fontId="4" fillId="46" borderId="0" xfId="105" applyFont="1" applyFill="1" applyAlignment="1" applyProtection="1">
      <alignment horizontal="center" vertical="center"/>
      <protection hidden="1"/>
    </xf>
    <xf numFmtId="1" fontId="42" fillId="50" borderId="37" xfId="105" applyNumberFormat="1" applyFont="1" applyFill="1" applyBorder="1" applyAlignment="1" applyProtection="1">
      <alignment horizontal="center"/>
      <protection hidden="1"/>
    </xf>
    <xf numFmtId="1" fontId="42" fillId="50" borderId="55" xfId="105" applyNumberFormat="1" applyFont="1" applyFill="1" applyBorder="1" applyAlignment="1" applyProtection="1">
      <alignment horizontal="center"/>
      <protection hidden="1"/>
    </xf>
    <xf numFmtId="0" fontId="40" fillId="46" borderId="0" xfId="105" applyFont="1" applyFill="1" applyBorder="1" applyAlignment="1" applyProtection="1">
      <alignment horizontal="center" vertical="center"/>
      <protection hidden="1"/>
    </xf>
    <xf numFmtId="0" fontId="40" fillId="46" borderId="21" xfId="105" applyFont="1" applyFill="1" applyBorder="1" applyAlignment="1" applyProtection="1">
      <alignment horizontal="center" vertical="center"/>
      <protection hidden="1"/>
    </xf>
    <xf numFmtId="0" fontId="4" fillId="46" borderId="0" xfId="105" applyFont="1" applyFill="1" applyBorder="1" applyAlignment="1" applyProtection="1">
      <alignment horizontal="center"/>
      <protection hidden="1"/>
    </xf>
    <xf numFmtId="0" fontId="27" fillId="45" borderId="0" xfId="105" applyFont="1" applyFill="1" applyAlignment="1">
      <alignment horizontal="left"/>
      <protection/>
    </xf>
    <xf numFmtId="0" fontId="127" fillId="0" borderId="0" xfId="0" applyFont="1" applyAlignment="1">
      <alignment horizontal="left"/>
    </xf>
    <xf numFmtId="0" fontId="4" fillId="46" borderId="0" xfId="105" applyFont="1" applyFill="1" applyBorder="1" applyAlignment="1" applyProtection="1">
      <alignment horizontal="center"/>
      <protection hidden="1"/>
    </xf>
    <xf numFmtId="208" fontId="42" fillId="50" borderId="50" xfId="105" applyNumberFormat="1" applyFont="1" applyFill="1" applyBorder="1" applyAlignment="1" applyProtection="1">
      <alignment horizontal="center"/>
      <protection hidden="1"/>
    </xf>
    <xf numFmtId="208" fontId="42" fillId="50" borderId="25" xfId="105" applyNumberFormat="1" applyFont="1" applyFill="1" applyBorder="1" applyAlignment="1" applyProtection="1">
      <alignment horizontal="center"/>
      <protection hidden="1"/>
    </xf>
    <xf numFmtId="0" fontId="44" fillId="50" borderId="45" xfId="105" applyFont="1" applyFill="1" applyBorder="1" applyAlignment="1" applyProtection="1">
      <alignment horizontal="left"/>
      <protection hidden="1"/>
    </xf>
    <xf numFmtId="9" fontId="43" fillId="50" borderId="20" xfId="105" applyNumberFormat="1" applyFont="1" applyFill="1" applyBorder="1" applyAlignment="1" applyProtection="1">
      <alignment horizontal="center"/>
      <protection hidden="1"/>
    </xf>
    <xf numFmtId="9" fontId="43" fillId="50" borderId="41" xfId="105" applyNumberFormat="1" applyFont="1" applyFill="1" applyBorder="1" applyAlignment="1" applyProtection="1">
      <alignment horizontal="center"/>
      <protection hidden="1"/>
    </xf>
    <xf numFmtId="0" fontId="132" fillId="46" borderId="0" xfId="105" applyFont="1" applyFill="1" applyBorder="1" applyAlignment="1" applyProtection="1">
      <alignment horizontal="left"/>
      <protection hidden="1"/>
    </xf>
    <xf numFmtId="208" fontId="42" fillId="50" borderId="29" xfId="105" applyNumberFormat="1" applyFont="1" applyFill="1" applyBorder="1" applyAlignment="1" applyProtection="1">
      <alignment horizontal="center"/>
      <protection hidden="1"/>
    </xf>
    <xf numFmtId="0" fontId="119" fillId="50" borderId="0" xfId="105" applyFont="1" applyFill="1" applyBorder="1" applyAlignment="1" applyProtection="1">
      <alignment horizontal="center"/>
      <protection hidden="1"/>
    </xf>
    <xf numFmtId="0" fontId="25" fillId="50" borderId="0" xfId="105" applyFont="1" applyFill="1" applyBorder="1" applyAlignment="1" applyProtection="1">
      <alignment horizontal="center"/>
      <protection hidden="1"/>
    </xf>
    <xf numFmtId="1" fontId="40" fillId="52" borderId="0" xfId="0" applyNumberFormat="1" applyFont="1" applyFill="1" applyBorder="1" applyAlignment="1">
      <alignment horizontal="left"/>
    </xf>
    <xf numFmtId="0" fontId="44" fillId="46" borderId="21" xfId="105" applyFont="1" applyFill="1" applyBorder="1" applyAlignment="1" applyProtection="1">
      <alignment horizontal="left"/>
      <protection hidden="1"/>
    </xf>
    <xf numFmtId="1" fontId="42" fillId="50" borderId="21" xfId="105" applyNumberFormat="1" applyFont="1" applyFill="1" applyBorder="1" applyAlignment="1" applyProtection="1">
      <alignment horizontal="center"/>
      <protection hidden="1"/>
    </xf>
    <xf numFmtId="0" fontId="41" fillId="50" borderId="0" xfId="105" applyFont="1" applyFill="1" applyBorder="1" applyAlignment="1" applyProtection="1">
      <alignment horizontal="left"/>
      <protection hidden="1"/>
    </xf>
    <xf numFmtId="0" fontId="58" fillId="0" borderId="21" xfId="105" applyFont="1" applyFill="1" applyBorder="1" applyAlignment="1" applyProtection="1">
      <alignment horizontal="left"/>
      <protection hidden="1"/>
    </xf>
    <xf numFmtId="0" fontId="58" fillId="0" borderId="0" xfId="105" applyFont="1" applyFill="1" applyBorder="1" applyAlignment="1" applyProtection="1">
      <alignment horizontal="left"/>
      <protection hidden="1"/>
    </xf>
    <xf numFmtId="208" fontId="42" fillId="59" borderId="20" xfId="105" applyNumberFormat="1" applyFont="1" applyFill="1" applyBorder="1" applyAlignment="1" applyProtection="1">
      <alignment horizontal="center"/>
      <protection hidden="1"/>
    </xf>
    <xf numFmtId="208" fontId="42" fillId="59" borderId="41" xfId="105" applyNumberFormat="1" applyFont="1" applyFill="1" applyBorder="1" applyAlignment="1" applyProtection="1">
      <alignment horizontal="center"/>
      <protection hidden="1"/>
    </xf>
    <xf numFmtId="208" fontId="23" fillId="50" borderId="37" xfId="105" applyNumberFormat="1" applyFont="1" applyFill="1" applyBorder="1" applyAlignment="1" applyProtection="1">
      <alignment horizontal="center"/>
      <protection hidden="1"/>
    </xf>
    <xf numFmtId="208" fontId="23" fillId="50" borderId="55" xfId="105" applyNumberFormat="1" applyFont="1" applyFill="1" applyBorder="1" applyAlignment="1" applyProtection="1">
      <alignment horizontal="center"/>
      <protection hidden="1"/>
    </xf>
    <xf numFmtId="0" fontId="40" fillId="50" borderId="0" xfId="105" applyFont="1" applyFill="1" applyBorder="1" applyAlignment="1">
      <alignment horizontal="left"/>
      <protection/>
    </xf>
    <xf numFmtId="0" fontId="127" fillId="0" borderId="0" xfId="0" applyFont="1" applyAlignment="1">
      <alignment/>
    </xf>
    <xf numFmtId="208" fontId="42" fillId="2" borderId="26" xfId="105" applyNumberFormat="1" applyFont="1" applyFill="1" applyBorder="1" applyAlignment="1" applyProtection="1">
      <alignment horizontal="center"/>
      <protection hidden="1"/>
    </xf>
    <xf numFmtId="208" fontId="42" fillId="2" borderId="22" xfId="105" applyNumberFormat="1" applyFont="1" applyFill="1" applyBorder="1" applyAlignment="1" applyProtection="1">
      <alignment horizontal="center"/>
      <protection hidden="1"/>
    </xf>
    <xf numFmtId="0" fontId="40" fillId="46" borderId="45" xfId="105" applyFont="1" applyFill="1" applyBorder="1" applyAlignment="1">
      <alignment horizontal="left"/>
      <protection/>
    </xf>
    <xf numFmtId="208" fontId="23" fillId="50" borderId="0" xfId="105" applyNumberFormat="1" applyFont="1" applyFill="1" applyBorder="1" applyAlignment="1" applyProtection="1">
      <alignment horizontal="center"/>
      <protection hidden="1"/>
    </xf>
    <xf numFmtId="0" fontId="132" fillId="50" borderId="0" xfId="105" applyFont="1" applyFill="1" applyBorder="1" applyAlignment="1" applyProtection="1">
      <alignment horizontal="left"/>
      <protection hidden="1"/>
    </xf>
    <xf numFmtId="1" fontId="42" fillId="2" borderId="26" xfId="105" applyNumberFormat="1" applyFont="1" applyFill="1" applyBorder="1" applyAlignment="1" applyProtection="1">
      <alignment horizontal="center"/>
      <protection hidden="1"/>
    </xf>
    <xf numFmtId="1" fontId="42" fillId="2" borderId="22" xfId="105" applyNumberFormat="1" applyFont="1" applyFill="1" applyBorder="1" applyAlignment="1" applyProtection="1">
      <alignment horizontal="center"/>
      <protection hidden="1"/>
    </xf>
    <xf numFmtId="208" fontId="42" fillId="2" borderId="37" xfId="105" applyNumberFormat="1" applyFont="1" applyFill="1" applyBorder="1" applyAlignment="1" applyProtection="1">
      <alignment horizontal="center" vertical="top"/>
      <protection hidden="1"/>
    </xf>
    <xf numFmtId="208" fontId="42" fillId="2" borderId="55" xfId="105" applyNumberFormat="1" applyFont="1" applyFill="1" applyBorder="1" applyAlignment="1" applyProtection="1">
      <alignment horizontal="center" vertical="top"/>
      <protection hidden="1"/>
    </xf>
    <xf numFmtId="208" fontId="23" fillId="50" borderId="21" xfId="105" applyNumberFormat="1" applyFont="1" applyFill="1" applyBorder="1" applyAlignment="1" applyProtection="1">
      <alignment horizontal="center"/>
      <protection hidden="1"/>
    </xf>
    <xf numFmtId="208" fontId="23" fillId="50" borderId="41" xfId="105" applyNumberFormat="1" applyFont="1" applyFill="1" applyBorder="1" applyAlignment="1" applyProtection="1">
      <alignment horizontal="center"/>
      <protection hidden="1"/>
    </xf>
    <xf numFmtId="1" fontId="42" fillId="50" borderId="21" xfId="0" applyNumberFormat="1" applyFont="1" applyFill="1" applyBorder="1" applyAlignment="1" applyProtection="1">
      <alignment horizontal="center"/>
      <protection hidden="1"/>
    </xf>
    <xf numFmtId="0" fontId="41" fillId="50" borderId="21" xfId="105" applyFont="1" applyFill="1" applyBorder="1" applyAlignment="1" applyProtection="1">
      <alignment horizontal="left"/>
      <protection hidden="1"/>
    </xf>
    <xf numFmtId="0" fontId="49" fillId="46" borderId="21" xfId="105" applyFont="1" applyFill="1" applyBorder="1" applyAlignment="1" applyProtection="1">
      <alignment horizontal="left"/>
      <protection hidden="1"/>
    </xf>
    <xf numFmtId="0" fontId="41" fillId="50" borderId="29" xfId="105" applyFont="1" applyFill="1" applyBorder="1" applyAlignment="1" applyProtection="1">
      <alignment/>
      <protection hidden="1"/>
    </xf>
    <xf numFmtId="0" fontId="49" fillId="46" borderId="0" xfId="105" applyFont="1" applyFill="1" applyAlignment="1" applyProtection="1">
      <alignment horizontal="center"/>
      <protection hidden="1"/>
    </xf>
    <xf numFmtId="1" fontId="42" fillId="50" borderId="0" xfId="105" applyNumberFormat="1" applyFont="1" applyFill="1" applyBorder="1" applyAlignment="1" applyProtection="1">
      <alignment horizontal="center"/>
      <protection hidden="1"/>
    </xf>
    <xf numFmtId="0" fontId="40" fillId="60" borderId="0" xfId="0" applyFont="1" applyFill="1" applyBorder="1" applyAlignment="1">
      <alignment horizontal="left"/>
    </xf>
    <xf numFmtId="208" fontId="42" fillId="2" borderId="20" xfId="105" applyNumberFormat="1" applyFont="1" applyFill="1" applyBorder="1" applyAlignment="1" applyProtection="1">
      <alignment horizontal="center" vertical="center"/>
      <protection hidden="1"/>
    </xf>
    <xf numFmtId="208" fontId="42" fillId="2" borderId="41" xfId="105" applyNumberFormat="1" applyFont="1" applyFill="1" applyBorder="1" applyAlignment="1" applyProtection="1">
      <alignment horizontal="center" vertical="center"/>
      <protection hidden="1"/>
    </xf>
    <xf numFmtId="0" fontId="40" fillId="50" borderId="0" xfId="105" applyFont="1" applyFill="1" applyAlignment="1">
      <alignment horizontal="left"/>
      <protection/>
    </xf>
    <xf numFmtId="208" fontId="42" fillId="50" borderId="0" xfId="105" applyNumberFormat="1" applyFont="1" applyFill="1" applyBorder="1" applyAlignment="1" applyProtection="1">
      <alignment horizontal="center" vertical="center"/>
      <protection hidden="1"/>
    </xf>
    <xf numFmtId="0" fontId="33" fillId="53" borderId="0" xfId="105" applyFont="1" applyFill="1" applyAlignment="1">
      <alignment horizontal="left"/>
      <protection/>
    </xf>
    <xf numFmtId="0" fontId="34" fillId="47" borderId="59" xfId="105" applyFont="1" applyFill="1" applyBorder="1" applyAlignment="1">
      <alignment horizontal="left" wrapText="1"/>
      <protection/>
    </xf>
    <xf numFmtId="0" fontId="34" fillId="47" borderId="60" xfId="105" applyFont="1" applyFill="1" applyBorder="1" applyAlignment="1">
      <alignment horizontal="left" wrapText="1"/>
      <protection/>
    </xf>
    <xf numFmtId="208" fontId="42" fillId="50" borderId="36" xfId="105" applyNumberFormat="1" applyFont="1" applyFill="1" applyBorder="1" applyAlignment="1" applyProtection="1">
      <alignment horizontal="center" vertical="center"/>
      <protection hidden="1"/>
    </xf>
    <xf numFmtId="208" fontId="42" fillId="50" borderId="43" xfId="105" applyNumberFormat="1" applyFont="1" applyFill="1" applyBorder="1" applyAlignment="1" applyProtection="1">
      <alignment horizontal="center" vertical="center"/>
      <protection hidden="1"/>
    </xf>
    <xf numFmtId="208" fontId="42" fillId="50" borderId="26" xfId="105" applyNumberFormat="1" applyFont="1" applyFill="1" applyBorder="1" applyAlignment="1" applyProtection="1">
      <alignment horizontal="center" vertical="center"/>
      <protection hidden="1"/>
    </xf>
    <xf numFmtId="208" fontId="42" fillId="50" borderId="22" xfId="105" applyNumberFormat="1" applyFont="1" applyFill="1" applyBorder="1" applyAlignment="1" applyProtection="1">
      <alignment horizontal="center" vertical="center"/>
      <protection hidden="1"/>
    </xf>
    <xf numFmtId="0" fontId="4" fillId="50" borderId="0" xfId="0" applyFont="1" applyFill="1" applyBorder="1" applyAlignment="1">
      <alignment horizontal="center"/>
    </xf>
    <xf numFmtId="208" fontId="42" fillId="50" borderId="20" xfId="105" applyNumberFormat="1" applyFont="1" applyFill="1" applyBorder="1" applyAlignment="1" applyProtection="1">
      <alignment horizontal="center" vertical="center"/>
      <protection hidden="1"/>
    </xf>
    <xf numFmtId="208" fontId="42" fillId="50" borderId="41" xfId="105" applyNumberFormat="1" applyFont="1" applyFill="1" applyBorder="1" applyAlignment="1" applyProtection="1">
      <alignment horizontal="center" vertical="center"/>
      <protection hidden="1"/>
    </xf>
    <xf numFmtId="0" fontId="4" fillId="53" borderId="0" xfId="105" applyFont="1" applyFill="1" applyAlignment="1">
      <alignment horizontal="left"/>
      <protection/>
    </xf>
    <xf numFmtId="0" fontId="27" fillId="53" borderId="0" xfId="105" applyFont="1" applyFill="1" applyAlignment="1">
      <alignment horizontal="left"/>
      <protection/>
    </xf>
    <xf numFmtId="0" fontId="26" fillId="46" borderId="27" xfId="105" applyFont="1" applyFill="1" applyBorder="1" applyAlignment="1">
      <alignment horizontal="left"/>
      <protection/>
    </xf>
    <xf numFmtId="0" fontId="26" fillId="46" borderId="0" xfId="105" applyFont="1" applyFill="1" applyBorder="1" applyAlignment="1">
      <alignment horizontal="left"/>
      <protection/>
    </xf>
    <xf numFmtId="0" fontId="27" fillId="46" borderId="27" xfId="105" applyFont="1" applyFill="1" applyBorder="1" applyAlignment="1">
      <alignment horizontal="left" wrapText="1"/>
      <protection/>
    </xf>
    <xf numFmtId="0" fontId="27" fillId="46" borderId="0" xfId="105" applyFont="1" applyFill="1" applyBorder="1" applyAlignment="1">
      <alignment horizontal="left" wrapText="1"/>
      <protection/>
    </xf>
    <xf numFmtId="0" fontId="127" fillId="0" borderId="0" xfId="0" applyFont="1" applyBorder="1" applyAlignment="1">
      <alignment/>
    </xf>
    <xf numFmtId="0" fontId="25" fillId="46" borderId="27" xfId="105" applyFont="1" applyFill="1" applyBorder="1" applyAlignment="1">
      <alignment horizontal="left"/>
      <protection/>
    </xf>
    <xf numFmtId="0" fontId="25" fillId="50" borderId="0" xfId="105" applyFont="1" applyFill="1" applyBorder="1" applyAlignment="1">
      <alignment horizontal="left"/>
      <protection/>
    </xf>
    <xf numFmtId="0" fontId="25" fillId="46" borderId="22" xfId="105" applyFont="1" applyFill="1" applyBorder="1" applyAlignment="1">
      <alignment horizontal="left"/>
      <protection/>
    </xf>
    <xf numFmtId="0" fontId="40" fillId="50" borderId="0" xfId="105" applyFont="1" applyFill="1" applyBorder="1" applyAlignment="1" applyProtection="1">
      <alignment horizontal="left"/>
      <protection hidden="1"/>
    </xf>
    <xf numFmtId="9" fontId="43" fillId="50" borderId="0" xfId="105" applyNumberFormat="1" applyFont="1" applyFill="1" applyBorder="1" applyAlignment="1" applyProtection="1">
      <alignment horizontal="center"/>
      <protection hidden="1"/>
    </xf>
    <xf numFmtId="0" fontId="41" fillId="50" borderId="0" xfId="105" applyFont="1" applyFill="1" applyBorder="1" applyAlignment="1" applyProtection="1">
      <alignment horizontal="center"/>
      <protection hidden="1"/>
    </xf>
    <xf numFmtId="0" fontId="41" fillId="0" borderId="0" xfId="105" applyFont="1" applyBorder="1" applyAlignment="1" applyProtection="1">
      <alignment horizontal="left"/>
      <protection hidden="1"/>
    </xf>
    <xf numFmtId="208" fontId="42" fillId="2" borderId="37" xfId="106" applyNumberFormat="1" applyFont="1" applyFill="1" applyBorder="1" applyAlignment="1" applyProtection="1">
      <alignment horizontal="center"/>
      <protection hidden="1"/>
    </xf>
    <xf numFmtId="208" fontId="42" fillId="2" borderId="55" xfId="106" applyNumberFormat="1" applyFont="1" applyFill="1" applyBorder="1" applyAlignment="1" applyProtection="1">
      <alignment horizontal="center"/>
      <protection hidden="1"/>
    </xf>
    <xf numFmtId="208" fontId="42" fillId="50" borderId="0" xfId="106" applyNumberFormat="1" applyFont="1" applyFill="1" applyBorder="1" applyAlignment="1" applyProtection="1">
      <alignment horizontal="center"/>
      <protection hidden="1"/>
    </xf>
    <xf numFmtId="208" fontId="42" fillId="2" borderId="26" xfId="106" applyNumberFormat="1" applyFont="1" applyFill="1" applyBorder="1" applyAlignment="1" applyProtection="1">
      <alignment horizontal="center"/>
      <protection hidden="1"/>
    </xf>
    <xf numFmtId="208" fontId="42" fillId="2" borderId="22" xfId="106" applyNumberFormat="1" applyFont="1" applyFill="1" applyBorder="1" applyAlignment="1" applyProtection="1">
      <alignment horizontal="center"/>
      <protection hidden="1"/>
    </xf>
    <xf numFmtId="208" fontId="42" fillId="50" borderId="20" xfId="106" applyNumberFormat="1" applyFont="1" applyFill="1" applyBorder="1" applyAlignment="1" applyProtection="1">
      <alignment horizontal="center"/>
      <protection hidden="1"/>
    </xf>
    <xf numFmtId="208" fontId="42" fillId="50" borderId="41" xfId="106" applyNumberFormat="1" applyFont="1" applyFill="1" applyBorder="1" applyAlignment="1" applyProtection="1">
      <alignment horizontal="center"/>
      <protection hidden="1"/>
    </xf>
    <xf numFmtId="208" fontId="42" fillId="50" borderId="26" xfId="106" applyNumberFormat="1" applyFont="1" applyFill="1" applyBorder="1" applyAlignment="1" applyProtection="1">
      <alignment horizontal="center"/>
      <protection hidden="1"/>
    </xf>
    <xf numFmtId="208" fontId="42" fillId="50" borderId="22" xfId="106" applyNumberFormat="1" applyFont="1" applyFill="1" applyBorder="1" applyAlignment="1" applyProtection="1">
      <alignment horizontal="center"/>
      <protection hidden="1"/>
    </xf>
    <xf numFmtId="208" fontId="42" fillId="50" borderId="36" xfId="106" applyNumberFormat="1" applyFont="1" applyFill="1" applyBorder="1" applyAlignment="1" applyProtection="1">
      <alignment horizontal="center"/>
      <protection hidden="1"/>
    </xf>
    <xf numFmtId="208" fontId="42" fillId="50" borderId="43" xfId="106" applyNumberFormat="1" applyFont="1" applyFill="1" applyBorder="1" applyAlignment="1" applyProtection="1">
      <alignment horizontal="center"/>
      <protection hidden="1"/>
    </xf>
    <xf numFmtId="0" fontId="43" fillId="50" borderId="0" xfId="105" applyFont="1" applyFill="1" applyBorder="1" applyAlignment="1" applyProtection="1">
      <alignment/>
      <protection hidden="1"/>
    </xf>
    <xf numFmtId="0" fontId="43" fillId="50" borderId="0" xfId="105" applyFont="1" applyFill="1" applyBorder="1" applyAlignment="1" applyProtection="1">
      <alignment horizontal="center"/>
      <protection hidden="1"/>
    </xf>
    <xf numFmtId="0" fontId="158" fillId="50" borderId="0" xfId="105" applyFont="1" applyFill="1" applyBorder="1" applyAlignment="1" applyProtection="1">
      <alignment horizontal="center" vertical="center"/>
      <protection hidden="1"/>
    </xf>
    <xf numFmtId="1" fontId="125" fillId="50" borderId="0" xfId="105" applyNumberFormat="1" applyFont="1" applyFill="1" applyBorder="1" applyAlignment="1" applyProtection="1">
      <alignment horizontal="center"/>
      <protection hidden="1"/>
    </xf>
    <xf numFmtId="1" fontId="23" fillId="50" borderId="0" xfId="105" applyNumberFormat="1" applyFont="1" applyFill="1" applyBorder="1" applyAlignment="1" applyProtection="1">
      <alignment horizontal="center"/>
      <protection hidden="1"/>
    </xf>
    <xf numFmtId="0" fontId="40" fillId="46" borderId="0" xfId="105" applyFont="1" applyFill="1" applyBorder="1" applyAlignment="1" applyProtection="1">
      <alignment horizontal="center"/>
      <protection hidden="1"/>
    </xf>
    <xf numFmtId="0" fontId="44" fillId="46" borderId="45" xfId="105" applyFont="1" applyFill="1" applyBorder="1" applyAlignment="1" applyProtection="1">
      <alignment horizontal="left" wrapText="1"/>
      <protection hidden="1"/>
    </xf>
    <xf numFmtId="208" fontId="42" fillId="2" borderId="20" xfId="0" applyNumberFormat="1" applyFont="1" applyFill="1" applyBorder="1" applyAlignment="1" applyProtection="1">
      <alignment horizontal="center"/>
      <protection hidden="1"/>
    </xf>
    <xf numFmtId="208" fontId="42" fillId="2" borderId="41" xfId="0" applyNumberFormat="1" applyFont="1" applyFill="1" applyBorder="1" applyAlignment="1" applyProtection="1">
      <alignment horizontal="center"/>
      <protection hidden="1"/>
    </xf>
    <xf numFmtId="0" fontId="131" fillId="50" borderId="0" xfId="105" applyFont="1" applyFill="1" applyBorder="1" applyAlignment="1" applyProtection="1">
      <alignment horizontal="left"/>
      <protection hidden="1"/>
    </xf>
    <xf numFmtId="1" fontId="42" fillId="50" borderId="21" xfId="105" applyNumberFormat="1" applyFont="1" applyFill="1" applyBorder="1" applyAlignment="1" applyProtection="1">
      <alignment horizontal="center"/>
      <protection hidden="1"/>
    </xf>
    <xf numFmtId="0" fontId="132" fillId="50" borderId="21" xfId="105" applyFont="1" applyFill="1" applyBorder="1" applyAlignment="1" applyProtection="1">
      <alignment horizontal="left"/>
      <protection hidden="1"/>
    </xf>
    <xf numFmtId="0" fontId="41" fillId="50" borderId="29" xfId="105" applyFont="1" applyFill="1" applyBorder="1" applyAlignment="1" applyProtection="1">
      <alignment horizontal="left"/>
      <protection hidden="1"/>
    </xf>
    <xf numFmtId="0" fontId="127" fillId="50" borderId="22" xfId="0" applyFont="1" applyFill="1" applyBorder="1" applyAlignment="1">
      <alignment horizontal="center"/>
    </xf>
    <xf numFmtId="208" fontId="42" fillId="50" borderId="37" xfId="106" applyNumberFormat="1" applyFont="1" applyFill="1" applyBorder="1" applyAlignment="1" applyProtection="1">
      <alignment horizontal="center"/>
      <protection hidden="1"/>
    </xf>
    <xf numFmtId="208" fontId="42" fillId="50" borderId="55" xfId="106" applyNumberFormat="1" applyFont="1" applyFill="1" applyBorder="1" applyAlignment="1" applyProtection="1">
      <alignment horizontal="center"/>
      <protection hidden="1"/>
    </xf>
    <xf numFmtId="0" fontId="43" fillId="0" borderId="0" xfId="105" applyFont="1" applyFill="1" applyBorder="1" applyAlignment="1" applyProtection="1">
      <alignment horizontal="center"/>
      <protection hidden="1"/>
    </xf>
    <xf numFmtId="0" fontId="40" fillId="46" borderId="45" xfId="105" applyFont="1" applyFill="1" applyBorder="1" applyAlignment="1" applyProtection="1">
      <alignment horizontal="left"/>
      <protection hidden="1"/>
    </xf>
    <xf numFmtId="208" fontId="42" fillId="50" borderId="44" xfId="105" applyNumberFormat="1" applyFont="1" applyFill="1" applyBorder="1" applyAlignment="1" applyProtection="1">
      <alignment horizontal="center"/>
      <protection hidden="1"/>
    </xf>
    <xf numFmtId="0" fontId="41" fillId="50" borderId="26" xfId="105" applyFont="1" applyFill="1" applyBorder="1" applyAlignment="1" applyProtection="1">
      <alignment horizontal="left"/>
      <protection hidden="1"/>
    </xf>
    <xf numFmtId="0" fontId="140" fillId="50" borderId="45" xfId="105" applyFont="1" applyFill="1" applyBorder="1" applyAlignment="1" applyProtection="1">
      <alignment horizontal="left"/>
      <protection hidden="1"/>
    </xf>
    <xf numFmtId="0" fontId="41" fillId="50" borderId="45" xfId="105" applyFont="1" applyFill="1" applyBorder="1" applyAlignment="1" applyProtection="1">
      <alignment horizontal="left"/>
      <protection hidden="1"/>
    </xf>
    <xf numFmtId="0" fontId="43" fillId="50" borderId="0" xfId="105" applyFont="1" applyFill="1" applyBorder="1" applyAlignment="1" applyProtection="1">
      <alignment horizontal="center" vertical="center"/>
      <protection hidden="1"/>
    </xf>
    <xf numFmtId="1" fontId="42" fillId="50" borderId="20" xfId="105" applyNumberFormat="1" applyFont="1" applyFill="1" applyBorder="1" applyAlignment="1" applyProtection="1">
      <alignment horizontal="center"/>
      <protection hidden="1"/>
    </xf>
    <xf numFmtId="1" fontId="42" fillId="50" borderId="41" xfId="105" applyNumberFormat="1" applyFont="1" applyFill="1" applyBorder="1" applyAlignment="1" applyProtection="1">
      <alignment horizontal="center"/>
      <protection hidden="1"/>
    </xf>
    <xf numFmtId="208" fontId="42" fillId="50" borderId="26" xfId="105" applyNumberFormat="1" applyFont="1" applyFill="1" applyBorder="1" applyAlignment="1" applyProtection="1">
      <alignment horizontal="center"/>
      <protection hidden="1"/>
    </xf>
    <xf numFmtId="208" fontId="42" fillId="50" borderId="22" xfId="105" applyNumberFormat="1" applyFont="1" applyFill="1" applyBorder="1" applyAlignment="1" applyProtection="1">
      <alignment horizontal="center"/>
      <protection hidden="1"/>
    </xf>
    <xf numFmtId="0" fontId="43" fillId="50" borderId="0" xfId="105" applyFont="1" applyFill="1" applyBorder="1" applyAlignment="1" applyProtection="1">
      <alignment horizontal="left" vertical="center"/>
      <protection hidden="1"/>
    </xf>
    <xf numFmtId="0" fontId="127" fillId="46" borderId="0" xfId="0" applyFont="1" applyFill="1" applyAlignment="1">
      <alignment horizontal="center"/>
    </xf>
    <xf numFmtId="208" fontId="42" fillId="50" borderId="0" xfId="105" applyNumberFormat="1" applyFont="1" applyFill="1" applyBorder="1" applyAlignment="1" applyProtection="1">
      <alignment horizontal="center"/>
      <protection hidden="1"/>
    </xf>
    <xf numFmtId="0" fontId="48" fillId="50" borderId="0" xfId="105" applyFont="1" applyFill="1" applyBorder="1" applyAlignment="1" applyProtection="1">
      <alignment horizontal="left"/>
      <protection hidden="1"/>
    </xf>
    <xf numFmtId="0" fontId="127" fillId="50" borderId="0" xfId="0" applyFont="1" applyFill="1" applyAlignment="1">
      <alignment/>
    </xf>
    <xf numFmtId="0" fontId="26" fillId="50" borderId="0" xfId="105" applyFont="1" applyFill="1" applyBorder="1" applyAlignment="1" applyProtection="1">
      <alignment horizontal="left"/>
      <protection hidden="1"/>
    </xf>
    <xf numFmtId="0" fontId="159" fillId="47" borderId="0" xfId="69" applyFont="1" applyFill="1" applyAlignment="1">
      <alignment horizontal="center" vertical="center" wrapText="1"/>
    </xf>
    <xf numFmtId="0" fontId="99" fillId="50" borderId="0" xfId="69" applyFill="1" applyBorder="1" applyAlignment="1" applyProtection="1">
      <alignment horizontal="left" wrapText="1" indent="3"/>
      <protection hidden="1"/>
    </xf>
    <xf numFmtId="0" fontId="99" fillId="0" borderId="0" xfId="69" applyAlignment="1" applyProtection="1">
      <alignment horizontal="left" wrapText="1" indent="3"/>
      <protection/>
    </xf>
    <xf numFmtId="0" fontId="99" fillId="0" borderId="0" xfId="69" applyAlignment="1">
      <alignment horizontal="left" indent="3"/>
    </xf>
    <xf numFmtId="0" fontId="160" fillId="51" borderId="0" xfId="0" applyFont="1" applyFill="1" applyAlignment="1">
      <alignment horizontal="center" wrapText="1"/>
    </xf>
    <xf numFmtId="0" fontId="119" fillId="50" borderId="0" xfId="0" applyFont="1" applyFill="1" applyAlignment="1">
      <alignment horizontal="center" wrapText="1"/>
    </xf>
    <xf numFmtId="0" fontId="24" fillId="50" borderId="0" xfId="0" applyFont="1" applyFill="1" applyAlignment="1">
      <alignment horizontal="center" wrapText="1"/>
    </xf>
    <xf numFmtId="0" fontId="3" fillId="50" borderId="62" xfId="0" applyFont="1" applyFill="1" applyBorder="1" applyAlignment="1">
      <alignment horizontal="center" vertical="center" wrapText="1"/>
    </xf>
    <xf numFmtId="0" fontId="161" fillId="50" borderId="59" xfId="105" applyFont="1" applyFill="1" applyBorder="1" applyAlignment="1">
      <alignment horizontal="center" vertical="center" wrapText="1"/>
      <protection/>
    </xf>
    <xf numFmtId="0" fontId="162" fillId="50" borderId="60" xfId="105" applyFont="1" applyFill="1" applyBorder="1" applyAlignment="1">
      <alignment horizontal="center" vertical="center" wrapText="1"/>
      <protection/>
    </xf>
    <xf numFmtId="0" fontId="44" fillId="46" borderId="0" xfId="105" applyFont="1" applyFill="1" applyBorder="1" applyAlignment="1" applyProtection="1">
      <alignment horizontal="center"/>
      <protection hidden="1"/>
    </xf>
    <xf numFmtId="0" fontId="44" fillId="50" borderId="0" xfId="105" applyFont="1" applyFill="1" applyBorder="1" applyAlignment="1">
      <alignment horizontal="left"/>
      <protection/>
    </xf>
    <xf numFmtId="0" fontId="42" fillId="0" borderId="0" xfId="0" applyFont="1" applyAlignment="1">
      <alignment horizontal="left"/>
    </xf>
    <xf numFmtId="1" fontId="40" fillId="46" borderId="0" xfId="105" applyNumberFormat="1" applyFont="1" applyFill="1" applyBorder="1" applyAlignment="1" applyProtection="1">
      <alignment horizontal="left"/>
      <protection hidden="1"/>
    </xf>
    <xf numFmtId="1" fontId="40" fillId="45" borderId="0" xfId="0" applyNumberFormat="1" applyFont="1" applyFill="1" applyBorder="1" applyAlignment="1">
      <alignment horizontal="left" wrapText="1"/>
    </xf>
    <xf numFmtId="0" fontId="4" fillId="46" borderId="0" xfId="105" applyFont="1" applyFill="1" applyAlignment="1" applyProtection="1">
      <alignment horizontal="center"/>
      <protection hidden="1"/>
    </xf>
    <xf numFmtId="1" fontId="142" fillId="50" borderId="0" xfId="105" applyNumberFormat="1" applyFont="1" applyFill="1" applyBorder="1" applyAlignment="1" applyProtection="1">
      <alignment horizontal="center"/>
      <protection hidden="1"/>
    </xf>
    <xf numFmtId="0" fontId="44" fillId="46" borderId="0" xfId="105" applyFont="1" applyFill="1" applyBorder="1" applyAlignment="1" applyProtection="1">
      <alignment horizontal="center"/>
      <protection hidden="1"/>
    </xf>
    <xf numFmtId="0" fontId="44" fillId="46" borderId="0" xfId="105" applyFont="1" applyFill="1" applyBorder="1" applyAlignment="1" applyProtection="1">
      <alignment horizontal="left" wrapText="1"/>
      <protection hidden="1"/>
    </xf>
    <xf numFmtId="0" fontId="138" fillId="48" borderId="0" xfId="105" applyFont="1" applyFill="1" applyBorder="1" applyAlignment="1" applyProtection="1">
      <alignment horizontal="center" vertical="center"/>
      <protection hidden="1"/>
    </xf>
    <xf numFmtId="0" fontId="48" fillId="50" borderId="0" xfId="105" applyFont="1" applyFill="1" applyBorder="1" applyAlignment="1" applyProtection="1">
      <alignment horizontal="center"/>
      <protection hidden="1"/>
    </xf>
    <xf numFmtId="1" fontId="43" fillId="50" borderId="0" xfId="105" applyNumberFormat="1" applyFont="1" applyFill="1" applyBorder="1" applyAlignment="1" applyProtection="1">
      <alignment horizontal="center"/>
      <protection hidden="1"/>
    </xf>
    <xf numFmtId="0" fontId="27" fillId="46" borderId="21" xfId="105" applyFont="1" applyFill="1" applyBorder="1" applyAlignment="1" applyProtection="1">
      <alignment horizontal="center"/>
      <protection hidden="1"/>
    </xf>
    <xf numFmtId="0" fontId="27" fillId="46" borderId="0" xfId="105" applyFont="1" applyFill="1" applyBorder="1" applyAlignment="1" applyProtection="1">
      <alignment horizontal="center"/>
      <protection hidden="1"/>
    </xf>
    <xf numFmtId="0" fontId="24" fillId="50" borderId="0" xfId="0" applyFont="1" applyFill="1" applyBorder="1" applyAlignment="1">
      <alignment horizontal="center" vertical="center" wrapText="1"/>
    </xf>
    <xf numFmtId="0" fontId="163" fillId="49" borderId="0" xfId="105" applyFont="1" applyFill="1" applyAlignment="1">
      <alignment horizontal="center"/>
      <protection/>
    </xf>
  </cellXfs>
  <cellStyles count="12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1 3" xfId="35"/>
    <cellStyle name="Акцент1 4" xfId="36"/>
    <cellStyle name="Акцент2" xfId="37"/>
    <cellStyle name="Акцент2 2" xfId="38"/>
    <cellStyle name="Акцент2 3" xfId="39"/>
    <cellStyle name="Акцент2 4" xfId="40"/>
    <cellStyle name="Акцент3" xfId="41"/>
    <cellStyle name="Акцент3 2" xfId="42"/>
    <cellStyle name="Акцент3 3" xfId="43"/>
    <cellStyle name="Акцент3 4" xfId="44"/>
    <cellStyle name="Акцент4" xfId="45"/>
    <cellStyle name="Акцент4 2" xfId="46"/>
    <cellStyle name="Акцент4 3" xfId="47"/>
    <cellStyle name="Акцент4 4" xfId="48"/>
    <cellStyle name="Акцент5" xfId="49"/>
    <cellStyle name="Акцент5 2" xfId="50"/>
    <cellStyle name="Акцент5 3" xfId="51"/>
    <cellStyle name="Акцент5 4" xfId="52"/>
    <cellStyle name="Акцент6" xfId="53"/>
    <cellStyle name="Акцент6 2" xfId="54"/>
    <cellStyle name="Акцент6 3" xfId="55"/>
    <cellStyle name="Акцент6 4" xfId="56"/>
    <cellStyle name="Ввод " xfId="57"/>
    <cellStyle name="Ввод  2" xfId="58"/>
    <cellStyle name="Ввод  3" xfId="59"/>
    <cellStyle name="Ввод  4" xfId="60"/>
    <cellStyle name="Вывод" xfId="61"/>
    <cellStyle name="Вывод 2" xfId="62"/>
    <cellStyle name="Вывод 3" xfId="63"/>
    <cellStyle name="Вывод 4" xfId="64"/>
    <cellStyle name="Вычисление" xfId="65"/>
    <cellStyle name="Вычисление 2" xfId="66"/>
    <cellStyle name="Вычисление 3" xfId="67"/>
    <cellStyle name="Вычисление 4" xfId="68"/>
    <cellStyle name="Hyperlink" xfId="69"/>
    <cellStyle name="Гиперссылка 2" xfId="70"/>
    <cellStyle name="Currency" xfId="71"/>
    <cellStyle name="Currency [0]" xfId="72"/>
    <cellStyle name="Заголовок 1" xfId="73"/>
    <cellStyle name="Заголовок 1 2" xfId="74"/>
    <cellStyle name="Заголовок 1 3" xfId="75"/>
    <cellStyle name="Заголовок 1 4" xfId="76"/>
    <cellStyle name="Заголовок 2" xfId="77"/>
    <cellStyle name="Заголовок 2 2" xfId="78"/>
    <cellStyle name="Заголовок 2 3" xfId="79"/>
    <cellStyle name="Заголовок 2 4" xfId="80"/>
    <cellStyle name="Заголовок 3" xfId="81"/>
    <cellStyle name="Заголовок 3 2" xfId="82"/>
    <cellStyle name="Заголовок 3 3" xfId="83"/>
    <cellStyle name="Заголовок 3 4" xfId="84"/>
    <cellStyle name="Заголовок 4" xfId="85"/>
    <cellStyle name="Заголовок 4 2" xfId="86"/>
    <cellStyle name="Заголовок 4 3" xfId="87"/>
    <cellStyle name="Заголовок 4 4" xfId="88"/>
    <cellStyle name="Итог" xfId="89"/>
    <cellStyle name="Итог 2" xfId="90"/>
    <cellStyle name="Итог 3" xfId="91"/>
    <cellStyle name="Итог 4" xfId="92"/>
    <cellStyle name="Контрольная ячейка" xfId="93"/>
    <cellStyle name="Контрольная ячейка 2" xfId="94"/>
    <cellStyle name="Контрольная ячейка 3" xfId="95"/>
    <cellStyle name="Контрольная ячейка 4" xfId="96"/>
    <cellStyle name="Название" xfId="97"/>
    <cellStyle name="Название 2" xfId="98"/>
    <cellStyle name="Название 3" xfId="99"/>
    <cellStyle name="Название 4" xfId="100"/>
    <cellStyle name="Нейтральный" xfId="101"/>
    <cellStyle name="Нейтральный 2" xfId="102"/>
    <cellStyle name="Нейтральный 3" xfId="103"/>
    <cellStyle name="Нейтральный 4" xfId="104"/>
    <cellStyle name="Обычный 2" xfId="105"/>
    <cellStyle name="Обычный 2 2" xfId="106"/>
    <cellStyle name="Обычный 3" xfId="107"/>
    <cellStyle name="Обычный 4" xfId="108"/>
    <cellStyle name="Обычный 5" xfId="109"/>
    <cellStyle name="Followed Hyperlink" xfId="110"/>
    <cellStyle name="Плохой" xfId="111"/>
    <cellStyle name="Плохой 2" xfId="112"/>
    <cellStyle name="Плохой 3" xfId="113"/>
    <cellStyle name="Плохой 4" xfId="114"/>
    <cellStyle name="Пояснение" xfId="115"/>
    <cellStyle name="Пояснение 2" xfId="116"/>
    <cellStyle name="Пояснение 3" xfId="117"/>
    <cellStyle name="Пояснение 4" xfId="118"/>
    <cellStyle name="Примечание" xfId="119"/>
    <cellStyle name="Примечание 2" xfId="120"/>
    <cellStyle name="Примечание 3" xfId="121"/>
    <cellStyle name="Примечание 4" xfId="122"/>
    <cellStyle name="Percent" xfId="123"/>
    <cellStyle name="Связанная ячейка" xfId="124"/>
    <cellStyle name="Связанная ячейка 2" xfId="125"/>
    <cellStyle name="Связанная ячейка 3" xfId="126"/>
    <cellStyle name="Связанная ячейка 4" xfId="127"/>
    <cellStyle name="Текст предупреждения" xfId="128"/>
    <cellStyle name="Текст предупреждения 2" xfId="129"/>
    <cellStyle name="Текст предупреждения 3" xfId="130"/>
    <cellStyle name="Текст предупреждения 4" xfId="131"/>
    <cellStyle name="Comma" xfId="132"/>
    <cellStyle name="Comma [0]" xfId="133"/>
    <cellStyle name="Хороший" xfId="134"/>
    <cellStyle name="Хороший 2" xfId="135"/>
    <cellStyle name="Хороший 3" xfId="136"/>
    <cellStyle name="Хороший 4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V1716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" sqref="A5:K5"/>
    </sheetView>
  </sheetViews>
  <sheetFormatPr defaultColWidth="9.140625" defaultRowHeight="15"/>
  <cols>
    <col min="1" max="1" width="40.7109375" style="0" customWidth="1"/>
    <col min="2" max="2" width="74.140625" style="0" customWidth="1"/>
    <col min="3" max="3" width="11.28125" style="0" customWidth="1"/>
    <col min="4" max="4" width="20.00390625" style="0" customWidth="1"/>
    <col min="5" max="5" width="16.421875" style="0" customWidth="1"/>
    <col min="6" max="6" width="12.57421875" style="0" customWidth="1"/>
    <col min="7" max="7" width="11.7109375" style="0" customWidth="1"/>
    <col min="8" max="8" width="15.421875" style="0" customWidth="1"/>
    <col min="9" max="9" width="11.140625" style="0" customWidth="1"/>
    <col min="10" max="10" width="13.7109375" style="0" customWidth="1"/>
    <col min="11" max="11" width="10.7109375" style="2" customWidth="1"/>
    <col min="12" max="12" width="12.7109375" style="2" customWidth="1"/>
    <col min="13" max="13" width="10.7109375" style="0" customWidth="1"/>
    <col min="14" max="14" width="9.8515625" style="1" customWidth="1"/>
    <col min="15" max="15" width="9.28125" style="1" customWidth="1"/>
    <col min="16" max="16" width="10.421875" style="1" customWidth="1"/>
    <col min="17" max="17" width="9.00390625" style="1" customWidth="1"/>
    <col min="18" max="18" width="10.140625" style="1" customWidth="1"/>
    <col min="19" max="24" width="9.00390625" style="1" customWidth="1"/>
    <col min="25" max="25" width="9.00390625" style="1" hidden="1" customWidth="1"/>
    <col min="26" max="26" width="9.140625" style="0" hidden="1" customWidth="1"/>
    <col min="27" max="27" width="9.140625" style="0" customWidth="1"/>
  </cols>
  <sheetData>
    <row r="1" spans="1:69" s="5" customFormat="1" ht="34.5" customHeight="1">
      <c r="A1" s="1222" t="s">
        <v>306</v>
      </c>
      <c r="B1" s="1222"/>
      <c r="C1" s="1222"/>
      <c r="D1" s="1222"/>
      <c r="E1" s="1222"/>
      <c r="F1" s="1222"/>
      <c r="G1" s="1222"/>
      <c r="H1" s="1222"/>
      <c r="I1" s="1222"/>
      <c r="J1" s="1222"/>
      <c r="K1" s="1222"/>
      <c r="L1" s="1222"/>
      <c r="M1" s="892"/>
      <c r="N1" s="892"/>
      <c r="O1" s="892"/>
      <c r="P1" s="892"/>
      <c r="Q1" s="892"/>
      <c r="R1" s="892"/>
      <c r="S1" s="892"/>
      <c r="T1" s="892"/>
      <c r="U1" s="892"/>
      <c r="V1" s="892"/>
      <c r="W1" s="892"/>
      <c r="X1" s="892"/>
      <c r="Y1" s="892"/>
      <c r="Z1" s="892">
        <v>1.25</v>
      </c>
      <c r="AA1" s="892"/>
      <c r="AB1" s="892"/>
      <c r="AC1" s="892"/>
      <c r="AD1" s="892"/>
      <c r="AE1" s="892"/>
      <c r="AF1" s="892"/>
      <c r="AG1" s="892"/>
      <c r="AH1" s="892"/>
      <c r="AI1" s="892"/>
      <c r="AJ1" s="892"/>
      <c r="AK1" s="892"/>
      <c r="AL1" s="892"/>
      <c r="AM1" s="892"/>
      <c r="AN1" s="892"/>
      <c r="AO1" s="892"/>
      <c r="AP1" s="892"/>
      <c r="AQ1" s="892"/>
      <c r="AR1" s="892"/>
      <c r="AS1" s="892"/>
      <c r="AT1" s="892"/>
      <c r="AU1" s="892"/>
      <c r="AV1" s="892"/>
      <c r="AW1" s="892"/>
      <c r="AX1" s="892"/>
      <c r="AY1" s="892"/>
      <c r="AZ1" s="892"/>
      <c r="BA1" s="892"/>
      <c r="BB1" s="892"/>
      <c r="BC1" s="892"/>
      <c r="BD1" s="892"/>
      <c r="BE1" s="892"/>
      <c r="BF1" s="892"/>
      <c r="BG1" s="892"/>
      <c r="BH1" s="892"/>
      <c r="BI1" s="892"/>
      <c r="BJ1" s="892"/>
      <c r="BK1" s="892"/>
      <c r="BL1" s="892"/>
      <c r="BM1" s="892"/>
      <c r="BN1" s="892"/>
      <c r="BO1" s="892"/>
      <c r="BP1" s="892"/>
      <c r="BQ1" s="892"/>
    </row>
    <row r="2" spans="1:69" s="6" customFormat="1" ht="34.5" customHeight="1">
      <c r="A2" s="1247" t="s">
        <v>517</v>
      </c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893"/>
      <c r="N2" s="894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  <c r="AA2" s="895"/>
      <c r="AB2" s="895"/>
      <c r="AC2" s="895"/>
      <c r="AD2" s="895"/>
      <c r="AE2" s="895"/>
      <c r="AF2" s="895"/>
      <c r="AG2" s="895"/>
      <c r="AH2" s="895"/>
      <c r="AI2" s="895"/>
      <c r="AJ2" s="895"/>
      <c r="AK2" s="895"/>
      <c r="AL2" s="895"/>
      <c r="AM2" s="895"/>
      <c r="AN2" s="895"/>
      <c r="AO2" s="895"/>
      <c r="AP2" s="895"/>
      <c r="AQ2" s="895"/>
      <c r="AR2" s="895"/>
      <c r="AS2" s="895"/>
      <c r="AT2" s="895"/>
      <c r="AU2" s="895"/>
      <c r="AV2" s="895"/>
      <c r="AW2" s="895"/>
      <c r="AX2" s="895"/>
      <c r="AY2" s="895"/>
      <c r="AZ2" s="895"/>
      <c r="BA2" s="895"/>
      <c r="BB2" s="895"/>
      <c r="BC2" s="895"/>
      <c r="BD2" s="895"/>
      <c r="BE2" s="895"/>
      <c r="BF2" s="895"/>
      <c r="BG2" s="895"/>
      <c r="BH2" s="895"/>
      <c r="BI2" s="895"/>
      <c r="BJ2" s="895"/>
      <c r="BK2" s="895"/>
      <c r="BL2" s="895"/>
      <c r="BM2" s="895"/>
      <c r="BN2" s="895"/>
      <c r="BO2" s="895"/>
      <c r="BP2" s="895"/>
      <c r="BQ2" s="895"/>
    </row>
    <row r="3" spans="1:47" s="887" customFormat="1" ht="45" customHeight="1" thickBot="1">
      <c r="A3" s="1230" t="s">
        <v>832</v>
      </c>
      <c r="B3" s="1231"/>
      <c r="C3" s="1231"/>
      <c r="D3" s="1231"/>
      <c r="E3" s="1231"/>
      <c r="F3" s="1231"/>
      <c r="G3" s="1231"/>
      <c r="H3" s="1231"/>
      <c r="I3" s="886"/>
      <c r="J3" s="886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</row>
    <row r="4" spans="1:47" s="9" customFormat="1" ht="34.5" customHeight="1">
      <c r="A4" s="1229" t="s">
        <v>1036</v>
      </c>
      <c r="B4" s="1229"/>
      <c r="C4" s="1229"/>
      <c r="D4" s="1229"/>
      <c r="E4" s="1229"/>
      <c r="F4" s="1229"/>
      <c r="G4" s="1229"/>
      <c r="H4" s="1229"/>
      <c r="I4" s="1229"/>
      <c r="J4" s="1229"/>
      <c r="K4" s="1229"/>
      <c r="L4" s="76"/>
      <c r="M4" s="35"/>
      <c r="N4" s="40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</row>
    <row r="5" spans="1:47" s="9" customFormat="1" ht="34.5" customHeight="1">
      <c r="A5" s="1246" t="s">
        <v>1037</v>
      </c>
      <c r="B5" s="1246"/>
      <c r="C5" s="1246"/>
      <c r="D5" s="1246"/>
      <c r="E5" s="1246"/>
      <c r="F5" s="1246"/>
      <c r="G5" s="1246"/>
      <c r="H5" s="1246"/>
      <c r="I5" s="1246"/>
      <c r="J5" s="1246"/>
      <c r="K5" s="1246"/>
      <c r="L5" s="76"/>
      <c r="M5" s="35"/>
      <c r="N5" s="40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</row>
    <row r="6" spans="1:256" s="9" customFormat="1" ht="34.5" customHeight="1">
      <c r="A6" s="888"/>
      <c r="B6" s="1227" t="s">
        <v>908</v>
      </c>
      <c r="C6" s="1228"/>
      <c r="D6" s="1228"/>
      <c r="E6" s="1228"/>
      <c r="F6" s="1228"/>
      <c r="G6" s="1228"/>
      <c r="H6" s="10"/>
      <c r="I6" s="10"/>
      <c r="J6" s="889"/>
      <c r="K6" s="890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891"/>
      <c r="AW6" s="891"/>
      <c r="AX6" s="891"/>
      <c r="AY6" s="891"/>
      <c r="AZ6" s="891"/>
      <c r="BA6" s="891"/>
      <c r="BB6" s="891"/>
      <c r="BC6" s="891"/>
      <c r="BD6" s="891"/>
      <c r="BE6" s="891"/>
      <c r="BF6" s="891"/>
      <c r="BG6" s="891"/>
      <c r="BH6" s="891"/>
      <c r="BI6" s="891"/>
      <c r="BJ6" s="891"/>
      <c r="BK6" s="891"/>
      <c r="BL6" s="891"/>
      <c r="BM6" s="891"/>
      <c r="BN6" s="891"/>
      <c r="BO6" s="891"/>
      <c r="BP6" s="891"/>
      <c r="BQ6" s="891"/>
      <c r="BR6" s="891"/>
      <c r="BS6" s="891"/>
      <c r="BT6" s="891"/>
      <c r="BU6" s="891"/>
      <c r="BV6" s="891"/>
      <c r="BW6" s="891"/>
      <c r="BX6" s="891"/>
      <c r="BY6" s="891"/>
      <c r="BZ6" s="891"/>
      <c r="CA6" s="891"/>
      <c r="CB6" s="891"/>
      <c r="CC6" s="891"/>
      <c r="CD6" s="891"/>
      <c r="CE6" s="891"/>
      <c r="CF6" s="891"/>
      <c r="CG6" s="891"/>
      <c r="CH6" s="891"/>
      <c r="CI6" s="891"/>
      <c r="CJ6" s="891"/>
      <c r="CK6" s="891"/>
      <c r="CL6" s="891"/>
      <c r="CM6" s="891"/>
      <c r="CN6" s="891"/>
      <c r="CO6" s="891"/>
      <c r="CP6" s="891"/>
      <c r="CQ6" s="891"/>
      <c r="CR6" s="891"/>
      <c r="CS6" s="891"/>
      <c r="CT6" s="891"/>
      <c r="CU6" s="891"/>
      <c r="CV6" s="891"/>
      <c r="CW6" s="891"/>
      <c r="CX6" s="891"/>
      <c r="CY6" s="891"/>
      <c r="CZ6" s="891"/>
      <c r="DA6" s="891"/>
      <c r="DB6" s="891"/>
      <c r="DC6" s="891"/>
      <c r="DD6" s="891"/>
      <c r="DE6" s="891"/>
      <c r="DF6" s="891"/>
      <c r="DG6" s="891"/>
      <c r="DH6" s="891"/>
      <c r="DI6" s="891"/>
      <c r="DJ6" s="891"/>
      <c r="DK6" s="891"/>
      <c r="DL6" s="891"/>
      <c r="DM6" s="891"/>
      <c r="DN6" s="891"/>
      <c r="DO6" s="891"/>
      <c r="DP6" s="891"/>
      <c r="DQ6" s="891"/>
      <c r="DR6" s="891"/>
      <c r="DS6" s="891"/>
      <c r="DT6" s="891"/>
      <c r="DU6" s="891"/>
      <c r="DV6" s="891"/>
      <c r="DW6" s="891"/>
      <c r="DX6" s="891"/>
      <c r="DY6" s="891"/>
      <c r="DZ6" s="891"/>
      <c r="EA6" s="891"/>
      <c r="EB6" s="891"/>
      <c r="EC6" s="891"/>
      <c r="ED6" s="891"/>
      <c r="EE6" s="891"/>
      <c r="EF6" s="891"/>
      <c r="EG6" s="891"/>
      <c r="EH6" s="891"/>
      <c r="EI6" s="891"/>
      <c r="EJ6" s="891"/>
      <c r="EK6" s="891"/>
      <c r="EL6" s="891"/>
      <c r="EM6" s="891"/>
      <c r="EN6" s="891"/>
      <c r="EO6" s="891"/>
      <c r="EP6" s="891"/>
      <c r="EQ6" s="891"/>
      <c r="ER6" s="891"/>
      <c r="ES6" s="891"/>
      <c r="ET6" s="891"/>
      <c r="EU6" s="891"/>
      <c r="EV6" s="891"/>
      <c r="EW6" s="891"/>
      <c r="EX6" s="891"/>
      <c r="EY6" s="891"/>
      <c r="EZ6" s="891"/>
      <c r="FA6" s="891"/>
      <c r="FB6" s="891"/>
      <c r="FC6" s="891"/>
      <c r="FD6" s="891"/>
      <c r="FE6" s="891"/>
      <c r="FF6" s="891"/>
      <c r="FG6" s="891"/>
      <c r="FH6" s="891"/>
      <c r="FI6" s="891"/>
      <c r="FJ6" s="891"/>
      <c r="FK6" s="891"/>
      <c r="FL6" s="891"/>
      <c r="FM6" s="891"/>
      <c r="FN6" s="891"/>
      <c r="FO6" s="891"/>
      <c r="FP6" s="891"/>
      <c r="FQ6" s="891"/>
      <c r="FR6" s="891"/>
      <c r="FS6" s="891"/>
      <c r="FT6" s="891"/>
      <c r="FU6" s="891"/>
      <c r="FV6" s="891"/>
      <c r="FW6" s="891"/>
      <c r="FX6" s="891"/>
      <c r="FY6" s="891"/>
      <c r="FZ6" s="891"/>
      <c r="GA6" s="891"/>
      <c r="GB6" s="891"/>
      <c r="GC6" s="891"/>
      <c r="GD6" s="891"/>
      <c r="GE6" s="891"/>
      <c r="GF6" s="891"/>
      <c r="GG6" s="891"/>
      <c r="GH6" s="891"/>
      <c r="GI6" s="891"/>
      <c r="GJ6" s="891"/>
      <c r="GK6" s="891"/>
      <c r="GL6" s="891"/>
      <c r="GM6" s="891"/>
      <c r="GN6" s="891"/>
      <c r="GO6" s="891"/>
      <c r="GP6" s="891"/>
      <c r="GQ6" s="891"/>
      <c r="GR6" s="891"/>
      <c r="GS6" s="891"/>
      <c r="GT6" s="891"/>
      <c r="GU6" s="891"/>
      <c r="GV6" s="891"/>
      <c r="GW6" s="891"/>
      <c r="GX6" s="891"/>
      <c r="GY6" s="891"/>
      <c r="GZ6" s="891"/>
      <c r="HA6" s="891"/>
      <c r="HB6" s="891"/>
      <c r="HC6" s="891"/>
      <c r="HD6" s="891"/>
      <c r="HE6" s="891"/>
      <c r="HF6" s="891"/>
      <c r="HG6" s="891"/>
      <c r="HH6" s="891"/>
      <c r="HI6" s="891"/>
      <c r="HJ6" s="891"/>
      <c r="HK6" s="891"/>
      <c r="HL6" s="891"/>
      <c r="HM6" s="891"/>
      <c r="HN6" s="891"/>
      <c r="HO6" s="891"/>
      <c r="HP6" s="891"/>
      <c r="HQ6" s="891"/>
      <c r="HR6" s="891"/>
      <c r="HS6" s="891"/>
      <c r="HT6" s="891"/>
      <c r="HU6" s="891"/>
      <c r="HV6" s="891"/>
      <c r="HW6" s="891"/>
      <c r="HX6" s="891"/>
      <c r="HY6" s="891"/>
      <c r="HZ6" s="891"/>
      <c r="IA6" s="891"/>
      <c r="IB6" s="891"/>
      <c r="IC6" s="891"/>
      <c r="ID6" s="891"/>
      <c r="IE6" s="891"/>
      <c r="IF6" s="891"/>
      <c r="IG6" s="891"/>
      <c r="IH6" s="891"/>
      <c r="II6" s="891"/>
      <c r="IJ6" s="891"/>
      <c r="IK6" s="891"/>
      <c r="IL6" s="891"/>
      <c r="IM6" s="891"/>
      <c r="IN6" s="891"/>
      <c r="IO6" s="891"/>
      <c r="IP6" s="891"/>
      <c r="IQ6" s="891"/>
      <c r="IR6" s="891"/>
      <c r="IS6" s="891"/>
      <c r="IT6" s="891"/>
      <c r="IU6" s="891"/>
      <c r="IV6" s="891"/>
    </row>
    <row r="7" spans="1:69" s="23" customFormat="1" ht="20.25" customHeight="1">
      <c r="A7" s="898" t="s">
        <v>229</v>
      </c>
      <c r="B7" s="16"/>
      <c r="C7" s="17"/>
      <c r="D7" s="17"/>
      <c r="E7" s="17"/>
      <c r="F7" s="17"/>
      <c r="G7" s="18"/>
      <c r="H7" s="18"/>
      <c r="I7" s="19"/>
      <c r="J7" s="20"/>
      <c r="K7" s="21"/>
      <c r="L7" s="22"/>
      <c r="M7" s="59"/>
      <c r="N7" s="60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</row>
    <row r="8" spans="1:69" s="23" customFormat="1" ht="24.75" customHeight="1">
      <c r="A8" s="898" t="s">
        <v>212</v>
      </c>
      <c r="B8" s="16"/>
      <c r="C8" s="17"/>
      <c r="D8" s="17"/>
      <c r="E8" s="17"/>
      <c r="F8" s="17"/>
      <c r="G8" s="18"/>
      <c r="H8" s="18"/>
      <c r="I8" s="19"/>
      <c r="J8" s="20"/>
      <c r="K8" s="21"/>
      <c r="L8" s="22"/>
      <c r="M8" s="59"/>
      <c r="N8" s="60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</row>
    <row r="9" spans="1:69" s="23" customFormat="1" ht="21.75" customHeight="1">
      <c r="A9" s="898" t="s">
        <v>227</v>
      </c>
      <c r="B9" s="16"/>
      <c r="C9" s="17"/>
      <c r="D9" s="17"/>
      <c r="E9" s="17"/>
      <c r="F9" s="17"/>
      <c r="G9" s="18"/>
      <c r="H9" s="18"/>
      <c r="I9" s="19"/>
      <c r="J9" s="20"/>
      <c r="K9" s="21"/>
      <c r="L9" s="22"/>
      <c r="M9" s="59"/>
      <c r="N9" s="60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</row>
    <row r="10" spans="1:69" s="23" customFormat="1" ht="20.25" customHeight="1">
      <c r="A10" s="898" t="s">
        <v>228</v>
      </c>
      <c r="B10" s="16"/>
      <c r="C10" s="17"/>
      <c r="D10" s="17"/>
      <c r="E10" s="17"/>
      <c r="F10" s="17"/>
      <c r="G10" s="18"/>
      <c r="H10" s="18"/>
      <c r="I10" s="19"/>
      <c r="J10" s="20"/>
      <c r="K10" s="21"/>
      <c r="L10" s="22"/>
      <c r="M10" s="59"/>
      <c r="N10" s="60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</row>
    <row r="11" spans="1:69" s="23" customFormat="1" ht="24.75" customHeight="1">
      <c r="A11" s="898" t="s">
        <v>213</v>
      </c>
      <c r="B11" s="16"/>
      <c r="C11" s="17"/>
      <c r="D11" s="17"/>
      <c r="E11" s="17"/>
      <c r="F11" s="17"/>
      <c r="G11" s="18"/>
      <c r="H11" s="18"/>
      <c r="I11" s="19"/>
      <c r="J11" s="20"/>
      <c r="K11" s="21"/>
      <c r="L11" s="22"/>
      <c r="M11" s="59"/>
      <c r="N11" s="60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</row>
    <row r="12" spans="1:69" s="23" customFormat="1" ht="24" customHeight="1">
      <c r="A12" s="898" t="s">
        <v>214</v>
      </c>
      <c r="B12" s="16"/>
      <c r="C12" s="17"/>
      <c r="D12" s="17"/>
      <c r="E12" s="17"/>
      <c r="F12" s="17"/>
      <c r="G12" s="18"/>
      <c r="H12" s="18"/>
      <c r="I12" s="19"/>
      <c r="J12" s="20"/>
      <c r="K12" s="21"/>
      <c r="L12" s="22"/>
      <c r="M12" s="59"/>
      <c r="N12" s="60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</row>
    <row r="13" spans="1:69" s="23" customFormat="1" ht="24" customHeight="1">
      <c r="A13" s="898" t="s">
        <v>215</v>
      </c>
      <c r="B13" s="16"/>
      <c r="C13" s="17"/>
      <c r="D13" s="17"/>
      <c r="E13" s="17"/>
      <c r="F13" s="17"/>
      <c r="G13" s="18"/>
      <c r="H13" s="18"/>
      <c r="I13" s="19"/>
      <c r="J13" s="20"/>
      <c r="K13" s="21"/>
      <c r="L13" s="22"/>
      <c r="M13" s="59"/>
      <c r="N13" s="60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</row>
    <row r="14" spans="1:69" s="23" customFormat="1" ht="26.25" customHeight="1">
      <c r="A14" s="24" t="s">
        <v>226</v>
      </c>
      <c r="B14" s="16"/>
      <c r="C14" s="17"/>
      <c r="D14" s="17"/>
      <c r="E14" s="17"/>
      <c r="F14" s="17"/>
      <c r="G14" s="18"/>
      <c r="H14" s="18"/>
      <c r="I14" s="19"/>
      <c r="J14" s="20"/>
      <c r="K14" s="21"/>
      <c r="L14" s="22"/>
      <c r="M14" s="59"/>
      <c r="N14" s="60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</row>
    <row r="15" spans="1:69" s="23" customFormat="1" ht="24.75" customHeight="1">
      <c r="A15" s="898" t="s">
        <v>216</v>
      </c>
      <c r="B15" s="16"/>
      <c r="C15" s="17"/>
      <c r="D15" s="17"/>
      <c r="E15" s="17"/>
      <c r="F15" s="17"/>
      <c r="G15" s="18"/>
      <c r="H15" s="18"/>
      <c r="I15" s="19"/>
      <c r="J15" s="20"/>
      <c r="K15" s="21"/>
      <c r="L15" s="22"/>
      <c r="M15" s="59"/>
      <c r="N15" s="60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</row>
    <row r="16" spans="1:69" s="23" customFormat="1" ht="24.75" customHeight="1">
      <c r="A16" s="899" t="s">
        <v>217</v>
      </c>
      <c r="B16" s="16"/>
      <c r="C16" s="17"/>
      <c r="D16" s="17"/>
      <c r="E16" s="17"/>
      <c r="F16" s="17"/>
      <c r="G16" s="18"/>
      <c r="H16" s="18"/>
      <c r="I16" s="19"/>
      <c r="J16" s="20"/>
      <c r="K16" s="21"/>
      <c r="L16" s="22"/>
      <c r="M16" s="59"/>
      <c r="N16" s="60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</row>
    <row r="17" spans="1:69" s="23" customFormat="1" ht="26.25" customHeight="1">
      <c r="A17" s="899" t="s">
        <v>218</v>
      </c>
      <c r="B17" s="16"/>
      <c r="C17" s="17"/>
      <c r="D17" s="17"/>
      <c r="E17" s="17"/>
      <c r="F17" s="17"/>
      <c r="G17" s="18"/>
      <c r="H17" s="18"/>
      <c r="I17" s="19"/>
      <c r="J17" s="20"/>
      <c r="K17" s="21"/>
      <c r="L17" s="22"/>
      <c r="M17" s="896"/>
      <c r="N17" s="896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</row>
    <row r="18" spans="1:69" s="23" customFormat="1" ht="27" customHeight="1">
      <c r="A18" s="899" t="s">
        <v>219</v>
      </c>
      <c r="B18" s="16"/>
      <c r="C18" s="17"/>
      <c r="D18" s="17"/>
      <c r="E18" s="17"/>
      <c r="F18" s="17"/>
      <c r="G18" s="18"/>
      <c r="H18" s="18"/>
      <c r="I18" s="19"/>
      <c r="J18" s="20"/>
      <c r="K18" s="21"/>
      <c r="L18" s="22"/>
      <c r="M18" s="896"/>
      <c r="N18" s="896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</row>
    <row r="19" spans="1:69" s="23" customFormat="1" ht="27" customHeight="1">
      <c r="A19" s="1223" t="s">
        <v>572</v>
      </c>
      <c r="B19" s="1223"/>
      <c r="C19" s="17"/>
      <c r="D19" s="17"/>
      <c r="E19" s="17"/>
      <c r="F19" s="17"/>
      <c r="G19" s="18"/>
      <c r="H19" s="18"/>
      <c r="I19" s="19"/>
      <c r="J19" s="20"/>
      <c r="K19" s="21"/>
      <c r="L19" s="22"/>
      <c r="M19" s="896"/>
      <c r="N19" s="896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</row>
    <row r="20" spans="1:69" s="23" customFormat="1" ht="24" customHeight="1">
      <c r="A20" s="899" t="s">
        <v>220</v>
      </c>
      <c r="B20" s="16"/>
      <c r="C20" s="17"/>
      <c r="D20" s="17"/>
      <c r="E20" s="17"/>
      <c r="F20" s="17"/>
      <c r="G20" s="18"/>
      <c r="H20" s="18"/>
      <c r="I20" s="19"/>
      <c r="J20" s="20"/>
      <c r="K20" s="21"/>
      <c r="L20" s="22"/>
      <c r="M20" s="896"/>
      <c r="N20" s="896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</row>
    <row r="21" spans="1:69" s="23" customFormat="1" ht="21" customHeight="1">
      <c r="A21" s="899" t="s">
        <v>224</v>
      </c>
      <c r="B21" s="16"/>
      <c r="C21" s="17"/>
      <c r="D21" s="17"/>
      <c r="E21" s="17"/>
      <c r="F21" s="17"/>
      <c r="G21" s="18"/>
      <c r="H21" s="18"/>
      <c r="I21" s="19"/>
      <c r="J21" s="20"/>
      <c r="K21" s="21"/>
      <c r="L21" s="22"/>
      <c r="M21" s="896"/>
      <c r="N21" s="896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</row>
    <row r="22" spans="1:69" s="23" customFormat="1" ht="21.75" customHeight="1">
      <c r="A22" s="899" t="s">
        <v>221</v>
      </c>
      <c r="B22" s="16"/>
      <c r="C22" s="17"/>
      <c r="D22" s="17"/>
      <c r="E22" s="17"/>
      <c r="F22" s="17"/>
      <c r="G22" s="18"/>
      <c r="H22" s="18"/>
      <c r="I22" s="19"/>
      <c r="J22" s="20"/>
      <c r="K22" s="21"/>
      <c r="L22" s="22"/>
      <c r="M22" s="896"/>
      <c r="N22" s="896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</row>
    <row r="23" spans="1:69" s="23" customFormat="1" ht="22.5" customHeight="1">
      <c r="A23" s="1223" t="s">
        <v>222</v>
      </c>
      <c r="B23" s="1223"/>
      <c r="C23" s="1224"/>
      <c r="D23" s="1224"/>
      <c r="E23" s="1224"/>
      <c r="F23" s="1225"/>
      <c r="G23" s="1225"/>
      <c r="H23" s="1225"/>
      <c r="I23" s="25"/>
      <c r="J23" s="26"/>
      <c r="K23" s="21"/>
      <c r="L23" s="22"/>
      <c r="M23" s="59"/>
      <c r="N23" s="60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</row>
    <row r="24" spans="1:69" s="15" customFormat="1" ht="34.5" customHeight="1">
      <c r="A24" s="27"/>
      <c r="B24" s="27"/>
      <c r="C24" s="27"/>
      <c r="D24" s="27"/>
      <c r="E24" s="27"/>
      <c r="F24" s="27"/>
      <c r="G24" s="28"/>
      <c r="H24" s="28"/>
      <c r="I24" s="19"/>
      <c r="J24" s="11"/>
      <c r="K24" s="12"/>
      <c r="L24" s="13"/>
      <c r="M24" s="7"/>
      <c r="N24" s="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1:69" s="30" customFormat="1" ht="34.5" customHeight="1">
      <c r="A25" s="1226" t="s">
        <v>920</v>
      </c>
      <c r="B25" s="1226"/>
      <c r="C25" s="1226"/>
      <c r="D25" s="1226"/>
      <c r="E25" s="1226"/>
      <c r="F25" s="1226"/>
      <c r="G25" s="29"/>
      <c r="H25" s="29"/>
      <c r="I25" s="923"/>
      <c r="J25" s="924"/>
      <c r="K25" s="925"/>
      <c r="L25" s="926"/>
      <c r="M25" s="1191"/>
      <c r="N25" s="1191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</row>
    <row r="26" spans="1:69" s="30" customFormat="1" ht="34.5" customHeight="1">
      <c r="A26" s="31"/>
      <c r="B26" s="31"/>
      <c r="C26" s="32"/>
      <c r="D26" s="32"/>
      <c r="E26" s="32"/>
      <c r="F26" s="32"/>
      <c r="G26" s="32"/>
      <c r="H26" s="32"/>
      <c r="I26" s="927"/>
      <c r="J26" s="927"/>
      <c r="K26" s="927"/>
      <c r="L26" s="926"/>
      <c r="M26" s="1192"/>
      <c r="N26" s="1192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</row>
    <row r="27" spans="1:69" s="15" customFormat="1" ht="34.5" customHeight="1">
      <c r="A27" s="79" t="s">
        <v>909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1193"/>
      <c r="N27" s="1193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</row>
    <row r="28" spans="1:69" s="107" customFormat="1" ht="34.5" customHeight="1">
      <c r="A28" s="897" t="s">
        <v>1008</v>
      </c>
      <c r="B28" s="897"/>
      <c r="C28" s="897"/>
      <c r="D28" s="897"/>
      <c r="E28" s="897"/>
      <c r="F28" s="897"/>
      <c r="G28" s="897"/>
      <c r="H28" s="897"/>
      <c r="I28" s="897"/>
      <c r="J28" s="897"/>
      <c r="K28" s="104"/>
      <c r="L28" s="104"/>
      <c r="M28" s="1062"/>
      <c r="N28" s="1062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</row>
    <row r="29" spans="1:69" s="107" customFormat="1" ht="34.5" customHeight="1" thickBot="1">
      <c r="A29" s="206" t="s">
        <v>268</v>
      </c>
      <c r="B29" s="206"/>
      <c r="C29" s="206"/>
      <c r="D29" s="206"/>
      <c r="E29" s="206"/>
      <c r="F29" s="206"/>
      <c r="G29" s="206"/>
      <c r="H29" s="206"/>
      <c r="I29" s="1194"/>
      <c r="J29" s="1194"/>
      <c r="K29" s="104"/>
      <c r="L29" s="104"/>
      <c r="M29" s="1062"/>
      <c r="N29" s="1062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</row>
    <row r="30" spans="1:69" s="214" customFormat="1" ht="34.5" customHeight="1" thickTop="1">
      <c r="A30" s="207" t="s">
        <v>34</v>
      </c>
      <c r="B30" s="208" t="s">
        <v>637</v>
      </c>
      <c r="C30" s="209" t="s">
        <v>921</v>
      </c>
      <c r="D30" s="210"/>
      <c r="E30" s="211" t="s">
        <v>922</v>
      </c>
      <c r="F30" s="212"/>
      <c r="G30" s="211" t="s">
        <v>923</v>
      </c>
      <c r="H30" s="212"/>
      <c r="I30" s="1070"/>
      <c r="J30" s="1071"/>
      <c r="K30" s="1070"/>
      <c r="L30" s="1070"/>
      <c r="M30" s="174"/>
      <c r="N30" s="174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</row>
    <row r="31" spans="1:57" s="140" customFormat="1" ht="34.5" customHeight="1">
      <c r="A31" s="215" t="s">
        <v>237</v>
      </c>
      <c r="B31" s="216" t="s">
        <v>35</v>
      </c>
      <c r="C31" s="1063">
        <f>CEILING(73*$Z$1,0.1)</f>
        <v>91.30000000000001</v>
      </c>
      <c r="D31" s="1064"/>
      <c r="E31" s="1063">
        <f>CEILING(73*$Z$1,0.1)</f>
        <v>91.30000000000001</v>
      </c>
      <c r="F31" s="1064"/>
      <c r="G31" s="1063">
        <f>CEILING(73*$Z$1,0.1)</f>
        <v>91.30000000000001</v>
      </c>
      <c r="H31" s="1064"/>
      <c r="I31" s="1061"/>
      <c r="J31" s="1061"/>
      <c r="K31" s="1061"/>
      <c r="L31" s="1061"/>
      <c r="M31" s="1062"/>
      <c r="N31" s="1062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</row>
    <row r="32" spans="1:57" s="140" customFormat="1" ht="34.5" customHeight="1">
      <c r="A32" s="217" t="s">
        <v>36</v>
      </c>
      <c r="B32" s="218" t="s">
        <v>37</v>
      </c>
      <c r="C32" s="1065">
        <f>CEILING((C31+45*$Z$1),0.1)</f>
        <v>147.6</v>
      </c>
      <c r="D32" s="1066"/>
      <c r="E32" s="1065">
        <f>CEILING((E31+33*$Z$1),0.1)</f>
        <v>132.6</v>
      </c>
      <c r="F32" s="1066"/>
      <c r="G32" s="1065">
        <f>CEILING((G31+33*$Z$1),0.1)</f>
        <v>132.6</v>
      </c>
      <c r="H32" s="1066"/>
      <c r="I32" s="1061"/>
      <c r="J32" s="1061"/>
      <c r="K32" s="1061"/>
      <c r="L32" s="1061"/>
      <c r="M32" s="124"/>
      <c r="N32" s="12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</row>
    <row r="33" spans="1:57" s="140" customFormat="1" ht="34.5" customHeight="1">
      <c r="A33" s="217"/>
      <c r="B33" s="218" t="s">
        <v>38</v>
      </c>
      <c r="C33" s="1065">
        <f>CEILING((C31*0.85),0.1)</f>
        <v>77.7</v>
      </c>
      <c r="D33" s="1066"/>
      <c r="E33" s="1065">
        <f>CEILING((E31*0.85),0.1)</f>
        <v>77.7</v>
      </c>
      <c r="F33" s="1066"/>
      <c r="G33" s="1065">
        <f>CEILING((G31*0.85),0.1)</f>
        <v>77.7</v>
      </c>
      <c r="H33" s="1066"/>
      <c r="I33" s="1061"/>
      <c r="J33" s="1061"/>
      <c r="K33" s="1061"/>
      <c r="L33" s="1061"/>
      <c r="M33" s="124"/>
      <c r="N33" s="12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</row>
    <row r="34" spans="1:57" s="140" customFormat="1" ht="34.5" customHeight="1">
      <c r="A34" s="217"/>
      <c r="B34" s="219" t="s">
        <v>764</v>
      </c>
      <c r="C34" s="1065">
        <f>CEILING((C31*0.5),0.1)</f>
        <v>45.7</v>
      </c>
      <c r="D34" s="1066"/>
      <c r="E34" s="1065">
        <f>CEILING((E31*0.5),0.1)</f>
        <v>45.7</v>
      </c>
      <c r="F34" s="1066"/>
      <c r="G34" s="1065">
        <f>CEILING((G31*0.5),0.1)</f>
        <v>45.7</v>
      </c>
      <c r="H34" s="1066"/>
      <c r="I34" s="1061"/>
      <c r="J34" s="1061"/>
      <c r="K34" s="1061"/>
      <c r="L34" s="1061"/>
      <c r="M34" s="124"/>
      <c r="N34" s="12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</row>
    <row r="35" spans="1:57" s="140" customFormat="1" ht="34.5" customHeight="1">
      <c r="A35" s="133"/>
      <c r="B35" s="218" t="s">
        <v>40</v>
      </c>
      <c r="C35" s="1065">
        <f>CEILING(88*$Z$1,0.1)</f>
        <v>110</v>
      </c>
      <c r="D35" s="1066"/>
      <c r="E35" s="1065">
        <f>CEILING(88*$Z$1,0.1)</f>
        <v>110</v>
      </c>
      <c r="F35" s="1066"/>
      <c r="G35" s="1065">
        <f>CEILING(88*$Z$1,0.1)</f>
        <v>110</v>
      </c>
      <c r="H35" s="1066"/>
      <c r="I35" s="1061"/>
      <c r="J35" s="1061"/>
      <c r="K35" s="1061"/>
      <c r="L35" s="1061"/>
      <c r="M35" s="124"/>
      <c r="N35" s="12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</row>
    <row r="36" spans="1:57" s="140" customFormat="1" ht="34.5" customHeight="1">
      <c r="A36" s="133" t="s">
        <v>1051</v>
      </c>
      <c r="B36" s="220" t="s">
        <v>155</v>
      </c>
      <c r="C36" s="1078">
        <f>CEILING((C35+45*$Z$1),0.1)</f>
        <v>166.3</v>
      </c>
      <c r="D36" s="1079"/>
      <c r="E36" s="1078">
        <f>CEILING((E35+33*$Z$1),0.1)</f>
        <v>151.3</v>
      </c>
      <c r="F36" s="1079"/>
      <c r="G36" s="1078">
        <f>CEILING((G35+33*$Z$1),0.1)</f>
        <v>151.3</v>
      </c>
      <c r="H36" s="1079"/>
      <c r="I36" s="1061"/>
      <c r="J36" s="1061"/>
      <c r="K36" s="1061"/>
      <c r="L36" s="1061"/>
      <c r="M36" s="124"/>
      <c r="N36" s="12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</row>
    <row r="37" spans="1:57" s="223" customFormat="1" ht="34.5" customHeight="1">
      <c r="A37" s="133"/>
      <c r="B37" s="221" t="s">
        <v>415</v>
      </c>
      <c r="C37" s="1063">
        <f>CEILING(95*$Z$1,0.1)</f>
        <v>118.80000000000001</v>
      </c>
      <c r="D37" s="1064"/>
      <c r="E37" s="1063">
        <f>CEILING(95*$Z$1,0.1)</f>
        <v>118.80000000000001</v>
      </c>
      <c r="F37" s="1064"/>
      <c r="G37" s="1063">
        <f>CEILING(95*$Z$1,0.1)</f>
        <v>118.80000000000001</v>
      </c>
      <c r="H37" s="1064"/>
      <c r="I37" s="1061"/>
      <c r="J37" s="1061"/>
      <c r="K37" s="1061"/>
      <c r="L37" s="1061"/>
      <c r="M37" s="126"/>
      <c r="N37" s="126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</row>
    <row r="38" spans="1:57" s="140" customFormat="1" ht="34.5" customHeight="1">
      <c r="A38" s="224"/>
      <c r="B38" s="225" t="s">
        <v>416</v>
      </c>
      <c r="C38" s="1065">
        <f>CEILING((C37+50*$Z$1),0.1)</f>
        <v>181.3</v>
      </c>
      <c r="D38" s="1066"/>
      <c r="E38" s="1065">
        <f>CEILING((E37+37*$Z$1),0.1)</f>
        <v>165.10000000000002</v>
      </c>
      <c r="F38" s="1066"/>
      <c r="G38" s="1065">
        <f>CEILING((G37+37*$Z$1),0.1)</f>
        <v>165.10000000000002</v>
      </c>
      <c r="H38" s="1066"/>
      <c r="I38" s="1061"/>
      <c r="J38" s="1061"/>
      <c r="K38" s="1061"/>
      <c r="L38" s="1061"/>
      <c r="M38" s="124"/>
      <c r="N38" s="12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</row>
    <row r="39" spans="1:57" s="140" customFormat="1" ht="34.5" customHeight="1">
      <c r="A39" s="133"/>
      <c r="B39" s="226" t="s">
        <v>417</v>
      </c>
      <c r="C39" s="1065">
        <f>CEILING(135*$Z$1,0.1)</f>
        <v>168.8</v>
      </c>
      <c r="D39" s="1066"/>
      <c r="E39" s="1065">
        <f>CEILING(135*$Z$1,0.1)</f>
        <v>168.8</v>
      </c>
      <c r="F39" s="1066"/>
      <c r="G39" s="1065">
        <f>CEILING(135*$Z$1,0.1)</f>
        <v>168.8</v>
      </c>
      <c r="H39" s="1066"/>
      <c r="I39" s="1061"/>
      <c r="J39" s="1061"/>
      <c r="K39" s="1061"/>
      <c r="L39" s="1061"/>
      <c r="M39" s="124"/>
      <c r="N39" s="12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</row>
    <row r="40" spans="1:57" s="140" customFormat="1" ht="34.5" customHeight="1">
      <c r="A40" s="227"/>
      <c r="B40" s="228" t="s">
        <v>418</v>
      </c>
      <c r="C40" s="1078">
        <f>CEILING((C39+50*$Z$1),0.1)</f>
        <v>231.3</v>
      </c>
      <c r="D40" s="1079"/>
      <c r="E40" s="1078">
        <f>CEILING((E39+37*$Z$1),0.1)</f>
        <v>215.10000000000002</v>
      </c>
      <c r="F40" s="1079"/>
      <c r="G40" s="1078">
        <f>CEILING((G39+37*$Z$1),0.1)</f>
        <v>215.10000000000002</v>
      </c>
      <c r="H40" s="1079"/>
      <c r="I40" s="1061"/>
      <c r="J40" s="1061"/>
      <c r="K40" s="1061"/>
      <c r="L40" s="1061"/>
      <c r="M40" s="124"/>
      <c r="N40" s="12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</row>
    <row r="41" spans="1:57" s="140" customFormat="1" ht="34.5" customHeight="1">
      <c r="A41" s="229"/>
      <c r="B41" s="216" t="s">
        <v>197</v>
      </c>
      <c r="C41" s="1063">
        <f>CEILING(106*$Z$1,0.1)</f>
        <v>132.5</v>
      </c>
      <c r="D41" s="1064"/>
      <c r="E41" s="1063">
        <f>CEILING(106*$Z$1,0.1)</f>
        <v>132.5</v>
      </c>
      <c r="F41" s="1064"/>
      <c r="G41" s="1063">
        <f>CEILING(106*$Z$1,0.1)</f>
        <v>132.5</v>
      </c>
      <c r="H41" s="1064"/>
      <c r="I41" s="1061"/>
      <c r="J41" s="1061"/>
      <c r="K41" s="1061"/>
      <c r="L41" s="1061"/>
      <c r="M41" s="124"/>
      <c r="N41" s="12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</row>
    <row r="42" spans="1:57" s="140" customFormat="1" ht="34.5" customHeight="1">
      <c r="A42" s="229"/>
      <c r="B42" s="218" t="s">
        <v>198</v>
      </c>
      <c r="C42" s="1065">
        <f>CEILING((C41+60*$Z$1),0.1)</f>
        <v>207.5</v>
      </c>
      <c r="D42" s="1066"/>
      <c r="E42" s="1065">
        <f>CEILING((E41+44*$Z$1),0.1)</f>
        <v>187.5</v>
      </c>
      <c r="F42" s="1066"/>
      <c r="G42" s="1065">
        <f>CEILING((G41+44*$Z$1),0.1)</f>
        <v>187.5</v>
      </c>
      <c r="H42" s="1066"/>
      <c r="I42" s="1061"/>
      <c r="J42" s="1061"/>
      <c r="K42" s="1061"/>
      <c r="L42" s="1061"/>
      <c r="M42" s="124"/>
      <c r="N42" s="12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</row>
    <row r="43" spans="1:57" s="232" customFormat="1" ht="34.5" customHeight="1" thickBot="1">
      <c r="A43" s="230" t="s">
        <v>490</v>
      </c>
      <c r="B43" s="231" t="s">
        <v>199</v>
      </c>
      <c r="C43" s="1067">
        <f>CEILING(135*$Z$1,0.1)</f>
        <v>168.8</v>
      </c>
      <c r="D43" s="1068"/>
      <c r="E43" s="1067">
        <f>CEILING(135*$Z$1,0.1)</f>
        <v>168.8</v>
      </c>
      <c r="F43" s="1068"/>
      <c r="G43" s="1067">
        <f>CEILING(135*$Z$1,0.1)</f>
        <v>168.8</v>
      </c>
      <c r="H43" s="1068"/>
      <c r="I43" s="1061"/>
      <c r="J43" s="1061"/>
      <c r="K43" s="1061"/>
      <c r="L43" s="1061"/>
      <c r="M43" s="124"/>
      <c r="N43" s="12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</row>
    <row r="44" spans="1:59" s="140" customFormat="1" ht="34.5" customHeight="1" thickTop="1">
      <c r="A44" s="233" t="s">
        <v>361</v>
      </c>
      <c r="B44" s="233"/>
      <c r="C44" s="162"/>
      <c r="D44" s="162"/>
      <c r="E44" s="162"/>
      <c r="F44" s="162"/>
      <c r="G44" s="162"/>
      <c r="H44" s="162"/>
      <c r="I44" s="234"/>
      <c r="J44" s="234"/>
      <c r="K44" s="113"/>
      <c r="L44" s="113"/>
      <c r="M44" s="124"/>
      <c r="N44" s="12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</row>
    <row r="45" spans="1:25" s="167" customFormat="1" ht="32.25" customHeight="1" thickBot="1">
      <c r="A45" s="163"/>
      <c r="B45" s="188"/>
      <c r="C45" s="163"/>
      <c r="D45" s="163"/>
      <c r="E45" s="163"/>
      <c r="F45" s="163"/>
      <c r="G45" s="163"/>
      <c r="H45" s="163"/>
      <c r="I45" s="189"/>
      <c r="J45" s="189"/>
      <c r="K45" s="190"/>
      <c r="L45" s="190"/>
      <c r="M45" s="191"/>
      <c r="N45" s="191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</row>
    <row r="46" spans="1:42" s="214" customFormat="1" ht="34.5" customHeight="1" thickTop="1">
      <c r="A46" s="207" t="s">
        <v>34</v>
      </c>
      <c r="B46" s="208" t="s">
        <v>637</v>
      </c>
      <c r="C46" s="209" t="s">
        <v>921</v>
      </c>
      <c r="D46" s="210"/>
      <c r="E46" s="211" t="s">
        <v>922</v>
      </c>
      <c r="F46" s="212"/>
      <c r="G46" s="211" t="s">
        <v>923</v>
      </c>
      <c r="H46" s="212"/>
      <c r="I46" s="1070"/>
      <c r="J46" s="1071"/>
      <c r="K46" s="1070"/>
      <c r="L46" s="1070"/>
      <c r="M46" s="174"/>
      <c r="N46" s="174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</row>
    <row r="47" spans="1:27" s="140" customFormat="1" ht="35.25" customHeight="1">
      <c r="A47" s="235" t="s">
        <v>39</v>
      </c>
      <c r="B47" s="236" t="s">
        <v>272</v>
      </c>
      <c r="C47" s="1063">
        <f>CEILING(70.4*$Z$1,0.1)</f>
        <v>88</v>
      </c>
      <c r="D47" s="1064"/>
      <c r="E47" s="1063">
        <f>CEILING(70.4*$Z$1,0.1)</f>
        <v>88</v>
      </c>
      <c r="F47" s="1064"/>
      <c r="G47" s="1063">
        <f>CEILING(70.4*$Z$1,0.1)</f>
        <v>88</v>
      </c>
      <c r="H47" s="1064"/>
      <c r="I47" s="1061"/>
      <c r="J47" s="1061"/>
      <c r="K47" s="1061"/>
      <c r="L47" s="1061"/>
      <c r="M47" s="1061"/>
      <c r="N47" s="1061"/>
      <c r="O47" s="124"/>
      <c r="P47" s="12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</row>
    <row r="48" spans="1:27" s="140" customFormat="1" ht="34.5" customHeight="1">
      <c r="A48" s="237" t="s">
        <v>36</v>
      </c>
      <c r="B48" s="238" t="s">
        <v>37</v>
      </c>
      <c r="C48" s="1065">
        <f>CEILING((C47+40*$Z$1),0.1)</f>
        <v>138</v>
      </c>
      <c r="D48" s="1066"/>
      <c r="E48" s="1065">
        <f>CEILING((E47+30*$Z$1),0.1)</f>
        <v>125.5</v>
      </c>
      <c r="F48" s="1066"/>
      <c r="G48" s="1065">
        <f>CEILING((G47+30*$Z$1),0.1)</f>
        <v>125.5</v>
      </c>
      <c r="H48" s="1066"/>
      <c r="I48" s="1061"/>
      <c r="J48" s="1061"/>
      <c r="K48" s="1061"/>
      <c r="L48" s="1061"/>
      <c r="M48" s="1061"/>
      <c r="N48" s="1061"/>
      <c r="O48" s="124"/>
      <c r="P48" s="12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</row>
    <row r="49" spans="1:27" s="140" customFormat="1" ht="34.5" customHeight="1">
      <c r="A49" s="237"/>
      <c r="B49" s="238" t="s">
        <v>40</v>
      </c>
      <c r="C49" s="1065">
        <f>CEILING(85*$Z$1,0.1)</f>
        <v>106.30000000000001</v>
      </c>
      <c r="D49" s="1066"/>
      <c r="E49" s="1065">
        <f>CEILING(85*$Z$1,0.1)</f>
        <v>106.30000000000001</v>
      </c>
      <c r="F49" s="1066"/>
      <c r="G49" s="1065">
        <f>CEILING(85*$Z$1,0.1)</f>
        <v>106.30000000000001</v>
      </c>
      <c r="H49" s="1066"/>
      <c r="I49" s="1061"/>
      <c r="J49" s="1061"/>
      <c r="K49" s="1061"/>
      <c r="L49" s="1061"/>
      <c r="M49" s="239"/>
      <c r="N49" s="239"/>
      <c r="O49" s="124"/>
      <c r="P49" s="12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</row>
    <row r="50" spans="1:27" s="140" customFormat="1" ht="34.5" customHeight="1">
      <c r="A50" s="240" t="s">
        <v>837</v>
      </c>
      <c r="B50" s="238" t="s">
        <v>155</v>
      </c>
      <c r="C50" s="1065">
        <f>CEILING((C49+40*$Z$1),0.1)</f>
        <v>156.3</v>
      </c>
      <c r="D50" s="1066"/>
      <c r="E50" s="1065">
        <f>CEILING((E49+30*$Z$1),0.1)</f>
        <v>143.8</v>
      </c>
      <c r="F50" s="1066"/>
      <c r="G50" s="1065">
        <f>CEILING((G49+30*$Z$1),0.1)</f>
        <v>143.8</v>
      </c>
      <c r="H50" s="1066"/>
      <c r="I50" s="1061"/>
      <c r="J50" s="1061"/>
      <c r="K50" s="1061"/>
      <c r="L50" s="1061"/>
      <c r="M50" s="239"/>
      <c r="N50" s="239"/>
      <c r="O50" s="124"/>
      <c r="P50" s="12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</row>
    <row r="51" spans="1:27" s="140" customFormat="1" ht="34.5" customHeight="1">
      <c r="A51" s="133" t="s">
        <v>1051</v>
      </c>
      <c r="B51" s="241" t="s">
        <v>838</v>
      </c>
      <c r="C51" s="1065">
        <f>CEILING(96.2*$Z$1,0.1)</f>
        <v>120.30000000000001</v>
      </c>
      <c r="D51" s="1066"/>
      <c r="E51" s="1065">
        <f>CEILING(96.2*$Z$1,0.1)</f>
        <v>120.30000000000001</v>
      </c>
      <c r="F51" s="1066"/>
      <c r="G51" s="1065">
        <f>CEILING(96.2*$Z$1,0.1)</f>
        <v>120.30000000000001</v>
      </c>
      <c r="H51" s="1066"/>
      <c r="I51" s="1061"/>
      <c r="J51" s="1061"/>
      <c r="K51" s="1061"/>
      <c r="L51" s="1061"/>
      <c r="M51" s="239"/>
      <c r="N51" s="239"/>
      <c r="O51" s="124"/>
      <c r="P51" s="12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</row>
    <row r="52" spans="1:27" s="140" customFormat="1" ht="34.5" customHeight="1">
      <c r="A52" s="240"/>
      <c r="B52" s="241" t="s">
        <v>839</v>
      </c>
      <c r="C52" s="1065">
        <f>CEILING((C51+50*$Z$1),0.1)</f>
        <v>182.8</v>
      </c>
      <c r="D52" s="1066"/>
      <c r="E52" s="1065">
        <f>CEILING((E51+37*$Z$1),0.1)</f>
        <v>166.60000000000002</v>
      </c>
      <c r="F52" s="1066"/>
      <c r="G52" s="1065">
        <f>CEILING((G51+37*$Z$1),0.1)</f>
        <v>166.60000000000002</v>
      </c>
      <c r="H52" s="1066"/>
      <c r="I52" s="1061"/>
      <c r="J52" s="1061"/>
      <c r="K52" s="1061"/>
      <c r="L52" s="1061"/>
      <c r="M52" s="239"/>
      <c r="N52" s="239"/>
      <c r="O52" s="124"/>
      <c r="P52" s="12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</row>
    <row r="53" spans="1:27" s="140" customFormat="1" ht="34.5" customHeight="1">
      <c r="A53" s="133"/>
      <c r="B53" s="241" t="s">
        <v>840</v>
      </c>
      <c r="C53" s="1065">
        <f>CEILING(111*$Z$1,0.1)</f>
        <v>138.8</v>
      </c>
      <c r="D53" s="1066"/>
      <c r="E53" s="1065">
        <f>CEILING(111*$Z$1,0.1)</f>
        <v>138.8</v>
      </c>
      <c r="F53" s="1066"/>
      <c r="G53" s="1065">
        <f>CEILING(111*$Z$1,0.1)</f>
        <v>138.8</v>
      </c>
      <c r="H53" s="1066"/>
      <c r="I53" s="1061"/>
      <c r="J53" s="1061"/>
      <c r="K53" s="1061"/>
      <c r="L53" s="1061"/>
      <c r="M53" s="239"/>
      <c r="N53" s="239"/>
      <c r="O53" s="124"/>
      <c r="P53" s="12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</row>
    <row r="54" spans="1:27" s="140" customFormat="1" ht="34.5" customHeight="1">
      <c r="A54" s="133"/>
      <c r="B54" s="241" t="s">
        <v>841</v>
      </c>
      <c r="C54" s="1065">
        <f>CEILING(122.1*$Z$1,0.1)</f>
        <v>152.70000000000002</v>
      </c>
      <c r="D54" s="1066"/>
      <c r="E54" s="1065">
        <f>CEILING(122.1*$Z$1,0.1)</f>
        <v>152.70000000000002</v>
      </c>
      <c r="F54" s="1066"/>
      <c r="G54" s="1065">
        <f>CEILING(122.1*$Z$1,0.1)</f>
        <v>152.70000000000002</v>
      </c>
      <c r="H54" s="1066"/>
      <c r="I54" s="1061"/>
      <c r="J54" s="1061"/>
      <c r="K54" s="1061"/>
      <c r="L54" s="1061"/>
      <c r="M54" s="239"/>
      <c r="N54" s="239"/>
      <c r="O54" s="124"/>
      <c r="P54" s="12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</row>
    <row r="55" spans="1:41" s="232" customFormat="1" ht="34.5" customHeight="1" thickBot="1">
      <c r="A55" s="242" t="s">
        <v>490</v>
      </c>
      <c r="B55" s="243" t="s">
        <v>842</v>
      </c>
      <c r="C55" s="1067">
        <f>CEILING((C54+50*$Z$1),0.1)</f>
        <v>215.20000000000002</v>
      </c>
      <c r="D55" s="1068"/>
      <c r="E55" s="1067">
        <f>CEILING((E54+37*$Z$1),0.1)</f>
        <v>199</v>
      </c>
      <c r="F55" s="1068"/>
      <c r="G55" s="1067">
        <f>CEILING((G54+37*$Z$1),0.1)</f>
        <v>199</v>
      </c>
      <c r="H55" s="1068"/>
      <c r="I55" s="1061"/>
      <c r="J55" s="1061"/>
      <c r="K55" s="1061"/>
      <c r="L55" s="1061"/>
      <c r="M55" s="1061"/>
      <c r="N55" s="1061"/>
      <c r="O55" s="124"/>
      <c r="P55" s="12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</row>
    <row r="56" spans="1:41" s="107" customFormat="1" ht="34.5" customHeight="1" thickTop="1">
      <c r="A56" s="1123" t="s">
        <v>269</v>
      </c>
      <c r="B56" s="1123"/>
      <c r="C56" s="1123"/>
      <c r="D56" s="1123"/>
      <c r="E56" s="1123"/>
      <c r="F56" s="1123"/>
      <c r="G56" s="1123"/>
      <c r="H56" s="1123"/>
      <c r="I56" s="152"/>
      <c r="J56" s="152"/>
      <c r="K56" s="113"/>
      <c r="L56" s="113"/>
      <c r="M56" s="124"/>
      <c r="N56" s="103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</row>
    <row r="57" spans="1:16" s="158" customFormat="1" ht="34.5" customHeight="1" thickBot="1">
      <c r="A57" s="1200"/>
      <c r="B57" s="1200"/>
      <c r="C57" s="1200"/>
      <c r="D57" s="1200"/>
      <c r="E57" s="1200"/>
      <c r="F57" s="1200"/>
      <c r="G57" s="1200"/>
      <c r="H57" s="1200"/>
      <c r="I57" s="1136"/>
      <c r="J57" s="1136"/>
      <c r="K57" s="1136"/>
      <c r="L57" s="1136"/>
      <c r="M57" s="124"/>
      <c r="N57" s="124"/>
      <c r="O57" s="114"/>
      <c r="P57" s="114"/>
    </row>
    <row r="58" spans="1:42" s="214" customFormat="1" ht="34.5" customHeight="1" thickTop="1">
      <c r="A58" s="207" t="s">
        <v>34</v>
      </c>
      <c r="B58" s="208" t="s">
        <v>637</v>
      </c>
      <c r="C58" s="209" t="s">
        <v>921</v>
      </c>
      <c r="D58" s="210"/>
      <c r="E58" s="211" t="s">
        <v>922</v>
      </c>
      <c r="F58" s="212"/>
      <c r="G58" s="211" t="s">
        <v>923</v>
      </c>
      <c r="H58" s="212"/>
      <c r="I58" s="1070"/>
      <c r="J58" s="1071"/>
      <c r="K58" s="1070"/>
      <c r="L58" s="1070"/>
      <c r="M58" s="174"/>
      <c r="N58" s="174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</row>
    <row r="59" spans="1:25" s="107" customFormat="1" ht="34.5" customHeight="1">
      <c r="A59" s="244" t="s">
        <v>41</v>
      </c>
      <c r="B59" s="245" t="s">
        <v>230</v>
      </c>
      <c r="C59" s="1063">
        <f>CEILING(70.2*$Z$1,0.1)</f>
        <v>87.80000000000001</v>
      </c>
      <c r="D59" s="1064"/>
      <c r="E59" s="1063">
        <f>CEILING(70.2*$Z$1,0.1)</f>
        <v>87.80000000000001</v>
      </c>
      <c r="F59" s="1064"/>
      <c r="G59" s="1063">
        <f>CEILING(70.2*$Z$1,0.1)</f>
        <v>87.80000000000001</v>
      </c>
      <c r="H59" s="1064"/>
      <c r="I59" s="1061"/>
      <c r="J59" s="1061"/>
      <c r="K59" s="1061"/>
      <c r="L59" s="1061"/>
      <c r="M59" s="1061"/>
      <c r="N59" s="1061"/>
      <c r="O59" s="114"/>
      <c r="P59" s="114"/>
      <c r="Q59" s="105"/>
      <c r="R59" s="105"/>
      <c r="S59" s="105"/>
      <c r="T59" s="105"/>
      <c r="U59" s="105"/>
      <c r="V59" s="105"/>
      <c r="W59" s="105"/>
      <c r="X59" s="105"/>
      <c r="Y59" s="105"/>
    </row>
    <row r="60" spans="1:25" s="107" customFormat="1" ht="34.5" customHeight="1">
      <c r="A60" s="246" t="s">
        <v>36</v>
      </c>
      <c r="B60" s="247" t="s">
        <v>231</v>
      </c>
      <c r="C60" s="1065">
        <f>CEILING((C59+40*$Z$1),0.1)</f>
        <v>137.8</v>
      </c>
      <c r="D60" s="1066"/>
      <c r="E60" s="1065">
        <f>CEILING((E59+31.2*$Z$1),0.1)</f>
        <v>126.80000000000001</v>
      </c>
      <c r="F60" s="1066"/>
      <c r="G60" s="1065">
        <f>CEILING((G59+31.2*$Z$1),0.1)</f>
        <v>126.80000000000001</v>
      </c>
      <c r="H60" s="1066"/>
      <c r="I60" s="1061"/>
      <c r="J60" s="1061"/>
      <c r="K60" s="1061"/>
      <c r="L60" s="1061"/>
      <c r="M60" s="1061"/>
      <c r="N60" s="1061"/>
      <c r="O60" s="114"/>
      <c r="P60" s="114"/>
      <c r="Q60" s="105"/>
      <c r="R60" s="105"/>
      <c r="S60" s="105"/>
      <c r="T60" s="105"/>
      <c r="U60" s="105"/>
      <c r="V60" s="105"/>
      <c r="W60" s="105"/>
      <c r="X60" s="105"/>
      <c r="Y60" s="105"/>
    </row>
    <row r="61" spans="1:25" s="107" customFormat="1" ht="34.5" customHeight="1">
      <c r="A61" s="248"/>
      <c r="B61" s="249" t="s">
        <v>38</v>
      </c>
      <c r="C61" s="1065">
        <f>CEILING((C59*0.85),0.1)</f>
        <v>74.7</v>
      </c>
      <c r="D61" s="1066"/>
      <c r="E61" s="1065">
        <f>CEILING((E59*0.85),0.1)</f>
        <v>74.7</v>
      </c>
      <c r="F61" s="1066"/>
      <c r="G61" s="1065">
        <f>CEILING((G59*0.85),0.1)</f>
        <v>74.7</v>
      </c>
      <c r="H61" s="1066"/>
      <c r="I61" s="1061"/>
      <c r="J61" s="1061"/>
      <c r="K61" s="1061"/>
      <c r="L61" s="1061"/>
      <c r="M61" s="1061"/>
      <c r="N61" s="1061"/>
      <c r="O61" s="114"/>
      <c r="P61" s="114"/>
      <c r="Q61" s="105"/>
      <c r="R61" s="105"/>
      <c r="S61" s="105"/>
      <c r="T61" s="105"/>
      <c r="U61" s="105"/>
      <c r="V61" s="105"/>
      <c r="W61" s="105"/>
      <c r="X61" s="105"/>
      <c r="Y61" s="105"/>
    </row>
    <row r="62" spans="1:25" s="107" customFormat="1" ht="34.5" customHeight="1">
      <c r="A62" s="133" t="s">
        <v>1052</v>
      </c>
      <c r="B62" s="250" t="s">
        <v>235</v>
      </c>
      <c r="C62" s="1065">
        <f>CEILING(94*$Z$1,0.1)</f>
        <v>117.5</v>
      </c>
      <c r="D62" s="1066"/>
      <c r="E62" s="1065">
        <f>CEILING(94*$Z$1,0.1)</f>
        <v>117.5</v>
      </c>
      <c r="F62" s="1066"/>
      <c r="G62" s="1065">
        <f>CEILING(94*$Z$1,0.1)</f>
        <v>117.5</v>
      </c>
      <c r="H62" s="1066"/>
      <c r="I62" s="1061"/>
      <c r="J62" s="1061"/>
      <c r="K62" s="1061"/>
      <c r="L62" s="1061"/>
      <c r="M62" s="1061"/>
      <c r="N62" s="1061"/>
      <c r="O62" s="114"/>
      <c r="P62" s="114"/>
      <c r="Q62" s="105"/>
      <c r="R62" s="105"/>
      <c r="S62" s="105"/>
      <c r="T62" s="105"/>
      <c r="U62" s="105"/>
      <c r="V62" s="105"/>
      <c r="W62" s="105"/>
      <c r="X62" s="105"/>
      <c r="Y62" s="105"/>
    </row>
    <row r="63" spans="1:25" s="107" customFormat="1" ht="34.5" customHeight="1">
      <c r="A63" s="251"/>
      <c r="B63" s="250" t="s">
        <v>236</v>
      </c>
      <c r="C63" s="1065">
        <f>CEILING((C62+40*$Z$1),0.1)</f>
        <v>167.5</v>
      </c>
      <c r="D63" s="1066"/>
      <c r="E63" s="1065">
        <f>CEILING((E62+31.2*$Z$1),0.1)</f>
        <v>156.5</v>
      </c>
      <c r="F63" s="1066"/>
      <c r="G63" s="1065">
        <f>CEILING((G62+31.2*$Z$1),0.1)</f>
        <v>156.5</v>
      </c>
      <c r="H63" s="1066"/>
      <c r="I63" s="1061"/>
      <c r="J63" s="1061"/>
      <c r="K63" s="1061"/>
      <c r="L63" s="1061"/>
      <c r="M63" s="1061"/>
      <c r="N63" s="1061"/>
      <c r="O63" s="114"/>
      <c r="P63" s="114"/>
      <c r="Q63" s="105"/>
      <c r="R63" s="105"/>
      <c r="S63" s="105"/>
      <c r="T63" s="105"/>
      <c r="U63" s="105"/>
      <c r="V63" s="105"/>
      <c r="W63" s="105"/>
      <c r="X63" s="105"/>
      <c r="Y63" s="105"/>
    </row>
    <row r="64" spans="1:25" s="107" customFormat="1" ht="34.5" customHeight="1">
      <c r="A64" s="133"/>
      <c r="B64" s="250" t="s">
        <v>35</v>
      </c>
      <c r="C64" s="1065">
        <f>CEILING(101.4*$Z$1,0.1)</f>
        <v>126.80000000000001</v>
      </c>
      <c r="D64" s="1066"/>
      <c r="E64" s="1065">
        <f>CEILING(101.4*$Z$1,0.1)</f>
        <v>126.80000000000001</v>
      </c>
      <c r="F64" s="1066"/>
      <c r="G64" s="1065">
        <f>CEILING(101.4*$Z$1,0.1)</f>
        <v>126.80000000000001</v>
      </c>
      <c r="H64" s="1066"/>
      <c r="I64" s="1061"/>
      <c r="J64" s="1061"/>
      <c r="K64" s="1061"/>
      <c r="L64" s="1061"/>
      <c r="M64" s="1061"/>
      <c r="N64" s="1061"/>
      <c r="O64" s="114"/>
      <c r="P64" s="114"/>
      <c r="Q64" s="105"/>
      <c r="R64" s="105"/>
      <c r="S64" s="105"/>
      <c r="T64" s="105"/>
      <c r="U64" s="105"/>
      <c r="V64" s="105"/>
      <c r="W64" s="105"/>
      <c r="X64" s="105"/>
      <c r="Y64" s="105"/>
    </row>
    <row r="65" spans="1:25" s="107" customFormat="1" ht="34.5" customHeight="1" thickBot="1">
      <c r="A65" s="252"/>
      <c r="B65" s="253" t="s">
        <v>37</v>
      </c>
      <c r="C65" s="1067">
        <f>CEILING((C64+50*$Z$1),0.1)</f>
        <v>189.3</v>
      </c>
      <c r="D65" s="1068"/>
      <c r="E65" s="1067">
        <f>CEILING((E64+39*$Z$1),0.1)</f>
        <v>175.60000000000002</v>
      </c>
      <c r="F65" s="1068"/>
      <c r="G65" s="1067">
        <f>CEILING((G64+39*$Z$1),0.1)</f>
        <v>175.60000000000002</v>
      </c>
      <c r="H65" s="1068"/>
      <c r="I65" s="1061"/>
      <c r="J65" s="1061"/>
      <c r="K65" s="1061"/>
      <c r="L65" s="1061"/>
      <c r="M65" s="1061"/>
      <c r="N65" s="1061"/>
      <c r="O65" s="115"/>
      <c r="P65" s="105"/>
      <c r="Q65" s="105"/>
      <c r="R65" s="105"/>
      <c r="S65" s="105"/>
      <c r="T65" s="105"/>
      <c r="U65" s="105"/>
      <c r="V65" s="105"/>
      <c r="W65" s="105"/>
      <c r="X65" s="105"/>
      <c r="Y65" s="105"/>
    </row>
    <row r="66" spans="1:25" s="140" customFormat="1" ht="34.5" customHeight="1" thickTop="1">
      <c r="A66" s="254" t="s">
        <v>419</v>
      </c>
      <c r="B66" s="255" t="s">
        <v>357</v>
      </c>
      <c r="C66" s="1063">
        <f>CEILING(94*$Z$1,0.1)</f>
        <v>117.5</v>
      </c>
      <c r="D66" s="1064"/>
      <c r="E66" s="1063">
        <f>CEILING(94*$Z$1,0.1)</f>
        <v>117.5</v>
      </c>
      <c r="F66" s="1064"/>
      <c r="G66" s="1063">
        <f>CEILING(94*$Z$1,0.1)</f>
        <v>117.5</v>
      </c>
      <c r="H66" s="1064"/>
      <c r="I66" s="1061"/>
      <c r="J66" s="1061"/>
      <c r="K66" s="1061"/>
      <c r="L66" s="1061"/>
      <c r="M66" s="1061"/>
      <c r="N66" s="1061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</row>
    <row r="67" spans="1:25" s="257" customFormat="1" ht="34.5" customHeight="1">
      <c r="A67" s="256" t="s">
        <v>420</v>
      </c>
      <c r="B67" s="255" t="s">
        <v>358</v>
      </c>
      <c r="C67" s="1065">
        <f>CEILING((C66+65*$Z$1),0.1)</f>
        <v>198.8</v>
      </c>
      <c r="D67" s="1066"/>
      <c r="E67" s="1065">
        <f>CEILING((E66+51*$Z$1),0.1)</f>
        <v>181.3</v>
      </c>
      <c r="F67" s="1066"/>
      <c r="G67" s="1065">
        <f>CEILING((G66+51*$Z$1),0.1)</f>
        <v>181.3</v>
      </c>
      <c r="H67" s="1066"/>
      <c r="I67" s="1061"/>
      <c r="J67" s="1061"/>
      <c r="K67" s="1061"/>
      <c r="L67" s="1061"/>
      <c r="M67" s="1061"/>
      <c r="N67" s="1061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</row>
    <row r="68" spans="1:25" s="257" customFormat="1" ht="34.5" customHeight="1">
      <c r="A68" s="258" t="s">
        <v>837</v>
      </c>
      <c r="B68" s="259" t="s">
        <v>359</v>
      </c>
      <c r="C68" s="1065">
        <f>CEILING(109.2*$Z$1,0.1)</f>
        <v>136.5</v>
      </c>
      <c r="D68" s="1066"/>
      <c r="E68" s="1065">
        <f>CEILING(109.2*$Z$1,0.1)</f>
        <v>136.5</v>
      </c>
      <c r="F68" s="1066"/>
      <c r="G68" s="1065">
        <f>CEILING(109.2*$Z$1,0.1)</f>
        <v>136.5</v>
      </c>
      <c r="H68" s="1066"/>
      <c r="I68" s="1061"/>
      <c r="J68" s="1061"/>
      <c r="K68" s="1061"/>
      <c r="L68" s="1061"/>
      <c r="M68" s="239"/>
      <c r="N68" s="239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</row>
    <row r="69" spans="1:37" s="262" customFormat="1" ht="34.5" customHeight="1" thickBot="1">
      <c r="A69" s="260" t="s">
        <v>490</v>
      </c>
      <c r="B69" s="261" t="s">
        <v>360</v>
      </c>
      <c r="C69" s="1067">
        <f>CEILING((C68+65*$Z$1),0.1)</f>
        <v>217.8</v>
      </c>
      <c r="D69" s="1068"/>
      <c r="E69" s="1067">
        <f>CEILING((E68+51*$Z$1),0.1)</f>
        <v>200.3</v>
      </c>
      <c r="F69" s="1068"/>
      <c r="G69" s="1067">
        <f>CEILING((G68+51*$Z$1),0.1)</f>
        <v>200.3</v>
      </c>
      <c r="H69" s="1068"/>
      <c r="I69" s="1061"/>
      <c r="J69" s="1061"/>
      <c r="K69" s="1061"/>
      <c r="L69" s="1061"/>
      <c r="M69" s="239"/>
      <c r="N69" s="239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257"/>
      <c r="AA69" s="257"/>
      <c r="AB69" s="257"/>
      <c r="AC69" s="257"/>
      <c r="AD69" s="257"/>
      <c r="AE69" s="257"/>
      <c r="AF69" s="257"/>
      <c r="AG69" s="257"/>
      <c r="AH69" s="257"/>
      <c r="AI69" s="257"/>
      <c r="AJ69" s="257"/>
      <c r="AK69" s="257"/>
    </row>
    <row r="70" spans="1:37" s="107" customFormat="1" ht="34.5" customHeight="1" thickTop="1">
      <c r="A70" s="162" t="s">
        <v>844</v>
      </c>
      <c r="B70" s="255"/>
      <c r="C70" s="148"/>
      <c r="D70" s="148"/>
      <c r="E70" s="148"/>
      <c r="F70" s="148"/>
      <c r="G70" s="148"/>
      <c r="H70" s="148"/>
      <c r="I70" s="148"/>
      <c r="J70" s="148"/>
      <c r="K70" s="104"/>
      <c r="L70" s="104"/>
      <c r="M70" s="124"/>
      <c r="N70" s="124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</row>
    <row r="71" spans="1:45" s="158" customFormat="1" ht="34.5" customHeight="1" thickBot="1">
      <c r="A71" s="1200"/>
      <c r="B71" s="1200"/>
      <c r="C71" s="1200"/>
      <c r="D71" s="1200"/>
      <c r="E71" s="1200"/>
      <c r="F71" s="1200"/>
      <c r="G71" s="1200"/>
      <c r="H71" s="1200"/>
      <c r="I71" s="1136"/>
      <c r="J71" s="1136"/>
      <c r="K71" s="1136"/>
      <c r="L71" s="1136"/>
      <c r="M71" s="124"/>
      <c r="N71" s="12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</row>
    <row r="72" spans="1:42" s="214" customFormat="1" ht="34.5" customHeight="1" thickTop="1">
      <c r="A72" s="207" t="s">
        <v>34</v>
      </c>
      <c r="B72" s="208" t="s">
        <v>637</v>
      </c>
      <c r="C72" s="209" t="s">
        <v>921</v>
      </c>
      <c r="D72" s="210"/>
      <c r="E72" s="211" t="s">
        <v>922</v>
      </c>
      <c r="F72" s="212"/>
      <c r="G72" s="211" t="s">
        <v>923</v>
      </c>
      <c r="H72" s="212"/>
      <c r="I72" s="1070"/>
      <c r="J72" s="1071"/>
      <c r="K72" s="1070"/>
      <c r="L72" s="1070"/>
      <c r="M72" s="174"/>
      <c r="N72" s="174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</row>
    <row r="73" spans="1:45" s="140" customFormat="1" ht="34.5" customHeight="1">
      <c r="A73" s="263" t="s">
        <v>46</v>
      </c>
      <c r="B73" s="264" t="s">
        <v>230</v>
      </c>
      <c r="C73" s="1063">
        <f>CEILING(56.1*$Z$1,0.1)</f>
        <v>70.2</v>
      </c>
      <c r="D73" s="1064"/>
      <c r="E73" s="1063">
        <f>CEILING(56.1*$Z$1,0.1)</f>
        <v>70.2</v>
      </c>
      <c r="F73" s="1064"/>
      <c r="G73" s="1063">
        <f>CEILING(56.1*$Z$1,0.1)</f>
        <v>70.2</v>
      </c>
      <c r="H73" s="1064"/>
      <c r="I73" s="1061"/>
      <c r="J73" s="1061"/>
      <c r="K73" s="1061"/>
      <c r="L73" s="1061"/>
      <c r="M73" s="124"/>
      <c r="N73" s="12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</row>
    <row r="74" spans="1:25" s="140" customFormat="1" ht="34.5" customHeight="1">
      <c r="A74" s="265" t="s">
        <v>36</v>
      </c>
      <c r="B74" s="266" t="s">
        <v>231</v>
      </c>
      <c r="C74" s="1065">
        <f>CEILING((C73+35*$Z$1),0.1)</f>
        <v>114</v>
      </c>
      <c r="D74" s="1066"/>
      <c r="E74" s="1065">
        <f>CEILING((E73+23.1*$Z$1),0.1)</f>
        <v>99.10000000000001</v>
      </c>
      <c r="F74" s="1066"/>
      <c r="G74" s="1065">
        <f>CEILING((G73+23.1*$Z$1),0.1)</f>
        <v>99.10000000000001</v>
      </c>
      <c r="H74" s="1066"/>
      <c r="I74" s="1061"/>
      <c r="J74" s="1061"/>
      <c r="K74" s="1061"/>
      <c r="L74" s="1061"/>
      <c r="M74" s="124"/>
      <c r="N74" s="124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</row>
    <row r="75" spans="1:25" s="140" customFormat="1" ht="34.5" customHeight="1">
      <c r="A75" s="267"/>
      <c r="B75" s="241" t="s">
        <v>601</v>
      </c>
      <c r="C75" s="1065">
        <f>CEILING((C73*0.5),0.1)</f>
        <v>35.1</v>
      </c>
      <c r="D75" s="1066"/>
      <c r="E75" s="1065">
        <f>CEILING((E73*0.5),0.1)</f>
        <v>35.1</v>
      </c>
      <c r="F75" s="1066"/>
      <c r="G75" s="1065">
        <f>CEILING((G73*0.5),0.1)</f>
        <v>35.1</v>
      </c>
      <c r="H75" s="1066"/>
      <c r="I75" s="1061"/>
      <c r="J75" s="1061"/>
      <c r="K75" s="1061"/>
      <c r="L75" s="1061"/>
      <c r="M75" s="124"/>
      <c r="N75" s="124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</row>
    <row r="76" spans="1:25" s="140" customFormat="1" ht="34.5" customHeight="1">
      <c r="A76" s="133" t="s">
        <v>1052</v>
      </c>
      <c r="B76" s="266" t="s">
        <v>235</v>
      </c>
      <c r="C76" s="1065">
        <f>CEILING(69.3*$Z$1,0.1)</f>
        <v>86.7</v>
      </c>
      <c r="D76" s="1066"/>
      <c r="E76" s="1065">
        <f>CEILING(69.3*$Z$1,0.1)</f>
        <v>86.7</v>
      </c>
      <c r="F76" s="1066"/>
      <c r="G76" s="1065">
        <f>CEILING(69.3*$Z$1,0.1)</f>
        <v>86.7</v>
      </c>
      <c r="H76" s="1066"/>
      <c r="I76" s="1061"/>
      <c r="J76" s="1061"/>
      <c r="K76" s="1061"/>
      <c r="L76" s="1061"/>
      <c r="M76" s="124"/>
      <c r="N76" s="124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</row>
    <row r="77" spans="1:25" s="140" customFormat="1" ht="34.5" customHeight="1">
      <c r="A77" s="133"/>
      <c r="B77" s="266" t="s">
        <v>236</v>
      </c>
      <c r="C77" s="1065">
        <f>CEILING((C76+35*$Z$1),0.1)</f>
        <v>130.5</v>
      </c>
      <c r="D77" s="1066"/>
      <c r="E77" s="1065">
        <f>CEILING((E76+23.1*$Z$1),0.1)</f>
        <v>115.60000000000001</v>
      </c>
      <c r="F77" s="1066"/>
      <c r="G77" s="1065">
        <f>CEILING((G76+23.1*$Z$1),0.1)</f>
        <v>115.60000000000001</v>
      </c>
      <c r="H77" s="1066"/>
      <c r="I77" s="1061"/>
      <c r="J77" s="1061"/>
      <c r="K77" s="1061"/>
      <c r="L77" s="1061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</row>
    <row r="78" spans="1:25" s="140" customFormat="1" ht="34.5" customHeight="1">
      <c r="A78" s="227"/>
      <c r="B78" s="241" t="s">
        <v>157</v>
      </c>
      <c r="C78" s="1065">
        <f>CEILING(76*$Z$1,0.1)</f>
        <v>95</v>
      </c>
      <c r="D78" s="1066"/>
      <c r="E78" s="1065">
        <f>CEILING(76*$Z$1,0.1)</f>
        <v>95</v>
      </c>
      <c r="F78" s="1066"/>
      <c r="G78" s="1065">
        <f>CEILING(76*$Z$1,0.1)</f>
        <v>95</v>
      </c>
      <c r="H78" s="1066"/>
      <c r="I78" s="1061"/>
      <c r="J78" s="1061"/>
      <c r="K78" s="1061"/>
      <c r="L78" s="1061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</row>
    <row r="79" spans="1:49" s="232" customFormat="1" ht="34.5" customHeight="1" thickBot="1">
      <c r="A79" s="268" t="s">
        <v>901</v>
      </c>
      <c r="B79" s="243" t="s">
        <v>164</v>
      </c>
      <c r="C79" s="1067">
        <f>CEILING(86*$Z$1,0.1)</f>
        <v>107.5</v>
      </c>
      <c r="D79" s="1068"/>
      <c r="E79" s="1067">
        <f>CEILING(86*$Z$1,0.1)</f>
        <v>107.5</v>
      </c>
      <c r="F79" s="1068"/>
      <c r="G79" s="1067">
        <f>CEILING(86*$Z$1,0.1)</f>
        <v>107.5</v>
      </c>
      <c r="H79" s="1068"/>
      <c r="I79" s="1061"/>
      <c r="J79" s="1061"/>
      <c r="K79" s="1061"/>
      <c r="L79" s="1061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</row>
    <row r="80" spans="1:25" s="140" customFormat="1" ht="34.5" customHeight="1" thickTop="1">
      <c r="A80" s="1195" t="s">
        <v>924</v>
      </c>
      <c r="B80" s="1195"/>
      <c r="C80" s="1195"/>
      <c r="D80" s="1195"/>
      <c r="E80" s="1195"/>
      <c r="F80" s="1195"/>
      <c r="G80" s="1195"/>
      <c r="H80" s="1195"/>
      <c r="I80" s="239"/>
      <c r="J80" s="239"/>
      <c r="K80" s="239"/>
      <c r="L80" s="239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</row>
    <row r="81" spans="1:14" s="158" customFormat="1" ht="34.5" customHeight="1" thickBot="1">
      <c r="A81" s="1200"/>
      <c r="B81" s="1200"/>
      <c r="C81" s="1200"/>
      <c r="D81" s="1200"/>
      <c r="E81" s="1200"/>
      <c r="F81" s="1200"/>
      <c r="G81" s="1200"/>
      <c r="H81" s="1200"/>
      <c r="I81" s="1136"/>
      <c r="J81" s="1136"/>
      <c r="K81" s="1136"/>
      <c r="L81" s="1136"/>
      <c r="M81" s="124"/>
      <c r="N81" s="124"/>
    </row>
    <row r="82" spans="1:42" s="214" customFormat="1" ht="34.5" customHeight="1" thickTop="1">
      <c r="A82" s="207" t="s">
        <v>34</v>
      </c>
      <c r="B82" s="208" t="s">
        <v>637</v>
      </c>
      <c r="C82" s="209" t="s">
        <v>921</v>
      </c>
      <c r="D82" s="210"/>
      <c r="E82" s="211" t="s">
        <v>922</v>
      </c>
      <c r="F82" s="212"/>
      <c r="G82" s="211" t="s">
        <v>923</v>
      </c>
      <c r="H82" s="212"/>
      <c r="I82" s="1070"/>
      <c r="J82" s="1071"/>
      <c r="K82" s="1070"/>
      <c r="L82" s="1070"/>
      <c r="M82" s="174"/>
      <c r="N82" s="174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  <c r="AM82" s="213"/>
      <c r="AN82" s="213"/>
      <c r="AO82" s="213"/>
      <c r="AP82" s="213"/>
    </row>
    <row r="83" spans="1:56" s="107" customFormat="1" ht="34.5" customHeight="1">
      <c r="A83" s="269" t="s">
        <v>148</v>
      </c>
      <c r="B83" s="270" t="s">
        <v>230</v>
      </c>
      <c r="C83" s="1063">
        <f>CEILING(45.2*$Z$1,0.1)</f>
        <v>56.5</v>
      </c>
      <c r="D83" s="1064"/>
      <c r="E83" s="1063">
        <f>CEILING(45.2*$Z$1,0.1)</f>
        <v>56.5</v>
      </c>
      <c r="F83" s="1064"/>
      <c r="G83" s="1063">
        <f>CEILING(45.2*$Z$1,0.1)</f>
        <v>56.5</v>
      </c>
      <c r="H83" s="1064"/>
      <c r="I83" s="1061"/>
      <c r="J83" s="1061"/>
      <c r="K83" s="1061"/>
      <c r="L83" s="1061"/>
      <c r="M83" s="124"/>
      <c r="N83" s="12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</row>
    <row r="84" spans="1:56" s="107" customFormat="1" ht="34.5" customHeight="1">
      <c r="A84" s="271" t="s">
        <v>36</v>
      </c>
      <c r="B84" s="266" t="s">
        <v>231</v>
      </c>
      <c r="C84" s="1065">
        <f>CEILING((C83+30*$Z$1),0.1)</f>
        <v>94</v>
      </c>
      <c r="D84" s="1066"/>
      <c r="E84" s="1065">
        <f>CEILING((E83+23.4*$Z$1),0.1)</f>
        <v>85.80000000000001</v>
      </c>
      <c r="F84" s="1066"/>
      <c r="G84" s="1065">
        <f>CEILING((G83+23.4*$Z$1),0.1)</f>
        <v>85.80000000000001</v>
      </c>
      <c r="H84" s="1066"/>
      <c r="I84" s="1061"/>
      <c r="J84" s="1061"/>
      <c r="K84" s="1061"/>
      <c r="L84" s="1061"/>
      <c r="M84" s="124"/>
      <c r="N84" s="12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</row>
    <row r="85" spans="1:56" s="107" customFormat="1" ht="34.5" customHeight="1">
      <c r="A85" s="133" t="s">
        <v>1052</v>
      </c>
      <c r="B85" s="266" t="s">
        <v>38</v>
      </c>
      <c r="C85" s="1065">
        <f>CEILING((C83*0.85),0.1)</f>
        <v>48.1</v>
      </c>
      <c r="D85" s="1066"/>
      <c r="E85" s="1065">
        <f>CEILING((E83*0.85),0.1)</f>
        <v>48.1</v>
      </c>
      <c r="F85" s="1066"/>
      <c r="G85" s="1065">
        <f>CEILING((G83*0.85),0.1)</f>
        <v>48.1</v>
      </c>
      <c r="H85" s="1066"/>
      <c r="I85" s="1061"/>
      <c r="J85" s="1061"/>
      <c r="K85" s="1061"/>
      <c r="L85" s="1061"/>
      <c r="M85" s="124"/>
      <c r="N85" s="12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</row>
    <row r="86" spans="1:56" s="107" customFormat="1" ht="34.5" customHeight="1">
      <c r="A86" s="272"/>
      <c r="B86" s="241" t="s">
        <v>601</v>
      </c>
      <c r="C86" s="1065">
        <f>CEILING((C83*0.5),0.1)</f>
        <v>28.3</v>
      </c>
      <c r="D86" s="1066"/>
      <c r="E86" s="1065">
        <f>CEILING((E83*0.5),0.1)</f>
        <v>28.3</v>
      </c>
      <c r="F86" s="1066"/>
      <c r="G86" s="1065">
        <f>CEILING((G83*0.5),0.1)</f>
        <v>28.3</v>
      </c>
      <c r="H86" s="1066"/>
      <c r="I86" s="1061"/>
      <c r="J86" s="1061"/>
      <c r="K86" s="1061"/>
      <c r="L86" s="1061"/>
      <c r="M86" s="124"/>
      <c r="N86" s="12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</row>
    <row r="87" spans="1:56" s="107" customFormat="1" ht="34.5" customHeight="1">
      <c r="A87" s="258"/>
      <c r="B87" s="241" t="s">
        <v>596</v>
      </c>
      <c r="C87" s="1065">
        <f>CEILING(57*$Z$1,0.1)</f>
        <v>71.3</v>
      </c>
      <c r="D87" s="1066"/>
      <c r="E87" s="1065">
        <f>CEILING(57*$Z$1,0.1)</f>
        <v>71.3</v>
      </c>
      <c r="F87" s="1066"/>
      <c r="G87" s="1065">
        <f>CEILING(57*$Z$1,0.1)</f>
        <v>71.3</v>
      </c>
      <c r="H87" s="1066"/>
      <c r="I87" s="1061"/>
      <c r="J87" s="1061"/>
      <c r="K87" s="1061"/>
      <c r="L87" s="1061"/>
      <c r="M87" s="124"/>
      <c r="N87" s="12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</row>
    <row r="88" spans="1:56" s="107" customFormat="1" ht="34.5" customHeight="1" thickBot="1">
      <c r="A88" s="268" t="s">
        <v>490</v>
      </c>
      <c r="B88" s="243" t="s">
        <v>597</v>
      </c>
      <c r="C88" s="1067">
        <f>CEILING((C87+30*$Z$1),0.1)</f>
        <v>108.80000000000001</v>
      </c>
      <c r="D88" s="1068"/>
      <c r="E88" s="1067">
        <f>CEILING((E87+23.4*$Z$1),0.1)</f>
        <v>100.60000000000001</v>
      </c>
      <c r="F88" s="1068"/>
      <c r="G88" s="1067">
        <f>CEILING((G87+23.4*$Z$1),0.1)</f>
        <v>100.60000000000001</v>
      </c>
      <c r="H88" s="1068"/>
      <c r="I88" s="1061"/>
      <c r="J88" s="1061"/>
      <c r="K88" s="1061"/>
      <c r="L88" s="1061"/>
      <c r="M88" s="124"/>
      <c r="N88" s="12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</row>
    <row r="89" spans="1:25" s="140" customFormat="1" ht="34.5" customHeight="1" thickTop="1">
      <c r="A89" s="1195" t="s">
        <v>925</v>
      </c>
      <c r="B89" s="1195"/>
      <c r="C89" s="1195"/>
      <c r="D89" s="1195"/>
      <c r="E89" s="1195"/>
      <c r="F89" s="1195"/>
      <c r="G89" s="1195"/>
      <c r="H89" s="1195"/>
      <c r="I89" s="239"/>
      <c r="J89" s="239"/>
      <c r="K89" s="239"/>
      <c r="L89" s="239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</row>
    <row r="90" spans="1:49" s="277" customFormat="1" ht="34.5" customHeight="1" hidden="1" thickTop="1">
      <c r="A90" s="273" t="s">
        <v>34</v>
      </c>
      <c r="B90" s="274" t="s">
        <v>637</v>
      </c>
      <c r="C90" s="275" t="s">
        <v>843</v>
      </c>
      <c r="D90" s="275"/>
      <c r="E90" s="276" t="s">
        <v>833</v>
      </c>
      <c r="F90" s="276"/>
      <c r="G90" s="276" t="s">
        <v>834</v>
      </c>
      <c r="H90" s="276"/>
      <c r="I90" s="1241" t="s">
        <v>835</v>
      </c>
      <c r="J90" s="1241"/>
      <c r="K90" s="1241" t="s">
        <v>836</v>
      </c>
      <c r="L90" s="1241"/>
      <c r="M90" s="148"/>
      <c r="N90" s="148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</row>
    <row r="91" spans="1:56" s="140" customFormat="1" ht="34.5" customHeight="1" hidden="1">
      <c r="A91" s="278" t="s">
        <v>156</v>
      </c>
      <c r="B91" s="124" t="s">
        <v>230</v>
      </c>
      <c r="C91" s="1061">
        <f>CEILING(58*$Z$1,0.1)</f>
        <v>72.5</v>
      </c>
      <c r="D91" s="1061"/>
      <c r="E91" s="1061">
        <f>CEILING(110*$Z$1,0.1)</f>
        <v>137.5</v>
      </c>
      <c r="F91" s="1061"/>
      <c r="G91" s="1061">
        <f>CEILING(80*$Z$1,0.1)</f>
        <v>100</v>
      </c>
      <c r="H91" s="1061"/>
      <c r="I91" s="1061">
        <f>CEILING(80*$Z$1,0.1)</f>
        <v>100</v>
      </c>
      <c r="J91" s="1061"/>
      <c r="K91" s="1061">
        <f>CEILING(58*$Z$1,0.1)</f>
        <v>72.5</v>
      </c>
      <c r="L91" s="1061"/>
      <c r="M91" s="124"/>
      <c r="N91" s="12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</row>
    <row r="92" spans="1:56" s="140" customFormat="1" ht="34.5" customHeight="1" hidden="1">
      <c r="A92" s="279" t="s">
        <v>36</v>
      </c>
      <c r="B92" s="255" t="s">
        <v>231</v>
      </c>
      <c r="C92" s="1061">
        <f>CEILING((C91+25*$Z$1),0.1)</f>
        <v>103.80000000000001</v>
      </c>
      <c r="D92" s="1061"/>
      <c r="E92" s="1061">
        <f>CEILING((E91+45*$Z$1),0.1)</f>
        <v>193.8</v>
      </c>
      <c r="F92" s="1061"/>
      <c r="G92" s="1061">
        <f>CEILING((G91+45*$Z$1),0.1)</f>
        <v>156.3</v>
      </c>
      <c r="H92" s="1061"/>
      <c r="I92" s="1061">
        <f>CEILING((I91+45*$Z$1),0.1)</f>
        <v>156.3</v>
      </c>
      <c r="J92" s="1061"/>
      <c r="K92" s="1061">
        <f>CEILING((K91+25*$Z$1),0.1)</f>
        <v>103.80000000000001</v>
      </c>
      <c r="L92" s="1061"/>
      <c r="M92" s="124"/>
      <c r="N92" s="12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</row>
    <row r="93" spans="1:56" s="140" customFormat="1" ht="34.5" customHeight="1" hidden="1">
      <c r="A93" s="280"/>
      <c r="B93" s="255" t="s">
        <v>38</v>
      </c>
      <c r="C93" s="1061">
        <f>CEILING((C91*0.85),0.1)</f>
        <v>61.7</v>
      </c>
      <c r="D93" s="1061"/>
      <c r="E93" s="1061">
        <f>CEILING((E91*0.85),0.1)</f>
        <v>116.9</v>
      </c>
      <c r="F93" s="1061"/>
      <c r="G93" s="1061">
        <f>CEILING((G91*0.85),0.1)</f>
        <v>85</v>
      </c>
      <c r="H93" s="1061"/>
      <c r="I93" s="1061">
        <f>CEILING((I91*0.85),0.1)</f>
        <v>85</v>
      </c>
      <c r="J93" s="1061"/>
      <c r="K93" s="1061">
        <f>CEILING((K91*0.85),0.1)</f>
        <v>61.7</v>
      </c>
      <c r="L93" s="1061"/>
      <c r="M93" s="124"/>
      <c r="N93" s="12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</row>
    <row r="94" spans="1:56" s="140" customFormat="1" ht="34.5" customHeight="1" hidden="1">
      <c r="A94" s="281"/>
      <c r="B94" s="124" t="s">
        <v>601</v>
      </c>
      <c r="C94" s="1061">
        <f>CEILING((C91*0.5),0.1)</f>
        <v>36.300000000000004</v>
      </c>
      <c r="D94" s="1061"/>
      <c r="E94" s="1061">
        <f>CEILING((E91*0.5),0.1)</f>
        <v>68.8</v>
      </c>
      <c r="F94" s="1061"/>
      <c r="G94" s="1061">
        <f>CEILING((G91*0.5),0.1)</f>
        <v>50</v>
      </c>
      <c r="H94" s="1061"/>
      <c r="I94" s="1061">
        <f>CEILING((I91*0.5),0.1)</f>
        <v>50</v>
      </c>
      <c r="J94" s="1061"/>
      <c r="K94" s="1061">
        <f>CEILING((K91*0.5),0.1)</f>
        <v>36.300000000000004</v>
      </c>
      <c r="L94" s="1061"/>
      <c r="M94" s="124"/>
      <c r="N94" s="12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</row>
    <row r="95" spans="1:56" s="140" customFormat="1" ht="34.5" customHeight="1" hidden="1">
      <c r="A95" s="282"/>
      <c r="B95" s="124" t="s">
        <v>238</v>
      </c>
      <c r="C95" s="1061">
        <f>CEILING(73*$Z$1,0.1)</f>
        <v>91.30000000000001</v>
      </c>
      <c r="D95" s="1061"/>
      <c r="E95" s="1061">
        <f>CEILING(125*$Z$1,0.1)</f>
        <v>156.3</v>
      </c>
      <c r="F95" s="1061"/>
      <c r="G95" s="1061">
        <f>CEILING(95*$Z$1,0.1)</f>
        <v>118.80000000000001</v>
      </c>
      <c r="H95" s="1061"/>
      <c r="I95" s="1061">
        <f>CEILING(95*$Z$1,0.1)</f>
        <v>118.80000000000001</v>
      </c>
      <c r="J95" s="1061"/>
      <c r="K95" s="1061">
        <f>CEILING(73*$Z$1,0.1)</f>
        <v>91.30000000000001</v>
      </c>
      <c r="L95" s="1061"/>
      <c r="M95" s="124"/>
      <c r="N95" s="12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</row>
    <row r="96" spans="1:56" s="140" customFormat="1" ht="34.5" customHeight="1" hidden="1">
      <c r="A96" s="283"/>
      <c r="B96" s="124" t="s">
        <v>239</v>
      </c>
      <c r="C96" s="1061">
        <f>CEILING((C95+25*$Z$1),0.1)</f>
        <v>122.60000000000001</v>
      </c>
      <c r="D96" s="1061"/>
      <c r="E96" s="1061">
        <f>CEILING((E95+45*$Z$1),0.1)</f>
        <v>212.60000000000002</v>
      </c>
      <c r="F96" s="1061"/>
      <c r="G96" s="1061">
        <f>CEILING((G95+45*$Z$1),0.1)</f>
        <v>175.10000000000002</v>
      </c>
      <c r="H96" s="1061"/>
      <c r="I96" s="1061">
        <f>CEILING((I95+45*$Z$1),0.1)</f>
        <v>175.10000000000002</v>
      </c>
      <c r="J96" s="1061"/>
      <c r="K96" s="1061">
        <f>CEILING((K95+25*$Z$1),0.1)</f>
        <v>122.60000000000001</v>
      </c>
      <c r="L96" s="1061"/>
      <c r="M96" s="124"/>
      <c r="N96" s="12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</row>
    <row r="97" spans="1:56" s="140" customFormat="1" ht="34.5" customHeight="1" hidden="1">
      <c r="A97" s="124"/>
      <c r="B97" s="124" t="s">
        <v>157</v>
      </c>
      <c r="C97" s="1061">
        <f>CEILING(88*$Z$1,0.1)</f>
        <v>110</v>
      </c>
      <c r="D97" s="1061"/>
      <c r="E97" s="1061">
        <f>CEILING(140*$Z$1,0.1)</f>
        <v>175</v>
      </c>
      <c r="F97" s="1061"/>
      <c r="G97" s="1061">
        <f>CEILING(110*$Z$1,0.1)</f>
        <v>137.5</v>
      </c>
      <c r="H97" s="1061"/>
      <c r="I97" s="1061">
        <f>CEILING(110*$Z$1,0.1)</f>
        <v>137.5</v>
      </c>
      <c r="J97" s="1061"/>
      <c r="K97" s="1061">
        <f>CEILING(88*$Z$1,0.1)</f>
        <v>110</v>
      </c>
      <c r="L97" s="1061"/>
      <c r="M97" s="124"/>
      <c r="N97" s="12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</row>
    <row r="98" spans="1:56" s="140" customFormat="1" ht="34.5" customHeight="1" hidden="1">
      <c r="A98" s="124"/>
      <c r="B98" s="124" t="s">
        <v>158</v>
      </c>
      <c r="C98" s="1061">
        <f>CEILING((C97+30*$Z$1),0.1)</f>
        <v>147.5</v>
      </c>
      <c r="D98" s="1061"/>
      <c r="E98" s="1061">
        <f>CEILING((E97+55*$Z$1),0.1)</f>
        <v>243.8</v>
      </c>
      <c r="F98" s="1061"/>
      <c r="G98" s="1061">
        <f>CEILING((G97+55*$Z$1),0.1)</f>
        <v>206.3</v>
      </c>
      <c r="H98" s="1061"/>
      <c r="I98" s="1061">
        <f>CEILING((I97+55*$Z$1),0.1)</f>
        <v>206.3</v>
      </c>
      <c r="J98" s="1061"/>
      <c r="K98" s="1061">
        <f>CEILING((K97+30*$Z$1),0.1)</f>
        <v>147.5</v>
      </c>
      <c r="L98" s="1061"/>
      <c r="M98" s="124"/>
      <c r="N98" s="12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</row>
    <row r="99" spans="1:56" s="140" customFormat="1" ht="34.5" customHeight="1" hidden="1">
      <c r="A99" s="124"/>
      <c r="B99" s="124" t="s">
        <v>165</v>
      </c>
      <c r="C99" s="1061">
        <f>CEILING(93*$Z$1,0.1)</f>
        <v>116.30000000000001</v>
      </c>
      <c r="D99" s="1061"/>
      <c r="E99" s="1061">
        <f>CEILING(145*$Z$1,0.1)</f>
        <v>181.3</v>
      </c>
      <c r="F99" s="1061"/>
      <c r="G99" s="1061">
        <f>CEILING(115*$Z$1,0.1)</f>
        <v>143.8</v>
      </c>
      <c r="H99" s="1061"/>
      <c r="I99" s="1061">
        <f>CEILING(115*$Z$1,0.1)</f>
        <v>143.8</v>
      </c>
      <c r="J99" s="1061"/>
      <c r="K99" s="1061">
        <f>CEILING(93*$Z$1,0.1)</f>
        <v>116.30000000000001</v>
      </c>
      <c r="L99" s="1061"/>
      <c r="M99" s="124"/>
      <c r="N99" s="12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</row>
    <row r="100" spans="1:56" s="140" customFormat="1" ht="34.5" customHeight="1" hidden="1" thickBot="1">
      <c r="A100" s="284" t="s">
        <v>490</v>
      </c>
      <c r="B100" s="124" t="s">
        <v>166</v>
      </c>
      <c r="C100" s="1061">
        <f>CEILING((C99+35*$Z$1),0.1)</f>
        <v>160.10000000000002</v>
      </c>
      <c r="D100" s="1061"/>
      <c r="E100" s="1061">
        <f>CEILING((E99+55*$Z$1),0.1)</f>
        <v>250.10000000000002</v>
      </c>
      <c r="F100" s="1061"/>
      <c r="G100" s="1061">
        <f>CEILING((G99+55*$Z$1),0.1)</f>
        <v>212.60000000000002</v>
      </c>
      <c r="H100" s="1061"/>
      <c r="I100" s="1061">
        <f>CEILING((I99+55*$Z$1),0.1)</f>
        <v>212.60000000000002</v>
      </c>
      <c r="J100" s="1061"/>
      <c r="K100" s="1061">
        <f>CEILING((K99+35*$Z$1),0.1)</f>
        <v>160.10000000000002</v>
      </c>
      <c r="L100" s="1061"/>
      <c r="M100" s="124"/>
      <c r="N100" s="12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</row>
    <row r="101" spans="1:25" s="167" customFormat="1" ht="34.5" customHeight="1" hidden="1" thickTop="1">
      <c r="A101" s="163"/>
      <c r="B101" s="188"/>
      <c r="C101" s="163"/>
      <c r="D101" s="163"/>
      <c r="E101" s="163"/>
      <c r="F101" s="163"/>
      <c r="G101" s="163"/>
      <c r="H101" s="163"/>
      <c r="I101" s="189"/>
      <c r="J101" s="189"/>
      <c r="K101" s="190"/>
      <c r="L101" s="190"/>
      <c r="M101" s="191"/>
      <c r="N101" s="191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</row>
    <row r="102" spans="1:56" s="107" customFormat="1" ht="34.5" customHeight="1" thickBot="1">
      <c r="A102" s="285"/>
      <c r="B102" s="285"/>
      <c r="C102" s="285"/>
      <c r="D102" s="285"/>
      <c r="E102" s="285"/>
      <c r="F102" s="285"/>
      <c r="G102" s="148"/>
      <c r="H102" s="148"/>
      <c r="I102" s="148"/>
      <c r="J102" s="148"/>
      <c r="K102" s="113"/>
      <c r="L102" s="113"/>
      <c r="M102" s="124"/>
      <c r="N102" s="12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</row>
    <row r="103" spans="1:42" s="214" customFormat="1" ht="34.5" customHeight="1" thickTop="1">
      <c r="A103" s="207" t="s">
        <v>34</v>
      </c>
      <c r="B103" s="208" t="s">
        <v>637</v>
      </c>
      <c r="C103" s="209" t="s">
        <v>921</v>
      </c>
      <c r="D103" s="210"/>
      <c r="E103" s="211" t="s">
        <v>922</v>
      </c>
      <c r="F103" s="212"/>
      <c r="G103" s="211" t="s">
        <v>923</v>
      </c>
      <c r="H103" s="212"/>
      <c r="I103" s="1070"/>
      <c r="J103" s="1071"/>
      <c r="K103" s="1070"/>
      <c r="L103" s="1070"/>
      <c r="M103" s="174"/>
      <c r="N103" s="174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</row>
    <row r="104" spans="1:56" s="107" customFormat="1" ht="34.5" customHeight="1">
      <c r="A104" s="286" t="s">
        <v>362</v>
      </c>
      <c r="B104" s="264" t="s">
        <v>230</v>
      </c>
      <c r="C104" s="1063">
        <f>CEILING(78.4*$Z$1,0.1)</f>
        <v>98</v>
      </c>
      <c r="D104" s="1064"/>
      <c r="E104" s="1063">
        <f>CEILING(78.4*$Z$1,0.1)</f>
        <v>98</v>
      </c>
      <c r="F104" s="1064"/>
      <c r="G104" s="1063">
        <f>CEILING(78.4*$Z$1,0.1)</f>
        <v>98</v>
      </c>
      <c r="H104" s="1064"/>
      <c r="I104" s="1061"/>
      <c r="J104" s="1061"/>
      <c r="K104" s="1061"/>
      <c r="L104" s="1061"/>
      <c r="M104" s="124"/>
      <c r="N104" s="12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</row>
    <row r="105" spans="1:56" s="107" customFormat="1" ht="34.5" customHeight="1">
      <c r="A105" s="235"/>
      <c r="B105" s="266" t="s">
        <v>231</v>
      </c>
      <c r="C105" s="1065">
        <f>CEILING((C104+45*$Z$1),0.1)</f>
        <v>154.3</v>
      </c>
      <c r="D105" s="1066"/>
      <c r="E105" s="1065">
        <f>CEILING((E104+32*$Z$1),0.1)</f>
        <v>138</v>
      </c>
      <c r="F105" s="1066"/>
      <c r="G105" s="1065">
        <f>CEILING((G104+32*$Z$1),0.1)</f>
        <v>138</v>
      </c>
      <c r="H105" s="1066"/>
      <c r="I105" s="1061"/>
      <c r="J105" s="1061"/>
      <c r="K105" s="1061"/>
      <c r="L105" s="1061"/>
      <c r="M105" s="124"/>
      <c r="N105" s="12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</row>
    <row r="106" spans="1:56" s="107" customFormat="1" ht="34.5" customHeight="1">
      <c r="A106" s="265" t="s">
        <v>36</v>
      </c>
      <c r="B106" s="249" t="s">
        <v>38</v>
      </c>
      <c r="C106" s="1065">
        <f>CEILING((C104*0.85),0.1)</f>
        <v>83.30000000000001</v>
      </c>
      <c r="D106" s="1066"/>
      <c r="E106" s="1065">
        <f>CEILING((E104*0.85),0.1)</f>
        <v>83.30000000000001</v>
      </c>
      <c r="F106" s="1066"/>
      <c r="G106" s="1065">
        <f>CEILING((G104*0.85),0.1)</f>
        <v>83.30000000000001</v>
      </c>
      <c r="H106" s="1066"/>
      <c r="I106" s="1061"/>
      <c r="J106" s="1061"/>
      <c r="K106" s="1061"/>
      <c r="L106" s="1061"/>
      <c r="M106" s="124"/>
      <c r="N106" s="12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</row>
    <row r="107" spans="1:56" s="107" customFormat="1" ht="34.5" customHeight="1">
      <c r="A107" s="265"/>
      <c r="B107" s="241" t="s">
        <v>601</v>
      </c>
      <c r="C107" s="1065">
        <f>CEILING((C104*0.5),0.1)</f>
        <v>49</v>
      </c>
      <c r="D107" s="1066"/>
      <c r="E107" s="1065">
        <f>CEILING((E104*0.5),0.1)</f>
        <v>49</v>
      </c>
      <c r="F107" s="1066"/>
      <c r="G107" s="1065">
        <f>CEILING((G104*0.5),0.1)</f>
        <v>49</v>
      </c>
      <c r="H107" s="1066"/>
      <c r="I107" s="1061"/>
      <c r="J107" s="1061"/>
      <c r="K107" s="1061"/>
      <c r="L107" s="1061"/>
      <c r="M107" s="124"/>
      <c r="N107" s="12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</row>
    <row r="108" spans="1:56" s="107" customFormat="1" ht="34.5" customHeight="1">
      <c r="A108" s="287" t="s">
        <v>1052</v>
      </c>
      <c r="B108" s="266" t="s">
        <v>235</v>
      </c>
      <c r="C108" s="1065">
        <f>CEILING(96*$Z$1,0.1)</f>
        <v>120</v>
      </c>
      <c r="D108" s="1066"/>
      <c r="E108" s="1065">
        <f>CEILING(96*$Z$1,0.1)</f>
        <v>120</v>
      </c>
      <c r="F108" s="1066"/>
      <c r="G108" s="1065">
        <f>CEILING(96*$Z$1,0.1)</f>
        <v>120</v>
      </c>
      <c r="H108" s="1066"/>
      <c r="I108" s="1061"/>
      <c r="J108" s="1061"/>
      <c r="K108" s="1061"/>
      <c r="L108" s="1061"/>
      <c r="M108" s="124"/>
      <c r="N108" s="12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</row>
    <row r="109" spans="1:56" s="107" customFormat="1" ht="34.5" customHeight="1">
      <c r="A109" s="251"/>
      <c r="B109" s="288" t="s">
        <v>40</v>
      </c>
      <c r="C109" s="1078">
        <f>CEILING(103*$Z$1,0.1)</f>
        <v>128.8</v>
      </c>
      <c r="D109" s="1079"/>
      <c r="E109" s="1078">
        <f>CEILING(103*$Z$1,0.1)</f>
        <v>128.8</v>
      </c>
      <c r="F109" s="1079"/>
      <c r="G109" s="1078">
        <f>CEILING(103*$Z$1,0.1)</f>
        <v>128.8</v>
      </c>
      <c r="H109" s="1079"/>
      <c r="I109" s="1061"/>
      <c r="J109" s="1061"/>
      <c r="K109" s="1061"/>
      <c r="L109" s="1061"/>
      <c r="M109" s="124"/>
      <c r="N109" s="12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</row>
    <row r="110" spans="1:56" s="107" customFormat="1" ht="34.5" customHeight="1">
      <c r="A110" s="251"/>
      <c r="B110" s="236" t="s">
        <v>363</v>
      </c>
      <c r="C110" s="1063">
        <f>CEILING(107*$Z$1,0.1)</f>
        <v>133.8</v>
      </c>
      <c r="D110" s="1064"/>
      <c r="E110" s="1063">
        <f>CEILING(107*$Z$1,0.1)</f>
        <v>133.8</v>
      </c>
      <c r="F110" s="1064"/>
      <c r="G110" s="1063">
        <f>CEILING(107*$Z$1,0.1)</f>
        <v>133.8</v>
      </c>
      <c r="H110" s="1064"/>
      <c r="I110" s="1061"/>
      <c r="J110" s="1061"/>
      <c r="K110" s="1061"/>
      <c r="L110" s="1061"/>
      <c r="M110" s="124"/>
      <c r="N110" s="12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</row>
    <row r="111" spans="1:56" s="107" customFormat="1" ht="34.5" customHeight="1">
      <c r="A111" s="133"/>
      <c r="B111" s="238" t="s">
        <v>364</v>
      </c>
      <c r="C111" s="1065">
        <f>CEILING(114*$Z$1,0.1)</f>
        <v>142.5</v>
      </c>
      <c r="D111" s="1066"/>
      <c r="E111" s="1065">
        <f>CEILING(114*$Z$1,0.1)</f>
        <v>142.5</v>
      </c>
      <c r="F111" s="1066"/>
      <c r="G111" s="1065">
        <f>CEILING(114*$Z$1,0.1)</f>
        <v>142.5</v>
      </c>
      <c r="H111" s="1066"/>
      <c r="I111" s="1061"/>
      <c r="J111" s="1061"/>
      <c r="K111" s="1061"/>
      <c r="L111" s="1061"/>
      <c r="M111" s="148"/>
      <c r="N111" s="148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</row>
    <row r="112" spans="1:56" s="158" customFormat="1" ht="34.5" customHeight="1" thickBot="1">
      <c r="A112" s="268" t="s">
        <v>490</v>
      </c>
      <c r="B112" s="289" t="s">
        <v>365</v>
      </c>
      <c r="C112" s="1065">
        <f>CEILING(175*$Z$1,0.1)</f>
        <v>218.8</v>
      </c>
      <c r="D112" s="1066"/>
      <c r="E112" s="1065">
        <f>CEILING(175*$Z$1,0.1)</f>
        <v>218.8</v>
      </c>
      <c r="F112" s="1066"/>
      <c r="G112" s="1065">
        <f>CEILING(175*$Z$1,0.1)</f>
        <v>218.8</v>
      </c>
      <c r="H112" s="1066"/>
      <c r="I112" s="1061"/>
      <c r="J112" s="1061"/>
      <c r="K112" s="1061"/>
      <c r="L112" s="1061"/>
      <c r="M112" s="124"/>
      <c r="N112" s="103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</row>
    <row r="113" spans="1:56" s="291" customFormat="1" ht="34.5" customHeight="1" thickTop="1">
      <c r="A113" s="1201" t="s">
        <v>926</v>
      </c>
      <c r="B113" s="1201"/>
      <c r="C113" s="1201"/>
      <c r="D113" s="1201"/>
      <c r="E113" s="1201"/>
      <c r="F113" s="1201"/>
      <c r="G113" s="1201"/>
      <c r="H113" s="1201"/>
      <c r="I113" s="152"/>
      <c r="J113" s="152"/>
      <c r="K113" s="113"/>
      <c r="L113" s="113"/>
      <c r="M113" s="124"/>
      <c r="N113" s="103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290"/>
      <c r="AN113" s="290"/>
      <c r="AO113" s="290"/>
      <c r="AP113" s="290"/>
      <c r="AQ113" s="290"/>
      <c r="AR113" s="290"/>
      <c r="AS113" s="290"/>
      <c r="AT113" s="290"/>
      <c r="AU113" s="290"/>
      <c r="AV113" s="290"/>
      <c r="AW113" s="290"/>
      <c r="AX113" s="290"/>
      <c r="AY113" s="290"/>
      <c r="AZ113" s="290"/>
      <c r="BA113" s="290"/>
      <c r="BB113" s="290"/>
      <c r="BC113" s="290"/>
      <c r="BD113" s="290"/>
    </row>
    <row r="114" spans="1:25" s="140" customFormat="1" ht="34.5" customHeight="1">
      <c r="A114" s="1240" t="s">
        <v>925</v>
      </c>
      <c r="B114" s="1240"/>
      <c r="C114" s="1240"/>
      <c r="D114" s="1240"/>
      <c r="E114" s="1240"/>
      <c r="F114" s="1240"/>
      <c r="G114" s="1240"/>
      <c r="H114" s="1240"/>
      <c r="I114" s="239"/>
      <c r="J114" s="239"/>
      <c r="K114" s="239"/>
      <c r="L114" s="239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56" s="158" customFormat="1" ht="34.5" customHeight="1" thickBot="1">
      <c r="A115" s="1200"/>
      <c r="B115" s="1200"/>
      <c r="C115" s="1200"/>
      <c r="D115" s="1200"/>
      <c r="E115" s="1200"/>
      <c r="F115" s="1200"/>
      <c r="G115" s="1200"/>
      <c r="H115" s="1200"/>
      <c r="I115" s="1136"/>
      <c r="J115" s="1136"/>
      <c r="K115" s="1136"/>
      <c r="L115" s="1136"/>
      <c r="M115" s="124"/>
      <c r="N115" s="12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</row>
    <row r="116" spans="1:42" s="214" customFormat="1" ht="34.5" customHeight="1" thickTop="1">
      <c r="A116" s="207" t="s">
        <v>34</v>
      </c>
      <c r="B116" s="208" t="s">
        <v>637</v>
      </c>
      <c r="C116" s="209" t="s">
        <v>921</v>
      </c>
      <c r="D116" s="210"/>
      <c r="E116" s="211" t="s">
        <v>922</v>
      </c>
      <c r="F116" s="212"/>
      <c r="G116" s="211" t="s">
        <v>923</v>
      </c>
      <c r="H116" s="212"/>
      <c r="I116" s="1070"/>
      <c r="J116" s="1071"/>
      <c r="K116" s="1070"/>
      <c r="L116" s="1070"/>
      <c r="M116" s="174"/>
      <c r="N116" s="174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</row>
    <row r="117" spans="1:14" s="114" customFormat="1" ht="34.5" customHeight="1">
      <c r="A117" s="293" t="s">
        <v>49</v>
      </c>
      <c r="B117" s="294" t="s">
        <v>17</v>
      </c>
      <c r="C117" s="1063">
        <f>CEILING(45*$Z$1,0.1)</f>
        <v>56.300000000000004</v>
      </c>
      <c r="D117" s="1064"/>
      <c r="E117" s="1063">
        <f>CEILING(45*$Z$1,0.1)</f>
        <v>56.300000000000004</v>
      </c>
      <c r="F117" s="1064"/>
      <c r="G117" s="1063">
        <f>CEILING(45*$Z$1,0.1)</f>
        <v>56.300000000000004</v>
      </c>
      <c r="H117" s="1064"/>
      <c r="I117" s="1061"/>
      <c r="J117" s="1061"/>
      <c r="K117" s="1061"/>
      <c r="L117" s="1061"/>
      <c r="M117" s="124"/>
      <c r="N117" s="124"/>
    </row>
    <row r="118" spans="1:14" s="114" customFormat="1" ht="34.5" customHeight="1">
      <c r="A118" s="295" t="s">
        <v>50</v>
      </c>
      <c r="B118" s="296" t="s">
        <v>195</v>
      </c>
      <c r="C118" s="1065">
        <f>CEILING((C117+25*$Z$1),0.1)</f>
        <v>87.60000000000001</v>
      </c>
      <c r="D118" s="1066"/>
      <c r="E118" s="1065">
        <f>CEILING((E117+19*$Z$1),0.1)</f>
        <v>80.10000000000001</v>
      </c>
      <c r="F118" s="1066"/>
      <c r="G118" s="1065">
        <f>CEILING((G117+19*$Z$1),0.1)</f>
        <v>80.10000000000001</v>
      </c>
      <c r="H118" s="1066"/>
      <c r="I118" s="1061"/>
      <c r="J118" s="1061"/>
      <c r="K118" s="1061"/>
      <c r="L118" s="1061"/>
      <c r="M118" s="124"/>
      <c r="N118" s="124"/>
    </row>
    <row r="119" spans="1:14" s="114" customFormat="1" ht="34.5" customHeight="1">
      <c r="A119" s="287" t="s">
        <v>1052</v>
      </c>
      <c r="B119" s="296" t="s">
        <v>40</v>
      </c>
      <c r="C119" s="1065">
        <f>CEILING(64*$Z$1,0.1)</f>
        <v>80</v>
      </c>
      <c r="D119" s="1066"/>
      <c r="E119" s="1065">
        <f>CEILING(64*$Z$1,0.1)</f>
        <v>80</v>
      </c>
      <c r="F119" s="1066"/>
      <c r="G119" s="1065">
        <f>CEILING(64*$Z$1,0.1)</f>
        <v>80</v>
      </c>
      <c r="H119" s="1066"/>
      <c r="I119" s="1061"/>
      <c r="J119" s="1061"/>
      <c r="K119" s="1061"/>
      <c r="L119" s="1061"/>
      <c r="M119" s="124"/>
      <c r="N119" s="124"/>
    </row>
    <row r="120" spans="1:41" s="298" customFormat="1" ht="34.5" customHeight="1" thickBot="1">
      <c r="A120" s="268" t="s">
        <v>490</v>
      </c>
      <c r="B120" s="297" t="s">
        <v>155</v>
      </c>
      <c r="C120" s="1067">
        <f>CEILING((C119+30*$Z$1),0.1)</f>
        <v>117.5</v>
      </c>
      <c r="D120" s="1068"/>
      <c r="E120" s="1067">
        <f>CEILING((E119+23*$Z$1),0.1)</f>
        <v>108.80000000000001</v>
      </c>
      <c r="F120" s="1068"/>
      <c r="G120" s="1067">
        <f>CEILING((G119+23*$Z$1),0.1)</f>
        <v>108.80000000000001</v>
      </c>
      <c r="H120" s="1068"/>
      <c r="I120" s="1061"/>
      <c r="J120" s="1061"/>
      <c r="K120" s="1061"/>
      <c r="L120" s="1061"/>
      <c r="M120" s="124"/>
      <c r="N120" s="12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</row>
    <row r="121" spans="1:41" s="107" customFormat="1" ht="34.5" customHeight="1" thickTop="1">
      <c r="A121" s="168" t="s">
        <v>196</v>
      </c>
      <c r="B121" s="162"/>
      <c r="C121" s="162"/>
      <c r="D121" s="162"/>
      <c r="E121" s="162"/>
      <c r="F121" s="162"/>
      <c r="G121" s="162"/>
      <c r="H121" s="162"/>
      <c r="I121" s="299"/>
      <c r="J121" s="299"/>
      <c r="K121" s="169"/>
      <c r="L121" s="169"/>
      <c r="M121" s="124"/>
      <c r="N121" s="124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</row>
    <row r="122" spans="1:14" s="158" customFormat="1" ht="34.5" customHeight="1" thickBot="1">
      <c r="A122" s="1200"/>
      <c r="B122" s="1200"/>
      <c r="C122" s="1200"/>
      <c r="D122" s="1200"/>
      <c r="E122" s="1200"/>
      <c r="F122" s="1200"/>
      <c r="G122" s="1200"/>
      <c r="H122" s="1200"/>
      <c r="I122" s="1136"/>
      <c r="J122" s="1136"/>
      <c r="K122" s="1136"/>
      <c r="L122" s="1136"/>
      <c r="M122" s="124"/>
      <c r="N122" s="124"/>
    </row>
    <row r="123" spans="1:42" s="214" customFormat="1" ht="34.5" customHeight="1" thickTop="1">
      <c r="A123" s="207" t="s">
        <v>34</v>
      </c>
      <c r="B123" s="208" t="s">
        <v>637</v>
      </c>
      <c r="C123" s="209" t="s">
        <v>921</v>
      </c>
      <c r="D123" s="210"/>
      <c r="E123" s="211" t="s">
        <v>922</v>
      </c>
      <c r="F123" s="212"/>
      <c r="G123" s="211" t="s">
        <v>923</v>
      </c>
      <c r="H123" s="212"/>
      <c r="I123" s="1070"/>
      <c r="J123" s="1071"/>
      <c r="K123" s="1070"/>
      <c r="L123" s="1070"/>
      <c r="M123" s="174"/>
      <c r="N123" s="174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3"/>
      <c r="AN123" s="213"/>
      <c r="AO123" s="213"/>
      <c r="AP123" s="213"/>
    </row>
    <row r="124" spans="1:40" s="107" customFormat="1" ht="34.5" customHeight="1">
      <c r="A124" s="300" t="s">
        <v>51</v>
      </c>
      <c r="B124" s="236" t="s">
        <v>42</v>
      </c>
      <c r="C124" s="1063">
        <f>CEILING(57*$Z$1,0.1)</f>
        <v>71.3</v>
      </c>
      <c r="D124" s="1064"/>
      <c r="E124" s="1063">
        <f>CEILING(57*$Z$1,0.1)</f>
        <v>71.3</v>
      </c>
      <c r="F124" s="1064"/>
      <c r="G124" s="1063">
        <f>CEILING(57*$Z$1,0.1)</f>
        <v>71.3</v>
      </c>
      <c r="H124" s="1064"/>
      <c r="I124" s="1061"/>
      <c r="J124" s="1061"/>
      <c r="K124" s="1061"/>
      <c r="L124" s="1061"/>
      <c r="M124" s="1061"/>
      <c r="N124" s="1061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</row>
    <row r="125" spans="1:40" s="107" customFormat="1" ht="34.5" customHeight="1">
      <c r="A125" s="295" t="s">
        <v>50</v>
      </c>
      <c r="B125" s="241" t="s">
        <v>43</v>
      </c>
      <c r="C125" s="1065">
        <f>CEILING((C124+35*$Z$1),0.1)</f>
        <v>115.10000000000001</v>
      </c>
      <c r="D125" s="1066"/>
      <c r="E125" s="1065">
        <f>CEILING((E124+25*$Z$1),0.1)</f>
        <v>102.60000000000001</v>
      </c>
      <c r="F125" s="1066"/>
      <c r="G125" s="1065">
        <f>CEILING((G124+25*$Z$1),0.1)</f>
        <v>102.60000000000001</v>
      </c>
      <c r="H125" s="1066"/>
      <c r="I125" s="1061"/>
      <c r="J125" s="1061"/>
      <c r="K125" s="1061"/>
      <c r="L125" s="1061"/>
      <c r="M125" s="1061"/>
      <c r="N125" s="1061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</row>
    <row r="126" spans="1:40" s="107" customFormat="1" ht="34.5" customHeight="1">
      <c r="A126" s="301"/>
      <c r="B126" s="241" t="s">
        <v>38</v>
      </c>
      <c r="C126" s="1065">
        <f>CEILING((C124*0.85),0.1)</f>
        <v>60.7</v>
      </c>
      <c r="D126" s="1066"/>
      <c r="E126" s="1065">
        <f>CEILING((E124*0.85),0.1)</f>
        <v>60.7</v>
      </c>
      <c r="F126" s="1066"/>
      <c r="G126" s="1065">
        <f>CEILING((G124*0.85),0.1)</f>
        <v>60.7</v>
      </c>
      <c r="H126" s="1066"/>
      <c r="I126" s="1061"/>
      <c r="J126" s="1061"/>
      <c r="K126" s="1061"/>
      <c r="L126" s="1061"/>
      <c r="M126" s="1061"/>
      <c r="N126" s="1061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</row>
    <row r="127" spans="1:40" s="107" customFormat="1" ht="34.5" customHeight="1">
      <c r="A127" s="272"/>
      <c r="B127" s="238" t="s">
        <v>601</v>
      </c>
      <c r="C127" s="1065">
        <f>CEILING((C124*0.5),0.1)</f>
        <v>35.7</v>
      </c>
      <c r="D127" s="1066"/>
      <c r="E127" s="1065">
        <f>CEILING((E124*0.5),0.1)</f>
        <v>35.7</v>
      </c>
      <c r="F127" s="1066"/>
      <c r="G127" s="1065">
        <f>CEILING((G124*0.5),0.1)</f>
        <v>35.7</v>
      </c>
      <c r="H127" s="1066"/>
      <c r="I127" s="1061"/>
      <c r="J127" s="1061"/>
      <c r="K127" s="1061"/>
      <c r="L127" s="1061"/>
      <c r="M127" s="1061"/>
      <c r="N127" s="1061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</row>
    <row r="128" spans="1:40" s="107" customFormat="1" ht="34.5" customHeight="1">
      <c r="A128" s="133" t="s">
        <v>1052</v>
      </c>
      <c r="B128" s="238" t="s">
        <v>162</v>
      </c>
      <c r="C128" s="1065">
        <f>CEILING(67.4*$Z$1,0.1)</f>
        <v>84.30000000000001</v>
      </c>
      <c r="D128" s="1066"/>
      <c r="E128" s="1065">
        <f>CEILING(67.4*$Z$1,0.1)</f>
        <v>84.30000000000001</v>
      </c>
      <c r="F128" s="1066"/>
      <c r="G128" s="1065">
        <f>CEILING(67.4*$Z$1,0.1)</f>
        <v>84.30000000000001</v>
      </c>
      <c r="H128" s="1066"/>
      <c r="I128" s="1061"/>
      <c r="J128" s="1061"/>
      <c r="K128" s="1061"/>
      <c r="L128" s="1061"/>
      <c r="M128" s="1061"/>
      <c r="N128" s="1061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</row>
    <row r="129" spans="1:40" s="107" customFormat="1" ht="34.5" customHeight="1">
      <c r="A129" s="133"/>
      <c r="B129" s="241" t="s">
        <v>163</v>
      </c>
      <c r="C129" s="1065">
        <f>CEILING((C128+35*$Z$1),0.1)</f>
        <v>128.1</v>
      </c>
      <c r="D129" s="1066"/>
      <c r="E129" s="1065">
        <f>CEILING((E128+25*$Z$1),0.1)</f>
        <v>115.60000000000001</v>
      </c>
      <c r="F129" s="1066"/>
      <c r="G129" s="1065">
        <f>CEILING((G128+25*$Z$1),0.1)</f>
        <v>115.60000000000001</v>
      </c>
      <c r="H129" s="1066"/>
      <c r="I129" s="1061"/>
      <c r="J129" s="1061"/>
      <c r="K129" s="1061"/>
      <c r="L129" s="1061"/>
      <c r="M129" s="1061"/>
      <c r="N129" s="1061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</row>
    <row r="130" spans="1:40" s="107" customFormat="1" ht="34.5" customHeight="1">
      <c r="A130" s="302"/>
      <c r="B130" s="241" t="s">
        <v>35</v>
      </c>
      <c r="C130" s="1065">
        <f>CEILING(78.1*$Z$1,0.1)</f>
        <v>97.7</v>
      </c>
      <c r="D130" s="1066"/>
      <c r="E130" s="1065">
        <f>CEILING(78.1*$Z$1,0.1)</f>
        <v>97.7</v>
      </c>
      <c r="F130" s="1066"/>
      <c r="G130" s="1065">
        <f>CEILING(78.1*$Z$1,0.1)</f>
        <v>97.7</v>
      </c>
      <c r="H130" s="1066"/>
      <c r="I130" s="1061"/>
      <c r="J130" s="1061"/>
      <c r="K130" s="1061"/>
      <c r="L130" s="1061"/>
      <c r="M130" s="1061"/>
      <c r="N130" s="1061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</row>
    <row r="131" spans="1:40" s="107" customFormat="1" ht="34.5" customHeight="1" thickBot="1">
      <c r="A131" s="303" t="s">
        <v>1009</v>
      </c>
      <c r="B131" s="241" t="s">
        <v>37</v>
      </c>
      <c r="C131" s="1067">
        <f>CEILING((C130+40*$Z$1),0.1)</f>
        <v>147.70000000000002</v>
      </c>
      <c r="D131" s="1068"/>
      <c r="E131" s="1067">
        <f>CEILING((E130+28.4*$Z$1),0.1)</f>
        <v>133.20000000000002</v>
      </c>
      <c r="F131" s="1068"/>
      <c r="G131" s="1067">
        <f>CEILING((G130+28.4*$Z$1),0.1)</f>
        <v>133.20000000000002</v>
      </c>
      <c r="H131" s="1068"/>
      <c r="I131" s="1061"/>
      <c r="J131" s="1061"/>
      <c r="K131" s="1061"/>
      <c r="L131" s="1061"/>
      <c r="M131" s="1061"/>
      <c r="N131" s="1061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</row>
    <row r="132" spans="1:25" s="107" customFormat="1" ht="34.5" customHeight="1" thickTop="1">
      <c r="A132" s="304" t="s">
        <v>55</v>
      </c>
      <c r="B132" s="236" t="s">
        <v>193</v>
      </c>
      <c r="C132" s="1063">
        <f>CEILING(71.2*$Z$1,0.1)</f>
        <v>89</v>
      </c>
      <c r="D132" s="1064"/>
      <c r="E132" s="1063">
        <f>CEILING(71.2*$Z$1,0.1)</f>
        <v>89</v>
      </c>
      <c r="F132" s="1064"/>
      <c r="G132" s="1063">
        <f>CEILING(71.2*$Z$1,0.1)</f>
        <v>89</v>
      </c>
      <c r="H132" s="1064"/>
      <c r="I132" s="1061"/>
      <c r="J132" s="1061"/>
      <c r="K132" s="1061"/>
      <c r="L132" s="1061"/>
      <c r="M132" s="124"/>
      <c r="N132" s="124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</row>
    <row r="133" spans="1:25" s="107" customFormat="1" ht="34.5" customHeight="1">
      <c r="A133" s="305" t="s">
        <v>50</v>
      </c>
      <c r="B133" s="238" t="s">
        <v>194</v>
      </c>
      <c r="C133" s="1065">
        <f>CEILING((C132+35*$Z$1),0.1)</f>
        <v>132.8</v>
      </c>
      <c r="D133" s="1066"/>
      <c r="E133" s="1065">
        <f>CEILING((E132+25*$Z$1),0.1)</f>
        <v>120.30000000000001</v>
      </c>
      <c r="F133" s="1066"/>
      <c r="G133" s="1065">
        <f>CEILING((G132+25*$Z$1),0.1)</f>
        <v>120.30000000000001</v>
      </c>
      <c r="H133" s="1066"/>
      <c r="I133" s="1061"/>
      <c r="J133" s="1061"/>
      <c r="K133" s="1061"/>
      <c r="L133" s="1061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</row>
    <row r="134" spans="1:25" s="107" customFormat="1" ht="34.5" customHeight="1">
      <c r="A134" s="272"/>
      <c r="B134" s="238" t="s">
        <v>38</v>
      </c>
      <c r="C134" s="1065">
        <f>CEILING((C132*0.85),0.1)</f>
        <v>75.7</v>
      </c>
      <c r="D134" s="1066"/>
      <c r="E134" s="1065">
        <f>CEILING((E132*0.85),0.1)</f>
        <v>75.7</v>
      </c>
      <c r="F134" s="1066"/>
      <c r="G134" s="1065">
        <f>CEILING((G132*0.85),0.1)</f>
        <v>75.7</v>
      </c>
      <c r="H134" s="1066"/>
      <c r="I134" s="1061"/>
      <c r="J134" s="1061"/>
      <c r="K134" s="1061"/>
      <c r="L134" s="1061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</row>
    <row r="135" spans="1:25" s="107" customFormat="1" ht="34.5" customHeight="1">
      <c r="A135" s="272" t="s">
        <v>1052</v>
      </c>
      <c r="B135" s="238" t="s">
        <v>601</v>
      </c>
      <c r="C135" s="1065">
        <f>CEILING((C132*0.5),0.1)</f>
        <v>44.5</v>
      </c>
      <c r="D135" s="1066"/>
      <c r="E135" s="1065">
        <f>CEILING((E132*0.5),0.1)</f>
        <v>44.5</v>
      </c>
      <c r="F135" s="1066"/>
      <c r="G135" s="1065">
        <f>CEILING((G132*0.5),0.1)</f>
        <v>44.5</v>
      </c>
      <c r="H135" s="1066"/>
      <c r="I135" s="1061"/>
      <c r="J135" s="1061"/>
      <c r="K135" s="1061"/>
      <c r="L135" s="1061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</row>
    <row r="136" spans="1:25" s="107" customFormat="1" ht="34.5" customHeight="1">
      <c r="A136" s="305"/>
      <c r="B136" s="238" t="s">
        <v>845</v>
      </c>
      <c r="C136" s="1065">
        <f>CEILING(85.2*$Z$1,0.1)</f>
        <v>106.5</v>
      </c>
      <c r="D136" s="1066"/>
      <c r="E136" s="1065">
        <f>CEILING(85.2*$Z$1,0.1)</f>
        <v>106.5</v>
      </c>
      <c r="F136" s="1066"/>
      <c r="G136" s="1065">
        <f>CEILING(85.2*$Z$1,0.1)</f>
        <v>106.5</v>
      </c>
      <c r="H136" s="1066"/>
      <c r="I136" s="1061"/>
      <c r="J136" s="1061"/>
      <c r="K136" s="1061"/>
      <c r="L136" s="1061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</row>
    <row r="137" spans="1:25" s="107" customFormat="1" ht="34.5" customHeight="1" thickBot="1">
      <c r="A137" s="303" t="s">
        <v>1009</v>
      </c>
      <c r="B137" s="297" t="s">
        <v>846</v>
      </c>
      <c r="C137" s="1067">
        <f>CEILING((C136+45*$Z$1),0.1)</f>
        <v>162.8</v>
      </c>
      <c r="D137" s="1068"/>
      <c r="E137" s="1067">
        <f>CEILING((E136+32*$Z$1),0.1)</f>
        <v>146.5</v>
      </c>
      <c r="F137" s="1068"/>
      <c r="G137" s="1067">
        <f>CEILING((G136+32*$Z$1),0.1)</f>
        <v>146.5</v>
      </c>
      <c r="H137" s="1068"/>
      <c r="I137" s="1061"/>
      <c r="J137" s="1061"/>
      <c r="K137" s="1061"/>
      <c r="L137" s="1061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</row>
    <row r="138" spans="1:25" s="155" customFormat="1" ht="34.5" customHeight="1" thickTop="1">
      <c r="A138" s="156" t="s">
        <v>1092</v>
      </c>
      <c r="B138" s="156"/>
      <c r="C138" s="156"/>
      <c r="D138" s="156"/>
      <c r="E138" s="156"/>
      <c r="F138" s="156"/>
      <c r="G138" s="156"/>
      <c r="H138" s="156"/>
      <c r="I138" s="156"/>
      <c r="J138" s="156"/>
      <c r="K138" s="150"/>
      <c r="L138" s="150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</row>
    <row r="139" spans="1:12" s="310" customFormat="1" ht="34.5" customHeight="1" thickBot="1">
      <c r="A139" s="306"/>
      <c r="B139" s="307"/>
      <c r="C139" s="308"/>
      <c r="D139" s="308"/>
      <c r="E139" s="308"/>
      <c r="F139" s="308"/>
      <c r="G139" s="308"/>
      <c r="H139" s="308"/>
      <c r="I139" s="1238"/>
      <c r="J139" s="1238"/>
      <c r="K139" s="309"/>
      <c r="L139" s="309"/>
    </row>
    <row r="140" spans="1:42" s="214" customFormat="1" ht="34.5" customHeight="1" thickTop="1">
      <c r="A140" s="207" t="s">
        <v>34</v>
      </c>
      <c r="B140" s="208" t="s">
        <v>637</v>
      </c>
      <c r="C140" s="209" t="s">
        <v>921</v>
      </c>
      <c r="D140" s="210"/>
      <c r="E140" s="211" t="s">
        <v>922</v>
      </c>
      <c r="F140" s="212"/>
      <c r="G140" s="211" t="s">
        <v>923</v>
      </c>
      <c r="H140" s="212"/>
      <c r="I140" s="1070"/>
      <c r="J140" s="1071"/>
      <c r="K140" s="1070"/>
      <c r="L140" s="1070"/>
      <c r="M140" s="174"/>
      <c r="N140" s="174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  <c r="AA140" s="213"/>
      <c r="AB140" s="213"/>
      <c r="AC140" s="213"/>
      <c r="AD140" s="213"/>
      <c r="AE140" s="213"/>
      <c r="AF140" s="213"/>
      <c r="AG140" s="213"/>
      <c r="AH140" s="213"/>
      <c r="AI140" s="213"/>
      <c r="AJ140" s="213"/>
      <c r="AK140" s="213"/>
      <c r="AL140" s="213"/>
      <c r="AM140" s="213"/>
      <c r="AN140" s="213"/>
      <c r="AO140" s="213"/>
      <c r="AP140" s="213"/>
    </row>
    <row r="141" spans="1:25" s="107" customFormat="1" ht="34.5" customHeight="1">
      <c r="A141" s="311" t="s">
        <v>514</v>
      </c>
      <c r="B141" s="270" t="s">
        <v>598</v>
      </c>
      <c r="C141" s="1063">
        <f>CEILING(32.2*$Z$1,0.1)</f>
        <v>40.300000000000004</v>
      </c>
      <c r="D141" s="1064"/>
      <c r="E141" s="1063">
        <f>CEILING(32.2*$Z$1,0.1)</f>
        <v>40.300000000000004</v>
      </c>
      <c r="F141" s="1064"/>
      <c r="G141" s="1063">
        <f>CEILING(32.2*$Z$1,0.1)</f>
        <v>40.300000000000004</v>
      </c>
      <c r="H141" s="1064"/>
      <c r="I141" s="1061"/>
      <c r="J141" s="1061"/>
      <c r="K141" s="1061"/>
      <c r="L141" s="1061"/>
      <c r="M141" s="11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</row>
    <row r="142" spans="1:25" s="107" customFormat="1" ht="34.5" customHeight="1">
      <c r="A142" s="312" t="s">
        <v>50</v>
      </c>
      <c r="B142" s="266" t="s">
        <v>898</v>
      </c>
      <c r="C142" s="1065">
        <f>CEILING((C141+30*$Z$1),0.1)</f>
        <v>77.80000000000001</v>
      </c>
      <c r="D142" s="1066"/>
      <c r="E142" s="1065">
        <f>CEILING((E141+14*$Z$1),0.1)</f>
        <v>57.800000000000004</v>
      </c>
      <c r="F142" s="1066"/>
      <c r="G142" s="1065">
        <f>CEILING((G141+14*$Z$1),0.1)</f>
        <v>57.800000000000004</v>
      </c>
      <c r="H142" s="1066"/>
      <c r="I142" s="1061"/>
      <c r="J142" s="1061"/>
      <c r="K142" s="1061"/>
      <c r="L142" s="1061"/>
      <c r="M142" s="11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</row>
    <row r="143" spans="1:25" s="107" customFormat="1" ht="34.5" customHeight="1">
      <c r="A143" s="313" t="s">
        <v>867</v>
      </c>
      <c r="B143" s="241" t="s">
        <v>599</v>
      </c>
      <c r="C143" s="1065">
        <f>CEILING(41.4*$Z$1,0.1)</f>
        <v>51.800000000000004</v>
      </c>
      <c r="D143" s="1066"/>
      <c r="E143" s="1065">
        <f>CEILING(41.4*$Z$1,0.1)</f>
        <v>51.800000000000004</v>
      </c>
      <c r="F143" s="1066"/>
      <c r="G143" s="1065">
        <f>CEILING(41.4*$Z$1,0.1)</f>
        <v>51.800000000000004</v>
      </c>
      <c r="H143" s="1066"/>
      <c r="I143" s="1061"/>
      <c r="J143" s="1061"/>
      <c r="K143" s="1061"/>
      <c r="L143" s="1061"/>
      <c r="M143" s="103"/>
      <c r="N143" s="111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</row>
    <row r="144" spans="1:25" s="316" customFormat="1" ht="34.5" customHeight="1">
      <c r="A144" s="133"/>
      <c r="B144" s="241" t="s">
        <v>600</v>
      </c>
      <c r="C144" s="1132">
        <f>CEILING((C143+35*$Z$1),0.1)</f>
        <v>95.60000000000001</v>
      </c>
      <c r="D144" s="1133"/>
      <c r="E144" s="1132">
        <f>CEILING((E143+16.1*$Z$1),0.1)</f>
        <v>72</v>
      </c>
      <c r="F144" s="1133"/>
      <c r="G144" s="1132">
        <f>CEILING((G143+16.1*$Z$1),0.1)</f>
        <v>72</v>
      </c>
      <c r="H144" s="1133"/>
      <c r="I144" s="1218"/>
      <c r="J144" s="1218"/>
      <c r="K144" s="1218"/>
      <c r="L144" s="1218"/>
      <c r="M144" s="314"/>
      <c r="N144" s="314"/>
      <c r="O144" s="315"/>
      <c r="P144" s="315"/>
      <c r="Q144" s="315"/>
      <c r="R144" s="315"/>
      <c r="S144" s="315"/>
      <c r="T144" s="315"/>
      <c r="U144" s="315"/>
      <c r="V144" s="315"/>
      <c r="W144" s="315"/>
      <c r="X144" s="315"/>
      <c r="Y144" s="315"/>
    </row>
    <row r="145" spans="1:23" s="107" customFormat="1" ht="34.5" customHeight="1">
      <c r="A145" s="227" t="s">
        <v>1051</v>
      </c>
      <c r="B145" s="241" t="s">
        <v>271</v>
      </c>
      <c r="C145" s="1065">
        <f>CEILING(46*$Z$1,0.1)</f>
        <v>57.5</v>
      </c>
      <c r="D145" s="1066"/>
      <c r="E145" s="1065">
        <f>CEILING(46*$Z$1,0.1)</f>
        <v>57.5</v>
      </c>
      <c r="F145" s="1066"/>
      <c r="G145" s="1065">
        <f>CEILING(46*$Z$1,0.1)</f>
        <v>57.5</v>
      </c>
      <c r="H145" s="1066"/>
      <c r="I145" s="1061"/>
      <c r="J145" s="1061"/>
      <c r="K145" s="1061"/>
      <c r="L145" s="1061"/>
      <c r="M145" s="11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</row>
    <row r="146" spans="1:23" s="107" customFormat="1" ht="34.5" customHeight="1" thickBot="1">
      <c r="A146" s="303" t="s">
        <v>1009</v>
      </c>
      <c r="B146" s="241" t="s">
        <v>270</v>
      </c>
      <c r="C146" s="1065">
        <f>CEILING((C145+45*$Z$1),0.1)</f>
        <v>113.80000000000001</v>
      </c>
      <c r="D146" s="1066"/>
      <c r="E146" s="1065">
        <f>CEILING((E145+21*$Z$1),0.1)</f>
        <v>83.80000000000001</v>
      </c>
      <c r="F146" s="1066"/>
      <c r="G146" s="1065">
        <f>CEILING((G145+21*$Z$1),0.1)</f>
        <v>83.80000000000001</v>
      </c>
      <c r="H146" s="1066"/>
      <c r="I146" s="1061"/>
      <c r="J146" s="1061"/>
      <c r="K146" s="1061"/>
      <c r="L146" s="1061"/>
      <c r="M146" s="11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</row>
    <row r="147" spans="1:61" s="155" customFormat="1" ht="34.5" customHeight="1" thickTop="1">
      <c r="A147" s="1134" t="s">
        <v>633</v>
      </c>
      <c r="B147" s="1134"/>
      <c r="C147" s="1134"/>
      <c r="D147" s="1134"/>
      <c r="E147" s="1134"/>
      <c r="F147" s="1134"/>
      <c r="G147" s="1134"/>
      <c r="H147" s="1134"/>
      <c r="I147" s="1239"/>
      <c r="J147" s="1239"/>
      <c r="K147" s="113"/>
      <c r="L147" s="113"/>
      <c r="M147" s="153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  <c r="BI147" s="154"/>
    </row>
    <row r="148" spans="1:14" s="158" customFormat="1" ht="34.5" customHeight="1" thickBot="1">
      <c r="A148" s="164"/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24"/>
      <c r="N148" s="124"/>
    </row>
    <row r="149" spans="1:42" s="214" customFormat="1" ht="52.5" customHeight="1" thickTop="1">
      <c r="A149" s="637" t="s">
        <v>34</v>
      </c>
      <c r="B149" s="638" t="s">
        <v>637</v>
      </c>
      <c r="C149" s="209" t="s">
        <v>986</v>
      </c>
      <c r="D149" s="210"/>
      <c r="E149" s="211" t="s">
        <v>922</v>
      </c>
      <c r="F149" s="212"/>
      <c r="G149" s="211" t="s">
        <v>923</v>
      </c>
      <c r="H149" s="212"/>
      <c r="I149" s="953"/>
      <c r="J149" s="954"/>
      <c r="K149" s="953"/>
      <c r="L149" s="953"/>
      <c r="M149" s="174"/>
      <c r="N149" s="174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13"/>
      <c r="AK149" s="213"/>
      <c r="AL149" s="213"/>
      <c r="AM149" s="213"/>
      <c r="AN149" s="213"/>
      <c r="AO149" s="213"/>
      <c r="AP149" s="213"/>
    </row>
    <row r="150" spans="1:67" s="107" customFormat="1" ht="34.5" customHeight="1">
      <c r="A150" s="229" t="s">
        <v>426</v>
      </c>
      <c r="B150" s="266" t="s">
        <v>42</v>
      </c>
      <c r="C150" s="1057">
        <f>CEILING(115*$Z$1,0.1)</f>
        <v>143.8</v>
      </c>
      <c r="D150" s="1058"/>
      <c r="E150" s="1057">
        <f>CEILING(115*$Z$1,0.1)</f>
        <v>143.8</v>
      </c>
      <c r="F150" s="1058"/>
      <c r="G150" s="1057">
        <f>CEILING(115*$Z$1,0.1)</f>
        <v>143.8</v>
      </c>
      <c r="H150" s="1058"/>
      <c r="I150" s="1061"/>
      <c r="J150" s="1061"/>
      <c r="K150" s="1061"/>
      <c r="L150" s="1061"/>
      <c r="M150" s="1061"/>
      <c r="N150" s="1061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58"/>
      <c r="BL150" s="158"/>
      <c r="BM150" s="158"/>
      <c r="BN150" s="158"/>
      <c r="BO150" s="158"/>
    </row>
    <row r="151" spans="1:67" s="107" customFormat="1" ht="34.5" customHeight="1">
      <c r="A151" s="317" t="s">
        <v>36</v>
      </c>
      <c r="B151" s="241" t="s">
        <v>43</v>
      </c>
      <c r="C151" s="1057">
        <f>CEILING((C150+57.5*$Z$1),0.1)</f>
        <v>215.70000000000002</v>
      </c>
      <c r="D151" s="1058"/>
      <c r="E151" s="1057">
        <f>CEILING((E150+57.5*$Z$1),0.1)</f>
        <v>215.70000000000002</v>
      </c>
      <c r="F151" s="1058"/>
      <c r="G151" s="1057">
        <f>CEILING((G150+57.5*$Z$1),0.1)</f>
        <v>215.70000000000002</v>
      </c>
      <c r="H151" s="1058"/>
      <c r="I151" s="1061"/>
      <c r="J151" s="1061"/>
      <c r="K151" s="1061"/>
      <c r="L151" s="1061"/>
      <c r="M151" s="1061"/>
      <c r="N151" s="1061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  <c r="BN151" s="158"/>
      <c r="BO151" s="158"/>
    </row>
    <row r="152" spans="1:67" s="107" customFormat="1" ht="34.5" customHeight="1">
      <c r="A152" s="204"/>
      <c r="B152" s="241" t="s">
        <v>38</v>
      </c>
      <c r="C152" s="1057">
        <f>CEILING((C150*0.75),0.1)</f>
        <v>107.9</v>
      </c>
      <c r="D152" s="1058"/>
      <c r="E152" s="1057">
        <f>CEILING((E150*0.75),0.1)</f>
        <v>107.9</v>
      </c>
      <c r="F152" s="1058"/>
      <c r="G152" s="1057">
        <f>CEILING((G150*0.75),0.1)</f>
        <v>107.9</v>
      </c>
      <c r="H152" s="1058"/>
      <c r="I152" s="1061"/>
      <c r="J152" s="1061"/>
      <c r="K152" s="1061"/>
      <c r="L152" s="1061"/>
      <c r="M152" s="1061"/>
      <c r="N152" s="1061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  <c r="BN152" s="158"/>
      <c r="BO152" s="158"/>
    </row>
    <row r="153" spans="1:67" s="107" customFormat="1" ht="34.5" customHeight="1">
      <c r="A153" s="318"/>
      <c r="B153" s="241" t="s">
        <v>601</v>
      </c>
      <c r="C153" s="1057">
        <f>CEILING((C150*0.5),0.1)</f>
        <v>71.9</v>
      </c>
      <c r="D153" s="1058"/>
      <c r="E153" s="1057">
        <f>CEILING((E150*0.5),0.1)</f>
        <v>71.9</v>
      </c>
      <c r="F153" s="1058"/>
      <c r="G153" s="1057">
        <f>CEILING((G150*0.5),0.1)</f>
        <v>71.9</v>
      </c>
      <c r="H153" s="1058"/>
      <c r="I153" s="1061"/>
      <c r="J153" s="1061"/>
      <c r="K153" s="1061"/>
      <c r="L153" s="1061"/>
      <c r="M153" s="1061"/>
      <c r="N153" s="1061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58"/>
      <c r="BL153" s="158"/>
      <c r="BM153" s="158"/>
      <c r="BN153" s="158"/>
      <c r="BO153" s="158"/>
    </row>
    <row r="154" spans="1:67" s="107" customFormat="1" ht="34.5" customHeight="1">
      <c r="A154" s="355"/>
      <c r="B154" s="241" t="s">
        <v>35</v>
      </c>
      <c r="C154" s="1057">
        <f>CEILING(132*$Z$1,0.1)</f>
        <v>165</v>
      </c>
      <c r="D154" s="1058"/>
      <c r="E154" s="1057">
        <f>CEILING(132*$Z$1,0.1)</f>
        <v>165</v>
      </c>
      <c r="F154" s="1058"/>
      <c r="G154" s="1057">
        <f>CEILING(132*$Z$1,0.1)</f>
        <v>165</v>
      </c>
      <c r="H154" s="1058"/>
      <c r="I154" s="1061"/>
      <c r="J154" s="1061"/>
      <c r="K154" s="1061"/>
      <c r="L154" s="1061"/>
      <c r="M154" s="1061"/>
      <c r="N154" s="1061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8"/>
      <c r="BL154" s="158"/>
      <c r="BM154" s="158"/>
      <c r="BN154" s="158"/>
      <c r="BO154" s="158"/>
    </row>
    <row r="155" spans="1:67" s="107" customFormat="1" ht="34.5" customHeight="1">
      <c r="A155" s="319"/>
      <c r="B155" s="241" t="s">
        <v>37</v>
      </c>
      <c r="C155" s="1057">
        <f>CEILING((C154+66*$Z$1),0.1)</f>
        <v>247.5</v>
      </c>
      <c r="D155" s="1058"/>
      <c r="E155" s="1057">
        <f>CEILING((E154+66*$Z$1),0.1)</f>
        <v>247.5</v>
      </c>
      <c r="F155" s="1058"/>
      <c r="G155" s="1057">
        <f>CEILING((G154+66*$Z$1),0.1)</f>
        <v>247.5</v>
      </c>
      <c r="H155" s="1058"/>
      <c r="I155" s="1061"/>
      <c r="J155" s="1061"/>
      <c r="K155" s="1061"/>
      <c r="L155" s="1061"/>
      <c r="M155" s="1061"/>
      <c r="N155" s="1061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58"/>
      <c r="BL155" s="158"/>
      <c r="BM155" s="158"/>
      <c r="BN155" s="158"/>
      <c r="BO155" s="158"/>
    </row>
    <row r="156" spans="1:67" s="323" customFormat="1" ht="34.5" customHeight="1">
      <c r="A156" s="320"/>
      <c r="B156" s="321" t="s">
        <v>353</v>
      </c>
      <c r="C156" s="1057">
        <f>CEILING(150*$Z$1,0.1)</f>
        <v>187.5</v>
      </c>
      <c r="D156" s="1058"/>
      <c r="E156" s="1057">
        <f>CEILING(150*$Z$1,0.1)</f>
        <v>187.5</v>
      </c>
      <c r="F156" s="1058"/>
      <c r="G156" s="1057">
        <f>CEILING(150*$Z$1,0.1)</f>
        <v>187.5</v>
      </c>
      <c r="H156" s="1058"/>
      <c r="I156" s="1061"/>
      <c r="J156" s="1061"/>
      <c r="K156" s="1061"/>
      <c r="L156" s="1061"/>
      <c r="M156" s="1061"/>
      <c r="N156" s="1061"/>
      <c r="O156" s="322"/>
      <c r="P156" s="322"/>
      <c r="Q156" s="322"/>
      <c r="R156" s="322"/>
      <c r="S156" s="322"/>
      <c r="T156" s="322"/>
      <c r="U156" s="322"/>
      <c r="V156" s="322"/>
      <c r="W156" s="322"/>
      <c r="X156" s="322"/>
      <c r="Y156" s="322"/>
      <c r="Z156" s="322"/>
      <c r="AA156" s="322"/>
      <c r="AB156" s="322"/>
      <c r="AC156" s="322"/>
      <c r="AD156" s="322"/>
      <c r="AE156" s="322"/>
      <c r="AF156" s="322"/>
      <c r="AG156" s="322"/>
      <c r="AH156" s="322"/>
      <c r="AI156" s="322"/>
      <c r="AJ156" s="322"/>
      <c r="AK156" s="322"/>
      <c r="AL156" s="322"/>
      <c r="AM156" s="322"/>
      <c r="AN156" s="322"/>
      <c r="AO156" s="322"/>
      <c r="AP156" s="322"/>
      <c r="AQ156" s="322"/>
      <c r="AR156" s="322"/>
      <c r="AS156" s="322"/>
      <c r="AT156" s="322"/>
      <c r="AU156" s="322"/>
      <c r="AV156" s="322"/>
      <c r="AW156" s="322"/>
      <c r="AX156" s="322"/>
      <c r="AY156" s="322"/>
      <c r="AZ156" s="322"/>
      <c r="BA156" s="322"/>
      <c r="BB156" s="322"/>
      <c r="BC156" s="322"/>
      <c r="BD156" s="322"/>
      <c r="BE156" s="322"/>
      <c r="BF156" s="322"/>
      <c r="BG156" s="322"/>
      <c r="BH156" s="322"/>
      <c r="BI156" s="322"/>
      <c r="BJ156" s="322"/>
      <c r="BK156" s="322"/>
      <c r="BL156" s="322"/>
      <c r="BM156" s="322"/>
      <c r="BN156" s="322"/>
      <c r="BO156" s="322"/>
    </row>
    <row r="157" spans="1:67" s="107" customFormat="1" ht="34.5" customHeight="1">
      <c r="A157" s="324"/>
      <c r="B157" s="325" t="s">
        <v>354</v>
      </c>
      <c r="C157" s="1059">
        <f>CEILING((C156+75*$Z$1),0.1)</f>
        <v>281.3</v>
      </c>
      <c r="D157" s="1060"/>
      <c r="E157" s="1059">
        <f>CEILING((E156+75*$Z$1),0.1)</f>
        <v>281.3</v>
      </c>
      <c r="F157" s="1060"/>
      <c r="G157" s="1059">
        <f>CEILING((G156+75*$Z$1),0.1)</f>
        <v>281.3</v>
      </c>
      <c r="H157" s="1060"/>
      <c r="I157" s="1061"/>
      <c r="J157" s="1061"/>
      <c r="K157" s="1061"/>
      <c r="L157" s="1061"/>
      <c r="M157" s="1061"/>
      <c r="N157" s="1061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  <c r="BH157" s="158"/>
      <c r="BI157" s="158"/>
      <c r="BJ157" s="158"/>
      <c r="BK157" s="158"/>
      <c r="BL157" s="158"/>
      <c r="BM157" s="158"/>
      <c r="BN157" s="158"/>
      <c r="BO157" s="158"/>
    </row>
    <row r="158" spans="1:67" s="107" customFormat="1" ht="34.5" customHeight="1">
      <c r="A158" s="326"/>
      <c r="B158" s="238" t="s">
        <v>428</v>
      </c>
      <c r="C158" s="1073">
        <f>CEILING(163*$Z$1,0.1)</f>
        <v>203.8</v>
      </c>
      <c r="D158" s="1074"/>
      <c r="E158" s="1073">
        <f>CEILING(163*$Z$1,0.1)</f>
        <v>203.8</v>
      </c>
      <c r="F158" s="1074"/>
      <c r="G158" s="1073">
        <f>CEILING(163*$Z$1,0.1)</f>
        <v>203.8</v>
      </c>
      <c r="H158" s="1074"/>
      <c r="I158" s="1061"/>
      <c r="J158" s="1061"/>
      <c r="K158" s="1061"/>
      <c r="L158" s="1061"/>
      <c r="M158" s="1061"/>
      <c r="N158" s="1061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58"/>
      <c r="BL158" s="158"/>
      <c r="BM158" s="158"/>
      <c r="BN158" s="158"/>
      <c r="BO158" s="158"/>
    </row>
    <row r="159" spans="1:67" s="107" customFormat="1" ht="34.5" customHeight="1">
      <c r="A159" s="124"/>
      <c r="B159" s="238" t="s">
        <v>430</v>
      </c>
      <c r="C159" s="1057">
        <f>CEILING((C158*0.5),0.1)</f>
        <v>101.9</v>
      </c>
      <c r="D159" s="1058"/>
      <c r="E159" s="1057">
        <f>CEILING((E158*0.5),0.1)</f>
        <v>101.9</v>
      </c>
      <c r="F159" s="1058"/>
      <c r="G159" s="1057">
        <f>CEILING((G158*0.5),0.1)</f>
        <v>101.9</v>
      </c>
      <c r="H159" s="1058"/>
      <c r="I159" s="1061"/>
      <c r="J159" s="1061"/>
      <c r="K159" s="1061"/>
      <c r="L159" s="1061"/>
      <c r="M159" s="1061"/>
      <c r="N159" s="1061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  <c r="BI159" s="158"/>
      <c r="BJ159" s="158"/>
      <c r="BK159" s="158"/>
      <c r="BL159" s="158"/>
      <c r="BM159" s="158"/>
      <c r="BN159" s="158"/>
      <c r="BO159" s="158"/>
    </row>
    <row r="160" spans="1:67" s="107" customFormat="1" ht="34.5" customHeight="1" thickBot="1">
      <c r="A160" s="230" t="s">
        <v>321</v>
      </c>
      <c r="B160" s="297"/>
      <c r="C160" s="1076"/>
      <c r="D160" s="1077"/>
      <c r="E160" s="1081"/>
      <c r="F160" s="1077"/>
      <c r="G160" s="1076"/>
      <c r="H160" s="1077"/>
      <c r="I160" s="1061"/>
      <c r="J160" s="1061"/>
      <c r="K160" s="327"/>
      <c r="L160" s="327"/>
      <c r="M160" s="327"/>
      <c r="N160" s="327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8"/>
      <c r="BJ160" s="158"/>
      <c r="BK160" s="158"/>
      <c r="BL160" s="158"/>
      <c r="BM160" s="158"/>
      <c r="BN160" s="158"/>
      <c r="BO160" s="158"/>
    </row>
    <row r="161" spans="1:25" s="107" customFormat="1" ht="34.5" customHeight="1" thickTop="1">
      <c r="A161" s="1130" t="s">
        <v>429</v>
      </c>
      <c r="B161" s="1130"/>
      <c r="C161" s="1130"/>
      <c r="D161" s="1130"/>
      <c r="E161" s="1130"/>
      <c r="F161" s="1130"/>
      <c r="G161" s="1130"/>
      <c r="H161" s="1130"/>
      <c r="I161" s="1109"/>
      <c r="J161" s="1109"/>
      <c r="K161" s="1131"/>
      <c r="L161" s="1131"/>
      <c r="M161" s="11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</row>
    <row r="162" spans="1:25" s="140" customFormat="1" ht="34.5" customHeight="1">
      <c r="A162" s="161" t="s">
        <v>453</v>
      </c>
      <c r="B162" s="162"/>
      <c r="C162" s="162"/>
      <c r="D162" s="162"/>
      <c r="E162" s="162"/>
      <c r="F162" s="162"/>
      <c r="G162" s="162"/>
      <c r="H162" s="162"/>
      <c r="I162" s="162"/>
      <c r="J162" s="162"/>
      <c r="K162" s="157"/>
      <c r="L162" s="157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</row>
    <row r="163" spans="1:25" s="107" customFormat="1" ht="34.5" customHeight="1" thickBot="1">
      <c r="A163" s="328"/>
      <c r="B163" s="329"/>
      <c r="C163" s="329"/>
      <c r="D163" s="329"/>
      <c r="E163" s="329"/>
      <c r="F163" s="329"/>
      <c r="G163" s="329"/>
      <c r="H163" s="329"/>
      <c r="I163" s="162"/>
      <c r="J163" s="162"/>
      <c r="K163" s="157"/>
      <c r="L163" s="157"/>
      <c r="M163" s="11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</row>
    <row r="164" spans="1:42" s="214" customFormat="1" ht="34.5" customHeight="1" thickTop="1">
      <c r="A164" s="207" t="s">
        <v>34</v>
      </c>
      <c r="B164" s="208" t="s">
        <v>637</v>
      </c>
      <c r="C164" s="209" t="s">
        <v>921</v>
      </c>
      <c r="D164" s="210"/>
      <c r="E164" s="211" t="s">
        <v>922</v>
      </c>
      <c r="F164" s="212"/>
      <c r="G164" s="211" t="s">
        <v>923</v>
      </c>
      <c r="H164" s="212"/>
      <c r="I164" s="1070"/>
      <c r="J164" s="1071"/>
      <c r="K164" s="1070"/>
      <c r="L164" s="1070"/>
      <c r="M164" s="174"/>
      <c r="N164" s="174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213"/>
      <c r="AE164" s="213"/>
      <c r="AF164" s="213"/>
      <c r="AG164" s="213"/>
      <c r="AH164" s="213"/>
      <c r="AI164" s="213"/>
      <c r="AJ164" s="213"/>
      <c r="AK164" s="213"/>
      <c r="AL164" s="213"/>
      <c r="AM164" s="213"/>
      <c r="AN164" s="213"/>
      <c r="AO164" s="213"/>
      <c r="AP164" s="213"/>
    </row>
    <row r="165" spans="1:25" s="107" customFormat="1" ht="34.5" customHeight="1">
      <c r="A165" s="215" t="s">
        <v>427</v>
      </c>
      <c r="B165" s="330" t="s">
        <v>42</v>
      </c>
      <c r="C165" s="1063">
        <f>CEILING(60*$Z$1,0.1)</f>
        <v>75</v>
      </c>
      <c r="D165" s="1064"/>
      <c r="E165" s="1063">
        <f>CEILING(60*$Z$1,0.1)</f>
        <v>75</v>
      </c>
      <c r="F165" s="1064"/>
      <c r="G165" s="1063">
        <f>CEILING(51*$Z$1,0.1)</f>
        <v>63.800000000000004</v>
      </c>
      <c r="H165" s="1064"/>
      <c r="I165" s="1061"/>
      <c r="J165" s="1061"/>
      <c r="K165" s="1061"/>
      <c r="L165" s="1061"/>
      <c r="M165" s="11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</row>
    <row r="166" spans="1:25" s="107" customFormat="1" ht="34.5" customHeight="1">
      <c r="A166" s="217" t="s">
        <v>36</v>
      </c>
      <c r="B166" s="238" t="s">
        <v>43</v>
      </c>
      <c r="C166" s="1065">
        <f>CEILING((C165+24*$Z$1),0.1)</f>
        <v>105</v>
      </c>
      <c r="D166" s="1066"/>
      <c r="E166" s="1065">
        <f>CEILING((E165+24*$Z$1),0.1)</f>
        <v>105</v>
      </c>
      <c r="F166" s="1066"/>
      <c r="G166" s="1065">
        <f>CEILING((G165+20.4*$Z$1),0.1)</f>
        <v>89.30000000000001</v>
      </c>
      <c r="H166" s="1066"/>
      <c r="I166" s="1061"/>
      <c r="J166" s="1061"/>
      <c r="K166" s="1061"/>
      <c r="L166" s="1061"/>
      <c r="M166" s="11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</row>
    <row r="167" spans="1:25" s="107" customFormat="1" ht="34.5" customHeight="1">
      <c r="A167" s="251"/>
      <c r="B167" s="238" t="s">
        <v>601</v>
      </c>
      <c r="C167" s="1065">
        <f>CEILING((C165*0),0.1)</f>
        <v>0</v>
      </c>
      <c r="D167" s="1066"/>
      <c r="E167" s="1065">
        <f>CEILING((E165*0.5),0.1)</f>
        <v>37.5</v>
      </c>
      <c r="F167" s="1066"/>
      <c r="G167" s="1065">
        <f>CEILING((G165*0),0.1)</f>
        <v>0</v>
      </c>
      <c r="H167" s="1066"/>
      <c r="I167" s="1061"/>
      <c r="J167" s="1061"/>
      <c r="K167" s="1061"/>
      <c r="L167" s="1061"/>
      <c r="M167" s="11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</row>
    <row r="168" spans="1:25" s="107" customFormat="1" ht="34.5" customHeight="1">
      <c r="A168" s="318" t="s">
        <v>1064</v>
      </c>
      <c r="B168" s="330" t="s">
        <v>847</v>
      </c>
      <c r="C168" s="1065">
        <f>CEILING(66*$Z$1,0.1)</f>
        <v>82.5</v>
      </c>
      <c r="D168" s="1066"/>
      <c r="E168" s="1065">
        <f>CEILING(66*$Z$1,0.1)</f>
        <v>82.5</v>
      </c>
      <c r="F168" s="1066"/>
      <c r="G168" s="1065">
        <f>CEILING(56.4*$Z$1,0.1)</f>
        <v>70.5</v>
      </c>
      <c r="H168" s="1066"/>
      <c r="I168" s="1061"/>
      <c r="J168" s="1061"/>
      <c r="K168" s="1061"/>
      <c r="L168" s="1061"/>
      <c r="M168" s="11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</row>
    <row r="169" spans="1:25" s="107" customFormat="1" ht="34.5" customHeight="1">
      <c r="A169" s="355" t="s">
        <v>1058</v>
      </c>
      <c r="B169" s="330" t="s">
        <v>848</v>
      </c>
      <c r="C169" s="1065">
        <f>CEILING((C168+26.3*$Z$1),0.1)</f>
        <v>115.4</v>
      </c>
      <c r="D169" s="1066"/>
      <c r="E169" s="1065">
        <f>CEILING((E168+26.3*$Z$1),0.1)</f>
        <v>115.4</v>
      </c>
      <c r="F169" s="1066"/>
      <c r="G169" s="1065">
        <f>CEILING((G168+23*$Z$1),0.1)</f>
        <v>99.30000000000001</v>
      </c>
      <c r="H169" s="1066"/>
      <c r="I169" s="1061"/>
      <c r="J169" s="1061"/>
      <c r="K169" s="1061"/>
      <c r="L169" s="1061"/>
      <c r="M169" s="11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</row>
    <row r="170" spans="1:25" s="107" customFormat="1" ht="34.5" customHeight="1">
      <c r="A170" s="318"/>
      <c r="B170" s="238" t="s">
        <v>431</v>
      </c>
      <c r="C170" s="1065">
        <f>CEILING(69*$Z$1,0.1)</f>
        <v>86.30000000000001</v>
      </c>
      <c r="D170" s="1066"/>
      <c r="E170" s="1065">
        <f>CEILING(69*$Z$1,0.1)</f>
        <v>86.30000000000001</v>
      </c>
      <c r="F170" s="1066"/>
      <c r="G170" s="1065">
        <f>CEILING(59*$Z$1,0.1)</f>
        <v>73.8</v>
      </c>
      <c r="H170" s="1066"/>
      <c r="I170" s="1061"/>
      <c r="J170" s="1061"/>
      <c r="K170" s="1061"/>
      <c r="L170" s="1061"/>
      <c r="M170" s="11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</row>
    <row r="171" spans="1:25" s="107" customFormat="1" ht="34.5" customHeight="1">
      <c r="A171" s="318"/>
      <c r="B171" s="331" t="s">
        <v>561</v>
      </c>
      <c r="C171" s="1078">
        <f>CEILING((C170+27.4*$Z$1),0.1)</f>
        <v>120.60000000000001</v>
      </c>
      <c r="D171" s="1079"/>
      <c r="E171" s="1078">
        <f>CEILING((E170+27.4*$Z$1),0.1)</f>
        <v>120.60000000000001</v>
      </c>
      <c r="F171" s="1079"/>
      <c r="G171" s="1078">
        <f>CEILING((G170+24*$Z$1),0.1)</f>
        <v>103.80000000000001</v>
      </c>
      <c r="H171" s="1079"/>
      <c r="I171" s="1061"/>
      <c r="J171" s="1061"/>
      <c r="K171" s="1061"/>
      <c r="L171" s="1061"/>
      <c r="M171" s="11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</row>
    <row r="172" spans="1:25" s="107" customFormat="1" ht="34.5" customHeight="1">
      <c r="A172" s="217"/>
      <c r="B172" s="238" t="s">
        <v>339</v>
      </c>
      <c r="C172" s="1063">
        <f>CEILING(71.4*$Z$1,0.1)</f>
        <v>89.30000000000001</v>
      </c>
      <c r="D172" s="1064"/>
      <c r="E172" s="1063">
        <f>CEILING(71.4*$Z$1,0.1)</f>
        <v>89.30000000000001</v>
      </c>
      <c r="F172" s="1064"/>
      <c r="G172" s="1063">
        <f>CEILING(71.4*$Z$1,0.1)</f>
        <v>89.30000000000001</v>
      </c>
      <c r="H172" s="1064"/>
      <c r="I172" s="1061"/>
      <c r="J172" s="1061"/>
      <c r="K172" s="1061"/>
      <c r="L172" s="1061"/>
      <c r="M172" s="11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</row>
    <row r="173" spans="1:25" s="107" customFormat="1" ht="34.5" customHeight="1">
      <c r="A173" s="217"/>
      <c r="B173" s="238" t="s">
        <v>340</v>
      </c>
      <c r="C173" s="1065">
        <f>CEILING((C172+29*$Z$1),0.1)</f>
        <v>125.60000000000001</v>
      </c>
      <c r="D173" s="1066"/>
      <c r="E173" s="1065">
        <f>CEILING((E172+29*$Z$1),0.1)</f>
        <v>125.60000000000001</v>
      </c>
      <c r="F173" s="1066"/>
      <c r="G173" s="1065">
        <f>CEILING((G172+29*$Z$1),0.1)</f>
        <v>125.60000000000001</v>
      </c>
      <c r="H173" s="1066"/>
      <c r="I173" s="1061"/>
      <c r="J173" s="1061"/>
      <c r="K173" s="1061"/>
      <c r="L173" s="1061"/>
      <c r="M173" s="11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</row>
    <row r="174" spans="1:25" s="107" customFormat="1" ht="34.5" customHeight="1">
      <c r="A174" s="320"/>
      <c r="B174" s="238" t="s">
        <v>341</v>
      </c>
      <c r="C174" s="1065">
        <f>CEILING(74.2*$Z$1,0.1)</f>
        <v>92.80000000000001</v>
      </c>
      <c r="D174" s="1066"/>
      <c r="E174" s="1065">
        <f>CEILING(74.2*$Z$1,0.1)</f>
        <v>92.80000000000001</v>
      </c>
      <c r="F174" s="1066"/>
      <c r="G174" s="1065">
        <f>CEILING(74.2*$Z$1,0.1)</f>
        <v>92.80000000000001</v>
      </c>
      <c r="H174" s="1066"/>
      <c r="I174" s="1061"/>
      <c r="J174" s="1061"/>
      <c r="K174" s="1061"/>
      <c r="L174" s="1061"/>
      <c r="M174" s="11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</row>
    <row r="175" spans="1:25" s="107" customFormat="1" ht="34.5" customHeight="1">
      <c r="A175" s="332"/>
      <c r="B175" s="124" t="s">
        <v>342</v>
      </c>
      <c r="C175" s="1065">
        <f>CEILING((C174+30*$Z$1),0.1)</f>
        <v>130.3</v>
      </c>
      <c r="D175" s="1066"/>
      <c r="E175" s="1065">
        <f>CEILING((E174+30*$Z$1),0.1)</f>
        <v>130.3</v>
      </c>
      <c r="F175" s="1066"/>
      <c r="G175" s="1065">
        <f>CEILING((G174+30*$Z$1),0.1)</f>
        <v>130.3</v>
      </c>
      <c r="H175" s="1066"/>
      <c r="I175" s="1061"/>
      <c r="J175" s="1061"/>
      <c r="K175" s="1061"/>
      <c r="L175" s="1061"/>
      <c r="M175" s="11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</row>
    <row r="176" spans="1:25" s="107" customFormat="1" ht="34.5" customHeight="1">
      <c r="A176" s="326"/>
      <c r="B176" s="124" t="s">
        <v>343</v>
      </c>
      <c r="C176" s="1065">
        <f>CEILING(81*$Z$1,0.1)</f>
        <v>101.30000000000001</v>
      </c>
      <c r="D176" s="1066"/>
      <c r="E176" s="1065">
        <f>CEILING(81*$Z$1,0.1)</f>
        <v>101.30000000000001</v>
      </c>
      <c r="F176" s="1066"/>
      <c r="G176" s="1065">
        <f>CEILING(81*$Z$1,0.1)</f>
        <v>101.30000000000001</v>
      </c>
      <c r="H176" s="1066"/>
      <c r="I176" s="1061"/>
      <c r="J176" s="1061"/>
      <c r="K176" s="1061"/>
      <c r="L176" s="1061"/>
      <c r="M176" s="11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</row>
    <row r="177" spans="1:25" s="107" customFormat="1" ht="34.5" customHeight="1">
      <c r="A177" s="333"/>
      <c r="B177" s="334" t="s">
        <v>344</v>
      </c>
      <c r="C177" s="1078">
        <f>CEILING((C176+32.2*$Z$1),0.1)</f>
        <v>141.6</v>
      </c>
      <c r="D177" s="1079"/>
      <c r="E177" s="1078">
        <f>CEILING((E176+32.2*$Z$1),0.1)</f>
        <v>141.6</v>
      </c>
      <c r="F177" s="1079"/>
      <c r="G177" s="1078">
        <f>CEILING((G176+32.2*$Z$1),0.1)</f>
        <v>141.6</v>
      </c>
      <c r="H177" s="1079"/>
      <c r="I177" s="1061"/>
      <c r="J177" s="1061"/>
      <c r="K177" s="1061"/>
      <c r="L177" s="1061"/>
      <c r="M177" s="11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</row>
    <row r="178" spans="1:25" s="107" customFormat="1" ht="34.5" customHeight="1">
      <c r="A178" s="217"/>
      <c r="B178" s="238" t="s">
        <v>562</v>
      </c>
      <c r="C178" s="1063">
        <f>CEILING(86.1*$Z$1,0.1)</f>
        <v>107.7</v>
      </c>
      <c r="D178" s="1064"/>
      <c r="E178" s="1063">
        <f>CEILING(86.1*$Z$1,0.1)</f>
        <v>107.7</v>
      </c>
      <c r="F178" s="1064"/>
      <c r="G178" s="1063">
        <f>CEILING(86.1*$Z$1,0.1)</f>
        <v>107.7</v>
      </c>
      <c r="H178" s="1064"/>
      <c r="I178" s="1061"/>
      <c r="J178" s="1061"/>
      <c r="K178" s="1061"/>
      <c r="L178" s="1061"/>
      <c r="M178" s="11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</row>
    <row r="179" spans="1:25" s="107" customFormat="1" ht="34.5" customHeight="1">
      <c r="A179" s="217"/>
      <c r="B179" s="238" t="s">
        <v>432</v>
      </c>
      <c r="C179" s="1065">
        <f>CEILING((C178*0.5),0.1)</f>
        <v>53.900000000000006</v>
      </c>
      <c r="D179" s="1066"/>
      <c r="E179" s="1065">
        <f>CEILING((E178*0.5),0.1)</f>
        <v>53.900000000000006</v>
      </c>
      <c r="F179" s="1066"/>
      <c r="G179" s="1065">
        <f>CEILING((G178*0.5),0.1)</f>
        <v>53.900000000000006</v>
      </c>
      <c r="H179" s="1066"/>
      <c r="I179" s="1061"/>
      <c r="J179" s="1061"/>
      <c r="K179" s="1061"/>
      <c r="L179" s="1061"/>
      <c r="M179" s="11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</row>
    <row r="180" spans="1:25" s="15" customFormat="1" ht="34.5" customHeight="1" thickBot="1">
      <c r="A180" s="340" t="s">
        <v>321</v>
      </c>
      <c r="B180" s="46"/>
      <c r="C180" s="1128"/>
      <c r="D180" s="1129"/>
      <c r="E180" s="1141"/>
      <c r="F180" s="1142"/>
      <c r="G180" s="1128"/>
      <c r="H180" s="1129"/>
      <c r="I180" s="1135"/>
      <c r="J180" s="1135"/>
      <c r="K180" s="1135"/>
      <c r="L180" s="1135"/>
      <c r="M180" s="41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41" s="107" customFormat="1" ht="34.5" customHeight="1" thickTop="1">
      <c r="A181" s="1130" t="s">
        <v>433</v>
      </c>
      <c r="B181" s="1130"/>
      <c r="C181" s="1130"/>
      <c r="D181" s="1130"/>
      <c r="E181" s="1130"/>
      <c r="F181" s="1130"/>
      <c r="G181" s="1130"/>
      <c r="H181" s="1130"/>
      <c r="I181" s="1109"/>
      <c r="J181" s="1109"/>
      <c r="K181" s="157"/>
      <c r="L181" s="157"/>
      <c r="M181" s="114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/>
    </row>
    <row r="182" spans="1:41" s="107" customFormat="1" ht="34.5" customHeight="1">
      <c r="A182" s="159" t="s">
        <v>602</v>
      </c>
      <c r="B182" s="149"/>
      <c r="C182" s="149"/>
      <c r="D182" s="149"/>
      <c r="E182" s="149"/>
      <c r="F182" s="149"/>
      <c r="G182" s="149"/>
      <c r="H182" s="149"/>
      <c r="I182" s="160"/>
      <c r="J182" s="160"/>
      <c r="K182" s="157"/>
      <c r="L182" s="157"/>
      <c r="M182" s="114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</row>
    <row r="183" spans="1:41" s="140" customFormat="1" ht="34.5" customHeight="1">
      <c r="A183" s="161" t="s">
        <v>453</v>
      </c>
      <c r="B183" s="162"/>
      <c r="C183" s="162"/>
      <c r="D183" s="162"/>
      <c r="E183" s="162"/>
      <c r="F183" s="162"/>
      <c r="G183" s="162"/>
      <c r="H183" s="162"/>
      <c r="I183" s="162"/>
      <c r="J183" s="162"/>
      <c r="K183" s="157"/>
      <c r="L183" s="157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14"/>
      <c r="AM183" s="114"/>
      <c r="AN183" s="114"/>
      <c r="AO183" s="114"/>
    </row>
    <row r="184" spans="1:41" s="15" customFormat="1" ht="34.5" customHeight="1" thickBot="1">
      <c r="A184" s="49"/>
      <c r="B184" s="50"/>
      <c r="C184" s="50"/>
      <c r="D184" s="50"/>
      <c r="E184" s="50"/>
      <c r="F184" s="50"/>
      <c r="G184" s="50"/>
      <c r="H184" s="50"/>
      <c r="I184" s="144"/>
      <c r="J184" s="144"/>
      <c r="K184" s="45"/>
      <c r="L184" s="45"/>
      <c r="M184" s="33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2" s="214" customFormat="1" ht="34.5" customHeight="1" thickTop="1">
      <c r="A185" s="207" t="s">
        <v>34</v>
      </c>
      <c r="B185" s="208" t="s">
        <v>637</v>
      </c>
      <c r="C185" s="209" t="s">
        <v>921</v>
      </c>
      <c r="D185" s="210"/>
      <c r="E185" s="211" t="s">
        <v>922</v>
      </c>
      <c r="F185" s="212"/>
      <c r="G185" s="211" t="s">
        <v>923</v>
      </c>
      <c r="H185" s="212"/>
      <c r="I185" s="1070"/>
      <c r="J185" s="1071"/>
      <c r="K185" s="1070"/>
      <c r="L185" s="1070"/>
      <c r="M185" s="174"/>
      <c r="N185" s="174"/>
      <c r="O185" s="213"/>
      <c r="P185" s="213"/>
      <c r="Q185" s="213"/>
      <c r="R185" s="213"/>
      <c r="S185" s="213"/>
      <c r="T185" s="213"/>
      <c r="U185" s="213"/>
      <c r="V185" s="213"/>
      <c r="W185" s="213"/>
      <c r="X185" s="213"/>
      <c r="Y185" s="213"/>
      <c r="Z185" s="213"/>
      <c r="AA185" s="213"/>
      <c r="AB185" s="213"/>
      <c r="AC185" s="213"/>
      <c r="AD185" s="213"/>
      <c r="AE185" s="213"/>
      <c r="AF185" s="213"/>
      <c r="AG185" s="213"/>
      <c r="AH185" s="213"/>
      <c r="AI185" s="213"/>
      <c r="AJ185" s="213"/>
      <c r="AK185" s="213"/>
      <c r="AL185" s="213"/>
      <c r="AM185" s="213"/>
      <c r="AN185" s="213"/>
      <c r="AO185" s="213"/>
      <c r="AP185" s="213"/>
    </row>
    <row r="186" spans="1:41" s="107" customFormat="1" ht="34.5" customHeight="1">
      <c r="A186" s="215" t="s">
        <v>63</v>
      </c>
      <c r="B186" s="270" t="s">
        <v>42</v>
      </c>
      <c r="C186" s="1063">
        <f>CEILING(56*$Z$1,0.1)</f>
        <v>70</v>
      </c>
      <c r="D186" s="1064"/>
      <c r="E186" s="1063">
        <f>CEILING(56*$Z$1,0.1)</f>
        <v>70</v>
      </c>
      <c r="F186" s="1064"/>
      <c r="G186" s="1063">
        <f>CEILING(40*$Z$1,0.1)</f>
        <v>50</v>
      </c>
      <c r="H186" s="1064"/>
      <c r="I186" s="1061"/>
      <c r="J186" s="1061"/>
      <c r="K186" s="1061"/>
      <c r="L186" s="1061"/>
      <c r="M186" s="148"/>
      <c r="N186" s="14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</row>
    <row r="187" spans="1:41" s="107" customFormat="1" ht="34.5" customHeight="1">
      <c r="A187" s="217" t="s">
        <v>36</v>
      </c>
      <c r="B187" s="241" t="s">
        <v>43</v>
      </c>
      <c r="C187" s="1065">
        <f>CEILING((C186+20*$Z$1),0.1)</f>
        <v>95</v>
      </c>
      <c r="D187" s="1066"/>
      <c r="E187" s="1065">
        <f>CEILING((E186+20*$Z$1),0.1)</f>
        <v>95</v>
      </c>
      <c r="F187" s="1066"/>
      <c r="G187" s="1065">
        <f>CEILING((G186+14*$Z$1),0.1)</f>
        <v>67.5</v>
      </c>
      <c r="H187" s="1066"/>
      <c r="I187" s="1061"/>
      <c r="J187" s="1061"/>
      <c r="K187" s="1061"/>
      <c r="L187" s="1061"/>
      <c r="M187" s="335"/>
      <c r="N187" s="335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</row>
    <row r="188" spans="1:41" s="107" customFormat="1" ht="34.5" customHeight="1">
      <c r="A188" s="318"/>
      <c r="B188" s="241" t="s">
        <v>38</v>
      </c>
      <c r="C188" s="1065">
        <f>CEILING((C186*0.85),0.1)</f>
        <v>59.5</v>
      </c>
      <c r="D188" s="1066"/>
      <c r="E188" s="1065">
        <f>CEILING((E186*0.85),0.1)</f>
        <v>59.5</v>
      </c>
      <c r="F188" s="1066"/>
      <c r="G188" s="1065">
        <f>CEILING((G186*0.85),0.1)</f>
        <v>42.5</v>
      </c>
      <c r="H188" s="1066"/>
      <c r="I188" s="1061"/>
      <c r="J188" s="1061"/>
      <c r="K188" s="1061"/>
      <c r="L188" s="1061"/>
      <c r="M188" s="335"/>
      <c r="N188" s="335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</row>
    <row r="189" spans="1:41" s="107" customFormat="1" ht="34.5" customHeight="1">
      <c r="A189" s="318" t="s">
        <v>1064</v>
      </c>
      <c r="B189" s="241" t="s">
        <v>601</v>
      </c>
      <c r="C189" s="1065">
        <f>CEILING((C186*0),0.1)</f>
        <v>0</v>
      </c>
      <c r="D189" s="1066"/>
      <c r="E189" s="1065">
        <f>CEILING((E186*0.5),0.1)</f>
        <v>35</v>
      </c>
      <c r="F189" s="1066"/>
      <c r="G189" s="1065">
        <f>CEILING((G186*0),0.1)</f>
        <v>0</v>
      </c>
      <c r="H189" s="1066"/>
      <c r="I189" s="1061"/>
      <c r="J189" s="1061"/>
      <c r="K189" s="1061"/>
      <c r="L189" s="1061"/>
      <c r="M189" s="335"/>
      <c r="N189" s="335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</row>
    <row r="190" spans="1:41" s="107" customFormat="1" ht="34.5" customHeight="1">
      <c r="A190" s="355" t="s">
        <v>1058</v>
      </c>
      <c r="B190" s="266" t="s">
        <v>44</v>
      </c>
      <c r="C190" s="1082">
        <f>CEILING(50.4*$Z$1,0.1)</f>
        <v>63</v>
      </c>
      <c r="D190" s="1083"/>
      <c r="E190" s="1082">
        <f>CEILING(50.4*$Z$1,0.1)</f>
        <v>63</v>
      </c>
      <c r="F190" s="1083"/>
      <c r="G190" s="1082">
        <f>CEILING(42*$Z$1,0.1)</f>
        <v>52.5</v>
      </c>
      <c r="H190" s="1083"/>
      <c r="I190" s="1084"/>
      <c r="J190" s="1084"/>
      <c r="K190" s="1084"/>
      <c r="L190" s="1084"/>
      <c r="M190" s="124"/>
      <c r="N190" s="124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</row>
    <row r="191" spans="1:41" s="107" customFormat="1" ht="34.5" customHeight="1">
      <c r="A191" s="318"/>
      <c r="B191" s="266" t="s">
        <v>45</v>
      </c>
      <c r="C191" s="1082">
        <f>CEILING((C190+18*$Z$1),0.1)</f>
        <v>85.5</v>
      </c>
      <c r="D191" s="1083"/>
      <c r="E191" s="1082">
        <f>CEILING((E190+18*$Z$1),0.1)</f>
        <v>85.5</v>
      </c>
      <c r="F191" s="1083"/>
      <c r="G191" s="1082">
        <f>CEILING((G190+15*$Z$1),0.1)</f>
        <v>71.3</v>
      </c>
      <c r="H191" s="1083"/>
      <c r="I191" s="1061"/>
      <c r="J191" s="1061"/>
      <c r="K191" s="1084"/>
      <c r="L191" s="1084"/>
      <c r="M191" s="1069"/>
      <c r="N191" s="1069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</row>
    <row r="192" spans="1:41" s="107" customFormat="1" ht="34.5" customHeight="1">
      <c r="A192" s="318"/>
      <c r="B192" s="259" t="s">
        <v>434</v>
      </c>
      <c r="C192" s="1065">
        <f>CEILING(82*$Z$1,0.1)</f>
        <v>102.5</v>
      </c>
      <c r="D192" s="1066"/>
      <c r="E192" s="1065">
        <f>CEILING(82*$Z$1,0.1)</f>
        <v>102.5</v>
      </c>
      <c r="F192" s="1066"/>
      <c r="G192" s="1065">
        <f>CEILING(58.5*$Z$1,0.1)</f>
        <v>73.2</v>
      </c>
      <c r="H192" s="1066"/>
      <c r="I192" s="1061"/>
      <c r="J192" s="1061"/>
      <c r="K192" s="1061"/>
      <c r="L192" s="1061"/>
      <c r="M192" s="336"/>
      <c r="N192" s="336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</row>
    <row r="193" spans="1:41" s="107" customFormat="1" ht="34.5" customHeight="1">
      <c r="A193" s="337"/>
      <c r="B193" s="259" t="s">
        <v>435</v>
      </c>
      <c r="C193" s="1065">
        <f>CEILING((C192*0.5),0.1)</f>
        <v>51.300000000000004</v>
      </c>
      <c r="D193" s="1066"/>
      <c r="E193" s="1065">
        <f>CEILING((E192*0.5),0.1)</f>
        <v>51.300000000000004</v>
      </c>
      <c r="F193" s="1066"/>
      <c r="G193" s="1065">
        <f>CEILING((G192*0.5),0.1)</f>
        <v>36.6</v>
      </c>
      <c r="H193" s="1066"/>
      <c r="I193" s="1061"/>
      <c r="J193" s="1061"/>
      <c r="K193" s="1061"/>
      <c r="L193" s="1061"/>
      <c r="M193" s="1062"/>
      <c r="N193" s="1062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</row>
    <row r="194" spans="1:41" s="107" customFormat="1" ht="34.5" customHeight="1">
      <c r="A194" s="337"/>
      <c r="B194" s="259" t="s">
        <v>436</v>
      </c>
      <c r="C194" s="1065">
        <f>CEILING(85.4*$Z$1,0.1)</f>
        <v>106.80000000000001</v>
      </c>
      <c r="D194" s="1066"/>
      <c r="E194" s="1065">
        <f>CEILING(85.4*$Z$1,0.1)</f>
        <v>106.80000000000001</v>
      </c>
      <c r="F194" s="1066"/>
      <c r="G194" s="1065">
        <f>CEILING(61*$Z$1,0.1)</f>
        <v>76.3</v>
      </c>
      <c r="H194" s="1066"/>
      <c r="I194" s="1061"/>
      <c r="J194" s="1061"/>
      <c r="K194" s="1061"/>
      <c r="L194" s="1061"/>
      <c r="M194" s="1062"/>
      <c r="N194" s="1062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</row>
    <row r="195" spans="1:41" s="107" customFormat="1" ht="34.5" customHeight="1">
      <c r="A195" s="338"/>
      <c r="B195" s="266" t="s">
        <v>437</v>
      </c>
      <c r="C195" s="1065">
        <f>CEILING((C194*0.5),0.1)</f>
        <v>53.400000000000006</v>
      </c>
      <c r="D195" s="1066"/>
      <c r="E195" s="1065">
        <f>CEILING((E194*0.5),0.1)</f>
        <v>53.400000000000006</v>
      </c>
      <c r="F195" s="1066"/>
      <c r="G195" s="1065">
        <f>CEILING((G194*0.5),0.1)</f>
        <v>38.2</v>
      </c>
      <c r="H195" s="1066"/>
      <c r="I195" s="1061"/>
      <c r="J195" s="1061"/>
      <c r="K195" s="1061"/>
      <c r="L195" s="1061"/>
      <c r="M195" s="148"/>
      <c r="N195" s="14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</row>
    <row r="196" spans="1:41" s="107" customFormat="1" ht="34.5" customHeight="1">
      <c r="A196" s="339"/>
      <c r="B196" s="241" t="s">
        <v>53</v>
      </c>
      <c r="C196" s="1082">
        <f>CEILING(65.1*$Z$1,0.1)</f>
        <v>81.4</v>
      </c>
      <c r="D196" s="1083"/>
      <c r="E196" s="1082">
        <f>CEILING(65.1*$Z$1,0.1)</f>
        <v>81.4</v>
      </c>
      <c r="F196" s="1083"/>
      <c r="G196" s="1082">
        <f>CEILING(47*$Z$1,0.1)</f>
        <v>58.800000000000004</v>
      </c>
      <c r="H196" s="1083"/>
      <c r="I196" s="1084"/>
      <c r="J196" s="1084"/>
      <c r="K196" s="1084"/>
      <c r="L196" s="1084"/>
      <c r="M196" s="148"/>
      <c r="N196" s="14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</row>
    <row r="197" spans="1:41" s="107" customFormat="1" ht="34.5" customHeight="1" thickBot="1">
      <c r="A197" s="340" t="s">
        <v>321</v>
      </c>
      <c r="B197" s="243" t="s">
        <v>54</v>
      </c>
      <c r="C197" s="1139">
        <f>CEILING((C196+17*$Z$1),0.1)</f>
        <v>102.7</v>
      </c>
      <c r="D197" s="1140"/>
      <c r="E197" s="1139">
        <f>CEILING((E196+17*$Z$1),0.1)</f>
        <v>102.7</v>
      </c>
      <c r="F197" s="1140"/>
      <c r="G197" s="1139">
        <f>CEILING((G196+16.2*$Z$1),0.1)</f>
        <v>79.10000000000001</v>
      </c>
      <c r="H197" s="1140"/>
      <c r="I197" s="1084"/>
      <c r="J197" s="1084"/>
      <c r="K197" s="1084"/>
      <c r="L197" s="1084"/>
      <c r="M197" s="1062"/>
      <c r="N197" s="1062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</row>
    <row r="198" spans="1:41" s="140" customFormat="1" ht="34.5" customHeight="1" thickTop="1">
      <c r="A198" s="156" t="s">
        <v>1093</v>
      </c>
      <c r="B198" s="156"/>
      <c r="C198" s="156"/>
      <c r="D198" s="156"/>
      <c r="E198" s="156"/>
      <c r="F198" s="156"/>
      <c r="G198" s="156"/>
      <c r="H198" s="156"/>
      <c r="I198" s="341"/>
      <c r="J198" s="341"/>
      <c r="K198" s="170"/>
      <c r="L198" s="170"/>
      <c r="M198" s="148"/>
      <c r="N198" s="148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4"/>
      <c r="AE198" s="114"/>
      <c r="AF198" s="114"/>
      <c r="AG198" s="114"/>
      <c r="AH198" s="114"/>
      <c r="AI198" s="114"/>
      <c r="AJ198" s="114"/>
      <c r="AK198" s="114"/>
      <c r="AL198" s="114"/>
      <c r="AM198" s="114"/>
      <c r="AN198" s="114"/>
      <c r="AO198" s="114"/>
    </row>
    <row r="199" spans="1:41" s="140" customFormat="1" ht="34.5" customHeight="1">
      <c r="A199" s="1130" t="s">
        <v>245</v>
      </c>
      <c r="B199" s="1130"/>
      <c r="C199" s="1130"/>
      <c r="D199" s="1130"/>
      <c r="E199" s="1130"/>
      <c r="F199" s="1130"/>
      <c r="G199" s="1130"/>
      <c r="H199" s="1130"/>
      <c r="I199" s="160"/>
      <c r="J199" s="160"/>
      <c r="K199" s="168"/>
      <c r="L199" s="168"/>
      <c r="M199" s="124"/>
      <c r="N199" s="12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4"/>
      <c r="AE199" s="114"/>
      <c r="AF199" s="114"/>
      <c r="AG199" s="114"/>
      <c r="AH199" s="114"/>
      <c r="AI199" s="114"/>
      <c r="AJ199" s="114"/>
      <c r="AK199" s="114"/>
      <c r="AL199" s="114"/>
      <c r="AM199" s="114"/>
      <c r="AN199" s="114"/>
      <c r="AO199" s="114"/>
    </row>
    <row r="200" spans="1:41" s="140" customFormat="1" ht="34.5" customHeight="1">
      <c r="A200" s="161" t="s">
        <v>453</v>
      </c>
      <c r="B200" s="162"/>
      <c r="C200" s="162"/>
      <c r="D200" s="162"/>
      <c r="E200" s="162"/>
      <c r="F200" s="162"/>
      <c r="G200" s="162"/>
      <c r="H200" s="162"/>
      <c r="I200" s="162"/>
      <c r="J200" s="162"/>
      <c r="K200" s="157"/>
      <c r="L200" s="157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114"/>
      <c r="AL200" s="114"/>
      <c r="AM200" s="114"/>
      <c r="AN200" s="114"/>
      <c r="AO200" s="114"/>
    </row>
    <row r="201" spans="1:41" s="107" customFormat="1" ht="34.5" customHeight="1" thickBot="1">
      <c r="A201" s="328"/>
      <c r="B201" s="329"/>
      <c r="C201" s="329"/>
      <c r="D201" s="329"/>
      <c r="E201" s="329"/>
      <c r="F201" s="329"/>
      <c r="G201" s="329"/>
      <c r="H201" s="329"/>
      <c r="I201" s="162"/>
      <c r="J201" s="162"/>
      <c r="K201" s="157"/>
      <c r="L201" s="157"/>
      <c r="M201" s="114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</row>
    <row r="202" spans="1:42" s="214" customFormat="1" ht="34.5" customHeight="1" thickTop="1">
      <c r="A202" s="961" t="s">
        <v>34</v>
      </c>
      <c r="B202" s="208" t="s">
        <v>637</v>
      </c>
      <c r="C202" s="209" t="s">
        <v>921</v>
      </c>
      <c r="D202" s="210"/>
      <c r="E202" s="211" t="s">
        <v>922</v>
      </c>
      <c r="F202" s="212"/>
      <c r="G202" s="211" t="s">
        <v>923</v>
      </c>
      <c r="H202" s="212"/>
      <c r="I202" s="1070"/>
      <c r="J202" s="1071"/>
      <c r="K202" s="1070"/>
      <c r="L202" s="1070"/>
      <c r="M202" s="174"/>
      <c r="N202" s="174"/>
      <c r="O202" s="213"/>
      <c r="P202" s="213"/>
      <c r="Q202" s="213"/>
      <c r="R202" s="213"/>
      <c r="S202" s="213"/>
      <c r="T202" s="213"/>
      <c r="U202" s="213"/>
      <c r="V202" s="213"/>
      <c r="W202" s="213"/>
      <c r="X202" s="213"/>
      <c r="Y202" s="213"/>
      <c r="Z202" s="213"/>
      <c r="AA202" s="213"/>
      <c r="AB202" s="213"/>
      <c r="AC202" s="213"/>
      <c r="AD202" s="213"/>
      <c r="AE202" s="213"/>
      <c r="AF202" s="213"/>
      <c r="AG202" s="213"/>
      <c r="AH202" s="213"/>
      <c r="AI202" s="213"/>
      <c r="AJ202" s="213"/>
      <c r="AK202" s="213"/>
      <c r="AL202" s="213"/>
      <c r="AM202" s="213"/>
      <c r="AN202" s="213"/>
      <c r="AO202" s="213"/>
      <c r="AP202" s="213"/>
    </row>
    <row r="203" spans="1:14" s="213" customFormat="1" ht="34.5" customHeight="1">
      <c r="A203" s="962" t="s">
        <v>64</v>
      </c>
      <c r="B203" s="960" t="s">
        <v>42</v>
      </c>
      <c r="C203" s="1063">
        <f>CEILING(42*$Z$1,0.1)</f>
        <v>52.5</v>
      </c>
      <c r="D203" s="1064"/>
      <c r="E203" s="1063">
        <f>CEILING(42*$Z$1,0.1)</f>
        <v>52.5</v>
      </c>
      <c r="F203" s="1064"/>
      <c r="G203" s="1063">
        <f>CEILING(42*$Z$1,0.1)</f>
        <v>52.5</v>
      </c>
      <c r="H203" s="1064"/>
      <c r="I203" s="953"/>
      <c r="J203" s="954"/>
      <c r="K203" s="953"/>
      <c r="L203" s="953"/>
      <c r="M203" s="174"/>
      <c r="N203" s="174"/>
    </row>
    <row r="204" spans="1:14" s="213" customFormat="1" ht="34.5" customHeight="1">
      <c r="A204" s="344" t="s">
        <v>1010</v>
      </c>
      <c r="B204" s="960" t="s">
        <v>43</v>
      </c>
      <c r="C204" s="1065">
        <f>CEILING((C203+29.4*$Z$1),0.1)</f>
        <v>89.30000000000001</v>
      </c>
      <c r="D204" s="1066"/>
      <c r="E204" s="1065">
        <f>CEILING((E203+29.4*$Z$1),0.1)</f>
        <v>89.30000000000001</v>
      </c>
      <c r="F204" s="1066"/>
      <c r="G204" s="1065">
        <f>CEILING((G203+29.4*$Z$1),0.1)</f>
        <v>89.30000000000001</v>
      </c>
      <c r="H204" s="1066"/>
      <c r="I204" s="953"/>
      <c r="J204" s="954"/>
      <c r="K204" s="953"/>
      <c r="L204" s="953"/>
      <c r="M204" s="174"/>
      <c r="N204" s="174"/>
    </row>
    <row r="205" spans="1:14" s="213" customFormat="1" ht="34.5" customHeight="1" thickBot="1">
      <c r="A205" s="318" t="s">
        <v>1064</v>
      </c>
      <c r="B205" s="960" t="s">
        <v>38</v>
      </c>
      <c r="C205" s="1067">
        <f>CEILING((C203*0.85),0.1)</f>
        <v>44.7</v>
      </c>
      <c r="D205" s="1068"/>
      <c r="E205" s="1067">
        <f>CEILING((E203*0.85),0.1)</f>
        <v>44.7</v>
      </c>
      <c r="F205" s="1068"/>
      <c r="G205" s="1067">
        <f>CEILING((G203*0.85),0.1)</f>
        <v>44.7</v>
      </c>
      <c r="H205" s="1068"/>
      <c r="I205" s="953"/>
      <c r="J205" s="954"/>
      <c r="K205" s="953"/>
      <c r="L205" s="953"/>
      <c r="M205" s="174"/>
      <c r="N205" s="174"/>
    </row>
    <row r="206" spans="1:12" s="158" customFormat="1" ht="34.5" customHeight="1" thickTop="1">
      <c r="A206" s="355" t="s">
        <v>1058</v>
      </c>
      <c r="B206" s="343" t="s">
        <v>162</v>
      </c>
      <c r="C206" s="1063">
        <f>CEILING(56.2*$Z$1,0.1)</f>
        <v>70.3</v>
      </c>
      <c r="D206" s="1064"/>
      <c r="E206" s="1063">
        <f>CEILING(56.2*$Z$1,0.1)</f>
        <v>70.3</v>
      </c>
      <c r="F206" s="1064"/>
      <c r="G206" s="1063">
        <f>CEILING(56.2*$Z$1,0.1)</f>
        <v>70.3</v>
      </c>
      <c r="H206" s="1064"/>
      <c r="I206" s="1061"/>
      <c r="J206" s="1061"/>
      <c r="K206" s="1061"/>
      <c r="L206" s="1061"/>
    </row>
    <row r="207" spans="1:12" s="158" customFormat="1" ht="34.5" customHeight="1">
      <c r="A207" s="963" t="s">
        <v>1042</v>
      </c>
      <c r="B207" s="296" t="s">
        <v>163</v>
      </c>
      <c r="C207" s="1065">
        <f>CEILING((C206+0*$Z$1),0.1)</f>
        <v>70.3</v>
      </c>
      <c r="D207" s="1066"/>
      <c r="E207" s="1065">
        <f>CEILING((E206+0*$Z$1),0.1)</f>
        <v>70.3</v>
      </c>
      <c r="F207" s="1066"/>
      <c r="G207" s="1065">
        <f>CEILING((G206+0*$Z$1),0.1)</f>
        <v>70.3</v>
      </c>
      <c r="H207" s="1066"/>
      <c r="I207" s="1061"/>
      <c r="J207" s="1061"/>
      <c r="K207" s="1061"/>
      <c r="L207" s="1061"/>
    </row>
    <row r="208" spans="1:12" s="158" customFormat="1" ht="34.5" customHeight="1" thickBot="1">
      <c r="A208" s="349" t="s">
        <v>321</v>
      </c>
      <c r="B208" s="297" t="s">
        <v>38</v>
      </c>
      <c r="C208" s="1067">
        <f>CEILING((C206*0.85),0.1)</f>
        <v>59.800000000000004</v>
      </c>
      <c r="D208" s="1068"/>
      <c r="E208" s="1067">
        <f>CEILING((E206*0.85),0.1)</f>
        <v>59.800000000000004</v>
      </c>
      <c r="F208" s="1068"/>
      <c r="G208" s="1067">
        <f>CEILING((G206*0.85),0.1)</f>
        <v>59.800000000000004</v>
      </c>
      <c r="H208" s="1068"/>
      <c r="I208" s="1061"/>
      <c r="J208" s="1061"/>
      <c r="K208" s="1061"/>
      <c r="L208" s="1061"/>
    </row>
    <row r="209" spans="1:61" s="147" customFormat="1" ht="34.5" customHeight="1" thickTop="1">
      <c r="A209" s="168" t="s">
        <v>438</v>
      </c>
      <c r="B209" s="168"/>
      <c r="C209" s="168"/>
      <c r="D209" s="168"/>
      <c r="E209" s="168"/>
      <c r="F209" s="168"/>
      <c r="G209" s="168"/>
      <c r="H209" s="168"/>
      <c r="I209" s="169"/>
      <c r="J209" s="169"/>
      <c r="K209" s="170"/>
      <c r="L209" s="170"/>
      <c r="M209" s="157"/>
      <c r="N209" s="157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  <c r="AF209" s="170"/>
      <c r="AG209" s="170"/>
      <c r="AH209" s="170"/>
      <c r="AI209" s="170"/>
      <c r="AJ209" s="170"/>
      <c r="AK209" s="170"/>
      <c r="AL209" s="170"/>
      <c r="AM209" s="170"/>
      <c r="AN209" s="170"/>
      <c r="AO209" s="170"/>
      <c r="AP209" s="170"/>
      <c r="AQ209" s="170"/>
      <c r="AR209" s="170"/>
      <c r="AS209" s="170"/>
      <c r="AT209" s="170"/>
      <c r="AU209" s="170"/>
      <c r="AV209" s="170"/>
      <c r="AW209" s="170"/>
      <c r="AX209" s="170"/>
      <c r="AY209" s="170"/>
      <c r="AZ209" s="170"/>
      <c r="BA209" s="170"/>
      <c r="BB209" s="170"/>
      <c r="BC209" s="170"/>
      <c r="BD209" s="170"/>
      <c r="BE209" s="170"/>
      <c r="BF209" s="170"/>
      <c r="BG209" s="170"/>
      <c r="BH209" s="170"/>
      <c r="BI209" s="170"/>
    </row>
    <row r="210" spans="1:61" s="107" customFormat="1" ht="34.5" customHeight="1">
      <c r="A210" s="156" t="s">
        <v>603</v>
      </c>
      <c r="B210" s="162"/>
      <c r="C210" s="162"/>
      <c r="D210" s="162"/>
      <c r="E210" s="162"/>
      <c r="F210" s="162"/>
      <c r="G210" s="162"/>
      <c r="H210" s="162"/>
      <c r="I210" s="162"/>
      <c r="J210" s="162"/>
      <c r="K210" s="108"/>
      <c r="L210" s="108"/>
      <c r="M210" s="148"/>
      <c r="N210" s="14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  <c r="BI210" s="158"/>
    </row>
    <row r="211" spans="1:61" s="107" customFormat="1" ht="34.5" customHeight="1" thickBot="1">
      <c r="A211" s="285"/>
      <c r="B211" s="162"/>
      <c r="C211" s="162"/>
      <c r="D211" s="162"/>
      <c r="E211" s="162"/>
      <c r="F211" s="162"/>
      <c r="G211" s="162"/>
      <c r="H211" s="162"/>
      <c r="I211" s="162"/>
      <c r="J211" s="162"/>
      <c r="K211" s="108"/>
      <c r="L211" s="108"/>
      <c r="M211" s="148"/>
      <c r="N211" s="14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  <c r="BI211" s="158"/>
    </row>
    <row r="212" spans="1:42" s="214" customFormat="1" ht="34.5" customHeight="1" thickTop="1">
      <c r="A212" s="207" t="s">
        <v>34</v>
      </c>
      <c r="B212" s="208" t="s">
        <v>637</v>
      </c>
      <c r="C212" s="209" t="s">
        <v>921</v>
      </c>
      <c r="D212" s="210"/>
      <c r="E212" s="211" t="s">
        <v>922</v>
      </c>
      <c r="F212" s="212"/>
      <c r="G212" s="211" t="s">
        <v>923</v>
      </c>
      <c r="H212" s="212"/>
      <c r="I212" s="1070"/>
      <c r="J212" s="1071"/>
      <c r="K212" s="1070"/>
      <c r="L212" s="1070"/>
      <c r="M212" s="174"/>
      <c r="N212" s="174"/>
      <c r="O212" s="213"/>
      <c r="P212" s="213"/>
      <c r="Q212" s="213"/>
      <c r="R212" s="213"/>
      <c r="S212" s="213"/>
      <c r="T212" s="213"/>
      <c r="U212" s="213"/>
      <c r="V212" s="213"/>
      <c r="W212" s="213"/>
      <c r="X212" s="213"/>
      <c r="Y212" s="213"/>
      <c r="Z212" s="213"/>
      <c r="AA212" s="213"/>
      <c r="AB212" s="213"/>
      <c r="AC212" s="213"/>
      <c r="AD212" s="213"/>
      <c r="AE212" s="213"/>
      <c r="AF212" s="213"/>
      <c r="AG212" s="213"/>
      <c r="AH212" s="213"/>
      <c r="AI212" s="213"/>
      <c r="AJ212" s="213"/>
      <c r="AK212" s="213"/>
      <c r="AL212" s="213"/>
      <c r="AM212" s="213"/>
      <c r="AN212" s="213"/>
      <c r="AO212" s="213"/>
      <c r="AP212" s="213"/>
    </row>
    <row r="213" spans="1:41" s="347" customFormat="1" ht="34.5" customHeight="1">
      <c r="A213" s="345" t="s">
        <v>65</v>
      </c>
      <c r="B213" s="266" t="s">
        <v>42</v>
      </c>
      <c r="C213" s="1063">
        <f>CEILING(45.5*$Z$1,0.1)</f>
        <v>56.900000000000006</v>
      </c>
      <c r="D213" s="1064"/>
      <c r="E213" s="1063">
        <f>CEILING(45.5*$Z$1,0.1)</f>
        <v>56.900000000000006</v>
      </c>
      <c r="F213" s="1064"/>
      <c r="G213" s="1063">
        <f>CEILING(45.5*$Z$1,0.1)</f>
        <v>56.900000000000006</v>
      </c>
      <c r="H213" s="1064"/>
      <c r="I213" s="1061"/>
      <c r="J213" s="1061"/>
      <c r="K213" s="1061"/>
      <c r="L213" s="1061"/>
      <c r="M213" s="346"/>
      <c r="N213" s="346"/>
      <c r="O213" s="346"/>
      <c r="P213" s="346"/>
      <c r="Q213" s="346"/>
      <c r="R213" s="346"/>
      <c r="S213" s="346"/>
      <c r="T213" s="346"/>
      <c r="U213" s="346"/>
      <c r="V213" s="346"/>
      <c r="W213" s="346"/>
      <c r="X213" s="346"/>
      <c r="Y213" s="346"/>
      <c r="Z213" s="346"/>
      <c r="AA213" s="346"/>
      <c r="AB213" s="346"/>
      <c r="AC213" s="346"/>
      <c r="AD213" s="346"/>
      <c r="AE213" s="346"/>
      <c r="AF213" s="346"/>
      <c r="AG213" s="346"/>
      <c r="AH213" s="346"/>
      <c r="AI213" s="346"/>
      <c r="AJ213" s="346"/>
      <c r="AK213" s="346"/>
      <c r="AL213" s="346"/>
      <c r="AM213" s="346"/>
      <c r="AN213" s="346"/>
      <c r="AO213" s="346"/>
    </row>
    <row r="214" spans="1:41" s="107" customFormat="1" ht="34.5" customHeight="1">
      <c r="A214" s="348" t="s">
        <v>50</v>
      </c>
      <c r="B214" s="241" t="s">
        <v>43</v>
      </c>
      <c r="C214" s="1065">
        <f>CEILING((C213+22*$Z$1),0.1)</f>
        <v>84.4</v>
      </c>
      <c r="D214" s="1066"/>
      <c r="E214" s="1065">
        <f>CEILING((E213+22*$Z$1),0.1)</f>
        <v>84.4</v>
      </c>
      <c r="F214" s="1066"/>
      <c r="G214" s="1065">
        <f>CEILING((G213+22*$Z$1),0.1)</f>
        <v>84.4</v>
      </c>
      <c r="H214" s="1066"/>
      <c r="I214" s="1061"/>
      <c r="J214" s="1061"/>
      <c r="K214" s="1061"/>
      <c r="L214" s="1061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</row>
    <row r="215" spans="1:41" s="107" customFormat="1" ht="34.5" customHeight="1">
      <c r="A215" s="318" t="s">
        <v>1064</v>
      </c>
      <c r="B215" s="266" t="s">
        <v>38</v>
      </c>
      <c r="C215" s="1065">
        <f>CEILING((C213*0.85),0.1)</f>
        <v>48.400000000000006</v>
      </c>
      <c r="D215" s="1066"/>
      <c r="E215" s="1065">
        <f>CEILING((E213*0.85),0.1)</f>
        <v>48.400000000000006</v>
      </c>
      <c r="F215" s="1066"/>
      <c r="G215" s="1065">
        <f>CEILING((G213*0.85),0.1)</f>
        <v>48.400000000000006</v>
      </c>
      <c r="H215" s="1066"/>
      <c r="I215" s="1061"/>
      <c r="J215" s="1061"/>
      <c r="K215" s="1061"/>
      <c r="L215" s="1061"/>
      <c r="M215" s="124"/>
      <c r="N215" s="124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</row>
    <row r="216" spans="1:41" s="107" customFormat="1" ht="34.5" customHeight="1">
      <c r="A216" s="355" t="s">
        <v>1058</v>
      </c>
      <c r="B216" s="266" t="s">
        <v>601</v>
      </c>
      <c r="C216" s="1065">
        <f>CEILING((C213*0),0.1)</f>
        <v>0</v>
      </c>
      <c r="D216" s="1066"/>
      <c r="E216" s="1065">
        <f>CEILING((E213*0.5),0.1)</f>
        <v>28.5</v>
      </c>
      <c r="F216" s="1066"/>
      <c r="G216" s="1065">
        <f>CEILING((G213*0),0.1)</f>
        <v>0</v>
      </c>
      <c r="H216" s="1066"/>
      <c r="I216" s="1061"/>
      <c r="J216" s="1061"/>
      <c r="K216" s="1061"/>
      <c r="L216" s="1061"/>
      <c r="M216" s="124"/>
      <c r="N216" s="124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</row>
    <row r="217" spans="1:41" s="107" customFormat="1" ht="34.5" customHeight="1">
      <c r="A217" s="318"/>
      <c r="B217" s="266" t="s">
        <v>184</v>
      </c>
      <c r="C217" s="1065">
        <f>CEILING(49*$Z$1,0.1)</f>
        <v>61.300000000000004</v>
      </c>
      <c r="D217" s="1066"/>
      <c r="E217" s="1065">
        <f>CEILING(49*$Z$1,0.1)</f>
        <v>61.300000000000004</v>
      </c>
      <c r="F217" s="1066"/>
      <c r="G217" s="1065">
        <f>CEILING(49*$Z$1,0.1)</f>
        <v>61.300000000000004</v>
      </c>
      <c r="H217" s="1066"/>
      <c r="I217" s="1061"/>
      <c r="J217" s="1061"/>
      <c r="K217" s="1061"/>
      <c r="L217" s="1061"/>
      <c r="M217" s="124"/>
      <c r="N217" s="124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</row>
    <row r="218" spans="1:41" s="107" customFormat="1" ht="34.5" customHeight="1" thickBot="1">
      <c r="A218" s="349" t="s">
        <v>321</v>
      </c>
      <c r="B218" s="325" t="s">
        <v>185</v>
      </c>
      <c r="C218" s="1067">
        <f>CEILING((C217+20*$Z$1),0.1)</f>
        <v>86.30000000000001</v>
      </c>
      <c r="D218" s="1068"/>
      <c r="E218" s="1067">
        <f>CEILING((E217+20*$Z$1),0.1)</f>
        <v>86.30000000000001</v>
      </c>
      <c r="F218" s="1068"/>
      <c r="G218" s="1067">
        <f>CEILING((G217+20*$Z$1),0.1)</f>
        <v>86.30000000000001</v>
      </c>
      <c r="H218" s="1068"/>
      <c r="I218" s="1061"/>
      <c r="J218" s="1061"/>
      <c r="K218" s="1061"/>
      <c r="L218" s="1061"/>
      <c r="M218" s="124"/>
      <c r="N218" s="124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  <c r="AN218" s="158"/>
      <c r="AO218" s="158"/>
    </row>
    <row r="219" spans="1:13" s="158" customFormat="1" ht="34.5" customHeight="1" thickTop="1">
      <c r="A219" s="1209" t="s">
        <v>814</v>
      </c>
      <c r="B219" s="1210"/>
      <c r="C219" s="1123"/>
      <c r="D219" s="1123"/>
      <c r="E219" s="1210"/>
      <c r="F219" s="1210"/>
      <c r="G219" s="1210"/>
      <c r="H219" s="1210"/>
      <c r="I219" s="1123"/>
      <c r="J219" s="1123"/>
      <c r="K219" s="157"/>
      <c r="L219" s="157"/>
      <c r="M219" s="114"/>
    </row>
    <row r="220" spans="1:41" s="107" customFormat="1" ht="34.5" customHeight="1">
      <c r="A220" s="161" t="s">
        <v>453</v>
      </c>
      <c r="B220" s="162"/>
      <c r="C220" s="162"/>
      <c r="D220" s="162"/>
      <c r="E220" s="162"/>
      <c r="F220" s="162"/>
      <c r="G220" s="162"/>
      <c r="H220" s="162"/>
      <c r="I220" s="162"/>
      <c r="J220" s="162"/>
      <c r="K220" s="157"/>
      <c r="L220" s="157"/>
      <c r="M220" s="114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</row>
    <row r="221" spans="1:41" s="107" customFormat="1" ht="34.5" customHeight="1" thickBot="1">
      <c r="A221" s="328"/>
      <c r="B221" s="329"/>
      <c r="C221" s="329"/>
      <c r="D221" s="329"/>
      <c r="E221" s="329"/>
      <c r="F221" s="329"/>
      <c r="G221" s="329"/>
      <c r="H221" s="329"/>
      <c r="I221" s="162"/>
      <c r="J221" s="162"/>
      <c r="K221" s="157"/>
      <c r="L221" s="157"/>
      <c r="M221" s="114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</row>
    <row r="222" spans="1:42" s="214" customFormat="1" ht="34.5" customHeight="1" thickTop="1">
      <c r="A222" s="207" t="s">
        <v>34</v>
      </c>
      <c r="B222" s="208" t="s">
        <v>637</v>
      </c>
      <c r="C222" s="209" t="s">
        <v>921</v>
      </c>
      <c r="D222" s="210"/>
      <c r="E222" s="211" t="s">
        <v>922</v>
      </c>
      <c r="F222" s="212"/>
      <c r="G222" s="211" t="s">
        <v>923</v>
      </c>
      <c r="H222" s="212"/>
      <c r="I222" s="1070"/>
      <c r="J222" s="1071"/>
      <c r="K222" s="1070"/>
      <c r="L222" s="1070"/>
      <c r="M222" s="174"/>
      <c r="N222" s="174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3"/>
      <c r="AB222" s="213"/>
      <c r="AC222" s="213"/>
      <c r="AD222" s="213"/>
      <c r="AE222" s="213"/>
      <c r="AF222" s="213"/>
      <c r="AG222" s="213"/>
      <c r="AH222" s="213"/>
      <c r="AI222" s="213"/>
      <c r="AJ222" s="213"/>
      <c r="AK222" s="213"/>
      <c r="AL222" s="213"/>
      <c r="AM222" s="213"/>
      <c r="AN222" s="213"/>
      <c r="AO222" s="213"/>
      <c r="AP222" s="213"/>
    </row>
    <row r="223" spans="1:41" s="107" customFormat="1" ht="34.5" customHeight="1">
      <c r="A223" s="350" t="s">
        <v>439</v>
      </c>
      <c r="B223" s="241" t="s">
        <v>850</v>
      </c>
      <c r="C223" s="1063">
        <f>CEILING(42*$Z$1,0.1)</f>
        <v>52.5</v>
      </c>
      <c r="D223" s="1064"/>
      <c r="E223" s="1063">
        <f>CEILING(42*$Z$1,0.1)</f>
        <v>52.5</v>
      </c>
      <c r="F223" s="1064"/>
      <c r="G223" s="1063">
        <f>CEILING(42*$Z$1,0.1)</f>
        <v>52.5</v>
      </c>
      <c r="H223" s="1064"/>
      <c r="I223" s="1061"/>
      <c r="J223" s="1061"/>
      <c r="K223" s="1061"/>
      <c r="L223" s="1061"/>
      <c r="M223" s="130"/>
      <c r="N223" s="130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  <c r="AN223" s="158"/>
      <c r="AO223" s="158"/>
    </row>
    <row r="224" spans="1:41" s="107" customFormat="1" ht="34.5" customHeight="1">
      <c r="A224" s="351" t="s">
        <v>50</v>
      </c>
      <c r="B224" s="241" t="s">
        <v>851</v>
      </c>
      <c r="C224" s="1065">
        <f>CEILING(55*$Z$1,0.1)</f>
        <v>68.8</v>
      </c>
      <c r="D224" s="1066"/>
      <c r="E224" s="1065">
        <f>CEILING(55*$Z$1,0.1)</f>
        <v>68.8</v>
      </c>
      <c r="F224" s="1066"/>
      <c r="G224" s="1065">
        <f>CEILING(55*$Z$1,0.1)</f>
        <v>68.8</v>
      </c>
      <c r="H224" s="1066"/>
      <c r="I224" s="1061"/>
      <c r="J224" s="1061"/>
      <c r="K224" s="1061"/>
      <c r="L224" s="1061"/>
      <c r="M224" s="130"/>
      <c r="N224" s="130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</row>
    <row r="225" spans="1:41" s="107" customFormat="1" ht="34.5" customHeight="1">
      <c r="A225" s="352"/>
      <c r="B225" s="353" t="s">
        <v>604</v>
      </c>
      <c r="C225" s="1137">
        <f>CEILING((C209*0),0.1)</f>
        <v>0</v>
      </c>
      <c r="D225" s="1138"/>
      <c r="E225" s="1137">
        <v>26.2</v>
      </c>
      <c r="F225" s="1138"/>
      <c r="G225" s="1137">
        <f>CEILING((G209*0),0.1)</f>
        <v>0</v>
      </c>
      <c r="H225" s="1138"/>
      <c r="I225" s="1062"/>
      <c r="J225" s="1062"/>
      <c r="K225" s="1062"/>
      <c r="L225" s="1062"/>
      <c r="M225" s="130"/>
      <c r="N225" s="130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  <c r="AN225" s="158"/>
      <c r="AO225" s="158"/>
    </row>
    <row r="226" spans="1:41" s="107" customFormat="1" ht="34.5" customHeight="1">
      <c r="A226" s="320"/>
      <c r="B226" s="354" t="s">
        <v>605</v>
      </c>
      <c r="C226" s="1078">
        <f>CEILING((C223*0.5),0.1)</f>
        <v>26.3</v>
      </c>
      <c r="D226" s="1079"/>
      <c r="E226" s="1078">
        <f>CEILING((E223*0.5),0.1)</f>
        <v>26.3</v>
      </c>
      <c r="F226" s="1079"/>
      <c r="G226" s="1078">
        <f>CEILING((G223*0.5),0.1)</f>
        <v>26.3</v>
      </c>
      <c r="H226" s="1079"/>
      <c r="I226" s="1061"/>
      <c r="J226" s="1061"/>
      <c r="K226" s="1061"/>
      <c r="L226" s="1061"/>
      <c r="M226" s="130"/>
      <c r="N226" s="130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</row>
    <row r="227" spans="1:41" s="107" customFormat="1" ht="34.5" customHeight="1">
      <c r="A227" s="318" t="s">
        <v>1064</v>
      </c>
      <c r="B227" s="353" t="s">
        <v>440</v>
      </c>
      <c r="C227" s="1063">
        <f>CEILING(46.4*$Z$1,0.1)</f>
        <v>58</v>
      </c>
      <c r="D227" s="1064"/>
      <c r="E227" s="1063">
        <f>CEILING(46.4*$Z$1,0.1)</f>
        <v>58</v>
      </c>
      <c r="F227" s="1064"/>
      <c r="G227" s="1063">
        <f>CEILING(46.4*$Z$1,0.1)</f>
        <v>58</v>
      </c>
      <c r="H227" s="1064"/>
      <c r="I227" s="1061"/>
      <c r="J227" s="1061"/>
      <c r="K227" s="1061"/>
      <c r="L227" s="1061"/>
      <c r="M227" s="130"/>
      <c r="N227" s="130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</row>
    <row r="228" spans="1:41" s="107" customFormat="1" ht="34.5" customHeight="1">
      <c r="A228" s="355" t="s">
        <v>1058</v>
      </c>
      <c r="B228" s="241" t="s">
        <v>441</v>
      </c>
      <c r="C228" s="1065">
        <f>CEILING(60.3*$Z$1,0.1)</f>
        <v>75.4</v>
      </c>
      <c r="D228" s="1066"/>
      <c r="E228" s="1065">
        <f>CEILING(60.3*$Z$1,0.1)</f>
        <v>75.4</v>
      </c>
      <c r="F228" s="1066"/>
      <c r="G228" s="1065">
        <f>CEILING(60.3*$Z$1,0.1)</f>
        <v>75.4</v>
      </c>
      <c r="H228" s="1066"/>
      <c r="I228" s="1061"/>
      <c r="J228" s="1061"/>
      <c r="K228" s="1061"/>
      <c r="L228" s="1061"/>
      <c r="M228" s="130"/>
      <c r="N228" s="130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</row>
    <row r="229" spans="1:41" s="107" customFormat="1" ht="34.5" customHeight="1">
      <c r="A229" s="356"/>
      <c r="B229" s="321" t="s">
        <v>604</v>
      </c>
      <c r="C229" s="1137">
        <v>0</v>
      </c>
      <c r="D229" s="1138"/>
      <c r="E229" s="1137">
        <v>29</v>
      </c>
      <c r="F229" s="1138"/>
      <c r="G229" s="1137">
        <v>0</v>
      </c>
      <c r="H229" s="1138"/>
      <c r="I229" s="1062"/>
      <c r="J229" s="1062"/>
      <c r="K229" s="1062"/>
      <c r="L229" s="1062"/>
      <c r="M229" s="130"/>
      <c r="N229" s="130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  <c r="AN229" s="158"/>
      <c r="AO229" s="158"/>
    </row>
    <row r="230" spans="1:41" s="107" customFormat="1" ht="34.5" customHeight="1" thickBot="1">
      <c r="A230" s="357" t="s">
        <v>314</v>
      </c>
      <c r="B230" s="354" t="s">
        <v>605</v>
      </c>
      <c r="C230" s="1067">
        <f>CEILING((C227*0.5),0.1)</f>
        <v>29</v>
      </c>
      <c r="D230" s="1068"/>
      <c r="E230" s="1067">
        <f>CEILING((E227*0.5),0.1)</f>
        <v>29</v>
      </c>
      <c r="F230" s="1068"/>
      <c r="G230" s="1067">
        <f>CEILING((G227*0.5),0.1)</f>
        <v>29</v>
      </c>
      <c r="H230" s="1068"/>
      <c r="I230" s="1061"/>
      <c r="J230" s="1061"/>
      <c r="K230" s="1061"/>
      <c r="L230" s="1061"/>
      <c r="M230" s="130"/>
      <c r="N230" s="130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  <c r="AN230" s="158"/>
      <c r="AO230" s="158"/>
    </row>
    <row r="231" spans="1:13" s="158" customFormat="1" ht="34.5" customHeight="1" thickTop="1">
      <c r="A231" s="1209" t="s">
        <v>814</v>
      </c>
      <c r="B231" s="1210"/>
      <c r="C231" s="1123"/>
      <c r="D231" s="1123"/>
      <c r="E231" s="1210"/>
      <c r="F231" s="1210"/>
      <c r="G231" s="1210"/>
      <c r="H231" s="1210"/>
      <c r="I231" s="1123"/>
      <c r="J231" s="1123"/>
      <c r="K231" s="157"/>
      <c r="L231" s="157"/>
      <c r="M231" s="114"/>
    </row>
    <row r="232" spans="1:41" s="107" customFormat="1" ht="34.5" customHeight="1">
      <c r="A232" s="161" t="s">
        <v>453</v>
      </c>
      <c r="B232" s="162"/>
      <c r="C232" s="162"/>
      <c r="D232" s="162"/>
      <c r="E232" s="162"/>
      <c r="F232" s="162"/>
      <c r="G232" s="162"/>
      <c r="H232" s="162"/>
      <c r="I232" s="162"/>
      <c r="J232" s="162"/>
      <c r="K232" s="157"/>
      <c r="L232" s="157"/>
      <c r="M232" s="114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  <c r="AN232" s="158"/>
      <c r="AO232" s="158"/>
    </row>
    <row r="233" spans="1:41" s="107" customFormat="1" ht="34.5" customHeight="1" thickBot="1">
      <c r="A233" s="328"/>
      <c r="B233" s="329"/>
      <c r="C233" s="329"/>
      <c r="D233" s="329"/>
      <c r="E233" s="329"/>
      <c r="F233" s="329"/>
      <c r="G233" s="329"/>
      <c r="H233" s="329"/>
      <c r="I233" s="162"/>
      <c r="J233" s="162"/>
      <c r="K233" s="157"/>
      <c r="L233" s="157"/>
      <c r="M233" s="114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  <c r="AN233" s="158"/>
      <c r="AO233" s="158"/>
    </row>
    <row r="234" spans="1:42" s="214" customFormat="1" ht="34.5" customHeight="1" thickTop="1">
      <c r="A234" s="207" t="s">
        <v>34</v>
      </c>
      <c r="B234" s="208" t="s">
        <v>637</v>
      </c>
      <c r="C234" s="209" t="s">
        <v>921</v>
      </c>
      <c r="D234" s="210"/>
      <c r="E234" s="211" t="s">
        <v>922</v>
      </c>
      <c r="F234" s="212"/>
      <c r="G234" s="211" t="s">
        <v>923</v>
      </c>
      <c r="H234" s="212"/>
      <c r="I234" s="1070"/>
      <c r="J234" s="1071"/>
      <c r="K234" s="1070"/>
      <c r="L234" s="1070"/>
      <c r="M234" s="174"/>
      <c r="N234" s="174"/>
      <c r="O234" s="213"/>
      <c r="P234" s="213"/>
      <c r="Q234" s="213"/>
      <c r="R234" s="213"/>
      <c r="S234" s="213"/>
      <c r="T234" s="213"/>
      <c r="U234" s="213"/>
      <c r="V234" s="213"/>
      <c r="W234" s="213"/>
      <c r="X234" s="213"/>
      <c r="Y234" s="213"/>
      <c r="Z234" s="213"/>
      <c r="AA234" s="213"/>
      <c r="AB234" s="213"/>
      <c r="AC234" s="213"/>
      <c r="AD234" s="213"/>
      <c r="AE234" s="213"/>
      <c r="AF234" s="213"/>
      <c r="AG234" s="213"/>
      <c r="AH234" s="213"/>
      <c r="AI234" s="213"/>
      <c r="AJ234" s="213"/>
      <c r="AK234" s="213"/>
      <c r="AL234" s="213"/>
      <c r="AM234" s="213"/>
      <c r="AN234" s="213"/>
      <c r="AO234" s="213"/>
      <c r="AP234" s="213"/>
    </row>
    <row r="235" spans="1:41" s="107" customFormat="1" ht="34.5" customHeight="1">
      <c r="A235" s="358" t="s">
        <v>619</v>
      </c>
      <c r="B235" s="219" t="s">
        <v>67</v>
      </c>
      <c r="C235" s="1073">
        <f>CEILING(77*$Z$1,0.1)</f>
        <v>96.30000000000001</v>
      </c>
      <c r="D235" s="1074"/>
      <c r="E235" s="1073">
        <f>CEILING(86*$Z$1,0.1)</f>
        <v>107.5</v>
      </c>
      <c r="F235" s="1074"/>
      <c r="G235" s="1073">
        <f>CEILING(77*$Z$1,0.1)</f>
        <v>96.30000000000001</v>
      </c>
      <c r="H235" s="1074"/>
      <c r="I235" s="1061"/>
      <c r="J235" s="1061"/>
      <c r="K235" s="1061"/>
      <c r="L235" s="1061"/>
      <c r="M235" s="114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  <c r="AN235" s="158"/>
      <c r="AO235" s="158"/>
    </row>
    <row r="236" spans="1:41" s="107" customFormat="1" ht="34.5" customHeight="1">
      <c r="A236" s="359" t="s">
        <v>620</v>
      </c>
      <c r="B236" s="219" t="s">
        <v>68</v>
      </c>
      <c r="C236" s="1057">
        <f>CEILING((C235+40*$Z$1),0.1)</f>
        <v>146.3</v>
      </c>
      <c r="D236" s="1058"/>
      <c r="E236" s="1057">
        <f>CEILING((E235+40*$Z$1),0.1)</f>
        <v>157.5</v>
      </c>
      <c r="F236" s="1058"/>
      <c r="G236" s="1057">
        <f>CEILING((G235+40*$Z$1),0.1)</f>
        <v>146.3</v>
      </c>
      <c r="H236" s="1058"/>
      <c r="I236" s="1061"/>
      <c r="J236" s="1061"/>
      <c r="K236" s="1061"/>
      <c r="L236" s="1061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  <c r="AN236" s="158"/>
      <c r="AO236" s="158"/>
    </row>
    <row r="237" spans="1:41" s="107" customFormat="1" ht="34.5" customHeight="1">
      <c r="A237" s="360" t="s">
        <v>849</v>
      </c>
      <c r="B237" s="361" t="s">
        <v>38</v>
      </c>
      <c r="C237" s="1057">
        <f>CEILING((C235*0.85),0.1)</f>
        <v>81.9</v>
      </c>
      <c r="D237" s="1058"/>
      <c r="E237" s="1057">
        <f>CEILING((E235*0.85),0.1)</f>
        <v>91.4</v>
      </c>
      <c r="F237" s="1058"/>
      <c r="G237" s="1057">
        <f>CEILING((G235*0.85),0.1)</f>
        <v>81.9</v>
      </c>
      <c r="H237" s="1058"/>
      <c r="I237" s="1061"/>
      <c r="J237" s="1061"/>
      <c r="K237" s="1061"/>
      <c r="L237" s="1061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  <c r="AN237" s="158"/>
      <c r="AO237" s="158"/>
    </row>
    <row r="238" spans="1:41" s="107" customFormat="1" ht="34.5" customHeight="1">
      <c r="A238" s="362" t="s">
        <v>36</v>
      </c>
      <c r="B238" s="218" t="s">
        <v>149</v>
      </c>
      <c r="C238" s="1057">
        <f>CEILING(122*$Z$1,0.1)</f>
        <v>152.5</v>
      </c>
      <c r="D238" s="1058"/>
      <c r="E238" s="1057">
        <f>CEILING(131*$Z$1,0.1)</f>
        <v>163.8</v>
      </c>
      <c r="F238" s="1058"/>
      <c r="G238" s="1057">
        <f>CEILING(122*$Z$1,0.1)</f>
        <v>152.5</v>
      </c>
      <c r="H238" s="1058"/>
      <c r="I238" s="1061"/>
      <c r="J238" s="1061"/>
      <c r="K238" s="1061"/>
      <c r="L238" s="1061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  <c r="AN238" s="158"/>
      <c r="AO238" s="158"/>
    </row>
    <row r="239" spans="1:41" s="107" customFormat="1" ht="34.5" customHeight="1">
      <c r="A239" s="360"/>
      <c r="B239" s="218" t="s">
        <v>150</v>
      </c>
      <c r="C239" s="1057">
        <f>CEILING((C238+40*$Z$1),0.1)</f>
        <v>202.5</v>
      </c>
      <c r="D239" s="1058"/>
      <c r="E239" s="1057">
        <f>CEILING((E238+40*$Z$1),0.1)</f>
        <v>213.8</v>
      </c>
      <c r="F239" s="1058"/>
      <c r="G239" s="1057">
        <f>CEILING((G238+40*$Z$1),0.1)</f>
        <v>202.5</v>
      </c>
      <c r="H239" s="1058"/>
      <c r="I239" s="1061"/>
      <c r="J239" s="1061"/>
      <c r="K239" s="1061"/>
      <c r="L239" s="1061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  <c r="AN239" s="158"/>
      <c r="AO239" s="158"/>
    </row>
    <row r="240" spans="1:41" s="107" customFormat="1" ht="34.5" customHeight="1">
      <c r="A240" s="360"/>
      <c r="B240" s="218" t="s">
        <v>201</v>
      </c>
      <c r="C240" s="1057">
        <f>CEILING(152*$Z$1,0.1)</f>
        <v>190</v>
      </c>
      <c r="D240" s="1058"/>
      <c r="E240" s="1057">
        <f>CEILING(161*$Z$1,0.1)</f>
        <v>201.3</v>
      </c>
      <c r="F240" s="1058"/>
      <c r="G240" s="1057">
        <f>CEILING(152*$Z$1,0.1)</f>
        <v>190</v>
      </c>
      <c r="H240" s="1058"/>
      <c r="I240" s="1061"/>
      <c r="J240" s="1061"/>
      <c r="K240" s="1061"/>
      <c r="L240" s="1061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  <c r="AN240" s="158"/>
      <c r="AO240" s="158"/>
    </row>
    <row r="241" spans="1:41" s="107" customFormat="1" ht="34.5" customHeight="1" thickBot="1">
      <c r="A241" s="363" t="s">
        <v>570</v>
      </c>
      <c r="B241" s="231" t="s">
        <v>202</v>
      </c>
      <c r="C241" s="1076">
        <f>CEILING((C240+40*$Z$1),0.1)</f>
        <v>240</v>
      </c>
      <c r="D241" s="1077"/>
      <c r="E241" s="1076">
        <f>CEILING((E240+40*$Z$1),0.1)</f>
        <v>251.3</v>
      </c>
      <c r="F241" s="1077"/>
      <c r="G241" s="1076">
        <f>CEILING((G240+40*$Z$1),0.1)</f>
        <v>240</v>
      </c>
      <c r="H241" s="1077"/>
      <c r="I241" s="1061"/>
      <c r="J241" s="1061"/>
      <c r="K241" s="1061"/>
      <c r="L241" s="1061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  <c r="AN241" s="158"/>
      <c r="AO241" s="158"/>
    </row>
    <row r="242" spans="1:41" s="135" customFormat="1" ht="34.5" customHeight="1" thickTop="1">
      <c r="A242" s="364" t="s">
        <v>160</v>
      </c>
      <c r="B242" s="364"/>
      <c r="C242" s="162"/>
      <c r="D242" s="162"/>
      <c r="E242" s="162"/>
      <c r="F242" s="162"/>
      <c r="G242" s="162"/>
      <c r="H242" s="162"/>
      <c r="I242" s="365"/>
      <c r="J242" s="365"/>
      <c r="K242" s="365"/>
      <c r="L242" s="365"/>
      <c r="M242" s="366"/>
      <c r="N242" s="366"/>
      <c r="O242" s="366"/>
      <c r="P242" s="366"/>
      <c r="Q242" s="366"/>
      <c r="R242" s="366"/>
      <c r="S242" s="366"/>
      <c r="T242" s="366"/>
      <c r="U242" s="366"/>
      <c r="V242" s="366"/>
      <c r="W242" s="366"/>
      <c r="X242" s="366"/>
      <c r="Y242" s="366"/>
      <c r="Z242" s="366"/>
      <c r="AA242" s="366"/>
      <c r="AB242" s="366"/>
      <c r="AC242" s="366"/>
      <c r="AD242" s="366"/>
      <c r="AE242" s="366"/>
      <c r="AF242" s="366"/>
      <c r="AG242" s="366"/>
      <c r="AH242" s="366"/>
      <c r="AI242" s="366"/>
      <c r="AJ242" s="366"/>
      <c r="AK242" s="366"/>
      <c r="AL242" s="366"/>
      <c r="AM242" s="366"/>
      <c r="AN242" s="366"/>
      <c r="AO242" s="366"/>
    </row>
    <row r="243" spans="1:41" s="369" customFormat="1" ht="34.5" customHeight="1">
      <c r="A243" s="161" t="s">
        <v>621</v>
      </c>
      <c r="B243" s="161"/>
      <c r="C243" s="161"/>
      <c r="D243" s="161"/>
      <c r="E243" s="161"/>
      <c r="F243" s="161"/>
      <c r="G243" s="161"/>
      <c r="H243" s="161"/>
      <c r="I243" s="161"/>
      <c r="J243" s="161"/>
      <c r="K243" s="367" t="s">
        <v>622</v>
      </c>
      <c r="L243" s="367"/>
      <c r="M243" s="368"/>
      <c r="N243" s="368"/>
      <c r="O243" s="368"/>
      <c r="P243" s="368"/>
      <c r="Q243" s="368"/>
      <c r="R243" s="368"/>
      <c r="S243" s="368"/>
      <c r="T243" s="368"/>
      <c r="U243" s="368"/>
      <c r="V243" s="368"/>
      <c r="W243" s="368"/>
      <c r="X243" s="368"/>
      <c r="Y243" s="368"/>
      <c r="Z243" s="368"/>
      <c r="AA243" s="368"/>
      <c r="AB243" s="368"/>
      <c r="AC243" s="368"/>
      <c r="AD243" s="368"/>
      <c r="AE243" s="368"/>
      <c r="AF243" s="368"/>
      <c r="AG243" s="368"/>
      <c r="AH243" s="368"/>
      <c r="AI243" s="368"/>
      <c r="AJ243" s="368"/>
      <c r="AK243" s="368"/>
      <c r="AL243" s="368"/>
      <c r="AM243" s="368"/>
      <c r="AN243" s="368"/>
      <c r="AO243" s="368"/>
    </row>
    <row r="244" spans="1:41" s="107" customFormat="1" ht="34.5" customHeight="1" thickBot="1">
      <c r="A244" s="372"/>
      <c r="B244" s="329"/>
      <c r="C244" s="162"/>
      <c r="D244" s="162"/>
      <c r="E244" s="162"/>
      <c r="F244" s="162"/>
      <c r="G244" s="162"/>
      <c r="H244" s="162"/>
      <c r="I244" s="169"/>
      <c r="J244" s="169"/>
      <c r="K244" s="373"/>
      <c r="L244" s="373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  <c r="AN244" s="158"/>
      <c r="AO244" s="158"/>
    </row>
    <row r="245" spans="1:42" s="214" customFormat="1" ht="34.5" customHeight="1" thickTop="1">
      <c r="A245" s="207" t="s">
        <v>34</v>
      </c>
      <c r="B245" s="208" t="s">
        <v>637</v>
      </c>
      <c r="C245" s="209" t="s">
        <v>921</v>
      </c>
      <c r="D245" s="210"/>
      <c r="E245" s="211" t="s">
        <v>922</v>
      </c>
      <c r="F245" s="212"/>
      <c r="G245" s="211" t="s">
        <v>923</v>
      </c>
      <c r="H245" s="212"/>
      <c r="I245" s="1070"/>
      <c r="J245" s="1071"/>
      <c r="K245" s="1070"/>
      <c r="L245" s="1070"/>
      <c r="M245" s="174"/>
      <c r="N245" s="174"/>
      <c r="O245" s="213"/>
      <c r="P245" s="213"/>
      <c r="Q245" s="213"/>
      <c r="R245" s="213"/>
      <c r="S245" s="213"/>
      <c r="T245" s="213"/>
      <c r="U245" s="213"/>
      <c r="V245" s="213"/>
      <c r="W245" s="213"/>
      <c r="X245" s="213"/>
      <c r="Y245" s="213"/>
      <c r="Z245" s="213"/>
      <c r="AA245" s="213"/>
      <c r="AB245" s="213"/>
      <c r="AC245" s="213"/>
      <c r="AD245" s="213"/>
      <c r="AE245" s="213"/>
      <c r="AF245" s="213"/>
      <c r="AG245" s="213"/>
      <c r="AH245" s="213"/>
      <c r="AI245" s="213"/>
      <c r="AJ245" s="213"/>
      <c r="AK245" s="213"/>
      <c r="AL245" s="213"/>
      <c r="AM245" s="213"/>
      <c r="AN245" s="213"/>
      <c r="AO245" s="213"/>
      <c r="AP245" s="213"/>
    </row>
    <row r="246" spans="1:41" s="369" customFormat="1" ht="34.5" customHeight="1">
      <c r="A246" s="358" t="s">
        <v>687</v>
      </c>
      <c r="B246" s="374" t="s">
        <v>623</v>
      </c>
      <c r="C246" s="1073">
        <f>CEILING(87*$Z$1,0.1)</f>
        <v>108.80000000000001</v>
      </c>
      <c r="D246" s="1074"/>
      <c r="E246" s="1073">
        <f>CEILING(96*$Z$1,0.1)</f>
        <v>120</v>
      </c>
      <c r="F246" s="1074"/>
      <c r="G246" s="1073">
        <f>CEILING(87*$Z$1,0.1)</f>
        <v>108.80000000000001</v>
      </c>
      <c r="H246" s="1074"/>
      <c r="I246" s="1061"/>
      <c r="J246" s="1061"/>
      <c r="K246" s="1061"/>
      <c r="L246" s="1061"/>
      <c r="M246" s="375"/>
      <c r="N246" s="375"/>
      <c r="O246" s="368"/>
      <c r="P246" s="368"/>
      <c r="Q246" s="368"/>
      <c r="R246" s="368"/>
      <c r="S246" s="368"/>
      <c r="T246" s="368"/>
      <c r="U246" s="368"/>
      <c r="V246" s="368"/>
      <c r="W246" s="368"/>
      <c r="X246" s="368"/>
      <c r="Y246" s="368"/>
      <c r="Z246" s="368"/>
      <c r="AA246" s="368"/>
      <c r="AB246" s="368"/>
      <c r="AC246" s="368"/>
      <c r="AD246" s="368"/>
      <c r="AE246" s="368"/>
      <c r="AF246" s="368"/>
      <c r="AG246" s="368"/>
      <c r="AH246" s="368"/>
      <c r="AI246" s="368"/>
      <c r="AJ246" s="368"/>
      <c r="AK246" s="368"/>
      <c r="AL246" s="368"/>
      <c r="AM246" s="368"/>
      <c r="AN246" s="368"/>
      <c r="AO246" s="368"/>
    </row>
    <row r="247" spans="1:41" s="369" customFormat="1" ht="34.5" customHeight="1">
      <c r="A247" s="359" t="s">
        <v>36</v>
      </c>
      <c r="B247" s="376" t="s">
        <v>624</v>
      </c>
      <c r="C247" s="1057">
        <f>CEILING((C246+40*$Z$1),0.1)</f>
        <v>158.8</v>
      </c>
      <c r="D247" s="1058"/>
      <c r="E247" s="1057">
        <f>CEILING((E246+40*$Z$1),0.1)</f>
        <v>170</v>
      </c>
      <c r="F247" s="1058"/>
      <c r="G247" s="1057">
        <f>CEILING((G246+40*$Z$1),0.1)</f>
        <v>158.8</v>
      </c>
      <c r="H247" s="1058"/>
      <c r="I247" s="1061"/>
      <c r="J247" s="1061"/>
      <c r="K247" s="1061"/>
      <c r="L247" s="1061"/>
      <c r="M247" s="368"/>
      <c r="N247" s="368"/>
      <c r="O247" s="368"/>
      <c r="P247" s="368"/>
      <c r="Q247" s="368"/>
      <c r="R247" s="368"/>
      <c r="S247" s="368"/>
      <c r="T247" s="368"/>
      <c r="U247" s="368"/>
      <c r="V247" s="368"/>
      <c r="W247" s="368"/>
      <c r="X247" s="368"/>
      <c r="Y247" s="368"/>
      <c r="Z247" s="368"/>
      <c r="AA247" s="368"/>
      <c r="AB247" s="368"/>
      <c r="AC247" s="368"/>
      <c r="AD247" s="368"/>
      <c r="AE247" s="368"/>
      <c r="AF247" s="368"/>
      <c r="AG247" s="368"/>
      <c r="AH247" s="368"/>
      <c r="AI247" s="368"/>
      <c r="AJ247" s="368"/>
      <c r="AK247" s="368"/>
      <c r="AL247" s="368"/>
      <c r="AM247" s="368"/>
      <c r="AN247" s="368"/>
      <c r="AO247" s="368"/>
    </row>
    <row r="248" spans="1:41" s="369" customFormat="1" ht="34.5" customHeight="1">
      <c r="A248" s="359"/>
      <c r="B248" s="377" t="s">
        <v>38</v>
      </c>
      <c r="C248" s="1057">
        <f>CEILING((C246*0.85),0.1)</f>
        <v>92.5</v>
      </c>
      <c r="D248" s="1058"/>
      <c r="E248" s="1057">
        <f>CEILING((E246*0.85),0.1)</f>
        <v>102</v>
      </c>
      <c r="F248" s="1058"/>
      <c r="G248" s="1057">
        <f>CEILING((G246*0.85),0.1)</f>
        <v>92.5</v>
      </c>
      <c r="H248" s="1058"/>
      <c r="I248" s="1061"/>
      <c r="J248" s="1061"/>
      <c r="K248" s="1061"/>
      <c r="L248" s="1061"/>
      <c r="M248" s="368"/>
      <c r="N248" s="368"/>
      <c r="O248" s="368"/>
      <c r="P248" s="368"/>
      <c r="Q248" s="368"/>
      <c r="R248" s="368"/>
      <c r="S248" s="368"/>
      <c r="T248" s="368"/>
      <c r="U248" s="368"/>
      <c r="V248" s="368"/>
      <c r="W248" s="368"/>
      <c r="X248" s="368"/>
      <c r="Y248" s="368"/>
      <c r="Z248" s="368"/>
      <c r="AA248" s="368"/>
      <c r="AB248" s="368"/>
      <c r="AC248" s="368"/>
      <c r="AD248" s="368"/>
      <c r="AE248" s="368"/>
      <c r="AF248" s="368"/>
      <c r="AG248" s="368"/>
      <c r="AH248" s="368"/>
      <c r="AI248" s="368"/>
      <c r="AJ248" s="368"/>
      <c r="AK248" s="368"/>
      <c r="AL248" s="368"/>
      <c r="AM248" s="368"/>
      <c r="AN248" s="368"/>
      <c r="AO248" s="368"/>
    </row>
    <row r="249" spans="1:41" s="369" customFormat="1" ht="34.5" customHeight="1">
      <c r="A249" s="378"/>
      <c r="B249" s="379" t="s">
        <v>546</v>
      </c>
      <c r="C249" s="1057">
        <f>CEILING((C246*0.5),0.1)</f>
        <v>54.400000000000006</v>
      </c>
      <c r="D249" s="1058"/>
      <c r="E249" s="1057">
        <f>CEILING((E246*0.5),0.1)</f>
        <v>60</v>
      </c>
      <c r="F249" s="1058"/>
      <c r="G249" s="1057">
        <f>CEILING((G246*0.5),0.1)</f>
        <v>54.400000000000006</v>
      </c>
      <c r="H249" s="1058"/>
      <c r="I249" s="1061"/>
      <c r="J249" s="1061"/>
      <c r="K249" s="1061"/>
      <c r="L249" s="1061"/>
      <c r="M249" s="368"/>
      <c r="N249" s="368"/>
      <c r="O249" s="368"/>
      <c r="P249" s="368"/>
      <c r="Q249" s="368"/>
      <c r="R249" s="368"/>
      <c r="S249" s="368"/>
      <c r="T249" s="368"/>
      <c r="U249" s="368"/>
      <c r="V249" s="368"/>
      <c r="W249" s="368"/>
      <c r="X249" s="368"/>
      <c r="Y249" s="368"/>
      <c r="Z249" s="368"/>
      <c r="AA249" s="368"/>
      <c r="AB249" s="368"/>
      <c r="AC249" s="368"/>
      <c r="AD249" s="368"/>
      <c r="AE249" s="368"/>
      <c r="AF249" s="368"/>
      <c r="AG249" s="368"/>
      <c r="AH249" s="368"/>
      <c r="AI249" s="368"/>
      <c r="AJ249" s="368"/>
      <c r="AK249" s="368"/>
      <c r="AL249" s="368"/>
      <c r="AM249" s="368"/>
      <c r="AN249" s="368"/>
      <c r="AO249" s="368"/>
    </row>
    <row r="250" spans="1:41" s="369" customFormat="1" ht="34.5" customHeight="1">
      <c r="A250" s="359"/>
      <c r="B250" s="376" t="s">
        <v>689</v>
      </c>
      <c r="C250" s="1057">
        <f>CEILING(132*$Z$1,0.1)</f>
        <v>165</v>
      </c>
      <c r="D250" s="1058"/>
      <c r="E250" s="1057">
        <f>CEILING(141*$Z$1,0.1)</f>
        <v>176.3</v>
      </c>
      <c r="F250" s="1058"/>
      <c r="G250" s="1057">
        <f>CEILING(132*$Z$1,0.1)</f>
        <v>165</v>
      </c>
      <c r="H250" s="1058"/>
      <c r="I250" s="1061"/>
      <c r="J250" s="1061"/>
      <c r="K250" s="1061"/>
      <c r="L250" s="1061"/>
      <c r="M250" s="368"/>
      <c r="N250" s="368"/>
      <c r="O250" s="368"/>
      <c r="P250" s="368"/>
      <c r="Q250" s="368"/>
      <c r="R250" s="368"/>
      <c r="S250" s="368"/>
      <c r="T250" s="368"/>
      <c r="U250" s="368"/>
      <c r="V250" s="368"/>
      <c r="W250" s="368"/>
      <c r="X250" s="368"/>
      <c r="Y250" s="368"/>
      <c r="Z250" s="368"/>
      <c r="AA250" s="368"/>
      <c r="AB250" s="368"/>
      <c r="AC250" s="368"/>
      <c r="AD250" s="368"/>
      <c r="AE250" s="368"/>
      <c r="AF250" s="368"/>
      <c r="AG250" s="368"/>
      <c r="AH250" s="368"/>
      <c r="AI250" s="368"/>
      <c r="AJ250" s="368"/>
      <c r="AK250" s="368"/>
      <c r="AL250" s="368"/>
      <c r="AM250" s="368"/>
      <c r="AN250" s="368"/>
      <c r="AO250" s="368"/>
    </row>
    <row r="251" spans="1:41" s="369" customFormat="1" ht="34.5" customHeight="1">
      <c r="A251" s="380"/>
      <c r="B251" s="376" t="s">
        <v>690</v>
      </c>
      <c r="C251" s="1057">
        <f>CEILING((C250+40*$Z$1),0.1)</f>
        <v>215</v>
      </c>
      <c r="D251" s="1058"/>
      <c r="E251" s="1057">
        <f>CEILING((E250+40*$Z$1),0.1)</f>
        <v>226.3</v>
      </c>
      <c r="F251" s="1058"/>
      <c r="G251" s="1057">
        <f>CEILING((G250+40*$Z$1),0.1)</f>
        <v>215</v>
      </c>
      <c r="H251" s="1058"/>
      <c r="I251" s="1061"/>
      <c r="J251" s="1061"/>
      <c r="K251" s="1061"/>
      <c r="L251" s="1061"/>
      <c r="M251" s="368"/>
      <c r="N251" s="368"/>
      <c r="O251" s="368"/>
      <c r="P251" s="368"/>
      <c r="Q251" s="368"/>
      <c r="R251" s="368"/>
      <c r="S251" s="368"/>
      <c r="T251" s="368"/>
      <c r="U251" s="368"/>
      <c r="V251" s="368"/>
      <c r="W251" s="368"/>
      <c r="X251" s="368"/>
      <c r="Y251" s="368"/>
      <c r="Z251" s="368"/>
      <c r="AA251" s="368"/>
      <c r="AB251" s="368"/>
      <c r="AC251" s="368"/>
      <c r="AD251" s="368"/>
      <c r="AE251" s="368"/>
      <c r="AF251" s="368"/>
      <c r="AG251" s="368"/>
      <c r="AH251" s="368"/>
      <c r="AI251" s="368"/>
      <c r="AJ251" s="368"/>
      <c r="AK251" s="368"/>
      <c r="AL251" s="368"/>
      <c r="AM251" s="368"/>
      <c r="AN251" s="368"/>
      <c r="AO251" s="368"/>
    </row>
    <row r="252" spans="1:41" s="369" customFormat="1" ht="34.5" customHeight="1">
      <c r="A252" s="265"/>
      <c r="B252" s="376" t="s">
        <v>691</v>
      </c>
      <c r="C252" s="1057">
        <f>CEILING(147*$Z$1,0.1)</f>
        <v>183.8</v>
      </c>
      <c r="D252" s="1058"/>
      <c r="E252" s="1057">
        <f>CEILING(156*$Z$1,0.1)</f>
        <v>195</v>
      </c>
      <c r="F252" s="1058"/>
      <c r="G252" s="1057">
        <f>CEILING(147*$Z$1,0.1)</f>
        <v>183.8</v>
      </c>
      <c r="H252" s="1058"/>
      <c r="I252" s="1061"/>
      <c r="J252" s="1061"/>
      <c r="K252" s="1061"/>
      <c r="L252" s="1061"/>
      <c r="M252" s="368"/>
      <c r="N252" s="368"/>
      <c r="O252" s="368"/>
      <c r="P252" s="368"/>
      <c r="Q252" s="368"/>
      <c r="R252" s="368"/>
      <c r="S252" s="368"/>
      <c r="T252" s="368"/>
      <c r="U252" s="368"/>
      <c r="V252" s="368"/>
      <c r="W252" s="368"/>
      <c r="X252" s="368"/>
      <c r="Y252" s="368"/>
      <c r="Z252" s="368"/>
      <c r="AA252" s="368"/>
      <c r="AB252" s="368"/>
      <c r="AC252" s="368"/>
      <c r="AD252" s="368"/>
      <c r="AE252" s="368"/>
      <c r="AF252" s="368"/>
      <c r="AG252" s="368"/>
      <c r="AH252" s="368"/>
      <c r="AI252" s="368"/>
      <c r="AJ252" s="368"/>
      <c r="AK252" s="368"/>
      <c r="AL252" s="368"/>
      <c r="AM252" s="368"/>
      <c r="AN252" s="368"/>
      <c r="AO252" s="368"/>
    </row>
    <row r="253" spans="1:41" s="369" customFormat="1" ht="34.5" customHeight="1">
      <c r="A253" s="381"/>
      <c r="B253" s="376" t="s">
        <v>692</v>
      </c>
      <c r="C253" s="1057">
        <f>CEILING((C252+40*$Z$1),0.1)</f>
        <v>233.8</v>
      </c>
      <c r="D253" s="1058"/>
      <c r="E253" s="1057">
        <f>CEILING((E252+40*$Z$1),0.1)</f>
        <v>245</v>
      </c>
      <c r="F253" s="1058"/>
      <c r="G253" s="1057">
        <f>CEILING((G252+40*$Z$1),0.1)</f>
        <v>233.8</v>
      </c>
      <c r="H253" s="1058"/>
      <c r="I253" s="1061"/>
      <c r="J253" s="1061"/>
      <c r="K253" s="1061"/>
      <c r="L253" s="1061"/>
      <c r="M253" s="368"/>
      <c r="N253" s="368"/>
      <c r="O253" s="368"/>
      <c r="P253" s="368"/>
      <c r="Q253" s="368"/>
      <c r="R253" s="368"/>
      <c r="S253" s="368"/>
      <c r="T253" s="368"/>
      <c r="U253" s="368"/>
      <c r="V253" s="368"/>
      <c r="W253" s="368"/>
      <c r="X253" s="368"/>
      <c r="Y253" s="368"/>
      <c r="Z253" s="368"/>
      <c r="AA253" s="368"/>
      <c r="AB253" s="368"/>
      <c r="AC253" s="368"/>
      <c r="AD253" s="368"/>
      <c r="AE253" s="368"/>
      <c r="AF253" s="368"/>
      <c r="AG253" s="368"/>
      <c r="AH253" s="368"/>
      <c r="AI253" s="368"/>
      <c r="AJ253" s="368"/>
      <c r="AK253" s="368"/>
      <c r="AL253" s="368"/>
      <c r="AM253" s="368"/>
      <c r="AN253" s="368"/>
      <c r="AO253" s="368"/>
    </row>
    <row r="254" spans="1:41" s="369" customFormat="1" ht="34.5" customHeight="1">
      <c r="A254" s="381"/>
      <c r="B254" s="376" t="s">
        <v>547</v>
      </c>
      <c r="C254" s="1057">
        <f>CEILING(157*$Z$1,0.1)</f>
        <v>196.3</v>
      </c>
      <c r="D254" s="1058"/>
      <c r="E254" s="1057">
        <f>CEILING(166*$Z$1,0.1)</f>
        <v>207.5</v>
      </c>
      <c r="F254" s="1058"/>
      <c r="G254" s="1057">
        <f>CEILING(157*$Z$1,0.1)</f>
        <v>196.3</v>
      </c>
      <c r="H254" s="1058"/>
      <c r="I254" s="1061"/>
      <c r="J254" s="1061"/>
      <c r="K254" s="1061"/>
      <c r="L254" s="1061"/>
      <c r="M254" s="368"/>
      <c r="N254" s="368"/>
      <c r="O254" s="368"/>
      <c r="P254" s="368"/>
      <c r="Q254" s="368"/>
      <c r="R254" s="368"/>
      <c r="S254" s="368"/>
      <c r="T254" s="368"/>
      <c r="U254" s="368"/>
      <c r="V254" s="368"/>
      <c r="W254" s="368"/>
      <c r="X254" s="368"/>
      <c r="Y254" s="368"/>
      <c r="Z254" s="368"/>
      <c r="AA254" s="368"/>
      <c r="AB254" s="368"/>
      <c r="AC254" s="368"/>
      <c r="AD254" s="368"/>
      <c r="AE254" s="368"/>
      <c r="AF254" s="368"/>
      <c r="AG254" s="368"/>
      <c r="AH254" s="368"/>
      <c r="AI254" s="368"/>
      <c r="AJ254" s="368"/>
      <c r="AK254" s="368"/>
      <c r="AL254" s="368"/>
      <c r="AM254" s="368"/>
      <c r="AN254" s="368"/>
      <c r="AO254" s="368"/>
    </row>
    <row r="255" spans="1:41" s="369" customFormat="1" ht="34.5" customHeight="1">
      <c r="A255" s="381"/>
      <c r="B255" s="376" t="s">
        <v>693</v>
      </c>
      <c r="C255" s="1057">
        <f>CEILING((C254+40*$Z$1),0.1)</f>
        <v>246.3</v>
      </c>
      <c r="D255" s="1058"/>
      <c r="E255" s="1057">
        <f>CEILING((E254+40*$Z$1),0.1)</f>
        <v>257.5</v>
      </c>
      <c r="F255" s="1058"/>
      <c r="G255" s="1057">
        <f>CEILING((G254+40*$Z$1),0.1)</f>
        <v>246.3</v>
      </c>
      <c r="H255" s="1058"/>
      <c r="I255" s="1061"/>
      <c r="J255" s="1061"/>
      <c r="K255" s="1061"/>
      <c r="L255" s="1061"/>
      <c r="M255" s="368"/>
      <c r="N255" s="368"/>
      <c r="O255" s="368"/>
      <c r="P255" s="368"/>
      <c r="Q255" s="368"/>
      <c r="R255" s="368"/>
      <c r="S255" s="368"/>
      <c r="T255" s="368"/>
      <c r="U255" s="368"/>
      <c r="V255" s="368"/>
      <c r="W255" s="368"/>
      <c r="X255" s="368"/>
      <c r="Y255" s="368"/>
      <c r="Z255" s="368"/>
      <c r="AA255" s="368"/>
      <c r="AB255" s="368"/>
      <c r="AC255" s="368"/>
      <c r="AD255" s="368"/>
      <c r="AE255" s="368"/>
      <c r="AF255" s="368"/>
      <c r="AG255" s="368"/>
      <c r="AH255" s="368"/>
      <c r="AI255" s="368"/>
      <c r="AJ255" s="368"/>
      <c r="AK255" s="368"/>
      <c r="AL255" s="368"/>
      <c r="AM255" s="368"/>
      <c r="AN255" s="368"/>
      <c r="AO255" s="368"/>
    </row>
    <row r="256" spans="1:41" s="369" customFormat="1" ht="34.5" customHeight="1">
      <c r="A256" s="381"/>
      <c r="B256" s="376" t="s">
        <v>694</v>
      </c>
      <c r="C256" s="1057">
        <f>CEILING(207*$Z$1,0.1)</f>
        <v>258.8</v>
      </c>
      <c r="D256" s="1058"/>
      <c r="E256" s="1057">
        <f>CEILING(216*$Z$1,0.1)</f>
        <v>270</v>
      </c>
      <c r="F256" s="1058"/>
      <c r="G256" s="1057">
        <f>CEILING(207*$Z$1,0.1)</f>
        <v>258.8</v>
      </c>
      <c r="H256" s="1058"/>
      <c r="I256" s="1061"/>
      <c r="J256" s="1061"/>
      <c r="K256" s="1061"/>
      <c r="L256" s="1061"/>
      <c r="M256" s="368"/>
      <c r="N256" s="368"/>
      <c r="O256" s="368"/>
      <c r="P256" s="368"/>
      <c r="Q256" s="368"/>
      <c r="R256" s="368"/>
      <c r="S256" s="368"/>
      <c r="T256" s="368"/>
      <c r="U256" s="368"/>
      <c r="V256" s="368"/>
      <c r="W256" s="368"/>
      <c r="X256" s="368"/>
      <c r="Y256" s="368"/>
      <c r="Z256" s="368"/>
      <c r="AA256" s="368"/>
      <c r="AB256" s="368"/>
      <c r="AC256" s="368"/>
      <c r="AD256" s="368"/>
      <c r="AE256" s="368"/>
      <c r="AF256" s="368"/>
      <c r="AG256" s="368"/>
      <c r="AH256" s="368"/>
      <c r="AI256" s="368"/>
      <c r="AJ256" s="368"/>
      <c r="AK256" s="368"/>
      <c r="AL256" s="368"/>
      <c r="AM256" s="368"/>
      <c r="AN256" s="368"/>
      <c r="AO256" s="368"/>
    </row>
    <row r="257" spans="1:41" s="369" customFormat="1" ht="34.5" customHeight="1" thickBot="1">
      <c r="A257" s="382" t="s">
        <v>688</v>
      </c>
      <c r="B257" s="383" t="s">
        <v>695</v>
      </c>
      <c r="C257" s="1076">
        <f>CEILING((C256+40*$Z$1),0.1)</f>
        <v>308.8</v>
      </c>
      <c r="D257" s="1077"/>
      <c r="E257" s="1076">
        <f>CEILING((E256+40*$Z$1),0.1)</f>
        <v>320</v>
      </c>
      <c r="F257" s="1077"/>
      <c r="G257" s="1076">
        <f>CEILING((G256+40*$Z$1),0.1)</f>
        <v>308.8</v>
      </c>
      <c r="H257" s="1077"/>
      <c r="I257" s="1061"/>
      <c r="J257" s="1061"/>
      <c r="K257" s="1061"/>
      <c r="L257" s="1061"/>
      <c r="M257" s="368"/>
      <c r="N257" s="368"/>
      <c r="O257" s="368"/>
      <c r="P257" s="368"/>
      <c r="Q257" s="368"/>
      <c r="R257" s="368"/>
      <c r="S257" s="368"/>
      <c r="T257" s="368"/>
      <c r="U257" s="368"/>
      <c r="V257" s="368"/>
      <c r="W257" s="368"/>
      <c r="X257" s="368"/>
      <c r="Y257" s="368"/>
      <c r="Z257" s="368"/>
      <c r="AA257" s="368"/>
      <c r="AB257" s="368"/>
      <c r="AC257" s="368"/>
      <c r="AD257" s="368"/>
      <c r="AE257" s="368"/>
      <c r="AF257" s="368"/>
      <c r="AG257" s="368"/>
      <c r="AH257" s="368"/>
      <c r="AI257" s="368"/>
      <c r="AJ257" s="368"/>
      <c r="AK257" s="368"/>
      <c r="AL257" s="368"/>
      <c r="AM257" s="368"/>
      <c r="AN257" s="368"/>
      <c r="AO257" s="368"/>
    </row>
    <row r="258" spans="1:41" s="155" customFormat="1" ht="34.5" customHeight="1" thickTop="1">
      <c r="A258" s="384" t="s">
        <v>696</v>
      </c>
      <c r="B258" s="385"/>
      <c r="C258" s="386"/>
      <c r="D258" s="386"/>
      <c r="E258" s="148"/>
      <c r="F258" s="148"/>
      <c r="G258" s="148"/>
      <c r="H258" s="148"/>
      <c r="I258" s="148"/>
      <c r="J258" s="148"/>
      <c r="K258" s="387"/>
      <c r="L258" s="387"/>
      <c r="M258" s="124"/>
      <c r="N258" s="12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  <c r="AL258" s="154"/>
      <c r="AM258" s="154"/>
      <c r="AN258" s="154"/>
      <c r="AO258" s="154"/>
    </row>
    <row r="259" spans="1:25" s="371" customFormat="1" ht="34.5" customHeight="1">
      <c r="A259" s="163"/>
      <c r="B259" s="164"/>
      <c r="C259" s="164"/>
      <c r="D259" s="164"/>
      <c r="E259" s="164"/>
      <c r="F259" s="164"/>
      <c r="G259" s="164"/>
      <c r="H259" s="164"/>
      <c r="I259" s="164"/>
      <c r="J259" s="164"/>
      <c r="K259" s="370"/>
      <c r="L259" s="370"/>
      <c r="M259" s="166"/>
      <c r="N259" s="388"/>
      <c r="O259" s="388"/>
      <c r="P259" s="388"/>
      <c r="Q259" s="388"/>
      <c r="R259" s="388"/>
      <c r="S259" s="388"/>
      <c r="T259" s="388"/>
      <c r="U259" s="388"/>
      <c r="V259" s="388"/>
      <c r="W259" s="388"/>
      <c r="X259" s="388"/>
      <c r="Y259" s="388"/>
    </row>
    <row r="260" spans="1:13" s="393" customFormat="1" ht="34.5" customHeight="1" thickBot="1">
      <c r="A260" s="389"/>
      <c r="B260" s="389"/>
      <c r="C260" s="389"/>
      <c r="D260" s="389"/>
      <c r="E260" s="389"/>
      <c r="F260" s="389"/>
      <c r="G260" s="389"/>
      <c r="H260" s="389"/>
      <c r="I260" s="390"/>
      <c r="J260" s="390"/>
      <c r="K260" s="391"/>
      <c r="L260" s="391"/>
      <c r="M260" s="392"/>
    </row>
    <row r="261" spans="1:42" s="214" customFormat="1" ht="34.5" customHeight="1" thickTop="1">
      <c r="A261" s="207" t="s">
        <v>34</v>
      </c>
      <c r="B261" s="208" t="s">
        <v>637</v>
      </c>
      <c r="C261" s="209" t="s">
        <v>921</v>
      </c>
      <c r="D261" s="210"/>
      <c r="E261" s="211" t="s">
        <v>922</v>
      </c>
      <c r="F261" s="212"/>
      <c r="G261" s="211" t="s">
        <v>923</v>
      </c>
      <c r="H261" s="212"/>
      <c r="I261" s="1070"/>
      <c r="J261" s="1071"/>
      <c r="K261" s="1070"/>
      <c r="L261" s="1070"/>
      <c r="M261" s="174"/>
      <c r="N261" s="174"/>
      <c r="O261" s="213"/>
      <c r="P261" s="213"/>
      <c r="Q261" s="213"/>
      <c r="R261" s="213"/>
      <c r="S261" s="213"/>
      <c r="T261" s="213"/>
      <c r="U261" s="213"/>
      <c r="V261" s="213"/>
      <c r="W261" s="213"/>
      <c r="X261" s="213"/>
      <c r="Y261" s="213"/>
      <c r="Z261" s="213"/>
      <c r="AA261" s="213"/>
      <c r="AB261" s="213"/>
      <c r="AC261" s="213"/>
      <c r="AD261" s="213"/>
      <c r="AE261" s="213"/>
      <c r="AF261" s="213"/>
      <c r="AG261" s="213"/>
      <c r="AH261" s="213"/>
      <c r="AI261" s="213"/>
      <c r="AJ261" s="213"/>
      <c r="AK261" s="213"/>
      <c r="AL261" s="213"/>
      <c r="AM261" s="213"/>
      <c r="AN261" s="213"/>
      <c r="AO261" s="213"/>
      <c r="AP261" s="213"/>
    </row>
    <row r="262" spans="1:41" s="107" customFormat="1" ht="34.5" customHeight="1">
      <c r="A262" s="293" t="s">
        <v>189</v>
      </c>
      <c r="B262" s="264" t="s">
        <v>170</v>
      </c>
      <c r="C262" s="1063">
        <f>CEILING(90*$Z$1,0.1)</f>
        <v>112.5</v>
      </c>
      <c r="D262" s="1064"/>
      <c r="E262" s="1063">
        <f>CEILING(90*$Z$1,0.1)</f>
        <v>112.5</v>
      </c>
      <c r="F262" s="1064"/>
      <c r="G262" s="1063">
        <f>CEILING(90*$Z$1,0.1)</f>
        <v>112.5</v>
      </c>
      <c r="H262" s="1064"/>
      <c r="I262" s="1061"/>
      <c r="J262" s="1061"/>
      <c r="K262" s="1061"/>
      <c r="L262" s="1061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  <c r="AN262" s="158"/>
      <c r="AO262" s="158"/>
    </row>
    <row r="263" spans="1:41" s="107" customFormat="1" ht="34.5" customHeight="1">
      <c r="A263" s="295" t="s">
        <v>36</v>
      </c>
      <c r="B263" s="241" t="s">
        <v>171</v>
      </c>
      <c r="C263" s="1065">
        <f>CEILING((C262+30*$Z$1),0.1)</f>
        <v>150</v>
      </c>
      <c r="D263" s="1066"/>
      <c r="E263" s="1065">
        <f>CEILING((E262+30*$Z$1),0.1)</f>
        <v>150</v>
      </c>
      <c r="F263" s="1066"/>
      <c r="G263" s="1065">
        <f>CEILING((G262+30*$Z$1),0.1)</f>
        <v>150</v>
      </c>
      <c r="H263" s="1066"/>
      <c r="I263" s="1061"/>
      <c r="J263" s="1061"/>
      <c r="K263" s="1061"/>
      <c r="L263" s="1061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  <c r="AN263" s="158"/>
      <c r="AO263" s="158"/>
    </row>
    <row r="264" spans="1:41" s="107" customFormat="1" ht="34.5" customHeight="1">
      <c r="A264" s="360" t="s">
        <v>852</v>
      </c>
      <c r="B264" s="241" t="s">
        <v>172</v>
      </c>
      <c r="C264" s="1057">
        <f>CEILING(171*$Z$1,0.1)</f>
        <v>213.8</v>
      </c>
      <c r="D264" s="1058"/>
      <c r="E264" s="1057">
        <f>CEILING(171*$Z$1,0.1)</f>
        <v>213.8</v>
      </c>
      <c r="F264" s="1058"/>
      <c r="G264" s="1057">
        <f>CEILING(171*$Z$1,0.1)</f>
        <v>213.8</v>
      </c>
      <c r="H264" s="1058"/>
      <c r="I264" s="1061"/>
      <c r="J264" s="1061"/>
      <c r="K264" s="1061"/>
      <c r="L264" s="1061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  <c r="AN264" s="158"/>
      <c r="AO264" s="158"/>
    </row>
    <row r="265" spans="1:41" s="107" customFormat="1" ht="34.5" customHeight="1">
      <c r="A265" s="394"/>
      <c r="B265" s="241" t="s">
        <v>173</v>
      </c>
      <c r="C265" s="1057">
        <f>CEILING((C264+80*$Z$1),0.1)</f>
        <v>313.8</v>
      </c>
      <c r="D265" s="1058"/>
      <c r="E265" s="1057">
        <f>CEILING((E264+80*$Z$1),0.1)</f>
        <v>313.8</v>
      </c>
      <c r="F265" s="1058"/>
      <c r="G265" s="1057">
        <f>CEILING((G264+80*$Z$1),0.1)</f>
        <v>313.8</v>
      </c>
      <c r="H265" s="1058"/>
      <c r="I265" s="1061"/>
      <c r="J265" s="1061"/>
      <c r="K265" s="1061"/>
      <c r="L265" s="1061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  <c r="AN265" s="158"/>
      <c r="AO265" s="158"/>
    </row>
    <row r="266" spans="1:41" s="107" customFormat="1" ht="34.5" customHeight="1">
      <c r="A266" s="395" t="s">
        <v>1063</v>
      </c>
      <c r="B266" s="241" t="s">
        <v>856</v>
      </c>
      <c r="C266" s="1057">
        <f>CEILING(191*$Z$1,0.1)</f>
        <v>238.8</v>
      </c>
      <c r="D266" s="1058"/>
      <c r="E266" s="1057">
        <f>CEILING(191*$Z$1,0.1)</f>
        <v>238.8</v>
      </c>
      <c r="F266" s="1058"/>
      <c r="G266" s="1057">
        <f>CEILING(191*$Z$1,0.1)</f>
        <v>238.8</v>
      </c>
      <c r="H266" s="1058"/>
      <c r="I266" s="1061"/>
      <c r="J266" s="1061"/>
      <c r="K266" s="1061"/>
      <c r="L266" s="1061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  <c r="AN266" s="158"/>
      <c r="AO266" s="158"/>
    </row>
    <row r="267" spans="1:41" s="107" customFormat="1" ht="34.5" customHeight="1">
      <c r="A267" s="396" t="s">
        <v>853</v>
      </c>
      <c r="B267" s="325" t="s">
        <v>857</v>
      </c>
      <c r="C267" s="1059">
        <f>CEILING((C266+100*$Z$1),0.1)</f>
        <v>363.8</v>
      </c>
      <c r="D267" s="1060"/>
      <c r="E267" s="1059">
        <f>CEILING((E266+100*$Z$1),0.1)</f>
        <v>363.8</v>
      </c>
      <c r="F267" s="1060"/>
      <c r="G267" s="1059">
        <f>CEILING((G266+100*$Z$1),0.1)</f>
        <v>363.8</v>
      </c>
      <c r="H267" s="1060"/>
      <c r="I267" s="1061"/>
      <c r="J267" s="1061"/>
      <c r="K267" s="1061"/>
      <c r="L267" s="1061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  <c r="AN267" s="158"/>
      <c r="AO267" s="158"/>
    </row>
    <row r="268" spans="1:41" s="140" customFormat="1" ht="34.5" customHeight="1">
      <c r="A268" s="162" t="s">
        <v>186</v>
      </c>
      <c r="B268" s="162"/>
      <c r="C268" s="162"/>
      <c r="D268" s="162"/>
      <c r="E268" s="162"/>
      <c r="F268" s="162"/>
      <c r="G268" s="162"/>
      <c r="H268" s="162"/>
      <c r="I268" s="162"/>
      <c r="J268" s="162"/>
      <c r="K268" s="108"/>
      <c r="L268" s="108"/>
      <c r="M268" s="124"/>
      <c r="N268" s="12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  <c r="AB268" s="114"/>
      <c r="AC268" s="114"/>
      <c r="AD268" s="114"/>
      <c r="AE268" s="114"/>
      <c r="AF268" s="114"/>
      <c r="AG268" s="114"/>
      <c r="AH268" s="114"/>
      <c r="AI268" s="114"/>
      <c r="AJ268" s="114"/>
      <c r="AK268" s="114"/>
      <c r="AL268" s="114"/>
      <c r="AM268" s="114"/>
      <c r="AN268" s="114"/>
      <c r="AO268" s="114"/>
    </row>
    <row r="269" spans="1:41" s="140" customFormat="1" ht="34.5" customHeight="1">
      <c r="A269" s="397" t="s">
        <v>820</v>
      </c>
      <c r="B269" s="162"/>
      <c r="C269" s="162"/>
      <c r="D269" s="162"/>
      <c r="E269" s="162"/>
      <c r="F269" s="162"/>
      <c r="G269" s="162"/>
      <c r="H269" s="162"/>
      <c r="I269" s="108"/>
      <c r="J269" s="108"/>
      <c r="K269" s="108"/>
      <c r="L269" s="108"/>
      <c r="M269" s="124"/>
      <c r="N269" s="12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  <c r="AA269" s="114"/>
      <c r="AB269" s="114"/>
      <c r="AC269" s="114"/>
      <c r="AD269" s="114"/>
      <c r="AE269" s="114"/>
      <c r="AF269" s="114"/>
      <c r="AG269" s="114"/>
      <c r="AH269" s="114"/>
      <c r="AI269" s="114"/>
      <c r="AJ269" s="114"/>
      <c r="AK269" s="114"/>
      <c r="AL269" s="114"/>
      <c r="AM269" s="114"/>
      <c r="AN269" s="114"/>
      <c r="AO269" s="114"/>
    </row>
    <row r="270" spans="1:41" s="107" customFormat="1" ht="34.5" customHeight="1" thickBot="1">
      <c r="A270" s="285"/>
      <c r="B270" s="162"/>
      <c r="C270" s="162"/>
      <c r="D270" s="162"/>
      <c r="E270" s="162"/>
      <c r="F270" s="162"/>
      <c r="G270" s="162"/>
      <c r="H270" s="162"/>
      <c r="I270" s="108"/>
      <c r="J270" s="108"/>
      <c r="K270" s="138"/>
      <c r="L270" s="138"/>
      <c r="M270" s="124"/>
      <c r="N270" s="124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  <c r="AN270" s="158"/>
      <c r="AO270" s="158"/>
    </row>
    <row r="271" spans="1:42" s="214" customFormat="1" ht="34.5" customHeight="1" thickTop="1">
      <c r="A271" s="207" t="s">
        <v>34</v>
      </c>
      <c r="B271" s="208" t="s">
        <v>637</v>
      </c>
      <c r="C271" s="209" t="s">
        <v>921</v>
      </c>
      <c r="D271" s="210"/>
      <c r="E271" s="211" t="s">
        <v>922</v>
      </c>
      <c r="F271" s="212"/>
      <c r="G271" s="211" t="s">
        <v>923</v>
      </c>
      <c r="H271" s="212"/>
      <c r="I271" s="1070"/>
      <c r="J271" s="1071"/>
      <c r="K271" s="1070"/>
      <c r="L271" s="1070"/>
      <c r="M271" s="174"/>
      <c r="N271" s="174"/>
      <c r="O271" s="213"/>
      <c r="P271" s="213"/>
      <c r="Q271" s="213"/>
      <c r="R271" s="213"/>
      <c r="S271" s="213"/>
      <c r="T271" s="213"/>
      <c r="U271" s="213"/>
      <c r="V271" s="213"/>
      <c r="W271" s="213"/>
      <c r="X271" s="213"/>
      <c r="Y271" s="213"/>
      <c r="Z271" s="213"/>
      <c r="AA271" s="213"/>
      <c r="AB271" s="213"/>
      <c r="AC271" s="213"/>
      <c r="AD271" s="213"/>
      <c r="AE271" s="213"/>
      <c r="AF271" s="213"/>
      <c r="AG271" s="213"/>
      <c r="AH271" s="213"/>
      <c r="AI271" s="213"/>
      <c r="AJ271" s="213"/>
      <c r="AK271" s="213"/>
      <c r="AL271" s="213"/>
      <c r="AM271" s="213"/>
      <c r="AN271" s="213"/>
      <c r="AO271" s="213"/>
      <c r="AP271" s="213"/>
    </row>
    <row r="272" spans="1:41" s="107" customFormat="1" ht="34.5" customHeight="1">
      <c r="A272" s="358" t="s">
        <v>15</v>
      </c>
      <c r="B272" s="219" t="s">
        <v>42</v>
      </c>
      <c r="C272" s="1063">
        <f>CEILING(42*$Z$1,0.1)</f>
        <v>52.5</v>
      </c>
      <c r="D272" s="1064"/>
      <c r="E272" s="1063">
        <f>CEILING(42*$Z$1,0.1)</f>
        <v>52.5</v>
      </c>
      <c r="F272" s="1064"/>
      <c r="G272" s="1063">
        <f>CEILING(42*$Z$1,0.1)</f>
        <v>52.5</v>
      </c>
      <c r="H272" s="1064"/>
      <c r="I272" s="1061"/>
      <c r="J272" s="1061"/>
      <c r="K272" s="1061"/>
      <c r="L272" s="1061"/>
      <c r="M272" s="124"/>
      <c r="N272" s="124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  <c r="AN272" s="158"/>
      <c r="AO272" s="158"/>
    </row>
    <row r="273" spans="1:41" s="107" customFormat="1" ht="34.5" customHeight="1">
      <c r="A273" s="359" t="s">
        <v>36</v>
      </c>
      <c r="B273" s="219" t="s">
        <v>43</v>
      </c>
      <c r="C273" s="1065">
        <f>CEILING((C272+20*$Z$1),0.1)</f>
        <v>77.5</v>
      </c>
      <c r="D273" s="1066"/>
      <c r="E273" s="1065">
        <f>CEILING((E272+20*$Z$1),0.1)</f>
        <v>77.5</v>
      </c>
      <c r="F273" s="1066"/>
      <c r="G273" s="1065">
        <f>CEILING((G272+20*$Z$1),0.1)</f>
        <v>77.5</v>
      </c>
      <c r="H273" s="1066"/>
      <c r="I273" s="1061"/>
      <c r="J273" s="1061"/>
      <c r="K273" s="1061"/>
      <c r="L273" s="1061"/>
      <c r="M273" s="124"/>
      <c r="N273" s="124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  <c r="AN273" s="158"/>
      <c r="AO273" s="158"/>
    </row>
    <row r="274" spans="1:41" s="107" customFormat="1" ht="34.5" customHeight="1">
      <c r="A274" s="360"/>
      <c r="B274" s="361" t="s">
        <v>38</v>
      </c>
      <c r="C274" s="1065">
        <f>CEILING((C272*0.85),0.1)</f>
        <v>44.7</v>
      </c>
      <c r="D274" s="1066"/>
      <c r="E274" s="1065">
        <f>CEILING((E272*0.85),0.1)</f>
        <v>44.7</v>
      </c>
      <c r="F274" s="1066"/>
      <c r="G274" s="1065">
        <f>CEILING((G272*0.85),0.1)</f>
        <v>44.7</v>
      </c>
      <c r="H274" s="1066"/>
      <c r="I274" s="1061"/>
      <c r="J274" s="1061"/>
      <c r="K274" s="1061"/>
      <c r="L274" s="1061"/>
      <c r="M274" s="124"/>
      <c r="N274" s="124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  <c r="AN274" s="158"/>
      <c r="AO274" s="158"/>
    </row>
    <row r="275" spans="1:41" s="107" customFormat="1" ht="34.5" customHeight="1">
      <c r="A275" s="360"/>
      <c r="B275" s="219" t="s">
        <v>69</v>
      </c>
      <c r="C275" s="1065">
        <f>CEILING((C272*0),0.1)</f>
        <v>0</v>
      </c>
      <c r="D275" s="1066"/>
      <c r="E275" s="1065">
        <f>CEILING((E272*0),0.1)</f>
        <v>0</v>
      </c>
      <c r="F275" s="1066"/>
      <c r="G275" s="1065">
        <f>CEILING((G272*0),0.1)</f>
        <v>0</v>
      </c>
      <c r="H275" s="1066"/>
      <c r="I275" s="1061"/>
      <c r="J275" s="1061"/>
      <c r="K275" s="1061"/>
      <c r="L275" s="1061"/>
      <c r="M275" s="124"/>
      <c r="N275" s="124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  <c r="AN275" s="158"/>
      <c r="AO275" s="158"/>
    </row>
    <row r="276" spans="1:41" s="107" customFormat="1" ht="34.5" customHeight="1">
      <c r="A276" s="395" t="s">
        <v>1063</v>
      </c>
      <c r="B276" s="398" t="s">
        <v>162</v>
      </c>
      <c r="C276" s="1065">
        <f>CEILING(44*$Z$1,0.1)</f>
        <v>55</v>
      </c>
      <c r="D276" s="1066"/>
      <c r="E276" s="1065">
        <f>CEILING(44*$Z$1,0.1)</f>
        <v>55</v>
      </c>
      <c r="F276" s="1066"/>
      <c r="G276" s="1065">
        <f>CEILING(44*$Z$1,0.1)</f>
        <v>55</v>
      </c>
      <c r="H276" s="1066"/>
      <c r="I276" s="1061"/>
      <c r="J276" s="1061"/>
      <c r="K276" s="1061"/>
      <c r="L276" s="1061"/>
      <c r="M276" s="124"/>
      <c r="N276" s="124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  <c r="AN276" s="158"/>
      <c r="AO276" s="158"/>
    </row>
    <row r="277" spans="1:41" s="107" customFormat="1" ht="34.5" customHeight="1">
      <c r="A277" s="360"/>
      <c r="B277" s="398" t="s">
        <v>391</v>
      </c>
      <c r="C277" s="1065">
        <f>CEILING(59*$Z$1,0.1)</f>
        <v>73.8</v>
      </c>
      <c r="D277" s="1066"/>
      <c r="E277" s="1065">
        <f>CEILING(59*$Z$1,0.1)</f>
        <v>73.8</v>
      </c>
      <c r="F277" s="1066"/>
      <c r="G277" s="1065">
        <f>CEILING(59*$Z$1,0.1)</f>
        <v>73.8</v>
      </c>
      <c r="H277" s="1066"/>
      <c r="I277" s="1061"/>
      <c r="J277" s="1061"/>
      <c r="K277" s="1061"/>
      <c r="L277" s="1061"/>
      <c r="M277" s="124"/>
      <c r="N277" s="124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  <c r="AN277" s="158"/>
      <c r="AO277" s="158"/>
    </row>
    <row r="278" spans="1:41" s="107" customFormat="1" ht="34.5" customHeight="1">
      <c r="A278" s="360"/>
      <c r="B278" s="398" t="s">
        <v>392</v>
      </c>
      <c r="C278" s="1065">
        <f>CEILING((C277+20*$Z$1),0.1)</f>
        <v>98.80000000000001</v>
      </c>
      <c r="D278" s="1066"/>
      <c r="E278" s="1065">
        <f>CEILING((E277+20*$Z$1),0.1)</f>
        <v>98.80000000000001</v>
      </c>
      <c r="F278" s="1066"/>
      <c r="G278" s="1065">
        <f>CEILING((G277+20*$Z$1),0.1)</f>
        <v>98.80000000000001</v>
      </c>
      <c r="H278" s="1066"/>
      <c r="I278" s="1061"/>
      <c r="J278" s="1061"/>
      <c r="K278" s="1061"/>
      <c r="L278" s="1061"/>
      <c r="M278" s="1069"/>
      <c r="N278" s="1069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  <c r="AN278" s="158"/>
      <c r="AO278" s="158"/>
    </row>
    <row r="279" spans="1:41" s="107" customFormat="1" ht="34.5" customHeight="1">
      <c r="A279" s="399"/>
      <c r="B279" s="398" t="s">
        <v>393</v>
      </c>
      <c r="C279" s="1057">
        <f>CEILING(83*$Z$1,0.1)</f>
        <v>103.80000000000001</v>
      </c>
      <c r="D279" s="1058"/>
      <c r="E279" s="1057">
        <f>CEILING(83*$Z$1,0.1)</f>
        <v>103.80000000000001</v>
      </c>
      <c r="F279" s="1058"/>
      <c r="G279" s="1057">
        <f>CEILING(83*$Z$1,0.1)</f>
        <v>103.80000000000001</v>
      </c>
      <c r="H279" s="1058"/>
      <c r="I279" s="1061"/>
      <c r="J279" s="1061"/>
      <c r="K279" s="1061"/>
      <c r="L279" s="1061"/>
      <c r="M279" s="1062"/>
      <c r="N279" s="1062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  <c r="AN279" s="158"/>
      <c r="AO279" s="158"/>
    </row>
    <row r="280" spans="1:41" s="107" customFormat="1" ht="34.5" customHeight="1" thickBot="1">
      <c r="A280" s="400" t="s">
        <v>853</v>
      </c>
      <c r="B280" s="401" t="s">
        <v>394</v>
      </c>
      <c r="C280" s="1076">
        <f>CEILING((C279+40*$Z$1),0.1)</f>
        <v>153.8</v>
      </c>
      <c r="D280" s="1077"/>
      <c r="E280" s="1076">
        <f>CEILING((E279+40*$Z$1),0.1)</f>
        <v>153.8</v>
      </c>
      <c r="F280" s="1077"/>
      <c r="G280" s="1076">
        <f>CEILING((G279+40*$Z$1),0.1)</f>
        <v>153.8</v>
      </c>
      <c r="H280" s="1077"/>
      <c r="I280" s="1061"/>
      <c r="J280" s="1061"/>
      <c r="K280" s="1061"/>
      <c r="L280" s="1061"/>
      <c r="M280" s="1062"/>
      <c r="N280" s="1062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  <c r="AN280" s="158"/>
      <c r="AO280" s="158"/>
    </row>
    <row r="281" spans="1:41" s="107" customFormat="1" ht="34.5" customHeight="1" thickTop="1">
      <c r="A281" s="397" t="s">
        <v>395</v>
      </c>
      <c r="B281" s="103"/>
      <c r="C281" s="148"/>
      <c r="D281" s="148"/>
      <c r="E281" s="148"/>
      <c r="F281" s="148"/>
      <c r="G281" s="148"/>
      <c r="H281" s="148"/>
      <c r="I281" s="148"/>
      <c r="J281" s="148"/>
      <c r="K281" s="402"/>
      <c r="L281" s="402"/>
      <c r="M281" s="1062"/>
      <c r="N281" s="1062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  <c r="AN281" s="158"/>
      <c r="AO281" s="158"/>
    </row>
    <row r="282" spans="1:41" s="107" customFormat="1" ht="34.5" customHeight="1" thickBot="1">
      <c r="A282" s="403"/>
      <c r="B282" s="404"/>
      <c r="C282" s="405"/>
      <c r="D282" s="405"/>
      <c r="E282" s="405"/>
      <c r="F282" s="405"/>
      <c r="G282" s="405"/>
      <c r="H282" s="405"/>
      <c r="I282" s="148"/>
      <c r="J282" s="148"/>
      <c r="K282" s="157"/>
      <c r="L282" s="157"/>
      <c r="M282" s="1062"/>
      <c r="N282" s="1062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  <c r="AN282" s="158"/>
      <c r="AO282" s="158"/>
    </row>
    <row r="283" spans="1:42" s="214" customFormat="1" ht="34.5" customHeight="1" thickTop="1">
      <c r="A283" s="207" t="s">
        <v>34</v>
      </c>
      <c r="B283" s="208" t="s">
        <v>637</v>
      </c>
      <c r="C283" s="209" t="s">
        <v>921</v>
      </c>
      <c r="D283" s="210"/>
      <c r="E283" s="211" t="s">
        <v>922</v>
      </c>
      <c r="F283" s="212"/>
      <c r="G283" s="211" t="s">
        <v>923</v>
      </c>
      <c r="H283" s="212"/>
      <c r="I283" s="1070"/>
      <c r="J283" s="1071"/>
      <c r="K283" s="1070"/>
      <c r="L283" s="1070"/>
      <c r="M283" s="174"/>
      <c r="N283" s="174"/>
      <c r="O283" s="213"/>
      <c r="P283" s="213"/>
      <c r="Q283" s="213"/>
      <c r="R283" s="213"/>
      <c r="S283" s="213"/>
      <c r="T283" s="213"/>
      <c r="U283" s="213"/>
      <c r="V283" s="213"/>
      <c r="W283" s="213"/>
      <c r="X283" s="213"/>
      <c r="Y283" s="213"/>
      <c r="Z283" s="213"/>
      <c r="AA283" s="213"/>
      <c r="AB283" s="213"/>
      <c r="AC283" s="213"/>
      <c r="AD283" s="213"/>
      <c r="AE283" s="213"/>
      <c r="AF283" s="213"/>
      <c r="AG283" s="213"/>
      <c r="AH283" s="213"/>
      <c r="AI283" s="213"/>
      <c r="AJ283" s="213"/>
      <c r="AK283" s="213"/>
      <c r="AL283" s="213"/>
      <c r="AM283" s="213"/>
      <c r="AN283" s="213"/>
      <c r="AO283" s="213"/>
      <c r="AP283" s="213"/>
    </row>
    <row r="284" spans="1:41" s="107" customFormat="1" ht="34.5" customHeight="1">
      <c r="A284" s="406" t="s">
        <v>66</v>
      </c>
      <c r="B284" s="407" t="s">
        <v>623</v>
      </c>
      <c r="C284" s="1063">
        <f>CEILING(40*$Z$1,0.1)</f>
        <v>50</v>
      </c>
      <c r="D284" s="1064"/>
      <c r="E284" s="1063">
        <f>CEILING(40*$Z$1,0.1)</f>
        <v>50</v>
      </c>
      <c r="F284" s="1064"/>
      <c r="G284" s="1063">
        <f>CEILING(40*$Z$1,0.1)</f>
        <v>50</v>
      </c>
      <c r="H284" s="1064"/>
      <c r="I284" s="1061"/>
      <c r="J284" s="1061"/>
      <c r="K284" s="1061"/>
      <c r="L284" s="1061"/>
      <c r="M284" s="1062"/>
      <c r="N284" s="1062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  <c r="AN284" s="158"/>
      <c r="AO284" s="158"/>
    </row>
    <row r="285" spans="1:41" s="107" customFormat="1" ht="34.5" customHeight="1">
      <c r="A285" s="408" t="s">
        <v>50</v>
      </c>
      <c r="B285" s="219" t="s">
        <v>624</v>
      </c>
      <c r="C285" s="1065">
        <f>CEILING((C284+20*$Z$1),0.1)</f>
        <v>75</v>
      </c>
      <c r="D285" s="1066"/>
      <c r="E285" s="1065">
        <f>CEILING((E284+20*$Z$1),0.1)</f>
        <v>75</v>
      </c>
      <c r="F285" s="1066"/>
      <c r="G285" s="1065">
        <f>CEILING((G284+20*$Z$1),0.1)</f>
        <v>75</v>
      </c>
      <c r="H285" s="1066"/>
      <c r="I285" s="1061"/>
      <c r="J285" s="1061"/>
      <c r="K285" s="1061"/>
      <c r="L285" s="1061"/>
      <c r="M285" s="148"/>
      <c r="N285" s="14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  <c r="AN285" s="158"/>
      <c r="AO285" s="158"/>
    </row>
    <row r="286" spans="1:41" s="107" customFormat="1" ht="34.5" customHeight="1">
      <c r="A286" s="133"/>
      <c r="B286" s="361" t="s">
        <v>38</v>
      </c>
      <c r="C286" s="1065">
        <f>CEILING((C284*0.85),0.1)</f>
        <v>42.5</v>
      </c>
      <c r="D286" s="1066"/>
      <c r="E286" s="1065">
        <f>CEILING((E284*0.85),0.1)</f>
        <v>42.5</v>
      </c>
      <c r="F286" s="1066"/>
      <c r="G286" s="1065">
        <f>CEILING((G284*0.85),0.1)</f>
        <v>42.5</v>
      </c>
      <c r="H286" s="1066"/>
      <c r="I286" s="1061"/>
      <c r="J286" s="1061"/>
      <c r="K286" s="1061"/>
      <c r="L286" s="1061"/>
      <c r="M286" s="148"/>
      <c r="N286" s="14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  <c r="AN286" s="158"/>
      <c r="AO286" s="158"/>
    </row>
    <row r="287" spans="1:41" s="107" customFormat="1" ht="34.5" customHeight="1">
      <c r="A287" s="395" t="s">
        <v>1063</v>
      </c>
      <c r="B287" s="219" t="s">
        <v>69</v>
      </c>
      <c r="C287" s="1065">
        <f>CEILING((C284*0),0.1)</f>
        <v>0</v>
      </c>
      <c r="D287" s="1066"/>
      <c r="E287" s="1065">
        <f>CEILING((E284*0),0.1)</f>
        <v>0</v>
      </c>
      <c r="F287" s="1066"/>
      <c r="G287" s="1065">
        <f>CEILING((G284*0),0.1)</f>
        <v>0</v>
      </c>
      <c r="H287" s="1066"/>
      <c r="I287" s="1061"/>
      <c r="J287" s="1061"/>
      <c r="K287" s="1061"/>
      <c r="L287" s="1061"/>
      <c r="M287" s="148"/>
      <c r="N287" s="14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  <c r="AN287" s="158"/>
      <c r="AO287" s="158"/>
    </row>
    <row r="288" spans="1:41" s="107" customFormat="1" ht="34.5" customHeight="1">
      <c r="A288" s="395"/>
      <c r="B288" s="219" t="s">
        <v>47</v>
      </c>
      <c r="C288" s="1057">
        <f>CEILING(86*$Z$1,0.1)</f>
        <v>107.5</v>
      </c>
      <c r="D288" s="1058"/>
      <c r="E288" s="1057">
        <f>CEILING(86*$Z$1,0.1)</f>
        <v>107.5</v>
      </c>
      <c r="F288" s="1058"/>
      <c r="G288" s="1057">
        <f>CEILING(86*$Z$1,0.1)</f>
        <v>107.5</v>
      </c>
      <c r="H288" s="1058"/>
      <c r="I288" s="1061"/>
      <c r="J288" s="1061"/>
      <c r="K288" s="1061"/>
      <c r="L288" s="1061"/>
      <c r="M288" s="1062"/>
      <c r="N288" s="1062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  <c r="AN288" s="158"/>
      <c r="AO288" s="158"/>
    </row>
    <row r="289" spans="1:41" s="107" customFormat="1" ht="34.5" customHeight="1" thickBot="1">
      <c r="A289" s="400" t="s">
        <v>331</v>
      </c>
      <c r="B289" s="401" t="s">
        <v>48</v>
      </c>
      <c r="C289" s="1076">
        <f>CEILING((C288+40*$Z$1),0.1)</f>
        <v>157.5</v>
      </c>
      <c r="D289" s="1077"/>
      <c r="E289" s="1076">
        <f>CEILING((E288+40*$Z$1),0.1)</f>
        <v>157.5</v>
      </c>
      <c r="F289" s="1077"/>
      <c r="G289" s="1076">
        <f>CEILING((G288+40*$Z$1),0.1)</f>
        <v>157.5</v>
      </c>
      <c r="H289" s="1077"/>
      <c r="I289" s="1061"/>
      <c r="J289" s="1061"/>
      <c r="K289" s="1061"/>
      <c r="L289" s="1061"/>
      <c r="M289" s="124"/>
      <c r="N289" s="124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  <c r="AN289" s="158"/>
      <c r="AO289" s="158"/>
    </row>
    <row r="290" spans="1:41" s="107" customFormat="1" ht="34.5" customHeight="1" thickTop="1">
      <c r="A290" s="397" t="s">
        <v>277</v>
      </c>
      <c r="B290" s="103"/>
      <c r="C290" s="148"/>
      <c r="D290" s="148"/>
      <c r="E290" s="148"/>
      <c r="F290" s="148"/>
      <c r="G290" s="148"/>
      <c r="H290" s="148"/>
      <c r="I290" s="148"/>
      <c r="J290" s="148"/>
      <c r="K290" s="157"/>
      <c r="L290" s="157"/>
      <c r="M290" s="124"/>
      <c r="N290" s="124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  <c r="AN290" s="158"/>
      <c r="AO290" s="158"/>
    </row>
    <row r="291" spans="1:41" s="107" customFormat="1" ht="34.5" customHeight="1" thickBot="1">
      <c r="A291" s="285"/>
      <c r="B291" s="162"/>
      <c r="C291" s="162"/>
      <c r="D291" s="162"/>
      <c r="E291" s="162"/>
      <c r="F291" s="162"/>
      <c r="G291" s="162"/>
      <c r="H291" s="162"/>
      <c r="I291" s="162"/>
      <c r="J291" s="162"/>
      <c r="K291" s="108"/>
      <c r="L291" s="108"/>
      <c r="M291" s="148"/>
      <c r="N291" s="14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  <c r="AN291" s="158"/>
      <c r="AO291" s="158"/>
    </row>
    <row r="292" spans="1:42" s="214" customFormat="1" ht="34.5" customHeight="1" thickTop="1">
      <c r="A292" s="207" t="s">
        <v>34</v>
      </c>
      <c r="B292" s="208" t="s">
        <v>637</v>
      </c>
      <c r="C292" s="209" t="s">
        <v>921</v>
      </c>
      <c r="D292" s="210"/>
      <c r="E292" s="211" t="s">
        <v>922</v>
      </c>
      <c r="F292" s="212"/>
      <c r="G292" s="211" t="s">
        <v>923</v>
      </c>
      <c r="H292" s="212"/>
      <c r="I292" s="1070"/>
      <c r="J292" s="1071"/>
      <c r="K292" s="1070"/>
      <c r="L292" s="1070"/>
      <c r="M292" s="174"/>
      <c r="N292" s="174"/>
      <c r="O292" s="213"/>
      <c r="P292" s="213"/>
      <c r="Q292" s="213"/>
      <c r="R292" s="213"/>
      <c r="S292" s="213"/>
      <c r="T292" s="213"/>
      <c r="U292" s="213"/>
      <c r="V292" s="213"/>
      <c r="W292" s="213"/>
      <c r="X292" s="213"/>
      <c r="Y292" s="213"/>
      <c r="Z292" s="213"/>
      <c r="AA292" s="213"/>
      <c r="AB292" s="213"/>
      <c r="AC292" s="213"/>
      <c r="AD292" s="213"/>
      <c r="AE292" s="213"/>
      <c r="AF292" s="213"/>
      <c r="AG292" s="213"/>
      <c r="AH292" s="213"/>
      <c r="AI292" s="213"/>
      <c r="AJ292" s="213"/>
      <c r="AK292" s="213"/>
      <c r="AL292" s="213"/>
      <c r="AM292" s="213"/>
      <c r="AN292" s="213"/>
      <c r="AO292" s="213"/>
      <c r="AP292" s="213"/>
    </row>
    <row r="293" spans="1:41" s="107" customFormat="1" ht="34.5" customHeight="1">
      <c r="A293" s="409" t="s">
        <v>632</v>
      </c>
      <c r="B293" s="410" t="s">
        <v>448</v>
      </c>
      <c r="C293" s="411">
        <f>CEILING(90*$Z$1,0.1)</f>
        <v>112.5</v>
      </c>
      <c r="D293" s="412"/>
      <c r="E293" s="411">
        <f>CEILING(90*$Z$1,0.1)</f>
        <v>112.5</v>
      </c>
      <c r="F293" s="412"/>
      <c r="G293" s="413">
        <f>CEILING(90*$Z$1,0.1)</f>
        <v>112.5</v>
      </c>
      <c r="H293" s="414"/>
      <c r="I293" s="327"/>
      <c r="J293" s="157"/>
      <c r="K293" s="327"/>
      <c r="L293" s="157"/>
      <c r="M293" s="110"/>
      <c r="N293" s="111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  <c r="AN293" s="158"/>
      <c r="AO293" s="158"/>
    </row>
    <row r="294" spans="1:41" s="107" customFormat="1" ht="34.5" customHeight="1">
      <c r="A294" s="317" t="s">
        <v>1011</v>
      </c>
      <c r="B294" s="238" t="s">
        <v>449</v>
      </c>
      <c r="C294" s="415">
        <f>CEILING((C293+75*$Z$1),0.1)</f>
        <v>206.3</v>
      </c>
      <c r="D294" s="157"/>
      <c r="E294" s="415">
        <f>CEILING((E293+75*$Z$1),0.1)</f>
        <v>206.3</v>
      </c>
      <c r="F294" s="157"/>
      <c r="G294" s="416">
        <f>CEILING((G293+75*$Z$1),0.1)</f>
        <v>206.3</v>
      </c>
      <c r="H294" s="417"/>
      <c r="I294" s="327"/>
      <c r="J294" s="157"/>
      <c r="K294" s="327"/>
      <c r="L294" s="157"/>
      <c r="M294" s="130"/>
      <c r="N294" s="130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  <c r="AN294" s="158"/>
      <c r="AO294" s="158"/>
    </row>
    <row r="295" spans="1:41" s="107" customFormat="1" ht="34.5" customHeight="1">
      <c r="A295" s="317" t="s">
        <v>896</v>
      </c>
      <c r="B295" s="238" t="s">
        <v>628</v>
      </c>
      <c r="C295" s="415">
        <f>CEILING(100*$Z$1,0.1)</f>
        <v>125</v>
      </c>
      <c r="D295" s="157"/>
      <c r="E295" s="415">
        <f>CEILING(100*$Z$1,0.1)</f>
        <v>125</v>
      </c>
      <c r="F295" s="157"/>
      <c r="G295" s="416">
        <f>CEILING(100*$Z$1,0.1)</f>
        <v>125</v>
      </c>
      <c r="H295" s="417"/>
      <c r="I295" s="327"/>
      <c r="J295" s="157"/>
      <c r="K295" s="327"/>
      <c r="L295" s="157"/>
      <c r="M295" s="130"/>
      <c r="N295" s="130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  <c r="AN295" s="158"/>
      <c r="AO295" s="158"/>
    </row>
    <row r="296" spans="1:41" s="107" customFormat="1" ht="34.5" customHeight="1">
      <c r="A296" s="317" t="s">
        <v>639</v>
      </c>
      <c r="B296" s="238" t="s">
        <v>629</v>
      </c>
      <c r="C296" s="415">
        <f>CEILING((C295+75*$Z$1),0.1)</f>
        <v>218.8</v>
      </c>
      <c r="D296" s="157"/>
      <c r="E296" s="415">
        <f>CEILING((E295+75*$Z$1),0.1)</f>
        <v>218.8</v>
      </c>
      <c r="F296" s="157"/>
      <c r="G296" s="416">
        <f>CEILING((G295+75*$Z$1),0.1)</f>
        <v>218.8</v>
      </c>
      <c r="H296" s="417"/>
      <c r="I296" s="327"/>
      <c r="J296" s="157"/>
      <c r="K296" s="327"/>
      <c r="L296" s="157"/>
      <c r="M296" s="130"/>
      <c r="N296" s="130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  <c r="AN296" s="158"/>
      <c r="AO296" s="158"/>
    </row>
    <row r="297" spans="1:41" s="107" customFormat="1" ht="34.5" customHeight="1">
      <c r="A297" s="134"/>
      <c r="B297" s="238" t="s">
        <v>630</v>
      </c>
      <c r="C297" s="415">
        <f>CEILING(125*$Z$1,0.1)</f>
        <v>156.3</v>
      </c>
      <c r="D297" s="157"/>
      <c r="E297" s="415">
        <f>CEILING(125*$Z$1,0.1)</f>
        <v>156.3</v>
      </c>
      <c r="F297" s="157"/>
      <c r="G297" s="416">
        <f>CEILING(125*$Z$1,0.1)</f>
        <v>156.3</v>
      </c>
      <c r="H297" s="417"/>
      <c r="I297" s="327"/>
      <c r="J297" s="157"/>
      <c r="K297" s="327"/>
      <c r="L297" s="157"/>
      <c r="M297" s="130"/>
      <c r="N297" s="130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  <c r="AN297" s="158"/>
      <c r="AO297" s="158"/>
    </row>
    <row r="298" spans="1:41" s="107" customFormat="1" ht="34.5" customHeight="1" thickBot="1">
      <c r="A298" s="400" t="s">
        <v>447</v>
      </c>
      <c r="B298" s="297" t="s">
        <v>631</v>
      </c>
      <c r="C298" s="418">
        <f>CEILING((C297+75*$Z$1),0.1)</f>
        <v>250.10000000000002</v>
      </c>
      <c r="D298" s="419"/>
      <c r="E298" s="418">
        <f>CEILING((E297+75*$Z$1),0.1)</f>
        <v>250.10000000000002</v>
      </c>
      <c r="F298" s="419"/>
      <c r="G298" s="420">
        <f>CEILING((G297+75*$Z$1),0.1)</f>
        <v>250.10000000000002</v>
      </c>
      <c r="H298" s="421"/>
      <c r="I298" s="327"/>
      <c r="J298" s="157"/>
      <c r="K298" s="327"/>
      <c r="L298" s="157"/>
      <c r="M298" s="130"/>
      <c r="N298" s="130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  <c r="AN298" s="158"/>
      <c r="AO298" s="158"/>
    </row>
    <row r="299" spans="1:41" s="107" customFormat="1" ht="34.5" customHeight="1" thickTop="1">
      <c r="A299" s="397" t="s">
        <v>636</v>
      </c>
      <c r="B299" s="124"/>
      <c r="C299" s="239"/>
      <c r="D299" s="239"/>
      <c r="E299" s="239"/>
      <c r="F299" s="239"/>
      <c r="G299" s="239"/>
      <c r="H299" s="239"/>
      <c r="I299" s="148"/>
      <c r="J299" s="148"/>
      <c r="K299" s="104"/>
      <c r="L299" s="104"/>
      <c r="M299" s="130"/>
      <c r="N299" s="130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  <c r="AN299" s="158"/>
      <c r="AO299" s="158"/>
    </row>
    <row r="300" spans="1:41" s="107" customFormat="1" ht="34.5" customHeight="1" thickBot="1">
      <c r="A300" s="285"/>
      <c r="B300" s="162"/>
      <c r="C300" s="162"/>
      <c r="D300" s="162"/>
      <c r="E300" s="162"/>
      <c r="F300" s="162"/>
      <c r="G300" s="162"/>
      <c r="H300" s="162"/>
      <c r="I300" s="162"/>
      <c r="J300" s="162"/>
      <c r="K300" s="108"/>
      <c r="L300" s="108"/>
      <c r="M300" s="148"/>
      <c r="N300" s="14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  <c r="AN300" s="158"/>
      <c r="AO300" s="158"/>
    </row>
    <row r="301" spans="1:42" s="214" customFormat="1" ht="34.5" customHeight="1" thickTop="1">
      <c r="A301" s="207" t="s">
        <v>34</v>
      </c>
      <c r="B301" s="208" t="s">
        <v>637</v>
      </c>
      <c r="C301" s="209" t="s">
        <v>921</v>
      </c>
      <c r="D301" s="210"/>
      <c r="E301" s="211" t="s">
        <v>922</v>
      </c>
      <c r="F301" s="212"/>
      <c r="G301" s="211" t="s">
        <v>923</v>
      </c>
      <c r="H301" s="212"/>
      <c r="I301" s="1070"/>
      <c r="J301" s="1071"/>
      <c r="K301" s="1070"/>
      <c r="L301" s="1070"/>
      <c r="M301" s="174"/>
      <c r="N301" s="174"/>
      <c r="O301" s="213"/>
      <c r="P301" s="213"/>
      <c r="Q301" s="213"/>
      <c r="R301" s="213"/>
      <c r="S301" s="213"/>
      <c r="T301" s="213"/>
      <c r="U301" s="213"/>
      <c r="V301" s="213"/>
      <c r="W301" s="213"/>
      <c r="X301" s="213"/>
      <c r="Y301" s="213"/>
      <c r="Z301" s="213"/>
      <c r="AA301" s="213"/>
      <c r="AB301" s="213"/>
      <c r="AC301" s="213"/>
      <c r="AD301" s="213"/>
      <c r="AE301" s="213"/>
      <c r="AF301" s="213"/>
      <c r="AG301" s="213"/>
      <c r="AH301" s="213"/>
      <c r="AI301" s="213"/>
      <c r="AJ301" s="213"/>
      <c r="AK301" s="213"/>
      <c r="AL301" s="213"/>
      <c r="AM301" s="213"/>
      <c r="AN301" s="213"/>
      <c r="AO301" s="213"/>
      <c r="AP301" s="213"/>
    </row>
    <row r="302" spans="1:41" s="107" customFormat="1" ht="34.5" customHeight="1">
      <c r="A302" s="422" t="s">
        <v>190</v>
      </c>
      <c r="B302" s="236" t="s">
        <v>444</v>
      </c>
      <c r="C302" s="1073">
        <f>CEILING(40*$Z$1,0.1)</f>
        <v>50</v>
      </c>
      <c r="D302" s="1074"/>
      <c r="E302" s="1073">
        <f>CEILING(40*$Z$1,0.1)</f>
        <v>50</v>
      </c>
      <c r="F302" s="1074"/>
      <c r="G302" s="1073">
        <f>CEILING(40*$Z$1,0.1)</f>
        <v>50</v>
      </c>
      <c r="H302" s="1074"/>
      <c r="I302" s="1061"/>
      <c r="J302" s="1061"/>
      <c r="K302" s="1061"/>
      <c r="L302" s="1061"/>
      <c r="M302" s="130"/>
      <c r="N302" s="130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  <c r="AN302" s="158"/>
      <c r="AO302" s="158"/>
    </row>
    <row r="303" spans="1:41" s="107" customFormat="1" ht="34.5" customHeight="1">
      <c r="A303" s="423" t="s">
        <v>50</v>
      </c>
      <c r="B303" s="238" t="s">
        <v>445</v>
      </c>
      <c r="C303" s="1057">
        <f>CEILING((C302+25*$Z$1),0.1)</f>
        <v>81.30000000000001</v>
      </c>
      <c r="D303" s="1058"/>
      <c r="E303" s="1057">
        <f>CEILING((E302+25*$Z$1),0.1)</f>
        <v>81.30000000000001</v>
      </c>
      <c r="F303" s="1058"/>
      <c r="G303" s="1057">
        <f>CEILING((G302+25*$Z$1),0.1)</f>
        <v>81.30000000000001</v>
      </c>
      <c r="H303" s="1058"/>
      <c r="I303" s="1061"/>
      <c r="J303" s="1061"/>
      <c r="K303" s="1061"/>
      <c r="L303" s="1061"/>
      <c r="M303" s="110"/>
      <c r="N303" s="111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  <c r="AN303" s="158"/>
      <c r="AO303" s="158"/>
    </row>
    <row r="304" spans="1:41" s="107" customFormat="1" ht="34.5" customHeight="1">
      <c r="A304" s="423"/>
      <c r="B304" s="238" t="s">
        <v>442</v>
      </c>
      <c r="C304" s="1057">
        <f>CEILING(44*$Z$1,0.1)</f>
        <v>55</v>
      </c>
      <c r="D304" s="1058"/>
      <c r="E304" s="1057">
        <f>CEILING(44*$Z$1,0.1)</f>
        <v>55</v>
      </c>
      <c r="F304" s="1058"/>
      <c r="G304" s="1057">
        <f>CEILING(44*$Z$1,0.1)</f>
        <v>55</v>
      </c>
      <c r="H304" s="1058"/>
      <c r="I304" s="1061"/>
      <c r="J304" s="1061"/>
      <c r="K304" s="1061"/>
      <c r="L304" s="1061"/>
      <c r="M304" s="110"/>
      <c r="N304" s="111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  <c r="AN304" s="158"/>
      <c r="AO304" s="158"/>
    </row>
    <row r="305" spans="1:41" s="107" customFormat="1" ht="34.5" customHeight="1">
      <c r="A305" s="395"/>
      <c r="B305" s="238" t="s">
        <v>443</v>
      </c>
      <c r="C305" s="1057">
        <f>CEILING((C304+25*$Z$1),0.1)</f>
        <v>86.30000000000001</v>
      </c>
      <c r="D305" s="1058"/>
      <c r="E305" s="1057">
        <f>CEILING((E304+25*$Z$1),0.1)</f>
        <v>86.30000000000001</v>
      </c>
      <c r="F305" s="1058"/>
      <c r="G305" s="1057">
        <f>CEILING((G304+25*$Z$1),0.1)</f>
        <v>86.30000000000001</v>
      </c>
      <c r="H305" s="1058"/>
      <c r="I305" s="1061"/>
      <c r="J305" s="1061"/>
      <c r="K305" s="1061"/>
      <c r="L305" s="1061"/>
      <c r="M305" s="110"/>
      <c r="N305" s="111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  <c r="AN305" s="158"/>
      <c r="AO305" s="158"/>
    </row>
    <row r="306" spans="1:41" s="107" customFormat="1" ht="34.5" customHeight="1">
      <c r="A306" s="423"/>
      <c r="B306" s="238" t="s">
        <v>248</v>
      </c>
      <c r="C306" s="1057">
        <f>CEILING(54*$Z$1,0.1)</f>
        <v>67.5</v>
      </c>
      <c r="D306" s="1058"/>
      <c r="E306" s="1057">
        <f>CEILING(54*$Z$1,0.1)</f>
        <v>67.5</v>
      </c>
      <c r="F306" s="1058"/>
      <c r="G306" s="1057">
        <f>CEILING(54*$Z$1,0.1)</f>
        <v>67.5</v>
      </c>
      <c r="H306" s="1058"/>
      <c r="I306" s="1061"/>
      <c r="J306" s="1061"/>
      <c r="K306" s="1061"/>
      <c r="L306" s="1061"/>
      <c r="M306" s="110"/>
      <c r="N306" s="111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  <c r="AN306" s="158"/>
      <c r="AO306" s="158"/>
    </row>
    <row r="307" spans="1:41" s="107" customFormat="1" ht="34.5" customHeight="1" thickBot="1">
      <c r="A307" s="400" t="s">
        <v>447</v>
      </c>
      <c r="B307" s="297" t="s">
        <v>249</v>
      </c>
      <c r="C307" s="1076">
        <f>CEILING((C306+25*$Z$1),0.1)</f>
        <v>98.80000000000001</v>
      </c>
      <c r="D307" s="1077"/>
      <c r="E307" s="1076">
        <f>CEILING((E306+25*$Z$1),0.1)</f>
        <v>98.80000000000001</v>
      </c>
      <c r="F307" s="1077"/>
      <c r="G307" s="1076">
        <f>CEILING((G306+25*$Z$1),0.1)</f>
        <v>98.80000000000001</v>
      </c>
      <c r="H307" s="1077"/>
      <c r="I307" s="1061"/>
      <c r="J307" s="1061"/>
      <c r="K307" s="1061"/>
      <c r="L307" s="1061"/>
      <c r="M307" s="110"/>
      <c r="N307" s="111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  <c r="AN307" s="158"/>
      <c r="AO307" s="158"/>
    </row>
    <row r="308" spans="1:41" s="107" customFormat="1" ht="34.5" customHeight="1" thickTop="1">
      <c r="A308" s="1208" t="s">
        <v>1012</v>
      </c>
      <c r="B308" s="1123"/>
      <c r="C308" s="1123"/>
      <c r="D308" s="1123"/>
      <c r="E308" s="1123"/>
      <c r="F308" s="1123"/>
      <c r="G308" s="1123"/>
      <c r="H308" s="1123"/>
      <c r="I308" s="1123"/>
      <c r="J308" s="1123"/>
      <c r="K308" s="138"/>
      <c r="L308" s="138"/>
      <c r="M308" s="110"/>
      <c r="N308" s="111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  <c r="AN308" s="158"/>
      <c r="AO308" s="158"/>
    </row>
    <row r="309" spans="1:41" s="107" customFormat="1" ht="34.5" customHeight="1" thickBot="1">
      <c r="A309" s="285"/>
      <c r="B309" s="124"/>
      <c r="C309" s="239"/>
      <c r="D309" s="239"/>
      <c r="E309" s="239"/>
      <c r="F309" s="239"/>
      <c r="G309" s="239"/>
      <c r="H309" s="239"/>
      <c r="I309" s="239"/>
      <c r="J309" s="239"/>
      <c r="K309" s="138"/>
      <c r="L309" s="138"/>
      <c r="M309" s="110"/>
      <c r="N309" s="111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  <c r="AN309" s="158"/>
      <c r="AO309" s="158"/>
    </row>
    <row r="310" spans="1:42" s="214" customFormat="1" ht="34.5" customHeight="1" thickTop="1">
      <c r="A310" s="207" t="s">
        <v>34</v>
      </c>
      <c r="B310" s="208" t="s">
        <v>637</v>
      </c>
      <c r="C310" s="209" t="s">
        <v>921</v>
      </c>
      <c r="D310" s="210"/>
      <c r="E310" s="211" t="s">
        <v>922</v>
      </c>
      <c r="F310" s="212"/>
      <c r="G310" s="211" t="s">
        <v>923</v>
      </c>
      <c r="H310" s="212"/>
      <c r="I310" s="1070"/>
      <c r="J310" s="1071"/>
      <c r="K310" s="1070"/>
      <c r="L310" s="1070"/>
      <c r="M310" s="174"/>
      <c r="N310" s="174"/>
      <c r="O310" s="213"/>
      <c r="P310" s="213"/>
      <c r="Q310" s="213"/>
      <c r="R310" s="213"/>
      <c r="S310" s="213"/>
      <c r="T310" s="213"/>
      <c r="U310" s="213"/>
      <c r="V310" s="213"/>
      <c r="W310" s="213"/>
      <c r="X310" s="213"/>
      <c r="Y310" s="213"/>
      <c r="Z310" s="213"/>
      <c r="AA310" s="213"/>
      <c r="AB310" s="213"/>
      <c r="AC310" s="213"/>
      <c r="AD310" s="213"/>
      <c r="AE310" s="213"/>
      <c r="AF310" s="213"/>
      <c r="AG310" s="213"/>
      <c r="AH310" s="213"/>
      <c r="AI310" s="213"/>
      <c r="AJ310" s="213"/>
      <c r="AK310" s="213"/>
      <c r="AL310" s="213"/>
      <c r="AM310" s="213"/>
      <c r="AN310" s="213"/>
      <c r="AO310" s="213"/>
      <c r="AP310" s="213"/>
    </row>
    <row r="311" spans="1:41" s="107" customFormat="1" ht="34.5" customHeight="1">
      <c r="A311" s="422" t="s">
        <v>250</v>
      </c>
      <c r="B311" s="236" t="s">
        <v>56</v>
      </c>
      <c r="C311" s="1073">
        <f>CEILING(30*$Z$1,0.1)</f>
        <v>37.5</v>
      </c>
      <c r="D311" s="1074"/>
      <c r="E311" s="1073">
        <f>CEILING(30*$Z$1,0.1)</f>
        <v>37.5</v>
      </c>
      <c r="F311" s="1074"/>
      <c r="G311" s="1073">
        <f>CEILING(30*$Z$1,0.1)</f>
        <v>37.5</v>
      </c>
      <c r="H311" s="1074"/>
      <c r="I311" s="1061"/>
      <c r="J311" s="1061"/>
      <c r="K311" s="1061"/>
      <c r="L311" s="1061"/>
      <c r="M311" s="148"/>
      <c r="N311" s="14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  <c r="AN311" s="158"/>
      <c r="AO311" s="158"/>
    </row>
    <row r="312" spans="1:41" s="107" customFormat="1" ht="34.5" customHeight="1">
      <c r="A312" s="424" t="s">
        <v>928</v>
      </c>
      <c r="B312" s="238"/>
      <c r="C312" s="416"/>
      <c r="D312" s="425"/>
      <c r="E312" s="416"/>
      <c r="F312" s="425"/>
      <c r="G312" s="416"/>
      <c r="H312" s="425"/>
      <c r="I312" s="239"/>
      <c r="J312" s="239"/>
      <c r="K312" s="239"/>
      <c r="L312" s="239"/>
      <c r="M312" s="148"/>
      <c r="N312" s="14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  <c r="AN312" s="158"/>
      <c r="AO312" s="158"/>
    </row>
    <row r="313" spans="1:41" s="107" customFormat="1" ht="34.5" customHeight="1" thickBot="1">
      <c r="A313" s="426" t="s">
        <v>772</v>
      </c>
      <c r="B313" s="297" t="s">
        <v>57</v>
      </c>
      <c r="C313" s="1076">
        <f>CEILING((C311+25*$Z$1),0.1)</f>
        <v>68.8</v>
      </c>
      <c r="D313" s="1077"/>
      <c r="E313" s="1076">
        <f>CEILING((E311+25*$Z$1),0.1)</f>
        <v>68.8</v>
      </c>
      <c r="F313" s="1077"/>
      <c r="G313" s="1076">
        <f>CEILING((G311+25*$Z$1),0.1)</f>
        <v>68.8</v>
      </c>
      <c r="H313" s="1077"/>
      <c r="I313" s="1061"/>
      <c r="J313" s="1061"/>
      <c r="K313" s="1061"/>
      <c r="L313" s="1061"/>
      <c r="M313" s="130"/>
      <c r="N313" s="130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  <c r="AN313" s="158"/>
      <c r="AO313" s="158"/>
    </row>
    <row r="314" spans="1:41" s="107" customFormat="1" ht="34.5" customHeight="1" thickTop="1">
      <c r="A314" s="1208" t="s">
        <v>1012</v>
      </c>
      <c r="B314" s="1123"/>
      <c r="C314" s="1123"/>
      <c r="D314" s="1123"/>
      <c r="E314" s="1123"/>
      <c r="F314" s="1123"/>
      <c r="G314" s="1123"/>
      <c r="H314" s="1123"/>
      <c r="I314" s="1123"/>
      <c r="J314" s="1123"/>
      <c r="K314" s="138"/>
      <c r="L314" s="138"/>
      <c r="M314" s="110"/>
      <c r="N314" s="111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  <c r="AN314" s="158"/>
      <c r="AO314" s="158"/>
    </row>
    <row r="315" spans="1:41" s="107" customFormat="1" ht="34.5" customHeight="1" thickBot="1">
      <c r="A315" s="427"/>
      <c r="B315" s="428"/>
      <c r="C315" s="428"/>
      <c r="D315" s="429"/>
      <c r="E315" s="429"/>
      <c r="F315" s="429"/>
      <c r="G315" s="429"/>
      <c r="H315" s="429"/>
      <c r="I315" s="430"/>
      <c r="J315" s="430"/>
      <c r="K315" s="138"/>
      <c r="L315" s="138"/>
      <c r="M315" s="110"/>
      <c r="N315" s="111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  <c r="AN315" s="158"/>
      <c r="AO315" s="158"/>
    </row>
    <row r="316" spans="1:42" s="214" customFormat="1" ht="34.5" customHeight="1" thickTop="1">
      <c r="A316" s="207" t="s">
        <v>34</v>
      </c>
      <c r="B316" s="208" t="s">
        <v>637</v>
      </c>
      <c r="C316" s="209" t="s">
        <v>921</v>
      </c>
      <c r="D316" s="210"/>
      <c r="E316" s="211" t="s">
        <v>922</v>
      </c>
      <c r="F316" s="212"/>
      <c r="G316" s="211" t="s">
        <v>923</v>
      </c>
      <c r="H316" s="212"/>
      <c r="I316" s="1070"/>
      <c r="J316" s="1071"/>
      <c r="K316" s="1070"/>
      <c r="L316" s="1070"/>
      <c r="M316" s="174"/>
      <c r="N316" s="174"/>
      <c r="O316" s="213"/>
      <c r="P316" s="213"/>
      <c r="Q316" s="213"/>
      <c r="R316" s="213"/>
      <c r="S316" s="213"/>
      <c r="T316" s="213"/>
      <c r="U316" s="213"/>
      <c r="V316" s="213"/>
      <c r="W316" s="213"/>
      <c r="X316" s="213"/>
      <c r="Y316" s="213"/>
      <c r="Z316" s="213"/>
      <c r="AA316" s="213"/>
      <c r="AB316" s="213"/>
      <c r="AC316" s="213"/>
      <c r="AD316" s="213"/>
      <c r="AE316" s="213"/>
      <c r="AF316" s="213"/>
      <c r="AG316" s="213"/>
      <c r="AH316" s="213"/>
      <c r="AI316" s="213"/>
      <c r="AJ316" s="213"/>
      <c r="AK316" s="213"/>
      <c r="AL316" s="213"/>
      <c r="AM316" s="213"/>
      <c r="AN316" s="213"/>
      <c r="AO316" s="213"/>
      <c r="AP316" s="213"/>
    </row>
    <row r="317" spans="1:41" s="107" customFormat="1" ht="34.5" customHeight="1">
      <c r="A317" s="422" t="s">
        <v>251</v>
      </c>
      <c r="B317" s="241" t="s">
        <v>625</v>
      </c>
      <c r="C317" s="1063">
        <f>CEILING(38*$Z$1,0.1)</f>
        <v>47.5</v>
      </c>
      <c r="D317" s="1064"/>
      <c r="E317" s="1063">
        <f>CEILING(38*$Z$1,0.1)</f>
        <v>47.5</v>
      </c>
      <c r="F317" s="1064"/>
      <c r="G317" s="1063">
        <f>CEILING(38*$Z$1,0.1)</f>
        <v>47.5</v>
      </c>
      <c r="H317" s="1064"/>
      <c r="I317" s="1061"/>
      <c r="J317" s="1061"/>
      <c r="K317" s="1061"/>
      <c r="L317" s="1061"/>
      <c r="M317" s="1061"/>
      <c r="N317" s="1061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  <c r="AN317" s="158"/>
      <c r="AO317" s="158"/>
    </row>
    <row r="318" spans="1:41" s="107" customFormat="1" ht="34.5" customHeight="1">
      <c r="A318" s="295" t="s">
        <v>80</v>
      </c>
      <c r="B318" s="241" t="s">
        <v>626</v>
      </c>
      <c r="C318" s="1065">
        <f>CEILING((C317+15*$Z$1),0.1)</f>
        <v>66.3</v>
      </c>
      <c r="D318" s="1066"/>
      <c r="E318" s="1065">
        <f>CEILING((E317+15*$Z$1),0.1)</f>
        <v>66.3</v>
      </c>
      <c r="F318" s="1066"/>
      <c r="G318" s="1065">
        <f>CEILING((G317+15*$Z$1),0.1)</f>
        <v>66.3</v>
      </c>
      <c r="H318" s="1066"/>
      <c r="I318" s="1061"/>
      <c r="J318" s="1061"/>
      <c r="K318" s="1061"/>
      <c r="L318" s="1061"/>
      <c r="M318" s="1061"/>
      <c r="N318" s="1061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  <c r="AN318" s="158"/>
      <c r="AO318" s="158"/>
    </row>
    <row r="319" spans="1:41" s="107" customFormat="1" ht="34.5" customHeight="1">
      <c r="A319" s="295"/>
      <c r="B319" s="241" t="s">
        <v>38</v>
      </c>
      <c r="C319" s="1065">
        <f>CEILING((C317*0.85),0.1)</f>
        <v>40.400000000000006</v>
      </c>
      <c r="D319" s="1066"/>
      <c r="E319" s="1065">
        <f>CEILING((E317*0.85),0.1)</f>
        <v>40.400000000000006</v>
      </c>
      <c r="F319" s="1066"/>
      <c r="G319" s="1065">
        <f>CEILING((G317*0.85),0.1)</f>
        <v>40.400000000000006</v>
      </c>
      <c r="H319" s="1066"/>
      <c r="I319" s="1061"/>
      <c r="J319" s="1061"/>
      <c r="K319" s="1061"/>
      <c r="L319" s="1061"/>
      <c r="M319" s="1061"/>
      <c r="N319" s="1061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  <c r="AN319" s="158"/>
      <c r="AO319" s="158"/>
    </row>
    <row r="320" spans="1:41" s="107" customFormat="1" ht="34.5" customHeight="1">
      <c r="A320" s="116" t="s">
        <v>1063</v>
      </c>
      <c r="B320" s="241" t="s">
        <v>62</v>
      </c>
      <c r="C320" s="1065">
        <f>CEILING((C317*0),0.1)</f>
        <v>0</v>
      </c>
      <c r="D320" s="1066"/>
      <c r="E320" s="1065">
        <f>CEILING((E317*0),0.1)</f>
        <v>0</v>
      </c>
      <c r="F320" s="1066"/>
      <c r="G320" s="1065">
        <f>CEILING((G317*0),0.1)</f>
        <v>0</v>
      </c>
      <c r="H320" s="1066"/>
      <c r="I320" s="1061"/>
      <c r="J320" s="1061"/>
      <c r="K320" s="1061"/>
      <c r="L320" s="1061"/>
      <c r="M320" s="1061"/>
      <c r="N320" s="1061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  <c r="AN320" s="158"/>
      <c r="AO320" s="158"/>
    </row>
    <row r="321" spans="1:41" s="107" customFormat="1" ht="34.5" customHeight="1">
      <c r="A321" s="395"/>
      <c r="B321" s="241" t="s">
        <v>162</v>
      </c>
      <c r="C321" s="1065">
        <f>CEILING(42*$Z$1,0.1)</f>
        <v>52.5</v>
      </c>
      <c r="D321" s="1066"/>
      <c r="E321" s="1065">
        <f>CEILING(42*$Z$1,0.1)</f>
        <v>52.5</v>
      </c>
      <c r="F321" s="1066"/>
      <c r="G321" s="1065">
        <f>CEILING(42*$Z$1,0.1)</f>
        <v>52.5</v>
      </c>
      <c r="H321" s="1066"/>
      <c r="I321" s="1061"/>
      <c r="J321" s="1061"/>
      <c r="K321" s="1061"/>
      <c r="L321" s="1061"/>
      <c r="M321" s="1061"/>
      <c r="N321" s="1061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  <c r="AN321" s="158"/>
      <c r="AO321" s="158"/>
    </row>
    <row r="322" spans="1:41" s="107" customFormat="1" ht="34.5" customHeight="1">
      <c r="A322" s="295"/>
      <c r="B322" s="241" t="s">
        <v>163</v>
      </c>
      <c r="C322" s="1065">
        <f>CEILING((C321+15*$Z$1),0.1)</f>
        <v>71.3</v>
      </c>
      <c r="D322" s="1066"/>
      <c r="E322" s="1065">
        <f>CEILING((E321+15*$Z$1),0.1)</f>
        <v>71.3</v>
      </c>
      <c r="F322" s="1066"/>
      <c r="G322" s="1065">
        <f>CEILING((G321+15*$Z$1),0.1)</f>
        <v>71.3</v>
      </c>
      <c r="H322" s="1066"/>
      <c r="I322" s="1061"/>
      <c r="J322" s="1061"/>
      <c r="K322" s="1061"/>
      <c r="L322" s="1061"/>
      <c r="M322" s="1061"/>
      <c r="N322" s="1061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  <c r="AN322" s="158"/>
      <c r="AO322" s="158"/>
    </row>
    <row r="323" spans="1:41" s="107" customFormat="1" ht="34.5" customHeight="1">
      <c r="A323" s="396" t="s">
        <v>447</v>
      </c>
      <c r="B323" s="325" t="s">
        <v>151</v>
      </c>
      <c r="C323" s="1078">
        <f>CEILING(46*$Z$1,0.1)</f>
        <v>57.5</v>
      </c>
      <c r="D323" s="1079"/>
      <c r="E323" s="1078">
        <f>CEILING(46*$Z$1,0.1)</f>
        <v>57.5</v>
      </c>
      <c r="F323" s="1079"/>
      <c r="G323" s="1078">
        <f>CEILING(46*$Z$1,0.1)</f>
        <v>57.5</v>
      </c>
      <c r="H323" s="1079"/>
      <c r="I323" s="1061"/>
      <c r="J323" s="1061"/>
      <c r="K323" s="1061"/>
      <c r="L323" s="1061"/>
      <c r="M323" s="1061"/>
      <c r="N323" s="1061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  <c r="AN323" s="158"/>
      <c r="AO323" s="158"/>
    </row>
    <row r="324" spans="1:41" s="107" customFormat="1" ht="34.5" customHeight="1">
      <c r="A324" s="397" t="s">
        <v>627</v>
      </c>
      <c r="B324" s="103"/>
      <c r="C324" s="148"/>
      <c r="D324" s="148"/>
      <c r="E324" s="148"/>
      <c r="F324" s="148"/>
      <c r="G324" s="148"/>
      <c r="H324" s="148"/>
      <c r="I324" s="148"/>
      <c r="J324" s="148"/>
      <c r="K324" s="157"/>
      <c r="L324" s="157"/>
      <c r="M324" s="124"/>
      <c r="N324" s="124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  <c r="AN324" s="158"/>
      <c r="AO324" s="158"/>
    </row>
    <row r="325" spans="1:41" s="107" customFormat="1" ht="34.5" customHeight="1" thickBot="1">
      <c r="A325" s="397"/>
      <c r="B325" s="404"/>
      <c r="C325" s="148"/>
      <c r="D325" s="148"/>
      <c r="E325" s="148"/>
      <c r="F325" s="148"/>
      <c r="G325" s="148"/>
      <c r="H325" s="148"/>
      <c r="I325" s="148"/>
      <c r="J325" s="148"/>
      <c r="K325" s="157"/>
      <c r="L325" s="157"/>
      <c r="M325" s="124"/>
      <c r="N325" s="124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  <c r="AN325" s="158"/>
      <c r="AO325" s="158"/>
    </row>
    <row r="326" spans="1:42" s="214" customFormat="1" ht="34.5" customHeight="1" thickTop="1">
      <c r="A326" s="207" t="s">
        <v>34</v>
      </c>
      <c r="B326" s="208" t="s">
        <v>637</v>
      </c>
      <c r="C326" s="209" t="s">
        <v>921</v>
      </c>
      <c r="D326" s="210"/>
      <c r="E326" s="211" t="s">
        <v>922</v>
      </c>
      <c r="F326" s="212"/>
      <c r="G326" s="211" t="s">
        <v>923</v>
      </c>
      <c r="H326" s="212"/>
      <c r="I326" s="1070"/>
      <c r="J326" s="1071"/>
      <c r="K326" s="1070"/>
      <c r="L326" s="1070"/>
      <c r="M326" s="174"/>
      <c r="N326" s="174"/>
      <c r="O326" s="213"/>
      <c r="P326" s="213"/>
      <c r="Q326" s="213"/>
      <c r="R326" s="213"/>
      <c r="S326" s="213"/>
      <c r="T326" s="213"/>
      <c r="U326" s="213"/>
      <c r="V326" s="213"/>
      <c r="W326" s="213"/>
      <c r="X326" s="213"/>
      <c r="Y326" s="213"/>
      <c r="Z326" s="213"/>
      <c r="AA326" s="213"/>
      <c r="AB326" s="213"/>
      <c r="AC326" s="213"/>
      <c r="AD326" s="213"/>
      <c r="AE326" s="213"/>
      <c r="AF326" s="213"/>
      <c r="AG326" s="213"/>
      <c r="AH326" s="213"/>
      <c r="AI326" s="213"/>
      <c r="AJ326" s="213"/>
      <c r="AK326" s="213"/>
      <c r="AL326" s="213"/>
      <c r="AM326" s="213"/>
      <c r="AN326" s="213"/>
      <c r="AO326" s="213"/>
      <c r="AP326" s="213"/>
    </row>
    <row r="327" spans="1:41" s="107" customFormat="1" ht="34.5" customHeight="1">
      <c r="A327" s="431" t="s">
        <v>71</v>
      </c>
      <c r="B327" s="264" t="s">
        <v>162</v>
      </c>
      <c r="C327" s="1063">
        <f>CEILING(45*$Z$1,0.1)</f>
        <v>56.300000000000004</v>
      </c>
      <c r="D327" s="1064"/>
      <c r="E327" s="1063">
        <f>CEILING(45*$Z$1,0.1)</f>
        <v>56.300000000000004</v>
      </c>
      <c r="F327" s="1064"/>
      <c r="G327" s="1063">
        <f>CEILING(45*$Z$1,0.1)</f>
        <v>56.300000000000004</v>
      </c>
      <c r="H327" s="1064"/>
      <c r="I327" s="1061"/>
      <c r="J327" s="1061"/>
      <c r="K327" s="1061"/>
      <c r="L327" s="1061"/>
      <c r="M327" s="1062"/>
      <c r="N327" s="1062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  <c r="AN327" s="158"/>
      <c r="AO327" s="158"/>
    </row>
    <row r="328" spans="1:41" s="107" customFormat="1" ht="34.5" customHeight="1">
      <c r="A328" s="432" t="s">
        <v>50</v>
      </c>
      <c r="B328" s="241" t="s">
        <v>163</v>
      </c>
      <c r="C328" s="1065">
        <f>CEILING((C327*1.25),0.1)</f>
        <v>70.4</v>
      </c>
      <c r="D328" s="1066"/>
      <c r="E328" s="1065">
        <f>CEILING((E327*1.25),0.1)</f>
        <v>70.4</v>
      </c>
      <c r="F328" s="1066"/>
      <c r="G328" s="1065">
        <f>CEILING((G327*1.25),0.1)</f>
        <v>70.4</v>
      </c>
      <c r="H328" s="1066"/>
      <c r="I328" s="1061"/>
      <c r="J328" s="1061"/>
      <c r="K328" s="1061"/>
      <c r="L328" s="1061"/>
      <c r="M328" s="433"/>
      <c r="N328" s="433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  <c r="AN328" s="158"/>
      <c r="AO328" s="158"/>
    </row>
    <row r="329" spans="1:41" s="107" customFormat="1" ht="34.5" customHeight="1">
      <c r="A329" s="432" t="s">
        <v>72</v>
      </c>
      <c r="B329" s="241" t="s">
        <v>38</v>
      </c>
      <c r="C329" s="1065">
        <f>CEILING((C327*0.85),0.1)</f>
        <v>47.900000000000006</v>
      </c>
      <c r="D329" s="1066"/>
      <c r="E329" s="1065">
        <f>CEILING((E327*0.85),0.1)</f>
        <v>47.900000000000006</v>
      </c>
      <c r="F329" s="1066"/>
      <c r="G329" s="1065">
        <f>CEILING((G327*0.85),0.1)</f>
        <v>47.900000000000006</v>
      </c>
      <c r="H329" s="1066"/>
      <c r="I329" s="1061"/>
      <c r="J329" s="1061"/>
      <c r="K329" s="1061"/>
      <c r="L329" s="1061"/>
      <c r="M329" s="433"/>
      <c r="N329" s="433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  <c r="AN329" s="158"/>
      <c r="AO329" s="158"/>
    </row>
    <row r="330" spans="1:41" s="107" customFormat="1" ht="34.5" customHeight="1">
      <c r="A330" s="133" t="s">
        <v>1039</v>
      </c>
      <c r="B330" s="219" t="s">
        <v>69</v>
      </c>
      <c r="C330" s="1065">
        <f>CEILING((C327*0),0.1)</f>
        <v>0</v>
      </c>
      <c r="D330" s="1066"/>
      <c r="E330" s="1065">
        <f>CEILING((E327*0),0.1)</f>
        <v>0</v>
      </c>
      <c r="F330" s="1066"/>
      <c r="G330" s="1065">
        <f>CEILING((G327*0),0.1)</f>
        <v>0</v>
      </c>
      <c r="H330" s="1066"/>
      <c r="I330" s="1061"/>
      <c r="J330" s="1061"/>
      <c r="K330" s="1061"/>
      <c r="L330" s="1061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  <c r="AN330" s="158"/>
      <c r="AO330" s="158"/>
    </row>
    <row r="331" spans="1:41" s="107" customFormat="1" ht="34.5" customHeight="1">
      <c r="A331" s="434"/>
      <c r="B331" s="241" t="s">
        <v>73</v>
      </c>
      <c r="C331" s="1057">
        <f>CEILING(70*$Z$1,0.1)</f>
        <v>87.5</v>
      </c>
      <c r="D331" s="1058"/>
      <c r="E331" s="1057">
        <f>CEILING(75*$Z$1,0.1)</f>
        <v>93.80000000000001</v>
      </c>
      <c r="F331" s="1058"/>
      <c r="G331" s="1057">
        <f>CEILING(70*$Z$1,0.1)</f>
        <v>87.5</v>
      </c>
      <c r="H331" s="1058"/>
      <c r="I331" s="1061"/>
      <c r="J331" s="1061"/>
      <c r="K331" s="1061"/>
      <c r="L331" s="1061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  <c r="AN331" s="158"/>
      <c r="AO331" s="158"/>
    </row>
    <row r="332" spans="1:41" s="107" customFormat="1" ht="34.5" customHeight="1" thickBot="1">
      <c r="A332" s="435" t="s">
        <v>1013</v>
      </c>
      <c r="B332" s="243" t="s">
        <v>53</v>
      </c>
      <c r="C332" s="1076">
        <f>CEILING(80*$Z$1,0.1)</f>
        <v>100</v>
      </c>
      <c r="D332" s="1077"/>
      <c r="E332" s="1076">
        <f>CEILING(85*$Z$1,0.1)</f>
        <v>106.30000000000001</v>
      </c>
      <c r="F332" s="1077"/>
      <c r="G332" s="1076">
        <f>CEILING(80*$Z$1,0.1)</f>
        <v>100</v>
      </c>
      <c r="H332" s="1077"/>
      <c r="I332" s="1061"/>
      <c r="J332" s="1061"/>
      <c r="K332" s="1061"/>
      <c r="L332" s="1061"/>
      <c r="M332" s="1062"/>
      <c r="N332" s="1062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  <c r="AN332" s="158"/>
      <c r="AO332" s="158"/>
    </row>
    <row r="333" spans="1:41" s="107" customFormat="1" ht="34.5" customHeight="1" thickTop="1">
      <c r="A333" s="436" t="s">
        <v>504</v>
      </c>
      <c r="B333" s="124"/>
      <c r="C333" s="148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4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  <c r="AN333" s="158"/>
      <c r="AO333" s="158"/>
    </row>
    <row r="334" spans="1:41" s="107" customFormat="1" ht="34.5" customHeight="1" thickBot="1">
      <c r="A334" s="437"/>
      <c r="B334" s="437"/>
      <c r="C334" s="437"/>
      <c r="D334" s="437"/>
      <c r="E334" s="437"/>
      <c r="F334" s="437"/>
      <c r="G334" s="437"/>
      <c r="H334" s="437"/>
      <c r="I334" s="438"/>
      <c r="J334" s="438"/>
      <c r="K334" s="108"/>
      <c r="L334" s="108"/>
      <c r="M334" s="1062"/>
      <c r="N334" s="1062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  <c r="AN334" s="158"/>
      <c r="AO334" s="158"/>
    </row>
    <row r="335" spans="1:42" s="214" customFormat="1" ht="34.5" customHeight="1" thickTop="1">
      <c r="A335" s="207" t="s">
        <v>34</v>
      </c>
      <c r="B335" s="208" t="s">
        <v>637</v>
      </c>
      <c r="C335" s="209" t="s">
        <v>921</v>
      </c>
      <c r="D335" s="210"/>
      <c r="E335" s="211" t="s">
        <v>922</v>
      </c>
      <c r="F335" s="212"/>
      <c r="G335" s="211" t="s">
        <v>923</v>
      </c>
      <c r="H335" s="212"/>
      <c r="I335" s="1070"/>
      <c r="J335" s="1071"/>
      <c r="K335" s="1070"/>
      <c r="L335" s="1070"/>
      <c r="M335" s="174"/>
      <c r="N335" s="174"/>
      <c r="O335" s="213"/>
      <c r="P335" s="213"/>
      <c r="Q335" s="213"/>
      <c r="R335" s="213"/>
      <c r="S335" s="213"/>
      <c r="T335" s="213"/>
      <c r="U335" s="213"/>
      <c r="V335" s="213"/>
      <c r="W335" s="213"/>
      <c r="X335" s="213"/>
      <c r="Y335" s="213"/>
      <c r="Z335" s="213"/>
      <c r="AA335" s="213"/>
      <c r="AB335" s="213"/>
      <c r="AC335" s="213"/>
      <c r="AD335" s="213"/>
      <c r="AE335" s="213"/>
      <c r="AF335" s="213"/>
      <c r="AG335" s="213"/>
      <c r="AH335" s="213"/>
      <c r="AI335" s="213"/>
      <c r="AJ335" s="213"/>
      <c r="AK335" s="213"/>
      <c r="AL335" s="213"/>
      <c r="AM335" s="213"/>
      <c r="AN335" s="213"/>
      <c r="AO335" s="213"/>
      <c r="AP335" s="213"/>
    </row>
    <row r="336" spans="1:41" s="107" customFormat="1" ht="34.5" customHeight="1">
      <c r="A336" s="431" t="s">
        <v>161</v>
      </c>
      <c r="B336" s="264" t="s">
        <v>501</v>
      </c>
      <c r="C336" s="1073">
        <f>CEILING(66*$Z$1,0.1)</f>
        <v>82.5</v>
      </c>
      <c r="D336" s="1074"/>
      <c r="E336" s="1073">
        <f>CEILING(72*$Z$1,0.1)</f>
        <v>90</v>
      </c>
      <c r="F336" s="1074"/>
      <c r="G336" s="1073">
        <f>CEILING(66*$Z$1,0.1)</f>
        <v>82.5</v>
      </c>
      <c r="H336" s="1074"/>
      <c r="I336" s="1061"/>
      <c r="J336" s="1061"/>
      <c r="K336" s="1061"/>
      <c r="L336" s="1061"/>
      <c r="M336" s="148"/>
      <c r="N336" s="14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  <c r="AN336" s="158"/>
      <c r="AO336" s="158"/>
    </row>
    <row r="337" spans="1:41" s="107" customFormat="1" ht="34.5" customHeight="1">
      <c r="A337" s="432" t="s">
        <v>50</v>
      </c>
      <c r="B337" s="241" t="s">
        <v>502</v>
      </c>
      <c r="C337" s="1057">
        <f>CEILING((C336*1.25),0.1)</f>
        <v>103.2</v>
      </c>
      <c r="D337" s="1058"/>
      <c r="E337" s="1057">
        <f>CEILING((E336*1.25),0.1)</f>
        <v>112.5</v>
      </c>
      <c r="F337" s="1058"/>
      <c r="G337" s="1057">
        <f>CEILING((G336*1.25),0.1)</f>
        <v>103.2</v>
      </c>
      <c r="H337" s="1058"/>
      <c r="I337" s="1061"/>
      <c r="J337" s="1061"/>
      <c r="K337" s="1061"/>
      <c r="L337" s="1061"/>
      <c r="M337" s="148"/>
      <c r="N337" s="14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  <c r="AN337" s="158"/>
      <c r="AO337" s="158"/>
    </row>
    <row r="338" spans="1:41" s="107" customFormat="1" ht="34.5" customHeight="1">
      <c r="A338" s="439" t="s">
        <v>500</v>
      </c>
      <c r="B338" s="219" t="s">
        <v>69</v>
      </c>
      <c r="C338" s="1057">
        <f>CEILING((C336*0.5),0.1)</f>
        <v>41.300000000000004</v>
      </c>
      <c r="D338" s="1058"/>
      <c r="E338" s="1057">
        <f>CEILING((E336*0.5),0.1)</f>
        <v>45</v>
      </c>
      <c r="F338" s="1058"/>
      <c r="G338" s="1057">
        <f>CEILING((G336*0.5),0.1)</f>
        <v>41.300000000000004</v>
      </c>
      <c r="H338" s="1058"/>
      <c r="I338" s="1061"/>
      <c r="J338" s="1061"/>
      <c r="K338" s="1061"/>
      <c r="L338" s="1061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  <c r="AN338" s="158"/>
      <c r="AO338" s="158"/>
    </row>
    <row r="339" spans="1:41" s="107" customFormat="1" ht="34.5" customHeight="1" thickBot="1">
      <c r="A339" s="435" t="s">
        <v>1013</v>
      </c>
      <c r="B339" s="243" t="s">
        <v>503</v>
      </c>
      <c r="C339" s="1076">
        <f>CEILING(71*$Z$1,0.1)</f>
        <v>88.80000000000001</v>
      </c>
      <c r="D339" s="1077"/>
      <c r="E339" s="1076">
        <f>CEILING(78*$Z$1,0.1)</f>
        <v>97.5</v>
      </c>
      <c r="F339" s="1077"/>
      <c r="G339" s="1076">
        <f>CEILING(71*$Z$1,0.1)</f>
        <v>88.80000000000001</v>
      </c>
      <c r="H339" s="1077"/>
      <c r="I339" s="1061"/>
      <c r="J339" s="1061"/>
      <c r="K339" s="1061"/>
      <c r="L339" s="1061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  <c r="AN339" s="158"/>
      <c r="AO339" s="158"/>
    </row>
    <row r="340" spans="1:41" s="107" customFormat="1" ht="34.5" customHeight="1" thickTop="1">
      <c r="A340" s="436" t="s">
        <v>854</v>
      </c>
      <c r="B340" s="124"/>
      <c r="C340" s="148"/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  <c r="N340" s="14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  <c r="AN340" s="158"/>
      <c r="AO340" s="158"/>
    </row>
    <row r="341" spans="1:41" s="107" customFormat="1" ht="34.5" customHeight="1" thickBot="1">
      <c r="A341" s="440"/>
      <c r="B341" s="428"/>
      <c r="C341" s="405"/>
      <c r="D341" s="405"/>
      <c r="E341" s="405"/>
      <c r="F341" s="405"/>
      <c r="G341" s="405"/>
      <c r="H341" s="405"/>
      <c r="I341" s="148"/>
      <c r="J341" s="148"/>
      <c r="K341" s="108"/>
      <c r="L341" s="108"/>
      <c r="M341" s="1062"/>
      <c r="N341" s="1062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  <c r="AN341" s="158"/>
      <c r="AO341" s="158"/>
    </row>
    <row r="342" spans="1:42" s="214" customFormat="1" ht="34.5" customHeight="1" thickTop="1">
      <c r="A342" s="207" t="s">
        <v>34</v>
      </c>
      <c r="B342" s="208" t="s">
        <v>637</v>
      </c>
      <c r="C342" s="209" t="s">
        <v>921</v>
      </c>
      <c r="D342" s="210"/>
      <c r="E342" s="211" t="s">
        <v>922</v>
      </c>
      <c r="F342" s="212"/>
      <c r="G342" s="211" t="s">
        <v>923</v>
      </c>
      <c r="H342" s="212"/>
      <c r="I342" s="1070"/>
      <c r="J342" s="1071"/>
      <c r="K342" s="1070"/>
      <c r="L342" s="1070"/>
      <c r="M342" s="174"/>
      <c r="N342" s="174"/>
      <c r="O342" s="213"/>
      <c r="P342" s="213"/>
      <c r="Q342" s="213"/>
      <c r="R342" s="213"/>
      <c r="S342" s="213"/>
      <c r="T342" s="213"/>
      <c r="U342" s="213"/>
      <c r="V342" s="213"/>
      <c r="W342" s="213"/>
      <c r="X342" s="213"/>
      <c r="Y342" s="213"/>
      <c r="Z342" s="213"/>
      <c r="AA342" s="213"/>
      <c r="AB342" s="213"/>
      <c r="AC342" s="213"/>
      <c r="AD342" s="213"/>
      <c r="AE342" s="213"/>
      <c r="AF342" s="213"/>
      <c r="AG342" s="213"/>
      <c r="AH342" s="213"/>
      <c r="AI342" s="213"/>
      <c r="AJ342" s="213"/>
      <c r="AK342" s="213"/>
      <c r="AL342" s="213"/>
      <c r="AM342" s="213"/>
      <c r="AN342" s="213"/>
      <c r="AO342" s="213"/>
      <c r="AP342" s="213"/>
    </row>
    <row r="343" spans="1:41" s="107" customFormat="1" ht="34.5" customHeight="1">
      <c r="A343" s="441" t="s">
        <v>388</v>
      </c>
      <c r="B343" s="241" t="s">
        <v>162</v>
      </c>
      <c r="C343" s="1063">
        <f>CEILING(40*$Z$1,0.1)</f>
        <v>50</v>
      </c>
      <c r="D343" s="1064"/>
      <c r="E343" s="1063">
        <f>CEILING(40*$Z$1,0.1)</f>
        <v>50</v>
      </c>
      <c r="F343" s="1064"/>
      <c r="G343" s="1063">
        <f>CEILING(40*$Z$1,0.1)</f>
        <v>50</v>
      </c>
      <c r="H343" s="1064"/>
      <c r="I343" s="1061"/>
      <c r="J343" s="1061"/>
      <c r="K343" s="1061"/>
      <c r="L343" s="1061"/>
      <c r="M343" s="1062"/>
      <c r="N343" s="1062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  <c r="AN343" s="158"/>
      <c r="AO343" s="158"/>
    </row>
    <row r="344" spans="1:41" s="107" customFormat="1" ht="34.5" customHeight="1">
      <c r="A344" s="265" t="s">
        <v>50</v>
      </c>
      <c r="B344" s="241" t="s">
        <v>163</v>
      </c>
      <c r="C344" s="1065">
        <f>CEILING((C343*1.25),0.1)</f>
        <v>62.5</v>
      </c>
      <c r="D344" s="1066"/>
      <c r="E344" s="1065">
        <f>CEILING((E343*1.25),0.1)</f>
        <v>62.5</v>
      </c>
      <c r="F344" s="1066"/>
      <c r="G344" s="1065">
        <f>CEILING((G343*1.25),0.1)</f>
        <v>62.5</v>
      </c>
      <c r="H344" s="1066"/>
      <c r="I344" s="1061"/>
      <c r="J344" s="1061"/>
      <c r="K344" s="1061"/>
      <c r="L344" s="1061"/>
      <c r="M344" s="114"/>
      <c r="N344" s="114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  <c r="AN344" s="158"/>
      <c r="AO344" s="158"/>
    </row>
    <row r="345" spans="1:41" s="107" customFormat="1" ht="34.5" customHeight="1">
      <c r="A345" s="133"/>
      <c r="B345" s="241" t="s">
        <v>38</v>
      </c>
      <c r="C345" s="1065">
        <f>CEILING((C343*0.85),0.1)</f>
        <v>42.5</v>
      </c>
      <c r="D345" s="1066"/>
      <c r="E345" s="1065">
        <f>CEILING((E343*0.85),0.1)</f>
        <v>42.5</v>
      </c>
      <c r="F345" s="1066"/>
      <c r="G345" s="1065">
        <f>CEILING((G343*0.85),0.1)</f>
        <v>42.5</v>
      </c>
      <c r="H345" s="1066"/>
      <c r="I345" s="1061"/>
      <c r="J345" s="1061"/>
      <c r="K345" s="1061"/>
      <c r="L345" s="1061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  <c r="AN345" s="158"/>
      <c r="AO345" s="158"/>
    </row>
    <row r="346" spans="1:41" s="107" customFormat="1" ht="34.5" customHeight="1">
      <c r="A346" s="133" t="s">
        <v>1039</v>
      </c>
      <c r="B346" s="219" t="s">
        <v>69</v>
      </c>
      <c r="C346" s="1065">
        <f>CEILING((C343*0),0.1)</f>
        <v>0</v>
      </c>
      <c r="D346" s="1066"/>
      <c r="E346" s="1065">
        <f>CEILING((E343*0),0.1)</f>
        <v>0</v>
      </c>
      <c r="F346" s="1066"/>
      <c r="G346" s="1065">
        <f>CEILING((G343*0),0.1)</f>
        <v>0</v>
      </c>
      <c r="H346" s="1066"/>
      <c r="I346" s="1061"/>
      <c r="J346" s="1061"/>
      <c r="K346" s="1061"/>
      <c r="L346" s="1061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  <c r="AN346" s="158"/>
      <c r="AO346" s="158"/>
    </row>
    <row r="347" spans="1:41" s="107" customFormat="1" ht="34.5" customHeight="1">
      <c r="A347" s="434"/>
      <c r="B347" s="241" t="s">
        <v>73</v>
      </c>
      <c r="C347" s="1057">
        <f>CEILING(64*$Z$1,0.1)</f>
        <v>80</v>
      </c>
      <c r="D347" s="1058"/>
      <c r="E347" s="1057">
        <f>CEILING(69*$Z$1,0.1)</f>
        <v>86.30000000000001</v>
      </c>
      <c r="F347" s="1058"/>
      <c r="G347" s="1057">
        <f>CEILING(64*$Z$1,0.1)</f>
        <v>80</v>
      </c>
      <c r="H347" s="1058"/>
      <c r="I347" s="1061"/>
      <c r="J347" s="1061"/>
      <c r="K347" s="1061"/>
      <c r="L347" s="1061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  <c r="AN347" s="158"/>
      <c r="AO347" s="158"/>
    </row>
    <row r="348" spans="1:41" s="107" customFormat="1" ht="34.5" customHeight="1" thickBot="1">
      <c r="A348" s="435" t="s">
        <v>1014</v>
      </c>
      <c r="B348" s="243" t="s">
        <v>53</v>
      </c>
      <c r="C348" s="1076">
        <f>CEILING(74*$Z$1,0.1)</f>
        <v>92.5</v>
      </c>
      <c r="D348" s="1077"/>
      <c r="E348" s="1076">
        <f>CEILING(79*$Z$1,0.1)</f>
        <v>98.80000000000001</v>
      </c>
      <c r="F348" s="1077"/>
      <c r="G348" s="1076">
        <f>CEILING(74*$Z$1,0.1)</f>
        <v>92.5</v>
      </c>
      <c r="H348" s="1077"/>
      <c r="I348" s="1061"/>
      <c r="J348" s="1061"/>
      <c r="K348" s="1061"/>
      <c r="L348" s="1061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  <c r="AN348" s="158"/>
      <c r="AO348" s="158"/>
    </row>
    <row r="349" spans="1:41" s="107" customFormat="1" ht="34.5" customHeight="1" thickTop="1">
      <c r="A349" s="436" t="s">
        <v>499</v>
      </c>
      <c r="B349" s="124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  <c r="AN349" s="158"/>
      <c r="AO349" s="158"/>
    </row>
    <row r="350" spans="1:41" s="107" customFormat="1" ht="34.5" customHeight="1" thickBot="1">
      <c r="A350" s="436"/>
      <c r="B350" s="124"/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  <c r="AN350" s="158"/>
      <c r="AO350" s="158"/>
    </row>
    <row r="351" spans="1:42" s="214" customFormat="1" ht="34.5" customHeight="1" thickTop="1">
      <c r="A351" s="207" t="s">
        <v>34</v>
      </c>
      <c r="B351" s="208" t="s">
        <v>637</v>
      </c>
      <c r="C351" s="209" t="s">
        <v>921</v>
      </c>
      <c r="D351" s="210"/>
      <c r="E351" s="211" t="s">
        <v>922</v>
      </c>
      <c r="F351" s="212"/>
      <c r="G351" s="211" t="s">
        <v>923</v>
      </c>
      <c r="H351" s="212"/>
      <c r="I351" s="1070"/>
      <c r="J351" s="1071"/>
      <c r="K351" s="1070"/>
      <c r="L351" s="1070"/>
      <c r="M351" s="174"/>
      <c r="N351" s="174"/>
      <c r="O351" s="213"/>
      <c r="P351" s="213"/>
      <c r="Q351" s="213"/>
      <c r="R351" s="213"/>
      <c r="S351" s="213"/>
      <c r="T351" s="213"/>
      <c r="U351" s="213"/>
      <c r="V351" s="213"/>
      <c r="W351" s="213"/>
      <c r="X351" s="213"/>
      <c r="Y351" s="213"/>
      <c r="Z351" s="213"/>
      <c r="AA351" s="213"/>
      <c r="AB351" s="213"/>
      <c r="AC351" s="213"/>
      <c r="AD351" s="213"/>
      <c r="AE351" s="213"/>
      <c r="AF351" s="213"/>
      <c r="AG351" s="213"/>
      <c r="AH351" s="213"/>
      <c r="AI351" s="213"/>
      <c r="AJ351" s="213"/>
      <c r="AK351" s="213"/>
      <c r="AL351" s="213"/>
      <c r="AM351" s="213"/>
      <c r="AN351" s="213"/>
      <c r="AO351" s="213"/>
      <c r="AP351" s="213"/>
    </row>
    <row r="352" spans="1:22" s="107" customFormat="1" ht="34.5" customHeight="1">
      <c r="A352" s="441" t="s">
        <v>389</v>
      </c>
      <c r="B352" s="241" t="s">
        <v>162</v>
      </c>
      <c r="C352" s="1063">
        <f>CEILING(30*$Z$1,0.1)</f>
        <v>37.5</v>
      </c>
      <c r="D352" s="1064"/>
      <c r="E352" s="1063">
        <f>CEILING(30*$Z$1,0.1)</f>
        <v>37.5</v>
      </c>
      <c r="F352" s="1064"/>
      <c r="G352" s="1063">
        <f>CEILING(30*$Z$1,0.1)</f>
        <v>37.5</v>
      </c>
      <c r="H352" s="1064"/>
      <c r="I352" s="1061"/>
      <c r="J352" s="1061"/>
      <c r="K352" s="1061"/>
      <c r="L352" s="1061"/>
      <c r="M352" s="115"/>
      <c r="N352" s="105"/>
      <c r="O352" s="105"/>
      <c r="P352" s="105"/>
      <c r="Q352" s="105"/>
      <c r="R352" s="105"/>
      <c r="S352" s="105"/>
      <c r="T352" s="105"/>
      <c r="U352" s="105"/>
      <c r="V352" s="105"/>
    </row>
    <row r="353" spans="1:22" s="107" customFormat="1" ht="34.5" customHeight="1">
      <c r="A353" s="265" t="s">
        <v>50</v>
      </c>
      <c r="B353" s="241" t="s">
        <v>163</v>
      </c>
      <c r="C353" s="1065">
        <f>CEILING((C352*1.25),0.1)</f>
        <v>46.900000000000006</v>
      </c>
      <c r="D353" s="1066"/>
      <c r="E353" s="1065">
        <f>CEILING((E352*1.25),0.1)</f>
        <v>46.900000000000006</v>
      </c>
      <c r="F353" s="1066"/>
      <c r="G353" s="1065">
        <f>CEILING((G352*1.25),0.1)</f>
        <v>46.900000000000006</v>
      </c>
      <c r="H353" s="1066"/>
      <c r="I353" s="1061"/>
      <c r="J353" s="1061"/>
      <c r="K353" s="1061"/>
      <c r="L353" s="1061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</row>
    <row r="354" spans="1:22" s="107" customFormat="1" ht="34.5" customHeight="1">
      <c r="A354" s="442" t="s">
        <v>390</v>
      </c>
      <c r="B354" s="241" t="s">
        <v>38</v>
      </c>
      <c r="C354" s="1065">
        <f>CEILING((C352*0.85),0.1)</f>
        <v>31.900000000000002</v>
      </c>
      <c r="D354" s="1066"/>
      <c r="E354" s="1065">
        <f>CEILING((E352*0.85),0.1)</f>
        <v>31.900000000000002</v>
      </c>
      <c r="F354" s="1066"/>
      <c r="G354" s="1065">
        <f>CEILING((G352*0.85),0.1)</f>
        <v>31.900000000000002</v>
      </c>
      <c r="H354" s="1066"/>
      <c r="I354" s="1061"/>
      <c r="J354" s="1061"/>
      <c r="K354" s="1061"/>
      <c r="L354" s="1061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</row>
    <row r="355" spans="1:22" s="107" customFormat="1" ht="34.5" customHeight="1">
      <c r="A355" s="133" t="s">
        <v>1039</v>
      </c>
      <c r="B355" s="219" t="s">
        <v>69</v>
      </c>
      <c r="C355" s="1065">
        <f>CEILING((C352*0),0.1)</f>
        <v>0</v>
      </c>
      <c r="D355" s="1066"/>
      <c r="E355" s="1065">
        <f>CEILING((E352*0),0.1)</f>
        <v>0</v>
      </c>
      <c r="F355" s="1066"/>
      <c r="G355" s="1065">
        <f>CEILING((G352*0),0.1)</f>
        <v>0</v>
      </c>
      <c r="H355" s="1066"/>
      <c r="I355" s="1061"/>
      <c r="J355" s="1061"/>
      <c r="K355" s="1061"/>
      <c r="L355" s="1061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</row>
    <row r="356" spans="1:22" s="107" customFormat="1" ht="34.5" customHeight="1">
      <c r="A356" s="434" t="s">
        <v>904</v>
      </c>
      <c r="B356" s="241" t="s">
        <v>73</v>
      </c>
      <c r="C356" s="1057">
        <f>CEILING(51*$Z$1,0.1)</f>
        <v>63.800000000000004</v>
      </c>
      <c r="D356" s="1058"/>
      <c r="E356" s="1057">
        <f>CEILING(54*$Z$1,0.1)</f>
        <v>67.5</v>
      </c>
      <c r="F356" s="1058"/>
      <c r="G356" s="1057">
        <f>CEILING(51*$Z$1,0.1)</f>
        <v>63.800000000000004</v>
      </c>
      <c r="H356" s="1058"/>
      <c r="I356" s="1061"/>
      <c r="J356" s="1061"/>
      <c r="K356" s="1061"/>
      <c r="L356" s="1061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</row>
    <row r="357" spans="1:22" s="107" customFormat="1" ht="34.5" customHeight="1" thickBot="1">
      <c r="A357" s="435" t="s">
        <v>1014</v>
      </c>
      <c r="B357" s="243" t="s">
        <v>182</v>
      </c>
      <c r="C357" s="1076">
        <f>CEILING(56*$Z$1,0.1)</f>
        <v>70</v>
      </c>
      <c r="D357" s="1077"/>
      <c r="E357" s="1076">
        <f>CEILING(51*$Z$1,0.1)</f>
        <v>63.800000000000004</v>
      </c>
      <c r="F357" s="1077"/>
      <c r="G357" s="1076">
        <f>CEILING(56*$Z$1,0.1)</f>
        <v>70</v>
      </c>
      <c r="H357" s="1077"/>
      <c r="I357" s="1061"/>
      <c r="J357" s="1061"/>
      <c r="K357" s="1061"/>
      <c r="L357" s="1061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</row>
    <row r="358" spans="1:22" s="107" customFormat="1" ht="34.5" customHeight="1" thickTop="1">
      <c r="A358" s="436" t="s">
        <v>606</v>
      </c>
      <c r="B358" s="124"/>
      <c r="C358" s="148"/>
      <c r="D358" s="148"/>
      <c r="E358" s="148"/>
      <c r="F358" s="148"/>
      <c r="G358" s="148"/>
      <c r="H358" s="148"/>
      <c r="I358" s="148"/>
      <c r="J358" s="148"/>
      <c r="K358" s="148"/>
      <c r="L358" s="148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</row>
    <row r="359" spans="1:22" s="107" customFormat="1" ht="34.5" customHeight="1" thickBot="1">
      <c r="A359" s="436"/>
      <c r="B359" s="124"/>
      <c r="C359" s="148"/>
      <c r="D359" s="148"/>
      <c r="E359" s="148"/>
      <c r="F359" s="148"/>
      <c r="G359" s="148"/>
      <c r="H359" s="148"/>
      <c r="I359" s="148"/>
      <c r="J359" s="148"/>
      <c r="K359" s="148"/>
      <c r="L359" s="148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</row>
    <row r="360" spans="1:42" s="214" customFormat="1" ht="34.5" customHeight="1" thickTop="1">
      <c r="A360" s="207" t="s">
        <v>34</v>
      </c>
      <c r="B360" s="208" t="s">
        <v>637</v>
      </c>
      <c r="C360" s="209" t="s">
        <v>921</v>
      </c>
      <c r="D360" s="210"/>
      <c r="E360" s="211" t="s">
        <v>922</v>
      </c>
      <c r="F360" s="212"/>
      <c r="G360" s="211" t="s">
        <v>923</v>
      </c>
      <c r="H360" s="212"/>
      <c r="I360" s="1070"/>
      <c r="J360" s="1071"/>
      <c r="K360" s="1070"/>
      <c r="L360" s="1070"/>
      <c r="M360" s="174"/>
      <c r="N360" s="174"/>
      <c r="O360" s="213"/>
      <c r="P360" s="213"/>
      <c r="Q360" s="213"/>
      <c r="R360" s="213"/>
      <c r="S360" s="213"/>
      <c r="T360" s="213"/>
      <c r="U360" s="213"/>
      <c r="V360" s="213"/>
      <c r="W360" s="213"/>
      <c r="X360" s="213"/>
      <c r="Y360" s="213"/>
      <c r="Z360" s="213"/>
      <c r="AA360" s="213"/>
      <c r="AB360" s="213"/>
      <c r="AC360" s="213"/>
      <c r="AD360" s="213"/>
      <c r="AE360" s="213"/>
      <c r="AF360" s="213"/>
      <c r="AG360" s="213"/>
      <c r="AH360" s="213"/>
      <c r="AI360" s="213"/>
      <c r="AJ360" s="213"/>
      <c r="AK360" s="213"/>
      <c r="AL360" s="213"/>
      <c r="AM360" s="213"/>
      <c r="AN360" s="213"/>
      <c r="AO360" s="213"/>
      <c r="AP360" s="213"/>
    </row>
    <row r="361" spans="1:23" s="107" customFormat="1" ht="34.5" customHeight="1">
      <c r="A361" s="443" t="s">
        <v>486</v>
      </c>
      <c r="B361" s="241" t="s">
        <v>929</v>
      </c>
      <c r="C361" s="1073">
        <f>CEILING(78.44*$Z$1,0.1)</f>
        <v>98.10000000000001</v>
      </c>
      <c r="D361" s="1074"/>
      <c r="E361" s="1073">
        <f>CEILING(98.84*$Z$1,0.1)</f>
        <v>123.60000000000001</v>
      </c>
      <c r="F361" s="1074"/>
      <c r="G361" s="1073">
        <f>CEILING(78.44*$Z$1,0.1)</f>
        <v>98.10000000000001</v>
      </c>
      <c r="H361" s="1074"/>
      <c r="I361" s="1061"/>
      <c r="J361" s="1061"/>
      <c r="K361" s="1061"/>
      <c r="L361" s="1061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</row>
    <row r="362" spans="1:23" s="107" customFormat="1" ht="34.5" customHeight="1">
      <c r="A362" s="317" t="s">
        <v>50</v>
      </c>
      <c r="B362" s="241" t="s">
        <v>930</v>
      </c>
      <c r="C362" s="1057">
        <f>CEILING((C361+25*$Z$1),0.1)</f>
        <v>129.4</v>
      </c>
      <c r="D362" s="1058"/>
      <c r="E362" s="1057">
        <f>CEILING((E361+25*$Z$1),0.1)</f>
        <v>154.9</v>
      </c>
      <c r="F362" s="1058"/>
      <c r="G362" s="1057">
        <f>CEILING((G361+25*$Z$1),0.1)</f>
        <v>129.4</v>
      </c>
      <c r="H362" s="1058"/>
      <c r="I362" s="1061"/>
      <c r="J362" s="1061"/>
      <c r="K362" s="1061"/>
      <c r="L362" s="1061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</row>
    <row r="363" spans="1:23" s="107" customFormat="1" ht="34.5" customHeight="1">
      <c r="A363" s="134" t="s">
        <v>852</v>
      </c>
      <c r="B363" s="238" t="s">
        <v>38</v>
      </c>
      <c r="C363" s="1057">
        <f>CEILING((C361*0.85),0.1)</f>
        <v>83.4</v>
      </c>
      <c r="D363" s="1058"/>
      <c r="E363" s="1057">
        <f>CEILING((E361*0.85),0.1)</f>
        <v>105.10000000000001</v>
      </c>
      <c r="F363" s="1058"/>
      <c r="G363" s="1057">
        <f>CEILING((G361*0.85),0.1)</f>
        <v>83.4</v>
      </c>
      <c r="H363" s="1058"/>
      <c r="I363" s="1061"/>
      <c r="J363" s="1061"/>
      <c r="K363" s="1061"/>
      <c r="L363" s="1061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</row>
    <row r="364" spans="1:23" s="107" customFormat="1" ht="34.5" customHeight="1">
      <c r="A364" s="134"/>
      <c r="B364" s="238" t="s">
        <v>338</v>
      </c>
      <c r="C364" s="1057">
        <f>CEILING(88.44*$Z$1,0.1)</f>
        <v>110.60000000000001</v>
      </c>
      <c r="D364" s="1058"/>
      <c r="E364" s="1057">
        <f>CEILING(108.84*$Z$1,0.1)</f>
        <v>136.1</v>
      </c>
      <c r="F364" s="1058"/>
      <c r="G364" s="1057">
        <f>CEILING(88.44*$Z$1,0.1)</f>
        <v>110.60000000000001</v>
      </c>
      <c r="H364" s="1058"/>
      <c r="I364" s="1061"/>
      <c r="J364" s="1061"/>
      <c r="K364" s="1061"/>
      <c r="L364" s="1061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</row>
    <row r="365" spans="1:23" s="107" customFormat="1" ht="34.5" customHeight="1">
      <c r="A365" s="134"/>
      <c r="B365" s="241" t="s">
        <v>487</v>
      </c>
      <c r="C365" s="1057">
        <f>CEILING((C364+25*$Z$1),0.1)</f>
        <v>141.9</v>
      </c>
      <c r="D365" s="1058"/>
      <c r="E365" s="1057">
        <f>CEILING((E364+25*$Z$1),0.1)</f>
        <v>167.4</v>
      </c>
      <c r="F365" s="1058"/>
      <c r="G365" s="1057">
        <f>CEILING((G364+25*$Z$1),0.1)</f>
        <v>141.9</v>
      </c>
      <c r="H365" s="1058"/>
      <c r="I365" s="1061"/>
      <c r="J365" s="1061"/>
      <c r="K365" s="1061"/>
      <c r="L365" s="1061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</row>
    <row r="366" spans="1:23" s="107" customFormat="1" ht="34.5" customHeight="1">
      <c r="A366" s="444" t="s">
        <v>1015</v>
      </c>
      <c r="B366" s="325" t="s">
        <v>488</v>
      </c>
      <c r="C366" s="1059">
        <f>CEILING(100.44*$Z$1,0.1)</f>
        <v>125.60000000000001</v>
      </c>
      <c r="D366" s="1060"/>
      <c r="E366" s="1059">
        <f>CEILING(120.84*$Z$1,0.1)</f>
        <v>151.1</v>
      </c>
      <c r="F366" s="1060"/>
      <c r="G366" s="1059">
        <f>CEILING(100.44*$Z$1,0.1)</f>
        <v>125.60000000000001</v>
      </c>
      <c r="H366" s="1060"/>
      <c r="I366" s="1061"/>
      <c r="J366" s="1061"/>
      <c r="K366" s="1061"/>
      <c r="L366" s="1061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</row>
    <row r="367" spans="1:23" s="1040" customFormat="1" ht="34.5" customHeight="1">
      <c r="A367" s="397" t="s">
        <v>1106</v>
      </c>
      <c r="B367" s="548"/>
      <c r="C367" s="1051"/>
      <c r="D367" s="1051"/>
      <c r="E367" s="1051"/>
      <c r="F367" s="1051"/>
      <c r="G367" s="1051"/>
      <c r="H367" s="1051"/>
      <c r="I367" s="1051"/>
      <c r="J367" s="1051"/>
      <c r="K367" s="1051"/>
      <c r="L367" s="1051"/>
      <c r="M367" s="1052"/>
      <c r="N367" s="1052"/>
      <c r="O367" s="1052"/>
      <c r="P367" s="1052"/>
      <c r="Q367" s="1052"/>
      <c r="R367" s="1052"/>
      <c r="S367" s="1052"/>
      <c r="T367" s="1052"/>
      <c r="U367" s="1052"/>
      <c r="V367" s="1052"/>
      <c r="W367" s="1052"/>
    </row>
    <row r="368" spans="1:23" s="107" customFormat="1" ht="34.5" customHeight="1">
      <c r="A368" s="162" t="s">
        <v>785</v>
      </c>
      <c r="B368" s="124"/>
      <c r="C368" s="148"/>
      <c r="D368" s="148"/>
      <c r="E368" s="148"/>
      <c r="F368" s="148"/>
      <c r="G368" s="148"/>
      <c r="H368" s="148"/>
      <c r="I368" s="148"/>
      <c r="J368" s="148"/>
      <c r="K368" s="157"/>
      <c r="L368" s="157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</row>
    <row r="369" spans="1:48" s="1000" customFormat="1" ht="34.5" customHeight="1">
      <c r="A369" s="997" t="s">
        <v>1116</v>
      </c>
      <c r="B369" s="998"/>
      <c r="C369" s="999"/>
      <c r="D369" s="999"/>
      <c r="E369" s="999"/>
      <c r="F369" s="999"/>
      <c r="G369" s="999"/>
      <c r="H369" s="999"/>
      <c r="I369" s="1056"/>
      <c r="J369" s="1056"/>
      <c r="K369" s="157"/>
      <c r="L369" s="157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  <c r="AN369" s="158"/>
      <c r="AO369" s="158"/>
      <c r="AP369" s="158"/>
      <c r="AQ369" s="158"/>
      <c r="AR369" s="158"/>
      <c r="AS369" s="158"/>
      <c r="AT369" s="158"/>
      <c r="AU369" s="158"/>
      <c r="AV369" s="158"/>
    </row>
    <row r="370" spans="1:23" s="107" customFormat="1" ht="34.5" customHeight="1" thickBot="1">
      <c r="A370" s="956"/>
      <c r="B370" s="124"/>
      <c r="C370" s="955"/>
      <c r="D370" s="955"/>
      <c r="E370" s="955"/>
      <c r="F370" s="955"/>
      <c r="G370" s="955"/>
      <c r="H370" s="955"/>
      <c r="I370" s="955"/>
      <c r="J370" s="955"/>
      <c r="K370" s="157"/>
      <c r="L370" s="157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</row>
    <row r="371" spans="1:42" s="214" customFormat="1" ht="36" customHeight="1" thickTop="1">
      <c r="A371" s="207" t="s">
        <v>34</v>
      </c>
      <c r="B371" s="208" t="s">
        <v>637</v>
      </c>
      <c r="C371" s="209" t="s">
        <v>921</v>
      </c>
      <c r="D371" s="210"/>
      <c r="E371" s="211" t="s">
        <v>922</v>
      </c>
      <c r="F371" s="212"/>
      <c r="G371" s="211" t="s">
        <v>923</v>
      </c>
      <c r="H371" s="212"/>
      <c r="I371" s="1070"/>
      <c r="J371" s="1071"/>
      <c r="K371" s="1070"/>
      <c r="L371" s="1070"/>
      <c r="M371" s="174"/>
      <c r="N371" s="174"/>
      <c r="O371" s="213"/>
      <c r="P371" s="213"/>
      <c r="Q371" s="213"/>
      <c r="R371" s="213"/>
      <c r="S371" s="213"/>
      <c r="T371" s="213"/>
      <c r="U371" s="213"/>
      <c r="V371" s="213"/>
      <c r="W371" s="213"/>
      <c r="X371" s="213"/>
      <c r="Y371" s="213"/>
      <c r="Z371" s="213"/>
      <c r="AA371" s="213"/>
      <c r="AB371" s="213"/>
      <c r="AC371" s="213"/>
      <c r="AD371" s="213"/>
      <c r="AE371" s="213"/>
      <c r="AF371" s="213"/>
      <c r="AG371" s="213"/>
      <c r="AH371" s="213"/>
      <c r="AI371" s="213"/>
      <c r="AJ371" s="213"/>
      <c r="AK371" s="213"/>
      <c r="AL371" s="213"/>
      <c r="AM371" s="213"/>
      <c r="AN371" s="213"/>
      <c r="AO371" s="213"/>
      <c r="AP371" s="213"/>
    </row>
    <row r="372" spans="1:49" s="291" customFormat="1" ht="34.5" customHeight="1">
      <c r="A372" s="293" t="s">
        <v>613</v>
      </c>
      <c r="B372" s="236" t="s">
        <v>83</v>
      </c>
      <c r="C372" s="1073">
        <f>CEILING(45*$Z$1,0.1)</f>
        <v>56.300000000000004</v>
      </c>
      <c r="D372" s="1074"/>
      <c r="E372" s="1073">
        <f>CEILING(49*$Z$1,0.1)</f>
        <v>61.300000000000004</v>
      </c>
      <c r="F372" s="1074"/>
      <c r="G372" s="1073">
        <f>CEILING(46*$Z$1,0.1)</f>
        <v>57.5</v>
      </c>
      <c r="H372" s="1074"/>
      <c r="I372" s="1061"/>
      <c r="J372" s="1061"/>
      <c r="K372" s="1061"/>
      <c r="L372" s="1061"/>
      <c r="M372" s="124"/>
      <c r="N372" s="124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40"/>
      <c r="AA372" s="140"/>
      <c r="AB372" s="140"/>
      <c r="AC372" s="140"/>
      <c r="AD372" s="140"/>
      <c r="AE372" s="140"/>
      <c r="AF372" s="140"/>
      <c r="AG372" s="140"/>
      <c r="AH372" s="140"/>
      <c r="AI372" s="140"/>
      <c r="AJ372" s="140"/>
      <c r="AK372" s="140"/>
      <c r="AL372" s="140"/>
      <c r="AM372" s="140"/>
      <c r="AN372" s="140"/>
      <c r="AO372" s="140"/>
      <c r="AP372" s="140"/>
      <c r="AQ372" s="140"/>
      <c r="AR372" s="140"/>
      <c r="AS372" s="140"/>
      <c r="AT372" s="140"/>
      <c r="AU372" s="140"/>
      <c r="AV372" s="140"/>
      <c r="AW372" s="140"/>
    </row>
    <row r="373" spans="1:25" s="140" customFormat="1" ht="34.5" customHeight="1">
      <c r="A373" s="317" t="s">
        <v>612</v>
      </c>
      <c r="B373" s="238" t="s">
        <v>8</v>
      </c>
      <c r="C373" s="1057">
        <f>CEILING((C372+30*$Z$1),0.1)</f>
        <v>93.80000000000001</v>
      </c>
      <c r="D373" s="1058"/>
      <c r="E373" s="1057">
        <f>CEILING((E372+32*$Z$1),0.1)</f>
        <v>101.30000000000001</v>
      </c>
      <c r="F373" s="1058"/>
      <c r="G373" s="1057">
        <f>CEILING((G372+30*$Z$1),0.1)</f>
        <v>95</v>
      </c>
      <c r="H373" s="1058"/>
      <c r="I373" s="1061"/>
      <c r="J373" s="1061"/>
      <c r="K373" s="1061"/>
      <c r="L373" s="1061"/>
      <c r="M373" s="124"/>
      <c r="N373" s="124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</row>
    <row r="374" spans="1:25" s="140" customFormat="1" ht="34.5" customHeight="1">
      <c r="A374" s="445"/>
      <c r="B374" s="238" t="s">
        <v>614</v>
      </c>
      <c r="C374" s="1057">
        <f>CEILING((C372*0.85),0.1)</f>
        <v>47.900000000000006</v>
      </c>
      <c r="D374" s="1058"/>
      <c r="E374" s="1057">
        <f>CEILING((E372*0.85),0.1)</f>
        <v>52.2</v>
      </c>
      <c r="F374" s="1058"/>
      <c r="G374" s="1057">
        <f>CEILING((G372*0.85),0.1)</f>
        <v>48.900000000000006</v>
      </c>
      <c r="H374" s="1058"/>
      <c r="I374" s="1061"/>
      <c r="J374" s="1061"/>
      <c r="K374" s="1061"/>
      <c r="L374" s="1061"/>
      <c r="M374" s="124"/>
      <c r="N374" s="124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</row>
    <row r="375" spans="1:25" s="140" customFormat="1" ht="34.5" customHeight="1">
      <c r="A375" s="446"/>
      <c r="B375" s="238" t="s">
        <v>62</v>
      </c>
      <c r="C375" s="1057">
        <f>CEILING((C372*0),0.1)</f>
        <v>0</v>
      </c>
      <c r="D375" s="1058"/>
      <c r="E375" s="1057">
        <f>CEILING((E372*0),0.1)</f>
        <v>0</v>
      </c>
      <c r="F375" s="1058"/>
      <c r="G375" s="1057">
        <f>CEILING((G372*0),0.1)</f>
        <v>0</v>
      </c>
      <c r="H375" s="1058"/>
      <c r="I375" s="1061"/>
      <c r="J375" s="1061"/>
      <c r="K375" s="1061"/>
      <c r="L375" s="1061"/>
      <c r="M375" s="124"/>
      <c r="N375" s="124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</row>
    <row r="376" spans="1:25" s="140" customFormat="1" ht="34.5" customHeight="1">
      <c r="A376" s="204" t="s">
        <v>50</v>
      </c>
      <c r="B376" s="238" t="s">
        <v>58</v>
      </c>
      <c r="C376" s="1057">
        <f>CEILING(50*$Z$1,0.1)</f>
        <v>62.5</v>
      </c>
      <c r="D376" s="1058"/>
      <c r="E376" s="1057">
        <f>CEILING(54*$Z$1,0.1)</f>
        <v>67.5</v>
      </c>
      <c r="F376" s="1058"/>
      <c r="G376" s="1057">
        <f>CEILING(51*$Z$1,0.1)</f>
        <v>63.800000000000004</v>
      </c>
      <c r="H376" s="1058"/>
      <c r="I376" s="1061"/>
      <c r="J376" s="1061"/>
      <c r="K376" s="1061"/>
      <c r="L376" s="1061"/>
      <c r="M376" s="124"/>
      <c r="N376" s="124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</row>
    <row r="377" spans="1:25" s="140" customFormat="1" ht="34.5" customHeight="1">
      <c r="A377" s="447" t="s">
        <v>611</v>
      </c>
      <c r="B377" s="238" t="s">
        <v>59</v>
      </c>
      <c r="C377" s="1057">
        <f>CEILING((C376+30*$Z$1),0.1)</f>
        <v>100</v>
      </c>
      <c r="D377" s="1058"/>
      <c r="E377" s="1057">
        <f>CEILING((E376+32*$Z$1),0.1)</f>
        <v>107.5</v>
      </c>
      <c r="F377" s="1058"/>
      <c r="G377" s="1057">
        <f>CEILING((G376+30*$Z$1),0.1)</f>
        <v>101.30000000000001</v>
      </c>
      <c r="H377" s="1058"/>
      <c r="I377" s="1061"/>
      <c r="J377" s="1061"/>
      <c r="K377" s="1061"/>
      <c r="L377" s="1061"/>
      <c r="M377" s="124"/>
      <c r="N377" s="124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</row>
    <row r="378" spans="1:23" s="140" customFormat="1" ht="34.5" customHeight="1">
      <c r="A378" s="448"/>
      <c r="B378" s="238" t="s">
        <v>615</v>
      </c>
      <c r="C378" s="1057">
        <f>CEILING(55*$Z$1,0.1)</f>
        <v>68.8</v>
      </c>
      <c r="D378" s="1058"/>
      <c r="E378" s="1057">
        <f>CEILING(59*$Z$1,0.1)</f>
        <v>73.8</v>
      </c>
      <c r="F378" s="1058"/>
      <c r="G378" s="1057">
        <f>CEILING(56*$Z$1,0.1)</f>
        <v>70</v>
      </c>
      <c r="H378" s="1058"/>
      <c r="I378" s="1061"/>
      <c r="J378" s="1061"/>
      <c r="K378" s="1061"/>
      <c r="L378" s="1061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</row>
    <row r="379" spans="1:23" s="140" customFormat="1" ht="34.5" customHeight="1">
      <c r="A379" s="449"/>
      <c r="B379" s="331" t="s">
        <v>616</v>
      </c>
      <c r="C379" s="1059">
        <f>CEILING((C378+30*$Z$1),0.1)</f>
        <v>106.30000000000001</v>
      </c>
      <c r="D379" s="1060"/>
      <c r="E379" s="1059">
        <f>CEILING((E378+32*$Z$1),0.1)</f>
        <v>113.80000000000001</v>
      </c>
      <c r="F379" s="1060"/>
      <c r="G379" s="1059">
        <f>CEILING((G378+30*$Z$1),0.1)</f>
        <v>107.5</v>
      </c>
      <c r="H379" s="1060"/>
      <c r="I379" s="1061"/>
      <c r="J379" s="1061"/>
      <c r="K379" s="1061"/>
      <c r="L379" s="1061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</row>
    <row r="380" spans="1:25" s="140" customFormat="1" ht="34.5" customHeight="1">
      <c r="A380" s="397" t="s">
        <v>1016</v>
      </c>
      <c r="B380" s="397"/>
      <c r="C380" s="397"/>
      <c r="D380" s="397"/>
      <c r="E380" s="397"/>
      <c r="F380" s="397"/>
      <c r="G380" s="397"/>
      <c r="H380" s="397"/>
      <c r="I380" s="397"/>
      <c r="J380" s="397"/>
      <c r="K380" s="170"/>
      <c r="L380" s="170"/>
      <c r="M380" s="124"/>
      <c r="N380" s="124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</row>
    <row r="381" spans="1:25" s="167" customFormat="1" ht="34.5" customHeight="1">
      <c r="A381" s="163"/>
      <c r="B381" s="164"/>
      <c r="C381" s="164"/>
      <c r="D381" s="164"/>
      <c r="E381" s="164"/>
      <c r="F381" s="164"/>
      <c r="G381" s="164"/>
      <c r="H381" s="164"/>
      <c r="I381" s="164"/>
      <c r="J381" s="164"/>
      <c r="K381" s="165"/>
      <c r="L381" s="165"/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</row>
    <row r="382" spans="1:25" s="140" customFormat="1" ht="34.5" customHeight="1" thickBot="1">
      <c r="A382" s="162"/>
      <c r="B382" s="160"/>
      <c r="C382" s="160"/>
      <c r="D382" s="160"/>
      <c r="E382" s="160"/>
      <c r="F382" s="160"/>
      <c r="G382" s="160"/>
      <c r="H382" s="160"/>
      <c r="I382" s="160"/>
      <c r="J382" s="160"/>
      <c r="K382" s="108"/>
      <c r="L382" s="108"/>
      <c r="M382" s="1062"/>
      <c r="N382" s="1062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</row>
    <row r="383" spans="1:42" s="214" customFormat="1" ht="34.5" customHeight="1" thickTop="1">
      <c r="A383" s="207" t="s">
        <v>34</v>
      </c>
      <c r="B383" s="208" t="s">
        <v>637</v>
      </c>
      <c r="C383" s="209" t="s">
        <v>921</v>
      </c>
      <c r="D383" s="210"/>
      <c r="E383" s="211" t="s">
        <v>922</v>
      </c>
      <c r="F383" s="212"/>
      <c r="G383" s="211" t="s">
        <v>923</v>
      </c>
      <c r="H383" s="212"/>
      <c r="I383" s="1070"/>
      <c r="J383" s="1071"/>
      <c r="K383" s="1070"/>
      <c r="L383" s="1070"/>
      <c r="M383" s="174"/>
      <c r="N383" s="174"/>
      <c r="O383" s="213"/>
      <c r="P383" s="213"/>
      <c r="Q383" s="213"/>
      <c r="R383" s="213"/>
      <c r="S383" s="213"/>
      <c r="T383" s="213"/>
      <c r="U383" s="213"/>
      <c r="V383" s="213"/>
      <c r="W383" s="213"/>
      <c r="X383" s="213"/>
      <c r="Y383" s="213"/>
      <c r="Z383" s="213"/>
      <c r="AA383" s="213"/>
      <c r="AB383" s="213"/>
      <c r="AC383" s="213"/>
      <c r="AD383" s="213"/>
      <c r="AE383" s="213"/>
      <c r="AF383" s="213"/>
      <c r="AG383" s="213"/>
      <c r="AH383" s="213"/>
      <c r="AI383" s="213"/>
      <c r="AJ383" s="213"/>
      <c r="AK383" s="213"/>
      <c r="AL383" s="213"/>
      <c r="AM383" s="213"/>
      <c r="AN383" s="213"/>
      <c r="AO383" s="213"/>
      <c r="AP383" s="213"/>
    </row>
    <row r="384" spans="1:25" s="107" customFormat="1" ht="34.5" customHeight="1">
      <c r="A384" s="431" t="s">
        <v>855</v>
      </c>
      <c r="B384" s="264" t="s">
        <v>42</v>
      </c>
      <c r="C384" s="1073">
        <f>CEILING(53*$Z$1,0.1)</f>
        <v>66.3</v>
      </c>
      <c r="D384" s="1074"/>
      <c r="E384" s="1073">
        <f>CEILING(57*$Z$1,0.1)</f>
        <v>71.3</v>
      </c>
      <c r="F384" s="1074"/>
      <c r="G384" s="1073">
        <f>CEILING(54*$Z$1,0.1)</f>
        <v>67.5</v>
      </c>
      <c r="H384" s="1074"/>
      <c r="I384" s="1061"/>
      <c r="J384" s="1061"/>
      <c r="K384" s="1061"/>
      <c r="L384" s="1061"/>
      <c r="M384" s="124"/>
      <c r="N384" s="124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</row>
    <row r="385" spans="1:25" s="107" customFormat="1" ht="34.5" customHeight="1">
      <c r="A385" s="432" t="s">
        <v>50</v>
      </c>
      <c r="B385" s="241" t="s">
        <v>43</v>
      </c>
      <c r="C385" s="1057">
        <f>CEILING((C384+35*$Z$1),0.1)</f>
        <v>110.10000000000001</v>
      </c>
      <c r="D385" s="1058"/>
      <c r="E385" s="1057">
        <f>CEILING((E384+40*$Z$1),0.1)</f>
        <v>121.30000000000001</v>
      </c>
      <c r="F385" s="1058"/>
      <c r="G385" s="1057">
        <f>CEILING((G384+35*$Z$1),0.1)</f>
        <v>111.30000000000001</v>
      </c>
      <c r="H385" s="1058"/>
      <c r="I385" s="1061"/>
      <c r="J385" s="1061"/>
      <c r="K385" s="1061"/>
      <c r="L385" s="1061"/>
      <c r="M385" s="124"/>
      <c r="N385" s="124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</row>
    <row r="386" spans="1:25" s="107" customFormat="1" ht="34.5" customHeight="1">
      <c r="A386" s="446"/>
      <c r="B386" s="241" t="s">
        <v>38</v>
      </c>
      <c r="C386" s="1057">
        <f>CEILING((C384*0.85),0.1)</f>
        <v>56.400000000000006</v>
      </c>
      <c r="D386" s="1058"/>
      <c r="E386" s="1057">
        <f>CEILING((E384*0.85),0.1)</f>
        <v>60.7</v>
      </c>
      <c r="F386" s="1058"/>
      <c r="G386" s="1057">
        <f>CEILING((G384*0.85),0.1)</f>
        <v>57.400000000000006</v>
      </c>
      <c r="H386" s="1058"/>
      <c r="I386" s="1061"/>
      <c r="J386" s="1061"/>
      <c r="K386" s="1061"/>
      <c r="L386" s="1061"/>
      <c r="M386" s="110"/>
      <c r="N386" s="124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</row>
    <row r="387" spans="1:25" s="107" customFormat="1" ht="34.5" customHeight="1">
      <c r="A387" s="446"/>
      <c r="B387" s="241" t="s">
        <v>77</v>
      </c>
      <c r="C387" s="1057">
        <f>CEILING((C384*0),0.1)</f>
        <v>0</v>
      </c>
      <c r="D387" s="1058"/>
      <c r="E387" s="1057">
        <f>CEILING((E384*0.5),0.1)</f>
        <v>35.7</v>
      </c>
      <c r="F387" s="1058"/>
      <c r="G387" s="1057">
        <f>CEILING((G384*0),0.1)</f>
        <v>0</v>
      </c>
      <c r="H387" s="1058"/>
      <c r="I387" s="1061"/>
      <c r="J387" s="1061"/>
      <c r="K387" s="1061"/>
      <c r="L387" s="1061"/>
      <c r="M387" s="110"/>
      <c r="N387" s="124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</row>
    <row r="388" spans="1:25" s="107" customFormat="1" ht="34.5" customHeight="1">
      <c r="A388" s="446"/>
      <c r="B388" s="241" t="s">
        <v>607</v>
      </c>
      <c r="C388" s="1057">
        <f>CEILING(68*$Z$1,0.1)</f>
        <v>85</v>
      </c>
      <c r="D388" s="1058"/>
      <c r="E388" s="1057">
        <f>CEILING(72*$Z$1,0.1)</f>
        <v>90</v>
      </c>
      <c r="F388" s="1058"/>
      <c r="G388" s="1057">
        <f>CEILING(69*$Z$1,0.1)</f>
        <v>86.30000000000001</v>
      </c>
      <c r="H388" s="1058"/>
      <c r="I388" s="1061"/>
      <c r="J388" s="1061"/>
      <c r="K388" s="1061"/>
      <c r="L388" s="1061"/>
      <c r="M388" s="110"/>
      <c r="N388" s="124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</row>
    <row r="389" spans="1:25" s="107" customFormat="1" ht="34.5" customHeight="1" thickBot="1">
      <c r="A389" s="450" t="s">
        <v>505</v>
      </c>
      <c r="B389" s="243" t="s">
        <v>608</v>
      </c>
      <c r="C389" s="1059">
        <f>CEILING((C388+35*$Z$1),0.1)</f>
        <v>128.8</v>
      </c>
      <c r="D389" s="1060"/>
      <c r="E389" s="1059">
        <f>CEILING((E388+40*$Z$1),0.1)</f>
        <v>140</v>
      </c>
      <c r="F389" s="1060"/>
      <c r="G389" s="1059">
        <f>CEILING((G388+35*$Z$1),0.1)</f>
        <v>130.1</v>
      </c>
      <c r="H389" s="1060"/>
      <c r="I389" s="1061"/>
      <c r="J389" s="1061"/>
      <c r="K389" s="1061"/>
      <c r="L389" s="1061"/>
      <c r="M389" s="110"/>
      <c r="N389" s="124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</row>
    <row r="390" spans="1:25" s="140" customFormat="1" ht="34.5" customHeight="1" thickTop="1">
      <c r="A390" s="397" t="s">
        <v>1017</v>
      </c>
      <c r="B390" s="397"/>
      <c r="C390" s="397"/>
      <c r="D390" s="397"/>
      <c r="E390" s="397"/>
      <c r="F390" s="397"/>
      <c r="G390" s="397"/>
      <c r="H390" s="397"/>
      <c r="I390" s="451"/>
      <c r="J390" s="451"/>
      <c r="K390" s="170"/>
      <c r="L390" s="170"/>
      <c r="M390" s="124"/>
      <c r="N390" s="124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</row>
    <row r="391" spans="1:25" s="167" customFormat="1" ht="34.5" customHeight="1">
      <c r="A391" s="163"/>
      <c r="B391" s="164"/>
      <c r="C391" s="164"/>
      <c r="D391" s="164"/>
      <c r="E391" s="164"/>
      <c r="F391" s="164"/>
      <c r="G391" s="164"/>
      <c r="H391" s="164"/>
      <c r="I391" s="164"/>
      <c r="J391" s="164"/>
      <c r="K391" s="165"/>
      <c r="L391" s="165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</row>
    <row r="392" spans="1:58" s="107" customFormat="1" ht="34.5" customHeight="1" thickBot="1">
      <c r="A392" s="328"/>
      <c r="B392" s="329"/>
      <c r="C392" s="329"/>
      <c r="D392" s="329"/>
      <c r="E392" s="329"/>
      <c r="F392" s="329"/>
      <c r="G392" s="329"/>
      <c r="H392" s="329"/>
      <c r="I392" s="162"/>
      <c r="J392" s="162"/>
      <c r="K392" s="157"/>
      <c r="L392" s="157"/>
      <c r="M392" s="114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  <c r="AA392" s="158"/>
      <c r="AB392" s="158"/>
      <c r="AC392" s="158"/>
      <c r="AD392" s="158"/>
      <c r="AE392" s="158"/>
      <c r="AF392" s="158"/>
      <c r="AG392" s="158"/>
      <c r="AH392" s="158"/>
      <c r="AI392" s="158"/>
      <c r="AJ392" s="158"/>
      <c r="AK392" s="158"/>
      <c r="AL392" s="158"/>
      <c r="AM392" s="158"/>
      <c r="AN392" s="158"/>
      <c r="AO392" s="158"/>
      <c r="AP392" s="158"/>
      <c r="AQ392" s="158"/>
      <c r="AR392" s="158"/>
      <c r="AS392" s="158"/>
      <c r="AT392" s="158"/>
      <c r="AU392" s="158"/>
      <c r="AV392" s="158"/>
      <c r="AW392" s="158"/>
      <c r="AX392" s="158"/>
      <c r="AY392" s="158"/>
      <c r="AZ392" s="158"/>
      <c r="BA392" s="158"/>
      <c r="BB392" s="158"/>
      <c r="BC392" s="158"/>
      <c r="BD392" s="158"/>
      <c r="BE392" s="158"/>
      <c r="BF392" s="158"/>
    </row>
    <row r="393" spans="1:42" s="214" customFormat="1" ht="34.5" customHeight="1" thickTop="1">
      <c r="A393" s="207" t="s">
        <v>34</v>
      </c>
      <c r="B393" s="208" t="s">
        <v>637</v>
      </c>
      <c r="C393" s="209" t="s">
        <v>921</v>
      </c>
      <c r="D393" s="210"/>
      <c r="E393" s="211" t="s">
        <v>922</v>
      </c>
      <c r="F393" s="212"/>
      <c r="G393" s="211" t="s">
        <v>923</v>
      </c>
      <c r="H393" s="212"/>
      <c r="I393" s="1070"/>
      <c r="J393" s="1071"/>
      <c r="K393" s="1070"/>
      <c r="L393" s="1070"/>
      <c r="M393" s="174"/>
      <c r="N393" s="174"/>
      <c r="O393" s="213"/>
      <c r="P393" s="213"/>
      <c r="Q393" s="213"/>
      <c r="R393" s="213"/>
      <c r="S393" s="213"/>
      <c r="T393" s="213"/>
      <c r="U393" s="213"/>
      <c r="V393" s="213"/>
      <c r="W393" s="213"/>
      <c r="X393" s="213"/>
      <c r="Y393" s="213"/>
      <c r="Z393" s="213"/>
      <c r="AA393" s="213"/>
      <c r="AB393" s="213"/>
      <c r="AC393" s="213"/>
      <c r="AD393" s="213"/>
      <c r="AE393" s="213"/>
      <c r="AF393" s="213"/>
      <c r="AG393" s="213"/>
      <c r="AH393" s="213"/>
      <c r="AI393" s="213"/>
      <c r="AJ393" s="213"/>
      <c r="AK393" s="213"/>
      <c r="AL393" s="213"/>
      <c r="AM393" s="213"/>
      <c r="AN393" s="213"/>
      <c r="AO393" s="213"/>
      <c r="AP393" s="213"/>
    </row>
    <row r="394" spans="1:58" s="107" customFormat="1" ht="34.5" customHeight="1">
      <c r="A394" s="350" t="s">
        <v>609</v>
      </c>
      <c r="B394" s="236" t="s">
        <v>42</v>
      </c>
      <c r="C394" s="1073">
        <f>CEILING(51*$Z$1,0.1)</f>
        <v>63.800000000000004</v>
      </c>
      <c r="D394" s="1074"/>
      <c r="E394" s="1057">
        <f>CEILING(55*$Z$1,0.1)</f>
        <v>68.8</v>
      </c>
      <c r="F394" s="1058"/>
      <c r="G394" s="1073">
        <f>CEILING(52*$Z$1,0.1)</f>
        <v>65</v>
      </c>
      <c r="H394" s="1074"/>
      <c r="I394" s="1061"/>
      <c r="J394" s="1061"/>
      <c r="K394" s="1061"/>
      <c r="L394" s="1061"/>
      <c r="M394" s="124"/>
      <c r="N394" s="124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  <c r="AA394" s="158"/>
      <c r="AB394" s="158"/>
      <c r="AC394" s="158"/>
      <c r="AD394" s="158"/>
      <c r="AE394" s="158"/>
      <c r="AF394" s="158"/>
      <c r="AG394" s="158"/>
      <c r="AH394" s="158"/>
      <c r="AI394" s="158"/>
      <c r="AJ394" s="158"/>
      <c r="AK394" s="158"/>
      <c r="AL394" s="158"/>
      <c r="AM394" s="158"/>
      <c r="AN394" s="158"/>
      <c r="AO394" s="158"/>
      <c r="AP394" s="158"/>
      <c r="AQ394" s="158"/>
      <c r="AR394" s="158"/>
      <c r="AS394" s="158"/>
      <c r="AT394" s="158"/>
      <c r="AU394" s="158"/>
      <c r="AV394" s="158"/>
      <c r="AW394" s="158"/>
      <c r="AX394" s="158"/>
      <c r="AY394" s="158"/>
      <c r="AZ394" s="158"/>
      <c r="BA394" s="158"/>
      <c r="BB394" s="158"/>
      <c r="BC394" s="158"/>
      <c r="BD394" s="158"/>
      <c r="BE394" s="158"/>
      <c r="BF394" s="158"/>
    </row>
    <row r="395" spans="1:58" s="107" customFormat="1" ht="34.5" customHeight="1">
      <c r="A395" s="295" t="s">
        <v>1018</v>
      </c>
      <c r="B395" s="238" t="s">
        <v>43</v>
      </c>
      <c r="C395" s="1057">
        <f>CEILING((C394+32*$Z$1),0.1)</f>
        <v>103.80000000000001</v>
      </c>
      <c r="D395" s="1058"/>
      <c r="E395" s="1057">
        <f>CEILING((E394+35*$Z$1),0.1)</f>
        <v>112.60000000000001</v>
      </c>
      <c r="F395" s="1058"/>
      <c r="G395" s="1057">
        <f>CEILING((G394+35*$Z$1),0.1)</f>
        <v>108.80000000000001</v>
      </c>
      <c r="H395" s="1058"/>
      <c r="I395" s="1061"/>
      <c r="J395" s="1061"/>
      <c r="K395" s="1061"/>
      <c r="L395" s="1061"/>
      <c r="M395" s="124"/>
      <c r="N395" s="124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  <c r="AA395" s="158"/>
      <c r="AB395" s="158"/>
      <c r="AC395" s="158"/>
      <c r="AD395" s="158"/>
      <c r="AE395" s="158"/>
      <c r="AF395" s="158"/>
      <c r="AG395" s="158"/>
      <c r="AH395" s="158"/>
      <c r="AI395" s="158"/>
      <c r="AJ395" s="158"/>
      <c r="AK395" s="158"/>
      <c r="AL395" s="158"/>
      <c r="AM395" s="158"/>
      <c r="AN395" s="158"/>
      <c r="AO395" s="158"/>
      <c r="AP395" s="158"/>
      <c r="AQ395" s="158"/>
      <c r="AR395" s="158"/>
      <c r="AS395" s="158"/>
      <c r="AT395" s="158"/>
      <c r="AU395" s="158"/>
      <c r="AV395" s="158"/>
      <c r="AW395" s="158"/>
      <c r="AX395" s="158"/>
      <c r="AY395" s="158"/>
      <c r="AZ395" s="158"/>
      <c r="BA395" s="158"/>
      <c r="BB395" s="158"/>
      <c r="BC395" s="158"/>
      <c r="BD395" s="158"/>
      <c r="BE395" s="158"/>
      <c r="BF395" s="158"/>
    </row>
    <row r="396" spans="1:58" s="107" customFormat="1" ht="34.5" customHeight="1">
      <c r="A396" s="446"/>
      <c r="B396" s="238" t="s">
        <v>607</v>
      </c>
      <c r="C396" s="1057">
        <f>CEILING(61*$Z$1,0.1)</f>
        <v>76.3</v>
      </c>
      <c r="D396" s="1058"/>
      <c r="E396" s="1057">
        <f>CEILING(65*$Z$1,0.1)</f>
        <v>81.30000000000001</v>
      </c>
      <c r="F396" s="1058"/>
      <c r="G396" s="1057">
        <f>CEILING(62*$Z$1,0.1)</f>
        <v>77.5</v>
      </c>
      <c r="H396" s="1058"/>
      <c r="I396" s="1061"/>
      <c r="J396" s="1061"/>
      <c r="K396" s="1061"/>
      <c r="L396" s="1061"/>
      <c r="M396" s="124"/>
      <c r="N396" s="124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  <c r="AA396" s="158"/>
      <c r="AB396" s="158"/>
      <c r="AC396" s="158"/>
      <c r="AD396" s="158"/>
      <c r="AE396" s="158"/>
      <c r="AF396" s="158"/>
      <c r="AG396" s="158"/>
      <c r="AH396" s="158"/>
      <c r="AI396" s="158"/>
      <c r="AJ396" s="158"/>
      <c r="AK396" s="158"/>
      <c r="AL396" s="158"/>
      <c r="AM396" s="158"/>
      <c r="AN396" s="158"/>
      <c r="AO396" s="158"/>
      <c r="AP396" s="158"/>
      <c r="AQ396" s="158"/>
      <c r="AR396" s="158"/>
      <c r="AS396" s="158"/>
      <c r="AT396" s="158"/>
      <c r="AU396" s="158"/>
      <c r="AV396" s="158"/>
      <c r="AW396" s="158"/>
      <c r="AX396" s="158"/>
      <c r="AY396" s="158"/>
      <c r="AZ396" s="158"/>
      <c r="BA396" s="158"/>
      <c r="BB396" s="158"/>
      <c r="BC396" s="158"/>
      <c r="BD396" s="158"/>
      <c r="BE396" s="158"/>
      <c r="BF396" s="158"/>
    </row>
    <row r="397" spans="1:58" s="107" customFormat="1" ht="34.5" customHeight="1" thickBot="1">
      <c r="A397" s="450" t="s">
        <v>505</v>
      </c>
      <c r="B397" s="297" t="s">
        <v>608</v>
      </c>
      <c r="C397" s="1059">
        <f>CEILING((C396+32*$Z$1),0.1)</f>
        <v>116.30000000000001</v>
      </c>
      <c r="D397" s="1060"/>
      <c r="E397" s="1059">
        <f>CEILING((E396+35*$Z$1),0.1)</f>
        <v>125.10000000000001</v>
      </c>
      <c r="F397" s="1060"/>
      <c r="G397" s="1059">
        <f>CEILING((G396+35*$Z$1),0.1)</f>
        <v>121.30000000000001</v>
      </c>
      <c r="H397" s="1060"/>
      <c r="I397" s="1061"/>
      <c r="J397" s="1061"/>
      <c r="K397" s="1061"/>
      <c r="L397" s="1061"/>
      <c r="M397" s="124"/>
      <c r="N397" s="124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  <c r="AA397" s="158"/>
      <c r="AB397" s="158"/>
      <c r="AC397" s="158"/>
      <c r="AD397" s="158"/>
      <c r="AE397" s="158"/>
      <c r="AF397" s="158"/>
      <c r="AG397" s="158"/>
      <c r="AH397" s="158"/>
      <c r="AI397" s="158"/>
      <c r="AJ397" s="158"/>
      <c r="AK397" s="158"/>
      <c r="AL397" s="158"/>
      <c r="AM397" s="158"/>
      <c r="AN397" s="158"/>
      <c r="AO397" s="158"/>
      <c r="AP397" s="158"/>
      <c r="AQ397" s="158"/>
      <c r="AR397" s="158"/>
      <c r="AS397" s="158"/>
      <c r="AT397" s="158"/>
      <c r="AU397" s="158"/>
      <c r="AV397" s="158"/>
      <c r="AW397" s="158"/>
      <c r="AX397" s="158"/>
      <c r="AY397" s="158"/>
      <c r="AZ397" s="158"/>
      <c r="BA397" s="158"/>
      <c r="BB397" s="158"/>
      <c r="BC397" s="158"/>
      <c r="BD397" s="158"/>
      <c r="BE397" s="158"/>
      <c r="BF397" s="158"/>
    </row>
    <row r="398" spans="1:58" s="140" customFormat="1" ht="34.5" customHeight="1" thickTop="1">
      <c r="A398" s="397" t="s">
        <v>610</v>
      </c>
      <c r="B398" s="397"/>
      <c r="C398" s="397"/>
      <c r="D398" s="397"/>
      <c r="E398" s="397"/>
      <c r="F398" s="397"/>
      <c r="G398" s="397"/>
      <c r="H398" s="397"/>
      <c r="I398" s="397"/>
      <c r="J398" s="397"/>
      <c r="K398" s="170"/>
      <c r="L398" s="170"/>
      <c r="M398" s="124"/>
      <c r="N398" s="12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  <c r="AA398" s="114"/>
      <c r="AB398" s="114"/>
      <c r="AC398" s="114"/>
      <c r="AD398" s="114"/>
      <c r="AE398" s="114"/>
      <c r="AF398" s="114"/>
      <c r="AG398" s="114"/>
      <c r="AH398" s="114"/>
      <c r="AI398" s="114"/>
      <c r="AJ398" s="114"/>
      <c r="AK398" s="114"/>
      <c r="AL398" s="114"/>
      <c r="AM398" s="114"/>
      <c r="AN398" s="114"/>
      <c r="AO398" s="114"/>
      <c r="AP398" s="114"/>
      <c r="AQ398" s="114"/>
      <c r="AR398" s="114"/>
      <c r="AS398" s="114"/>
      <c r="AT398" s="114"/>
      <c r="AU398" s="114"/>
      <c r="AV398" s="114"/>
      <c r="AW398" s="114"/>
      <c r="AX398" s="114"/>
      <c r="AY398" s="114"/>
      <c r="AZ398" s="114"/>
      <c r="BA398" s="114"/>
      <c r="BB398" s="114"/>
      <c r="BC398" s="114"/>
      <c r="BD398" s="114"/>
      <c r="BE398" s="114"/>
      <c r="BF398" s="114"/>
    </row>
    <row r="399" spans="1:25" s="167" customFormat="1" ht="34.5" customHeight="1">
      <c r="A399" s="163"/>
      <c r="B399" s="164"/>
      <c r="C399" s="164"/>
      <c r="D399" s="164"/>
      <c r="E399" s="164"/>
      <c r="F399" s="164"/>
      <c r="G399" s="164"/>
      <c r="H399" s="164"/>
      <c r="I399" s="164"/>
      <c r="J399" s="164"/>
      <c r="K399" s="165"/>
      <c r="L399" s="165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</row>
    <row r="400" spans="1:12" s="114" customFormat="1" ht="34.5" customHeight="1" thickBot="1">
      <c r="A400" s="1136"/>
      <c r="B400" s="1123"/>
      <c r="C400" s="1123"/>
      <c r="D400" s="1123"/>
      <c r="E400" s="1123"/>
      <c r="F400" s="1123"/>
      <c r="G400" s="1123"/>
      <c r="H400" s="1123"/>
      <c r="I400" s="1123"/>
      <c r="J400" s="1123"/>
      <c r="K400" s="157"/>
      <c r="L400" s="157"/>
    </row>
    <row r="401" spans="1:42" s="214" customFormat="1" ht="34.5" customHeight="1" thickTop="1">
      <c r="A401" s="207" t="s">
        <v>34</v>
      </c>
      <c r="B401" s="208" t="s">
        <v>637</v>
      </c>
      <c r="C401" s="209" t="s">
        <v>1061</v>
      </c>
      <c r="D401" s="210"/>
      <c r="E401" s="211" t="s">
        <v>922</v>
      </c>
      <c r="F401" s="212"/>
      <c r="G401" s="211" t="s">
        <v>923</v>
      </c>
      <c r="H401" s="212"/>
      <c r="I401" s="1070"/>
      <c r="J401" s="1071"/>
      <c r="K401" s="1070"/>
      <c r="L401" s="1070"/>
      <c r="M401" s="174"/>
      <c r="N401" s="174"/>
      <c r="O401" s="213"/>
      <c r="P401" s="213"/>
      <c r="Q401" s="213"/>
      <c r="R401" s="213"/>
      <c r="S401" s="213"/>
      <c r="T401" s="213"/>
      <c r="U401" s="213"/>
      <c r="V401" s="213"/>
      <c r="W401" s="213"/>
      <c r="X401" s="213"/>
      <c r="Y401" s="213"/>
      <c r="Z401" s="213"/>
      <c r="AA401" s="213"/>
      <c r="AB401" s="213"/>
      <c r="AC401" s="213"/>
      <c r="AD401" s="213"/>
      <c r="AE401" s="213"/>
      <c r="AF401" s="213"/>
      <c r="AG401" s="213"/>
      <c r="AH401" s="213"/>
      <c r="AI401" s="213"/>
      <c r="AJ401" s="213"/>
      <c r="AK401" s="213"/>
      <c r="AL401" s="213"/>
      <c r="AM401" s="213"/>
      <c r="AN401" s="213"/>
      <c r="AO401" s="213"/>
      <c r="AP401" s="213"/>
    </row>
    <row r="402" spans="1:58" s="107" customFormat="1" ht="34.5" customHeight="1">
      <c r="A402" s="452" t="s">
        <v>265</v>
      </c>
      <c r="B402" s="296" t="s">
        <v>333</v>
      </c>
      <c r="C402" s="1063">
        <f>CEILING(34*$Z$1,0.1)</f>
        <v>42.5</v>
      </c>
      <c r="D402" s="1064"/>
      <c r="E402" s="1063">
        <f>CEILING(42.4*$Z$1,0.1)</f>
        <v>53</v>
      </c>
      <c r="F402" s="1064"/>
      <c r="G402" s="1063">
        <f>CEILING(34*$Z$1,0.1)</f>
        <v>42.5</v>
      </c>
      <c r="H402" s="1064"/>
      <c r="I402" s="1061"/>
      <c r="J402" s="1061"/>
      <c r="K402" s="1061"/>
      <c r="L402" s="1061"/>
      <c r="M402" s="124"/>
      <c r="N402" s="124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  <c r="AA402" s="158"/>
      <c r="AB402" s="158"/>
      <c r="AC402" s="158"/>
      <c r="AD402" s="158"/>
      <c r="AE402" s="158"/>
      <c r="AF402" s="158"/>
      <c r="AG402" s="158"/>
      <c r="AH402" s="158"/>
      <c r="AI402" s="158"/>
      <c r="AJ402" s="158"/>
      <c r="AK402" s="158"/>
      <c r="AL402" s="158"/>
      <c r="AM402" s="158"/>
      <c r="AN402" s="158"/>
      <c r="AO402" s="158"/>
      <c r="AP402" s="158"/>
      <c r="AQ402" s="158"/>
      <c r="AR402" s="158"/>
      <c r="AS402" s="158"/>
      <c r="AT402" s="158"/>
      <c r="AU402" s="158"/>
      <c r="AV402" s="158"/>
      <c r="AW402" s="158"/>
      <c r="AX402" s="158"/>
      <c r="AY402" s="158"/>
      <c r="AZ402" s="158"/>
      <c r="BA402" s="158"/>
      <c r="BB402" s="158"/>
      <c r="BC402" s="158"/>
      <c r="BD402" s="158"/>
      <c r="BE402" s="158"/>
      <c r="BF402" s="158"/>
    </row>
    <row r="403" spans="1:58" s="107" customFormat="1" ht="34.5" customHeight="1">
      <c r="A403" s="453" t="s">
        <v>50</v>
      </c>
      <c r="B403" s="296" t="s">
        <v>334</v>
      </c>
      <c r="C403" s="1065">
        <f>CEILING((C402+22*$Z$1),0.1)</f>
        <v>70</v>
      </c>
      <c r="D403" s="1066"/>
      <c r="E403" s="1065">
        <f>CEILING((E402+22*$Z$1),0.1)</f>
        <v>80.5</v>
      </c>
      <c r="F403" s="1066"/>
      <c r="G403" s="1065">
        <f>CEILING((G402+22*$Z$1),0.1)</f>
        <v>70</v>
      </c>
      <c r="H403" s="1066"/>
      <c r="I403" s="1061"/>
      <c r="J403" s="1061"/>
      <c r="K403" s="1061"/>
      <c r="L403" s="1061"/>
      <c r="M403" s="130"/>
      <c r="N403" s="129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  <c r="AA403" s="158"/>
      <c r="AB403" s="158"/>
      <c r="AC403" s="158"/>
      <c r="AD403" s="158"/>
      <c r="AE403" s="158"/>
      <c r="AF403" s="158"/>
      <c r="AG403" s="158"/>
      <c r="AH403" s="158"/>
      <c r="AI403" s="158"/>
      <c r="AJ403" s="158"/>
      <c r="AK403" s="158"/>
      <c r="AL403" s="158"/>
      <c r="AM403" s="158"/>
      <c r="AN403" s="158"/>
      <c r="AO403" s="158"/>
      <c r="AP403" s="158"/>
      <c r="AQ403" s="158"/>
      <c r="AR403" s="158"/>
      <c r="AS403" s="158"/>
      <c r="AT403" s="158"/>
      <c r="AU403" s="158"/>
      <c r="AV403" s="158"/>
      <c r="AW403" s="158"/>
      <c r="AX403" s="158"/>
      <c r="AY403" s="158"/>
      <c r="AZ403" s="158"/>
      <c r="BA403" s="158"/>
      <c r="BB403" s="158"/>
      <c r="BC403" s="158"/>
      <c r="BD403" s="158"/>
      <c r="BE403" s="158"/>
      <c r="BF403" s="158"/>
    </row>
    <row r="404" spans="1:58" s="107" customFormat="1" ht="34.5" customHeight="1">
      <c r="A404" s="454"/>
      <c r="B404" s="296" t="s">
        <v>77</v>
      </c>
      <c r="C404" s="1065">
        <f>CEILING((C402*0.5),0.1)</f>
        <v>21.3</v>
      </c>
      <c r="D404" s="1066"/>
      <c r="E404" s="1065">
        <f>CEILING((E402*0.5),0.1)</f>
        <v>26.5</v>
      </c>
      <c r="F404" s="1066"/>
      <c r="G404" s="1065">
        <f>CEILING((G402*0.5),0.1)</f>
        <v>21.3</v>
      </c>
      <c r="H404" s="1066"/>
      <c r="I404" s="1061"/>
      <c r="J404" s="1061"/>
      <c r="K404" s="1061"/>
      <c r="L404" s="1061"/>
      <c r="M404" s="110"/>
      <c r="N404" s="124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  <c r="AA404" s="158"/>
      <c r="AB404" s="158"/>
      <c r="AC404" s="158"/>
      <c r="AD404" s="158"/>
      <c r="AE404" s="158"/>
      <c r="AF404" s="158"/>
      <c r="AG404" s="158"/>
      <c r="AH404" s="158"/>
      <c r="AI404" s="158"/>
      <c r="AJ404" s="158"/>
      <c r="AK404" s="158"/>
      <c r="AL404" s="158"/>
      <c r="AM404" s="158"/>
      <c r="AN404" s="158"/>
      <c r="AO404" s="158"/>
      <c r="AP404" s="158"/>
      <c r="AQ404" s="158"/>
      <c r="AR404" s="158"/>
      <c r="AS404" s="158"/>
      <c r="AT404" s="158"/>
      <c r="AU404" s="158"/>
      <c r="AV404" s="158"/>
      <c r="AW404" s="158"/>
      <c r="AX404" s="158"/>
      <c r="AY404" s="158"/>
      <c r="AZ404" s="158"/>
      <c r="BA404" s="158"/>
      <c r="BB404" s="158"/>
      <c r="BC404" s="158"/>
      <c r="BD404" s="158"/>
      <c r="BE404" s="158"/>
      <c r="BF404" s="158"/>
    </row>
    <row r="405" spans="1:58" s="107" customFormat="1" ht="34.5" customHeight="1">
      <c r="A405" s="455" t="s">
        <v>1096</v>
      </c>
      <c r="B405" s="296" t="s">
        <v>506</v>
      </c>
      <c r="C405" s="1065">
        <f>CEILING(37*$Z$1,0.1)</f>
        <v>46.300000000000004</v>
      </c>
      <c r="D405" s="1066"/>
      <c r="E405" s="1065">
        <f>CEILING(45.2*$Z$1,0.1)</f>
        <v>56.5</v>
      </c>
      <c r="F405" s="1066"/>
      <c r="G405" s="1065">
        <f>CEILING(37*$Z$1,0.1)</f>
        <v>46.300000000000004</v>
      </c>
      <c r="H405" s="1066"/>
      <c r="I405" s="1061"/>
      <c r="J405" s="1061"/>
      <c r="K405" s="1061"/>
      <c r="L405" s="1061"/>
      <c r="M405" s="110"/>
      <c r="N405" s="124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  <c r="AA405" s="158"/>
      <c r="AB405" s="158"/>
      <c r="AC405" s="158"/>
      <c r="AD405" s="158"/>
      <c r="AE405" s="158"/>
      <c r="AF405" s="158"/>
      <c r="AG405" s="158"/>
      <c r="AH405" s="158"/>
      <c r="AI405" s="158"/>
      <c r="AJ405" s="158"/>
      <c r="AK405" s="158"/>
      <c r="AL405" s="158"/>
      <c r="AM405" s="158"/>
      <c r="AN405" s="158"/>
      <c r="AO405" s="158"/>
      <c r="AP405" s="158"/>
      <c r="AQ405" s="158"/>
      <c r="AR405" s="158"/>
      <c r="AS405" s="158"/>
      <c r="AT405" s="158"/>
      <c r="AU405" s="158"/>
      <c r="AV405" s="158"/>
      <c r="AW405" s="158"/>
      <c r="AX405" s="158"/>
      <c r="AY405" s="158"/>
      <c r="AZ405" s="158"/>
      <c r="BA405" s="158"/>
      <c r="BB405" s="158"/>
      <c r="BC405" s="158"/>
      <c r="BD405" s="158"/>
      <c r="BE405" s="158"/>
      <c r="BF405" s="158"/>
    </row>
    <row r="406" spans="1:58" s="107" customFormat="1" ht="34.5" customHeight="1">
      <c r="A406" s="357" t="s">
        <v>508</v>
      </c>
      <c r="B406" s="456" t="s">
        <v>507</v>
      </c>
      <c r="C406" s="1078">
        <f>CEILING((C405+22*$Z$1),0.1)</f>
        <v>73.8</v>
      </c>
      <c r="D406" s="1079"/>
      <c r="E406" s="1078">
        <f>CEILING((E405+22*$Z$1),0.1)</f>
        <v>84</v>
      </c>
      <c r="F406" s="1079"/>
      <c r="G406" s="1078">
        <f>CEILING((G405+22*$Z$1),0.1)</f>
        <v>73.8</v>
      </c>
      <c r="H406" s="1079"/>
      <c r="I406" s="1061"/>
      <c r="J406" s="1061"/>
      <c r="K406" s="1061"/>
      <c r="L406" s="1061"/>
      <c r="M406" s="110"/>
      <c r="N406" s="124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  <c r="AA406" s="158"/>
      <c r="AB406" s="158"/>
      <c r="AC406" s="158"/>
      <c r="AD406" s="158"/>
      <c r="AE406" s="158"/>
      <c r="AF406" s="158"/>
      <c r="AG406" s="158"/>
      <c r="AH406" s="158"/>
      <c r="AI406" s="158"/>
      <c r="AJ406" s="158"/>
      <c r="AK406" s="158"/>
      <c r="AL406" s="158"/>
      <c r="AM406" s="158"/>
      <c r="AN406" s="158"/>
      <c r="AO406" s="158"/>
      <c r="AP406" s="158"/>
      <c r="AQ406" s="158"/>
      <c r="AR406" s="158"/>
      <c r="AS406" s="158"/>
      <c r="AT406" s="158"/>
      <c r="AU406" s="158"/>
      <c r="AV406" s="158"/>
      <c r="AW406" s="158"/>
      <c r="AX406" s="158"/>
      <c r="AY406" s="158"/>
      <c r="AZ406" s="158"/>
      <c r="BA406" s="158"/>
      <c r="BB406" s="158"/>
      <c r="BC406" s="158"/>
      <c r="BD406" s="158"/>
      <c r="BE406" s="158"/>
      <c r="BF406" s="158"/>
    </row>
    <row r="407" spans="1:58" s="140" customFormat="1" ht="34.5" customHeight="1">
      <c r="A407" s="397" t="s">
        <v>634</v>
      </c>
      <c r="B407" s="397"/>
      <c r="C407" s="397"/>
      <c r="D407" s="397"/>
      <c r="E407" s="397"/>
      <c r="F407" s="397"/>
      <c r="G407" s="397"/>
      <c r="H407" s="397"/>
      <c r="I407" s="397"/>
      <c r="J407" s="397"/>
      <c r="K407" s="170"/>
      <c r="L407" s="170"/>
      <c r="M407" s="124"/>
      <c r="N407" s="12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  <c r="AA407" s="114"/>
      <c r="AB407" s="114"/>
      <c r="AC407" s="114"/>
      <c r="AD407" s="114"/>
      <c r="AE407" s="114"/>
      <c r="AF407" s="114"/>
      <c r="AG407" s="114"/>
      <c r="AH407" s="114"/>
      <c r="AI407" s="114"/>
      <c r="AJ407" s="114"/>
      <c r="AK407" s="114"/>
      <c r="AL407" s="114"/>
      <c r="AM407" s="114"/>
      <c r="AN407" s="114"/>
      <c r="AO407" s="114"/>
      <c r="AP407" s="114"/>
      <c r="AQ407" s="114"/>
      <c r="AR407" s="114"/>
      <c r="AS407" s="114"/>
      <c r="AT407" s="114"/>
      <c r="AU407" s="114"/>
      <c r="AV407" s="114"/>
      <c r="AW407" s="114"/>
      <c r="AX407" s="114"/>
      <c r="AY407" s="114"/>
      <c r="AZ407" s="114"/>
      <c r="BA407" s="114"/>
      <c r="BB407" s="114"/>
      <c r="BC407" s="114"/>
      <c r="BD407" s="114"/>
      <c r="BE407" s="114"/>
      <c r="BF407" s="114"/>
    </row>
    <row r="408" spans="1:25" s="167" customFormat="1" ht="34.5" customHeight="1">
      <c r="A408" s="163"/>
      <c r="B408" s="164"/>
      <c r="C408" s="164"/>
      <c r="D408" s="164"/>
      <c r="E408" s="164"/>
      <c r="F408" s="164"/>
      <c r="G408" s="164"/>
      <c r="H408" s="164"/>
      <c r="I408" s="164"/>
      <c r="J408" s="164"/>
      <c r="K408" s="165"/>
      <c r="L408" s="165"/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</row>
    <row r="409" spans="1:58" s="140" customFormat="1" ht="34.5" customHeight="1" thickBot="1">
      <c r="A409" s="457"/>
      <c r="B409" s="458"/>
      <c r="C409" s="438"/>
      <c r="D409" s="438"/>
      <c r="E409" s="438"/>
      <c r="F409" s="438"/>
      <c r="G409" s="438"/>
      <c r="H409" s="438"/>
      <c r="I409" s="438"/>
      <c r="J409" s="438"/>
      <c r="K409" s="148"/>
      <c r="L409" s="148"/>
      <c r="M409" s="124"/>
      <c r="N409" s="12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  <c r="AA409" s="114"/>
      <c r="AB409" s="114"/>
      <c r="AC409" s="114"/>
      <c r="AD409" s="114"/>
      <c r="AE409" s="114"/>
      <c r="AF409" s="114"/>
      <c r="AG409" s="114"/>
      <c r="AH409" s="114"/>
      <c r="AI409" s="114"/>
      <c r="AJ409" s="114"/>
      <c r="AK409" s="114"/>
      <c r="AL409" s="114"/>
      <c r="AM409" s="114"/>
      <c r="AN409" s="114"/>
      <c r="AO409" s="114"/>
      <c r="AP409" s="114"/>
      <c r="AQ409" s="114"/>
      <c r="AR409" s="114"/>
      <c r="AS409" s="114"/>
      <c r="AT409" s="114"/>
      <c r="AU409" s="114"/>
      <c r="AV409" s="114"/>
      <c r="AW409" s="114"/>
      <c r="AX409" s="114"/>
      <c r="AY409" s="114"/>
      <c r="AZ409" s="114"/>
      <c r="BA409" s="114"/>
      <c r="BB409" s="114"/>
      <c r="BC409" s="114"/>
      <c r="BD409" s="114"/>
      <c r="BE409" s="114"/>
      <c r="BF409" s="114"/>
    </row>
    <row r="410" spans="1:42" s="214" customFormat="1" ht="34.5" customHeight="1" thickTop="1">
      <c r="A410" s="207" t="s">
        <v>34</v>
      </c>
      <c r="B410" s="208" t="s">
        <v>637</v>
      </c>
      <c r="C410" s="209" t="s">
        <v>921</v>
      </c>
      <c r="D410" s="210"/>
      <c r="E410" s="211" t="s">
        <v>922</v>
      </c>
      <c r="F410" s="212"/>
      <c r="G410" s="211" t="s">
        <v>923</v>
      </c>
      <c r="H410" s="212"/>
      <c r="I410" s="1070"/>
      <c r="J410" s="1071"/>
      <c r="K410" s="1070"/>
      <c r="L410" s="1070"/>
      <c r="M410" s="174"/>
      <c r="N410" s="174"/>
      <c r="O410" s="213"/>
      <c r="P410" s="213"/>
      <c r="Q410" s="213"/>
      <c r="R410" s="213"/>
      <c r="S410" s="213"/>
      <c r="T410" s="213"/>
      <c r="U410" s="213"/>
      <c r="V410" s="213"/>
      <c r="W410" s="213"/>
      <c r="X410" s="213"/>
      <c r="Y410" s="213"/>
      <c r="Z410" s="213"/>
      <c r="AA410" s="213"/>
      <c r="AB410" s="213"/>
      <c r="AC410" s="213"/>
      <c r="AD410" s="213"/>
      <c r="AE410" s="213"/>
      <c r="AF410" s="213"/>
      <c r="AG410" s="213"/>
      <c r="AH410" s="213"/>
      <c r="AI410" s="213"/>
      <c r="AJ410" s="213"/>
      <c r="AK410" s="213"/>
      <c r="AL410" s="213"/>
      <c r="AM410" s="213"/>
      <c r="AN410" s="213"/>
      <c r="AO410" s="213"/>
      <c r="AP410" s="213"/>
    </row>
    <row r="411" spans="1:58" s="107" customFormat="1" ht="34.5" customHeight="1">
      <c r="A411" s="431" t="s">
        <v>264</v>
      </c>
      <c r="B411" s="238" t="s">
        <v>42</v>
      </c>
      <c r="C411" s="1073">
        <f>CEILING(44*$Z$1,0.1)</f>
        <v>55</v>
      </c>
      <c r="D411" s="1074"/>
      <c r="E411" s="1073">
        <f>CEILING(55*$Z$1,0.1)</f>
        <v>68.8</v>
      </c>
      <c r="F411" s="1074"/>
      <c r="G411" s="1073">
        <f>CEILING(44*$Z$1,0.1)</f>
        <v>55</v>
      </c>
      <c r="H411" s="1074"/>
      <c r="I411" s="1061"/>
      <c r="J411" s="1061"/>
      <c r="K411" s="1061"/>
      <c r="L411" s="1061"/>
      <c r="M411" s="124"/>
      <c r="N411" s="124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  <c r="Z411" s="158"/>
      <c r="AA411" s="158"/>
      <c r="AB411" s="158"/>
      <c r="AC411" s="158"/>
      <c r="AD411" s="158"/>
      <c r="AE411" s="158"/>
      <c r="AF411" s="158"/>
      <c r="AG411" s="158"/>
      <c r="AH411" s="158"/>
      <c r="AI411" s="158"/>
      <c r="AJ411" s="158"/>
      <c r="AK411" s="158"/>
      <c r="AL411" s="158"/>
      <c r="AM411" s="158"/>
      <c r="AN411" s="158"/>
      <c r="AO411" s="158"/>
      <c r="AP411" s="158"/>
      <c r="AQ411" s="158"/>
      <c r="AR411" s="158"/>
      <c r="AS411" s="158"/>
      <c r="AT411" s="158"/>
      <c r="AU411" s="158"/>
      <c r="AV411" s="158"/>
      <c r="AW411" s="158"/>
      <c r="AX411" s="158"/>
      <c r="AY411" s="158"/>
      <c r="AZ411" s="158"/>
      <c r="BA411" s="158"/>
      <c r="BB411" s="158"/>
      <c r="BC411" s="158"/>
      <c r="BD411" s="158"/>
      <c r="BE411" s="158"/>
      <c r="BF411" s="158"/>
    </row>
    <row r="412" spans="1:58" s="107" customFormat="1" ht="34.5" customHeight="1">
      <c r="A412" s="432" t="s">
        <v>50</v>
      </c>
      <c r="B412" s="238" t="s">
        <v>43</v>
      </c>
      <c r="C412" s="1057">
        <f>CEILING((C411+25*$Z$1),0.1)</f>
        <v>86.30000000000001</v>
      </c>
      <c r="D412" s="1058"/>
      <c r="E412" s="1057">
        <f>CEILING((E411+25*$Z$1),0.1)</f>
        <v>100.10000000000001</v>
      </c>
      <c r="F412" s="1058"/>
      <c r="G412" s="1057">
        <f>CEILING((G411+25*$Z$1),0.1)</f>
        <v>86.30000000000001</v>
      </c>
      <c r="H412" s="1058"/>
      <c r="I412" s="1061"/>
      <c r="J412" s="1061"/>
      <c r="K412" s="1061"/>
      <c r="L412" s="1061"/>
      <c r="M412" s="124"/>
      <c r="N412" s="124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  <c r="AA412" s="158"/>
      <c r="AB412" s="158"/>
      <c r="AC412" s="158"/>
      <c r="AD412" s="158"/>
      <c r="AE412" s="158"/>
      <c r="AF412" s="158"/>
      <c r="AG412" s="158"/>
      <c r="AH412" s="158"/>
      <c r="AI412" s="158"/>
      <c r="AJ412" s="158"/>
      <c r="AK412" s="158"/>
      <c r="AL412" s="158"/>
      <c r="AM412" s="158"/>
      <c r="AN412" s="158"/>
      <c r="AO412" s="158"/>
      <c r="AP412" s="158"/>
      <c r="AQ412" s="158"/>
      <c r="AR412" s="158"/>
      <c r="AS412" s="158"/>
      <c r="AT412" s="158"/>
      <c r="AU412" s="158"/>
      <c r="AV412" s="158"/>
      <c r="AW412" s="158"/>
      <c r="AX412" s="158"/>
      <c r="AY412" s="158"/>
      <c r="AZ412" s="158"/>
      <c r="BA412" s="158"/>
      <c r="BB412" s="158"/>
      <c r="BC412" s="158"/>
      <c r="BD412" s="158"/>
      <c r="BE412" s="158"/>
      <c r="BF412" s="158"/>
    </row>
    <row r="413" spans="1:53" s="107" customFormat="1" ht="34.5" customHeight="1">
      <c r="A413" s="132" t="s">
        <v>1060</v>
      </c>
      <c r="B413" s="238" t="s">
        <v>38</v>
      </c>
      <c r="C413" s="1057">
        <f>CEILING((C411*0.85),0.1)</f>
        <v>46.800000000000004</v>
      </c>
      <c r="D413" s="1058"/>
      <c r="E413" s="1057">
        <f>CEILING((E411*0.85),0.1)</f>
        <v>58.5</v>
      </c>
      <c r="F413" s="1058"/>
      <c r="G413" s="1057">
        <f>CEILING((G411*0.85),0.1)</f>
        <v>46.800000000000004</v>
      </c>
      <c r="H413" s="1058"/>
      <c r="I413" s="1061"/>
      <c r="J413" s="1061"/>
      <c r="K413" s="1061"/>
      <c r="L413" s="1061"/>
      <c r="M413" s="124"/>
      <c r="N413" s="124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  <c r="AA413" s="158"/>
      <c r="AB413" s="158"/>
      <c r="AC413" s="158"/>
      <c r="AD413" s="158"/>
      <c r="AE413" s="158"/>
      <c r="AF413" s="158"/>
      <c r="AG413" s="158"/>
      <c r="AH413" s="158"/>
      <c r="AI413" s="158"/>
      <c r="AJ413" s="158"/>
      <c r="AK413" s="158"/>
      <c r="AL413" s="158"/>
      <c r="AM413" s="158"/>
      <c r="AN413" s="158"/>
      <c r="AO413" s="158"/>
      <c r="AP413" s="158"/>
      <c r="AQ413" s="158"/>
      <c r="AR413" s="158"/>
      <c r="AS413" s="158"/>
      <c r="AT413" s="158"/>
      <c r="AU413" s="158"/>
      <c r="AV413" s="158"/>
      <c r="AW413" s="158"/>
      <c r="AX413" s="158"/>
      <c r="AY413" s="158"/>
      <c r="AZ413" s="158"/>
      <c r="BA413" s="158"/>
    </row>
    <row r="414" spans="1:53" s="107" customFormat="1" ht="34.5" customHeight="1" thickBot="1">
      <c r="A414" s="459" t="s">
        <v>508</v>
      </c>
      <c r="B414" s="297" t="s">
        <v>69</v>
      </c>
      <c r="C414" s="1059">
        <f>CEILING((C411*0.5),0.1)</f>
        <v>27.5</v>
      </c>
      <c r="D414" s="1060"/>
      <c r="E414" s="1059">
        <f>CEILING((E411*0.5),0.1)</f>
        <v>34.4</v>
      </c>
      <c r="F414" s="1060"/>
      <c r="G414" s="1059">
        <f>CEILING((G411*0.5),0.1)</f>
        <v>27.5</v>
      </c>
      <c r="H414" s="1060"/>
      <c r="I414" s="1061"/>
      <c r="J414" s="1061"/>
      <c r="K414" s="1061"/>
      <c r="L414" s="1061"/>
      <c r="M414" s="124"/>
      <c r="N414" s="124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  <c r="AA414" s="158"/>
      <c r="AB414" s="158"/>
      <c r="AC414" s="158"/>
      <c r="AD414" s="158"/>
      <c r="AE414" s="158"/>
      <c r="AF414" s="158"/>
      <c r="AG414" s="158"/>
      <c r="AH414" s="158"/>
      <c r="AI414" s="158"/>
      <c r="AJ414" s="158"/>
      <c r="AK414" s="158"/>
      <c r="AL414" s="158"/>
      <c r="AM414" s="158"/>
      <c r="AN414" s="158"/>
      <c r="AO414" s="158"/>
      <c r="AP414" s="158"/>
      <c r="AQ414" s="158"/>
      <c r="AR414" s="158"/>
      <c r="AS414" s="158"/>
      <c r="AT414" s="158"/>
      <c r="AU414" s="158"/>
      <c r="AV414" s="158"/>
      <c r="AW414" s="158"/>
      <c r="AX414" s="158"/>
      <c r="AY414" s="158"/>
      <c r="AZ414" s="158"/>
      <c r="BA414" s="158"/>
    </row>
    <row r="415" spans="1:53" s="140" customFormat="1" ht="34.5" customHeight="1" thickTop="1">
      <c r="A415" s="397" t="s">
        <v>617</v>
      </c>
      <c r="B415" s="397"/>
      <c r="C415" s="397"/>
      <c r="D415" s="397"/>
      <c r="E415" s="397"/>
      <c r="F415" s="397"/>
      <c r="G415" s="397"/>
      <c r="H415" s="397"/>
      <c r="I415" s="397"/>
      <c r="J415" s="397"/>
      <c r="K415" s="170"/>
      <c r="L415" s="170"/>
      <c r="M415" s="124"/>
      <c r="N415" s="12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  <c r="AA415" s="114"/>
      <c r="AB415" s="114"/>
      <c r="AC415" s="114"/>
      <c r="AD415" s="114"/>
      <c r="AE415" s="114"/>
      <c r="AF415" s="114"/>
      <c r="AG415" s="114"/>
      <c r="AH415" s="114"/>
      <c r="AI415" s="114"/>
      <c r="AJ415" s="114"/>
      <c r="AK415" s="114"/>
      <c r="AL415" s="114"/>
      <c r="AM415" s="114"/>
      <c r="AN415" s="114"/>
      <c r="AO415" s="114"/>
      <c r="AP415" s="114"/>
      <c r="AQ415" s="114"/>
      <c r="AR415" s="114"/>
      <c r="AS415" s="114"/>
      <c r="AT415" s="114"/>
      <c r="AU415" s="114"/>
      <c r="AV415" s="114"/>
      <c r="AW415" s="114"/>
      <c r="AX415" s="114"/>
      <c r="AY415" s="114"/>
      <c r="AZ415" s="114"/>
      <c r="BA415" s="114"/>
    </row>
    <row r="416" spans="1:53" s="107" customFormat="1" ht="34.5" customHeight="1">
      <c r="A416" s="447" t="s">
        <v>509</v>
      </c>
      <c r="B416" s="124"/>
      <c r="C416" s="239"/>
      <c r="D416" s="239"/>
      <c r="E416" s="239"/>
      <c r="F416" s="239"/>
      <c r="G416" s="239"/>
      <c r="H416" s="239"/>
      <c r="I416" s="239"/>
      <c r="J416" s="239"/>
      <c r="K416" s="239"/>
      <c r="L416" s="239"/>
      <c r="M416" s="124"/>
      <c r="N416" s="124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  <c r="AA416" s="158"/>
      <c r="AB416" s="158"/>
      <c r="AC416" s="158"/>
      <c r="AD416" s="158"/>
      <c r="AE416" s="158"/>
      <c r="AF416" s="158"/>
      <c r="AG416" s="158"/>
      <c r="AH416" s="158"/>
      <c r="AI416" s="158"/>
      <c r="AJ416" s="158"/>
      <c r="AK416" s="158"/>
      <c r="AL416" s="158"/>
      <c r="AM416" s="158"/>
      <c r="AN416" s="158"/>
      <c r="AO416" s="158"/>
      <c r="AP416" s="158"/>
      <c r="AQ416" s="158"/>
      <c r="AR416" s="158"/>
      <c r="AS416" s="158"/>
      <c r="AT416" s="158"/>
      <c r="AU416" s="158"/>
      <c r="AV416" s="158"/>
      <c r="AW416" s="158"/>
      <c r="AX416" s="158"/>
      <c r="AY416" s="158"/>
      <c r="AZ416" s="158"/>
      <c r="BA416" s="158"/>
    </row>
    <row r="417" spans="1:25" s="140" customFormat="1" ht="34.5" customHeight="1">
      <c r="A417" s="161" t="s">
        <v>453</v>
      </c>
      <c r="B417" s="162"/>
      <c r="C417" s="162"/>
      <c r="D417" s="162"/>
      <c r="E417" s="162"/>
      <c r="F417" s="162"/>
      <c r="G417" s="162"/>
      <c r="H417" s="162"/>
      <c r="I417" s="162"/>
      <c r="J417" s="162"/>
      <c r="K417" s="157"/>
      <c r="L417" s="157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</row>
    <row r="418" spans="1:25" s="167" customFormat="1" ht="34.5" customHeight="1">
      <c r="A418" s="163"/>
      <c r="B418" s="164"/>
      <c r="C418" s="164"/>
      <c r="D418" s="164"/>
      <c r="E418" s="164"/>
      <c r="F418" s="164"/>
      <c r="G418" s="164"/>
      <c r="H418" s="164"/>
      <c r="I418" s="164"/>
      <c r="J418" s="164"/>
      <c r="K418" s="165"/>
      <c r="L418" s="165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</row>
    <row r="419" spans="1:25" s="107" customFormat="1" ht="34.5" customHeight="1" thickBot="1">
      <c r="A419" s="397"/>
      <c r="B419" s="438"/>
      <c r="C419" s="438"/>
      <c r="D419" s="438"/>
      <c r="E419" s="438"/>
      <c r="F419" s="438"/>
      <c r="G419" s="438"/>
      <c r="H419" s="438"/>
      <c r="I419" s="438"/>
      <c r="J419" s="438"/>
      <c r="K419" s="113"/>
      <c r="L419" s="104"/>
      <c r="M419" s="124"/>
      <c r="N419" s="124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</row>
    <row r="420" spans="1:42" s="214" customFormat="1" ht="34.5" customHeight="1" thickTop="1">
      <c r="A420" s="207" t="s">
        <v>34</v>
      </c>
      <c r="B420" s="208" t="s">
        <v>637</v>
      </c>
      <c r="C420" s="209" t="s">
        <v>1062</v>
      </c>
      <c r="D420" s="210"/>
      <c r="E420" s="211" t="s">
        <v>922</v>
      </c>
      <c r="F420" s="212"/>
      <c r="G420" s="211" t="s">
        <v>923</v>
      </c>
      <c r="H420" s="212"/>
      <c r="I420" s="1070"/>
      <c r="J420" s="1071"/>
      <c r="K420" s="1070"/>
      <c r="L420" s="1070"/>
      <c r="M420" s="174"/>
      <c r="N420" s="174"/>
      <c r="O420" s="213"/>
      <c r="P420" s="213"/>
      <c r="Q420" s="213"/>
      <c r="R420" s="213"/>
      <c r="S420" s="213"/>
      <c r="T420" s="213"/>
      <c r="U420" s="213"/>
      <c r="V420" s="213"/>
      <c r="W420" s="213"/>
      <c r="X420" s="213"/>
      <c r="Y420" s="213"/>
      <c r="Z420" s="213"/>
      <c r="AA420" s="213"/>
      <c r="AB420" s="213"/>
      <c r="AC420" s="213"/>
      <c r="AD420" s="213"/>
      <c r="AE420" s="213"/>
      <c r="AF420" s="213"/>
      <c r="AG420" s="213"/>
      <c r="AH420" s="213"/>
      <c r="AI420" s="213"/>
      <c r="AJ420" s="213"/>
      <c r="AK420" s="213"/>
      <c r="AL420" s="213"/>
      <c r="AM420" s="213"/>
      <c r="AN420" s="213"/>
      <c r="AO420" s="213"/>
      <c r="AP420" s="213"/>
    </row>
    <row r="421" spans="1:25" s="107" customFormat="1" ht="34.5" customHeight="1">
      <c r="A421" s="460" t="s">
        <v>618</v>
      </c>
      <c r="B421" s="238" t="s">
        <v>595</v>
      </c>
      <c r="C421" s="1063">
        <f>CEILING(41*$Z$1,0.1)</f>
        <v>51.300000000000004</v>
      </c>
      <c r="D421" s="1064"/>
      <c r="E421" s="1063">
        <f>CEILING(54*$Z$1,0.1)</f>
        <v>67.5</v>
      </c>
      <c r="F421" s="1064"/>
      <c r="G421" s="1063">
        <f>CEILING(41*$Z$1,0.1)</f>
        <v>51.300000000000004</v>
      </c>
      <c r="H421" s="1064"/>
      <c r="I421" s="1061"/>
      <c r="J421" s="1061"/>
      <c r="K421" s="1061"/>
      <c r="L421" s="1061"/>
      <c r="M421" s="124"/>
      <c r="N421" s="124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</row>
    <row r="422" spans="1:25" s="107" customFormat="1" ht="34.5" customHeight="1">
      <c r="A422" s="432" t="s">
        <v>50</v>
      </c>
      <c r="B422" s="238" t="s">
        <v>507</v>
      </c>
      <c r="C422" s="1065">
        <f>CEILING((C421+25*$Z$1),0.1)</f>
        <v>82.60000000000001</v>
      </c>
      <c r="D422" s="1066"/>
      <c r="E422" s="1065">
        <f>CEILING((E421+25*$Z$1),0.1)</f>
        <v>98.80000000000001</v>
      </c>
      <c r="F422" s="1066"/>
      <c r="G422" s="1065">
        <f>CEILING((G421+25*$Z$1),0.1)</f>
        <v>82.60000000000001</v>
      </c>
      <c r="H422" s="1066"/>
      <c r="I422" s="1061"/>
      <c r="J422" s="1061"/>
      <c r="K422" s="1061"/>
      <c r="L422" s="1061"/>
      <c r="M422" s="124"/>
      <c r="N422" s="124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</row>
    <row r="423" spans="1:25" s="107" customFormat="1" ht="34.5" customHeight="1">
      <c r="A423" s="134" t="s">
        <v>1095</v>
      </c>
      <c r="B423" s="238" t="s">
        <v>38</v>
      </c>
      <c r="C423" s="1065">
        <f>CEILING((C421*0.85),0.1)</f>
        <v>43.7</v>
      </c>
      <c r="D423" s="1066"/>
      <c r="E423" s="1065">
        <f>CEILING((E421*0.85),0.1)</f>
        <v>57.400000000000006</v>
      </c>
      <c r="F423" s="1066"/>
      <c r="G423" s="1065">
        <f>CEILING((G421*0.85),0.1)</f>
        <v>43.7</v>
      </c>
      <c r="H423" s="1066"/>
      <c r="I423" s="1061"/>
      <c r="J423" s="1061"/>
      <c r="K423" s="1061"/>
      <c r="L423" s="1061"/>
      <c r="M423" s="124"/>
      <c r="N423" s="124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</row>
    <row r="424" spans="1:25" s="107" customFormat="1" ht="34.5" customHeight="1" thickBot="1">
      <c r="A424" s="461" t="s">
        <v>508</v>
      </c>
      <c r="B424" s="243" t="s">
        <v>95</v>
      </c>
      <c r="C424" s="1078">
        <f>CEILING((C421*0.5),0.1)</f>
        <v>25.700000000000003</v>
      </c>
      <c r="D424" s="1079"/>
      <c r="E424" s="1078">
        <f>CEILING((E421*0.5),0.1)</f>
        <v>33.800000000000004</v>
      </c>
      <c r="F424" s="1079"/>
      <c r="G424" s="1078">
        <f>CEILING((G421*0.5),0.1)</f>
        <v>25.700000000000003</v>
      </c>
      <c r="H424" s="1079"/>
      <c r="I424" s="1061"/>
      <c r="J424" s="1061"/>
      <c r="K424" s="1061"/>
      <c r="L424" s="1061"/>
      <c r="M424" s="124"/>
      <c r="N424" s="124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</row>
    <row r="425" spans="1:25" s="140" customFormat="1" ht="34.5" customHeight="1" thickTop="1">
      <c r="A425" s="397" t="s">
        <v>617</v>
      </c>
      <c r="B425" s="397"/>
      <c r="C425" s="397"/>
      <c r="D425" s="397"/>
      <c r="E425" s="397"/>
      <c r="F425" s="397"/>
      <c r="G425" s="397"/>
      <c r="H425" s="397"/>
      <c r="I425" s="397"/>
      <c r="J425" s="397"/>
      <c r="K425" s="170"/>
      <c r="L425" s="170"/>
      <c r="M425" s="124"/>
      <c r="N425" s="124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</row>
    <row r="426" spans="1:25" s="140" customFormat="1" ht="34.5" customHeight="1">
      <c r="A426" s="161" t="s">
        <v>453</v>
      </c>
      <c r="B426" s="162"/>
      <c r="C426" s="162"/>
      <c r="D426" s="162"/>
      <c r="E426" s="162"/>
      <c r="F426" s="162"/>
      <c r="G426" s="162"/>
      <c r="H426" s="162"/>
      <c r="I426" s="162"/>
      <c r="J426" s="162"/>
      <c r="K426" s="157"/>
      <c r="L426" s="157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</row>
    <row r="427" spans="1:25" s="167" customFormat="1" ht="34.5" customHeight="1">
      <c r="A427" s="163"/>
      <c r="B427" s="164"/>
      <c r="C427" s="164"/>
      <c r="D427" s="164"/>
      <c r="E427" s="164"/>
      <c r="F427" s="164"/>
      <c r="G427" s="164"/>
      <c r="H427" s="164"/>
      <c r="I427" s="164"/>
      <c r="J427" s="164"/>
      <c r="K427" s="165"/>
      <c r="L427" s="165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</row>
    <row r="428" spans="1:41" s="107" customFormat="1" ht="34.5" customHeight="1" thickBot="1">
      <c r="A428" s="285"/>
      <c r="B428" s="162"/>
      <c r="C428" s="162"/>
      <c r="D428" s="162"/>
      <c r="E428" s="162"/>
      <c r="F428" s="162"/>
      <c r="G428" s="162"/>
      <c r="H428" s="162"/>
      <c r="I428" s="162"/>
      <c r="J428" s="162"/>
      <c r="K428" s="108"/>
      <c r="L428" s="108"/>
      <c r="M428" s="148"/>
      <c r="N428" s="14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  <c r="AA428" s="158"/>
      <c r="AB428" s="158"/>
      <c r="AC428" s="158"/>
      <c r="AD428" s="158"/>
      <c r="AE428" s="158"/>
      <c r="AF428" s="158"/>
      <c r="AG428" s="158"/>
      <c r="AH428" s="158"/>
      <c r="AI428" s="158"/>
      <c r="AJ428" s="158"/>
      <c r="AK428" s="158"/>
      <c r="AL428" s="158"/>
      <c r="AM428" s="158"/>
      <c r="AN428" s="158"/>
      <c r="AO428" s="158"/>
    </row>
    <row r="429" spans="1:42" s="214" customFormat="1" ht="34.5" customHeight="1" thickTop="1">
      <c r="A429" s="207" t="s">
        <v>34</v>
      </c>
      <c r="B429" s="208" t="s">
        <v>637</v>
      </c>
      <c r="C429" s="209" t="s">
        <v>921</v>
      </c>
      <c r="D429" s="210"/>
      <c r="E429" s="211" t="s">
        <v>922</v>
      </c>
      <c r="F429" s="212"/>
      <c r="G429" s="211" t="s">
        <v>923</v>
      </c>
      <c r="H429" s="212"/>
      <c r="I429" s="1070"/>
      <c r="J429" s="1071"/>
      <c r="K429" s="1070"/>
      <c r="L429" s="1070"/>
      <c r="M429" s="174"/>
      <c r="N429" s="174"/>
      <c r="O429" s="213"/>
      <c r="P429" s="213"/>
      <c r="Q429" s="213"/>
      <c r="R429" s="213"/>
      <c r="S429" s="213"/>
      <c r="T429" s="213"/>
      <c r="U429" s="213"/>
      <c r="V429" s="213"/>
      <c r="W429" s="213"/>
      <c r="X429" s="213"/>
      <c r="Y429" s="213"/>
      <c r="Z429" s="213"/>
      <c r="AA429" s="213"/>
      <c r="AB429" s="213"/>
      <c r="AC429" s="213"/>
      <c r="AD429" s="213"/>
      <c r="AE429" s="213"/>
      <c r="AF429" s="213"/>
      <c r="AG429" s="213"/>
      <c r="AH429" s="213"/>
      <c r="AI429" s="213"/>
      <c r="AJ429" s="213"/>
      <c r="AK429" s="213"/>
      <c r="AL429" s="213"/>
      <c r="AM429" s="213"/>
      <c r="AN429" s="213"/>
      <c r="AO429" s="213"/>
      <c r="AP429" s="213"/>
    </row>
    <row r="430" spans="1:25" s="107" customFormat="1" ht="34.5" customHeight="1">
      <c r="A430" s="431" t="s">
        <v>757</v>
      </c>
      <c r="B430" s="238" t="s">
        <v>759</v>
      </c>
      <c r="C430" s="1073">
        <f>CEILING(40*$Z$1,0.1)</f>
        <v>50</v>
      </c>
      <c r="D430" s="1074"/>
      <c r="E430" s="1117">
        <f>CEILING(46*$Z$1,0.1)</f>
        <v>57.5</v>
      </c>
      <c r="F430" s="1074"/>
      <c r="G430" s="1073">
        <f>CEILING(48*$Z$1,0.1)</f>
        <v>60</v>
      </c>
      <c r="H430" s="1074"/>
      <c r="I430" s="1061"/>
      <c r="J430" s="1061"/>
      <c r="K430" s="1061"/>
      <c r="L430" s="1061"/>
      <c r="M430" s="124"/>
      <c r="N430" s="124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</row>
    <row r="431" spans="1:25" s="107" customFormat="1" ht="34.5" customHeight="1">
      <c r="A431" s="462" t="s">
        <v>50</v>
      </c>
      <c r="B431" s="238" t="s">
        <v>760</v>
      </c>
      <c r="C431" s="1057">
        <f>CEILING((C430+25*$Z$1),0.1)</f>
        <v>81.30000000000001</v>
      </c>
      <c r="D431" s="1058"/>
      <c r="E431" s="1061">
        <f>CEILING((E430+25*$Z$1),0.1)</f>
        <v>88.80000000000001</v>
      </c>
      <c r="F431" s="1058"/>
      <c r="G431" s="1057">
        <f>CEILING((G430+25*$Z$1),0.1)</f>
        <v>91.30000000000001</v>
      </c>
      <c r="H431" s="1058"/>
      <c r="I431" s="1061"/>
      <c r="J431" s="1061"/>
      <c r="K431" s="1061"/>
      <c r="L431" s="1061"/>
      <c r="M431" s="124"/>
      <c r="N431" s="124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</row>
    <row r="432" spans="1:25" s="107" customFormat="1" ht="34.5" customHeight="1">
      <c r="A432" s="301"/>
      <c r="B432" s="238" t="s">
        <v>761</v>
      </c>
      <c r="C432" s="1057">
        <f>CEILING((C430*0.85),0.1)</f>
        <v>42.5</v>
      </c>
      <c r="D432" s="1058"/>
      <c r="E432" s="1061">
        <f>CEILING((E430*0.85),0.1)</f>
        <v>48.900000000000006</v>
      </c>
      <c r="F432" s="1058"/>
      <c r="G432" s="1057">
        <f>CEILING((G430*0.85),0.1)</f>
        <v>51</v>
      </c>
      <c r="H432" s="1058"/>
      <c r="I432" s="1061"/>
      <c r="J432" s="1061"/>
      <c r="K432" s="1061"/>
      <c r="L432" s="1061"/>
      <c r="M432" s="124"/>
      <c r="N432" s="124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</row>
    <row r="433" spans="1:25" s="107" customFormat="1" ht="34.5" customHeight="1">
      <c r="A433" s="132"/>
      <c r="B433" s="238" t="s">
        <v>762</v>
      </c>
      <c r="C433" s="1057">
        <f>CEILING((C430*0.5),0.1)</f>
        <v>25</v>
      </c>
      <c r="D433" s="1058"/>
      <c r="E433" s="1057">
        <f>CEILING((E430*0.5),0.1)</f>
        <v>28.8</v>
      </c>
      <c r="F433" s="1058"/>
      <c r="G433" s="1057">
        <f>CEILING((G430*0.5),0.1)</f>
        <v>30</v>
      </c>
      <c r="H433" s="1058"/>
      <c r="I433" s="1061"/>
      <c r="J433" s="1061"/>
      <c r="K433" s="1061"/>
      <c r="L433" s="1061"/>
      <c r="M433" s="124"/>
      <c r="N433" s="124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</row>
    <row r="434" spans="1:25" s="107" customFormat="1" ht="34.5" customHeight="1">
      <c r="A434" s="462"/>
      <c r="B434" s="238" t="s">
        <v>931</v>
      </c>
      <c r="C434" s="1099">
        <f>CEILING(65*$Z$1,0.1)</f>
        <v>81.30000000000001</v>
      </c>
      <c r="D434" s="1080"/>
      <c r="E434" s="1072">
        <f>CEILING(71*$Z$1,0.1)</f>
        <v>88.80000000000001</v>
      </c>
      <c r="F434" s="1080"/>
      <c r="G434" s="1099">
        <f>CEILING(58*$Z$1,0.1)</f>
        <v>72.5</v>
      </c>
      <c r="H434" s="1080"/>
      <c r="I434" s="1072"/>
      <c r="J434" s="1072"/>
      <c r="K434" s="1072"/>
      <c r="L434" s="1072"/>
      <c r="M434" s="124"/>
      <c r="N434" s="124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</row>
    <row r="435" spans="1:25" s="107" customFormat="1" ht="34.5" customHeight="1" thickBot="1">
      <c r="A435" s="461" t="s">
        <v>758</v>
      </c>
      <c r="B435" s="297" t="s">
        <v>932</v>
      </c>
      <c r="C435" s="1076">
        <f>CEILING((C434+25*$Z$1),0.1)</f>
        <v>112.60000000000001</v>
      </c>
      <c r="D435" s="1077"/>
      <c r="E435" s="1081">
        <f>CEILING((E434+25*$Z$1),0.1)</f>
        <v>120.10000000000001</v>
      </c>
      <c r="F435" s="1077"/>
      <c r="G435" s="1076">
        <f>CEILING((G434+25*$Z$1),0.1)</f>
        <v>103.80000000000001</v>
      </c>
      <c r="H435" s="1077"/>
      <c r="I435" s="1061"/>
      <c r="J435" s="1061"/>
      <c r="K435" s="1061"/>
      <c r="L435" s="1061"/>
      <c r="M435" s="124"/>
      <c r="N435" s="124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</row>
    <row r="436" spans="1:25" s="140" customFormat="1" ht="34.5" customHeight="1" thickTop="1">
      <c r="A436" s="397" t="s">
        <v>617</v>
      </c>
      <c r="B436" s="397"/>
      <c r="C436" s="397"/>
      <c r="D436" s="397"/>
      <c r="E436" s="397"/>
      <c r="F436" s="397"/>
      <c r="G436" s="397"/>
      <c r="H436" s="397"/>
      <c r="I436" s="397"/>
      <c r="J436" s="397"/>
      <c r="K436" s="170"/>
      <c r="L436" s="170"/>
      <c r="M436" s="124"/>
      <c r="N436" s="124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</row>
    <row r="437" spans="1:48" s="465" customFormat="1" ht="34.5" customHeight="1">
      <c r="A437" s="463" t="s">
        <v>763</v>
      </c>
      <c r="B437" s="463"/>
      <c r="C437" s="463"/>
      <c r="D437" s="463"/>
      <c r="E437" s="463"/>
      <c r="F437" s="463"/>
      <c r="G437" s="463"/>
      <c r="H437" s="463"/>
      <c r="I437" s="463"/>
      <c r="J437" s="386"/>
      <c r="K437" s="464"/>
      <c r="L437" s="464"/>
      <c r="M437" s="148"/>
      <c r="N437" s="148"/>
      <c r="O437" s="154"/>
      <c r="P437" s="154"/>
      <c r="Q437" s="154"/>
      <c r="R437" s="154"/>
      <c r="S437" s="154"/>
      <c r="T437" s="154"/>
      <c r="U437" s="154"/>
      <c r="V437" s="154"/>
      <c r="W437" s="154"/>
      <c r="X437" s="154"/>
      <c r="Y437" s="154"/>
      <c r="Z437" s="154"/>
      <c r="AA437" s="154"/>
      <c r="AB437" s="154"/>
      <c r="AC437" s="154"/>
      <c r="AD437" s="154"/>
      <c r="AE437" s="154"/>
      <c r="AF437" s="154"/>
      <c r="AG437" s="154"/>
      <c r="AH437" s="154"/>
      <c r="AI437" s="154"/>
      <c r="AJ437" s="154"/>
      <c r="AK437" s="154"/>
      <c r="AL437" s="154"/>
      <c r="AM437" s="154"/>
      <c r="AN437" s="154"/>
      <c r="AO437" s="154"/>
      <c r="AP437" s="154"/>
      <c r="AQ437" s="154"/>
      <c r="AR437" s="154"/>
      <c r="AS437" s="154"/>
      <c r="AT437" s="154"/>
      <c r="AU437" s="154"/>
      <c r="AV437" s="154"/>
    </row>
    <row r="438" spans="1:27" s="107" customFormat="1" ht="34.5" customHeight="1" thickBot="1">
      <c r="A438" s="1075"/>
      <c r="B438" s="1075"/>
      <c r="C438" s="1075"/>
      <c r="D438" s="1075"/>
      <c r="E438" s="1075"/>
      <c r="F438" s="1075"/>
      <c r="G438" s="1075"/>
      <c r="H438" s="1075"/>
      <c r="I438" s="1061"/>
      <c r="J438" s="1061"/>
      <c r="K438" s="1061"/>
      <c r="L438" s="1061"/>
      <c r="M438" s="124"/>
      <c r="N438" s="124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40"/>
      <c r="AA438" s="140"/>
    </row>
    <row r="439" spans="1:42" s="214" customFormat="1" ht="34.5" customHeight="1" thickTop="1">
      <c r="A439" s="207" t="s">
        <v>34</v>
      </c>
      <c r="B439" s="208" t="s">
        <v>637</v>
      </c>
      <c r="C439" s="209" t="s">
        <v>1061</v>
      </c>
      <c r="D439" s="210"/>
      <c r="E439" s="211" t="s">
        <v>922</v>
      </c>
      <c r="F439" s="212"/>
      <c r="G439" s="211" t="s">
        <v>923</v>
      </c>
      <c r="H439" s="212"/>
      <c r="I439" s="1070"/>
      <c r="J439" s="1071"/>
      <c r="K439" s="1070"/>
      <c r="L439" s="1070"/>
      <c r="M439" s="174"/>
      <c r="N439" s="174"/>
      <c r="O439" s="213"/>
      <c r="P439" s="213"/>
      <c r="Q439" s="213"/>
      <c r="R439" s="213"/>
      <c r="S439" s="213"/>
      <c r="T439" s="213"/>
      <c r="U439" s="213"/>
      <c r="V439" s="213"/>
      <c r="W439" s="213"/>
      <c r="X439" s="213"/>
      <c r="Y439" s="213"/>
      <c r="Z439" s="213"/>
      <c r="AA439" s="213"/>
      <c r="AB439" s="213"/>
      <c r="AC439" s="213"/>
      <c r="AD439" s="213"/>
      <c r="AE439" s="213"/>
      <c r="AF439" s="213"/>
      <c r="AG439" s="213"/>
      <c r="AH439" s="213"/>
      <c r="AI439" s="213"/>
      <c r="AJ439" s="213"/>
      <c r="AK439" s="213"/>
      <c r="AL439" s="213"/>
      <c r="AM439" s="213"/>
      <c r="AN439" s="213"/>
      <c r="AO439" s="213"/>
      <c r="AP439" s="213"/>
    </row>
    <row r="440" spans="1:25" s="107" customFormat="1" ht="34.5" customHeight="1">
      <c r="A440" s="406" t="s">
        <v>551</v>
      </c>
      <c r="B440" s="466" t="s">
        <v>272</v>
      </c>
      <c r="C440" s="1063">
        <f>CEILING(41*$Z$1,0.1)</f>
        <v>51.300000000000004</v>
      </c>
      <c r="D440" s="1064"/>
      <c r="E440" s="1065">
        <f>CEILING(43.4*$Z$1,0.1)</f>
        <v>54.300000000000004</v>
      </c>
      <c r="F440" s="1066"/>
      <c r="G440" s="1063">
        <f>CEILING(39.4*$Z$1,0.1)</f>
        <v>49.300000000000004</v>
      </c>
      <c r="H440" s="1064"/>
      <c r="I440" s="1061"/>
      <c r="J440" s="1061"/>
      <c r="K440" s="1061"/>
      <c r="L440" s="1061"/>
      <c r="M440" s="124"/>
      <c r="N440" s="124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</row>
    <row r="441" spans="1:25" s="107" customFormat="1" ht="34.5" customHeight="1">
      <c r="A441" s="408" t="s">
        <v>50</v>
      </c>
      <c r="B441" s="398" t="s">
        <v>510</v>
      </c>
      <c r="C441" s="1065">
        <f>CEILING((C440+25*$Z$1),0.1)</f>
        <v>82.60000000000001</v>
      </c>
      <c r="D441" s="1066"/>
      <c r="E441" s="1065">
        <f>CEILING((E440+25*$Z$1),0.1)</f>
        <v>85.60000000000001</v>
      </c>
      <c r="F441" s="1066"/>
      <c r="G441" s="1065">
        <f>CEILING((G440+25*$Z$1),0.1)</f>
        <v>80.60000000000001</v>
      </c>
      <c r="H441" s="1066"/>
      <c r="I441" s="1061"/>
      <c r="J441" s="1061"/>
      <c r="K441" s="1061"/>
      <c r="L441" s="1061"/>
      <c r="M441" s="124"/>
      <c r="N441" s="124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</row>
    <row r="442" spans="1:25" s="107" customFormat="1" ht="34.5" customHeight="1">
      <c r="A442" s="395" t="s">
        <v>849</v>
      </c>
      <c r="B442" s="467" t="s">
        <v>176</v>
      </c>
      <c r="C442" s="1065">
        <f>CEILING(44.25*$Z$1,0.1)</f>
        <v>55.400000000000006</v>
      </c>
      <c r="D442" s="1066"/>
      <c r="E442" s="1065">
        <f>CEILING(47*$Z$1,0.1)</f>
        <v>58.800000000000004</v>
      </c>
      <c r="F442" s="1066"/>
      <c r="G442" s="1065">
        <f>CEILING(43*$Z$1,0.1)</f>
        <v>53.800000000000004</v>
      </c>
      <c r="H442" s="1066"/>
      <c r="I442" s="1061"/>
      <c r="J442" s="1061"/>
      <c r="K442" s="1061"/>
      <c r="L442" s="1061"/>
      <c r="M442" s="124"/>
      <c r="N442" s="124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</row>
    <row r="443" spans="1:25" s="107" customFormat="1" ht="34.5" customHeight="1">
      <c r="A443" s="468"/>
      <c r="B443" s="398" t="s">
        <v>177</v>
      </c>
      <c r="C443" s="1065">
        <f>CEILING((C442+25*$Z$1),0.1)</f>
        <v>86.7</v>
      </c>
      <c r="D443" s="1066"/>
      <c r="E443" s="1065">
        <f>CEILING((E442+25*$Z$1),0.1)</f>
        <v>90.10000000000001</v>
      </c>
      <c r="F443" s="1066"/>
      <c r="G443" s="1065">
        <f>CEILING((G442+25*$Z$1),0.1)</f>
        <v>85.10000000000001</v>
      </c>
      <c r="H443" s="1066"/>
      <c r="I443" s="1061"/>
      <c r="J443" s="1061"/>
      <c r="K443" s="1061"/>
      <c r="L443" s="1061"/>
      <c r="M443" s="124"/>
      <c r="N443" s="124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</row>
    <row r="444" spans="1:25" s="107" customFormat="1" ht="34.5" customHeight="1">
      <c r="A444" s="468" t="s">
        <v>1094</v>
      </c>
      <c r="B444" s="398" t="s">
        <v>278</v>
      </c>
      <c r="C444" s="1065">
        <f>CEILING(48*$Z$1,0.1)</f>
        <v>60</v>
      </c>
      <c r="D444" s="1066"/>
      <c r="E444" s="1065">
        <f>CEILING(50.4*$Z$1,0.1)</f>
        <v>63</v>
      </c>
      <c r="F444" s="1066"/>
      <c r="G444" s="1065">
        <f>CEILING(46.7*$Z$1,0.1)</f>
        <v>58.400000000000006</v>
      </c>
      <c r="H444" s="1066"/>
      <c r="I444" s="1061"/>
      <c r="J444" s="1061"/>
      <c r="K444" s="1061"/>
      <c r="L444" s="1061"/>
      <c r="M444" s="124"/>
      <c r="N444" s="124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</row>
    <row r="445" spans="1:25" s="107" customFormat="1" ht="34.5" customHeight="1">
      <c r="A445" s="455"/>
      <c r="B445" s="398" t="s">
        <v>279</v>
      </c>
      <c r="C445" s="1065">
        <f>CEILING((C444+25*$Z$1),0.1)</f>
        <v>91.30000000000001</v>
      </c>
      <c r="D445" s="1066"/>
      <c r="E445" s="1065">
        <f>CEILING((E444+25*$Z$1),0.1)</f>
        <v>94.30000000000001</v>
      </c>
      <c r="F445" s="1066"/>
      <c r="G445" s="1065">
        <f>CEILING((G444+25*$Z$1),0.1)</f>
        <v>89.7</v>
      </c>
      <c r="H445" s="1066"/>
      <c r="I445" s="1061"/>
      <c r="J445" s="1061"/>
      <c r="K445" s="1061"/>
      <c r="L445" s="1061"/>
      <c r="M445" s="124"/>
      <c r="N445" s="124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</row>
    <row r="446" spans="1:25" s="107" customFormat="1" ht="34.5" customHeight="1">
      <c r="A446" s="408"/>
      <c r="B446" s="398" t="s">
        <v>511</v>
      </c>
      <c r="C446" s="1065">
        <f>CEILING(55.5*$Z$1,0.1)</f>
        <v>69.4</v>
      </c>
      <c r="D446" s="1066"/>
      <c r="E446" s="1065">
        <f>CEILING(57.4*$Z$1,0.1)</f>
        <v>71.8</v>
      </c>
      <c r="F446" s="1066"/>
      <c r="G446" s="1065">
        <f>CEILING(54*$Z$1,0.1)</f>
        <v>67.5</v>
      </c>
      <c r="H446" s="1066"/>
      <c r="I446" s="1061"/>
      <c r="J446" s="1061"/>
      <c r="K446" s="1061"/>
      <c r="L446" s="1061"/>
      <c r="M446" s="124"/>
      <c r="N446" s="124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</row>
    <row r="447" spans="1:25" s="107" customFormat="1" ht="34.5" customHeight="1" thickBot="1">
      <c r="A447" s="459" t="s">
        <v>508</v>
      </c>
      <c r="B447" s="469" t="s">
        <v>512</v>
      </c>
      <c r="C447" s="1067">
        <f>CEILING((C446+25*$Z$1),0.1)</f>
        <v>100.7</v>
      </c>
      <c r="D447" s="1068"/>
      <c r="E447" s="1067">
        <f>CEILING((E446+25*$Z$1),0.1)</f>
        <v>103.10000000000001</v>
      </c>
      <c r="F447" s="1068"/>
      <c r="G447" s="1067">
        <f>CEILING((G446+25*$Z$1),0.1)</f>
        <v>98.80000000000001</v>
      </c>
      <c r="H447" s="1068"/>
      <c r="I447" s="1061"/>
      <c r="J447" s="1061"/>
      <c r="K447" s="1061"/>
      <c r="L447" s="1061"/>
      <c r="M447" s="124"/>
      <c r="N447" s="124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</row>
    <row r="448" spans="1:25" s="107" customFormat="1" ht="34.5" customHeight="1" thickTop="1">
      <c r="A448" s="1198" t="s">
        <v>421</v>
      </c>
      <c r="B448" s="1075"/>
      <c r="C448" s="1075"/>
      <c r="D448" s="1075"/>
      <c r="E448" s="1075"/>
      <c r="F448" s="1075"/>
      <c r="G448" s="1075"/>
      <c r="H448" s="1075"/>
      <c r="I448" s="470"/>
      <c r="J448" s="470"/>
      <c r="K448" s="470"/>
      <c r="L448" s="470"/>
      <c r="M448" s="124"/>
      <c r="N448" s="124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</row>
    <row r="449" spans="1:25" s="140" customFormat="1" ht="34.5" customHeight="1">
      <c r="A449" s="397" t="s">
        <v>635</v>
      </c>
      <c r="B449" s="397"/>
      <c r="C449" s="397"/>
      <c r="D449" s="397"/>
      <c r="E449" s="397"/>
      <c r="F449" s="397"/>
      <c r="G449" s="397"/>
      <c r="H449" s="397"/>
      <c r="I449" s="397"/>
      <c r="J449" s="397"/>
      <c r="K449" s="170"/>
      <c r="L449" s="170"/>
      <c r="M449" s="124"/>
      <c r="N449" s="124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</row>
    <row r="450" spans="1:25" s="167" customFormat="1" ht="34.5" customHeight="1">
      <c r="A450" s="163"/>
      <c r="B450" s="164"/>
      <c r="C450" s="164"/>
      <c r="D450" s="164"/>
      <c r="E450" s="164"/>
      <c r="F450" s="164"/>
      <c r="G450" s="164"/>
      <c r="H450" s="164"/>
      <c r="I450" s="164"/>
      <c r="J450" s="164"/>
      <c r="K450" s="165"/>
      <c r="L450" s="165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</row>
    <row r="451" spans="1:25" s="140" customFormat="1" ht="34.5" customHeight="1" thickBot="1">
      <c r="A451" s="163" t="s">
        <v>1097</v>
      </c>
      <c r="B451" s="397"/>
      <c r="C451" s="397"/>
      <c r="D451" s="397"/>
      <c r="E451" s="397"/>
      <c r="F451" s="397"/>
      <c r="G451" s="397"/>
      <c r="H451" s="397"/>
      <c r="I451" s="397"/>
      <c r="J451" s="397"/>
      <c r="K451" s="170"/>
      <c r="L451" s="170"/>
      <c r="M451" s="124"/>
      <c r="N451" s="124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</row>
    <row r="452" spans="1:42" s="214" customFormat="1" ht="34.5" customHeight="1" thickTop="1">
      <c r="A452" s="1005" t="s">
        <v>34</v>
      </c>
      <c r="B452" s="1006" t="s">
        <v>637</v>
      </c>
      <c r="C452" s="1007" t="s">
        <v>1061</v>
      </c>
      <c r="D452" s="1008"/>
      <c r="E452" s="1009" t="s">
        <v>922</v>
      </c>
      <c r="F452" s="1010"/>
      <c r="G452" s="1009" t="s">
        <v>923</v>
      </c>
      <c r="H452" s="1010"/>
      <c r="I452" s="1070"/>
      <c r="J452" s="1071"/>
      <c r="K452" s="1070"/>
      <c r="L452" s="1070"/>
      <c r="M452" s="174"/>
      <c r="N452" s="174"/>
      <c r="O452" s="213"/>
      <c r="P452" s="213"/>
      <c r="Q452" s="213"/>
      <c r="R452" s="213"/>
      <c r="S452" s="213"/>
      <c r="T452" s="213"/>
      <c r="U452" s="213"/>
      <c r="V452" s="213"/>
      <c r="W452" s="213"/>
      <c r="X452" s="213"/>
      <c r="Y452" s="213"/>
      <c r="Z452" s="213"/>
      <c r="AA452" s="213"/>
      <c r="AB452" s="213"/>
      <c r="AC452" s="213"/>
      <c r="AD452" s="213"/>
      <c r="AE452" s="213"/>
      <c r="AF452" s="213"/>
      <c r="AG452" s="213"/>
      <c r="AH452" s="213"/>
      <c r="AI452" s="213"/>
      <c r="AJ452" s="213"/>
      <c r="AK452" s="213"/>
      <c r="AL452" s="213"/>
      <c r="AM452" s="213"/>
      <c r="AN452" s="213"/>
      <c r="AO452" s="213"/>
      <c r="AP452" s="213"/>
    </row>
    <row r="453" spans="1:41" s="107" customFormat="1" ht="34.5" customHeight="1">
      <c r="A453" s="1011" t="s">
        <v>821</v>
      </c>
      <c r="B453" s="1012" t="s">
        <v>822</v>
      </c>
      <c r="C453" s="1100">
        <f>CEILING(34*$Z$1,0.1)</f>
        <v>42.5</v>
      </c>
      <c r="D453" s="1101"/>
      <c r="E453" s="1100">
        <f>CEILING(37*$Z$1,0.1)</f>
        <v>46.300000000000004</v>
      </c>
      <c r="F453" s="1101"/>
      <c r="G453" s="1100">
        <f>CEILING(34*$Z$1,0.1)</f>
        <v>42.5</v>
      </c>
      <c r="H453" s="1101"/>
      <c r="I453" s="1061"/>
      <c r="J453" s="1061"/>
      <c r="K453" s="1061"/>
      <c r="L453" s="1061"/>
      <c r="M453" s="124"/>
      <c r="N453" s="124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  <c r="Z453" s="158"/>
      <c r="AA453" s="158"/>
      <c r="AB453" s="158"/>
      <c r="AC453" s="158"/>
      <c r="AD453" s="158"/>
      <c r="AE453" s="158"/>
      <c r="AF453" s="158"/>
      <c r="AG453" s="158"/>
      <c r="AH453" s="158"/>
      <c r="AI453" s="158"/>
      <c r="AJ453" s="158"/>
      <c r="AK453" s="158"/>
      <c r="AL453" s="158"/>
      <c r="AM453" s="158"/>
      <c r="AN453" s="158"/>
      <c r="AO453" s="158"/>
    </row>
    <row r="454" spans="1:41" s="107" customFormat="1" ht="34.5" customHeight="1">
      <c r="A454" s="1013" t="s">
        <v>50</v>
      </c>
      <c r="B454" s="1014" t="s">
        <v>823</v>
      </c>
      <c r="C454" s="1087">
        <f>CEILING((C453+30*$Z$1),0.1)</f>
        <v>80</v>
      </c>
      <c r="D454" s="1088"/>
      <c r="E454" s="1087">
        <f>CEILING((E453+30*$Z$1),0.1)</f>
        <v>83.80000000000001</v>
      </c>
      <c r="F454" s="1088"/>
      <c r="G454" s="1087">
        <f>CEILING((G453+30*$Z$1),0.1)</f>
        <v>80</v>
      </c>
      <c r="H454" s="1088"/>
      <c r="I454" s="1061"/>
      <c r="J454" s="1061"/>
      <c r="K454" s="1061"/>
      <c r="L454" s="1061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  <c r="AA454" s="158"/>
      <c r="AB454" s="158"/>
      <c r="AC454" s="158"/>
      <c r="AD454" s="158"/>
      <c r="AE454" s="158"/>
      <c r="AF454" s="158"/>
      <c r="AG454" s="158"/>
      <c r="AH454" s="158"/>
      <c r="AI454" s="158"/>
      <c r="AJ454" s="158"/>
      <c r="AK454" s="158"/>
      <c r="AL454" s="158"/>
      <c r="AM454" s="158"/>
      <c r="AN454" s="158"/>
      <c r="AO454" s="158"/>
    </row>
    <row r="455" spans="1:41" s="107" customFormat="1" ht="34.5" customHeight="1">
      <c r="A455" s="1015"/>
      <c r="B455" s="1016" t="s">
        <v>38</v>
      </c>
      <c r="C455" s="1087">
        <f>CEILING((C453*0.85),0.1)</f>
        <v>36.2</v>
      </c>
      <c r="D455" s="1088"/>
      <c r="E455" s="1087">
        <f>CEILING((E453*0.85),0.1)</f>
        <v>39.400000000000006</v>
      </c>
      <c r="F455" s="1088"/>
      <c r="G455" s="1087">
        <f>CEILING((G453*0.85),0.1)</f>
        <v>36.2</v>
      </c>
      <c r="H455" s="1088"/>
      <c r="I455" s="1061"/>
      <c r="J455" s="1061"/>
      <c r="K455" s="1061"/>
      <c r="L455" s="1061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  <c r="Z455" s="158"/>
      <c r="AA455" s="158"/>
      <c r="AB455" s="158"/>
      <c r="AC455" s="158"/>
      <c r="AD455" s="158"/>
      <c r="AE455" s="158"/>
      <c r="AF455" s="158"/>
      <c r="AG455" s="158"/>
      <c r="AH455" s="158"/>
      <c r="AI455" s="158"/>
      <c r="AJ455" s="158"/>
      <c r="AK455" s="158"/>
      <c r="AL455" s="158"/>
      <c r="AM455" s="158"/>
      <c r="AN455" s="158"/>
      <c r="AO455" s="158"/>
    </row>
    <row r="456" spans="1:41" s="107" customFormat="1" ht="34.5" customHeight="1">
      <c r="A456" s="1017"/>
      <c r="B456" s="1018" t="s">
        <v>95</v>
      </c>
      <c r="C456" s="1087">
        <f>CEILING((C453*0),0.1)</f>
        <v>0</v>
      </c>
      <c r="D456" s="1088"/>
      <c r="E456" s="1087">
        <f>CEILING((E453*0),0.1)</f>
        <v>0</v>
      </c>
      <c r="F456" s="1088"/>
      <c r="G456" s="1087">
        <f>CEILING((G453*0),0.1)</f>
        <v>0</v>
      </c>
      <c r="H456" s="1088"/>
      <c r="I456" s="1061"/>
      <c r="J456" s="1061"/>
      <c r="K456" s="1061"/>
      <c r="L456" s="1061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  <c r="AA456" s="158"/>
      <c r="AB456" s="158"/>
      <c r="AC456" s="158"/>
      <c r="AD456" s="158"/>
      <c r="AE456" s="158"/>
      <c r="AF456" s="158"/>
      <c r="AG456" s="158"/>
      <c r="AH456" s="158"/>
      <c r="AI456" s="158"/>
      <c r="AJ456" s="158"/>
      <c r="AK456" s="158"/>
      <c r="AL456" s="158"/>
      <c r="AM456" s="158"/>
      <c r="AN456" s="158"/>
      <c r="AO456" s="158"/>
    </row>
    <row r="457" spans="1:41" s="107" customFormat="1" ht="34.5" customHeight="1">
      <c r="A457" s="1015"/>
      <c r="B457" s="1019" t="s">
        <v>824</v>
      </c>
      <c r="C457" s="1087">
        <f>CEILING(37*$Z$1,0.1)</f>
        <v>46.300000000000004</v>
      </c>
      <c r="D457" s="1088"/>
      <c r="E457" s="1087">
        <f>CEILING(40*$Z$1,0.1)</f>
        <v>50</v>
      </c>
      <c r="F457" s="1088"/>
      <c r="G457" s="1087">
        <f>CEILING(37*$Z$1,0.1)</f>
        <v>46.300000000000004</v>
      </c>
      <c r="H457" s="1088"/>
      <c r="I457" s="1061"/>
      <c r="J457" s="1061"/>
      <c r="K457" s="1061"/>
      <c r="L457" s="1061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  <c r="AA457" s="158"/>
      <c r="AB457" s="158"/>
      <c r="AC457" s="158"/>
      <c r="AD457" s="158"/>
      <c r="AE457" s="158"/>
      <c r="AF457" s="158"/>
      <c r="AG457" s="158"/>
      <c r="AH457" s="158"/>
      <c r="AI457" s="158"/>
      <c r="AJ457" s="158"/>
      <c r="AK457" s="158"/>
      <c r="AL457" s="158"/>
      <c r="AM457" s="158"/>
      <c r="AN457" s="158"/>
      <c r="AO457" s="158"/>
    </row>
    <row r="458" spans="1:41" s="107" customFormat="1" ht="34.5" customHeight="1">
      <c r="A458" s="1020"/>
      <c r="B458" s="1019" t="s">
        <v>825</v>
      </c>
      <c r="C458" s="1087">
        <f>CEILING((C457+30*$Z$1),0.1)</f>
        <v>83.80000000000001</v>
      </c>
      <c r="D458" s="1088"/>
      <c r="E458" s="1087">
        <f>CEILING((E457+30*$Z$1),0.1)</f>
        <v>87.5</v>
      </c>
      <c r="F458" s="1088"/>
      <c r="G458" s="1087">
        <f>CEILING((G457+30*$Z$1),0.1)</f>
        <v>83.80000000000001</v>
      </c>
      <c r="H458" s="1088"/>
      <c r="I458" s="1061"/>
      <c r="J458" s="1061"/>
      <c r="K458" s="1061"/>
      <c r="L458" s="1061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  <c r="Z458" s="158"/>
      <c r="AA458" s="158"/>
      <c r="AB458" s="158"/>
      <c r="AC458" s="158"/>
      <c r="AD458" s="158"/>
      <c r="AE458" s="158"/>
      <c r="AF458" s="158"/>
      <c r="AG458" s="158"/>
      <c r="AH458" s="158"/>
      <c r="AI458" s="158"/>
      <c r="AJ458" s="158"/>
      <c r="AK458" s="158"/>
      <c r="AL458" s="158"/>
      <c r="AM458" s="158"/>
      <c r="AN458" s="158"/>
      <c r="AO458" s="158"/>
    </row>
    <row r="459" spans="1:41" s="107" customFormat="1" ht="34.5" customHeight="1">
      <c r="A459" s="1021"/>
      <c r="B459" s="1019" t="s">
        <v>491</v>
      </c>
      <c r="C459" s="1087">
        <f>CEILING(53*$Z$1,0.1)</f>
        <v>66.3</v>
      </c>
      <c r="D459" s="1088"/>
      <c r="E459" s="1087">
        <f>CEILING(53*$Z$1,0.1)</f>
        <v>66.3</v>
      </c>
      <c r="F459" s="1088"/>
      <c r="G459" s="1087">
        <f>CEILING(53*$Z$1,0.1)</f>
        <v>66.3</v>
      </c>
      <c r="H459" s="1088"/>
      <c r="I459" s="1061"/>
      <c r="J459" s="1061"/>
      <c r="K459" s="1061"/>
      <c r="L459" s="1061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  <c r="AA459" s="158"/>
      <c r="AB459" s="158"/>
      <c r="AC459" s="158"/>
      <c r="AD459" s="158"/>
      <c r="AE459" s="158"/>
      <c r="AF459" s="158"/>
      <c r="AG459" s="158"/>
      <c r="AH459" s="158"/>
      <c r="AI459" s="158"/>
      <c r="AJ459" s="158"/>
      <c r="AK459" s="158"/>
      <c r="AL459" s="158"/>
      <c r="AM459" s="158"/>
      <c r="AN459" s="158"/>
      <c r="AO459" s="158"/>
    </row>
    <row r="460" spans="1:41" s="107" customFormat="1" ht="34.5" customHeight="1">
      <c r="A460" s="1022"/>
      <c r="B460" s="1019" t="s">
        <v>492</v>
      </c>
      <c r="C460" s="1087">
        <f>CEILING((C459+30*$Z$1),0.1)</f>
        <v>103.80000000000001</v>
      </c>
      <c r="D460" s="1088"/>
      <c r="E460" s="1087">
        <f>CEILING((E459+30*$Z$1),0.1)</f>
        <v>103.80000000000001</v>
      </c>
      <c r="F460" s="1088"/>
      <c r="G460" s="1087">
        <f>CEILING((G459+30*$Z$1),0.1)</f>
        <v>103.80000000000001</v>
      </c>
      <c r="H460" s="1088"/>
      <c r="I460" s="1061"/>
      <c r="J460" s="1061"/>
      <c r="K460" s="1061"/>
      <c r="L460" s="1061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  <c r="AA460" s="158"/>
      <c r="AB460" s="158"/>
      <c r="AC460" s="158"/>
      <c r="AD460" s="158"/>
      <c r="AE460" s="158"/>
      <c r="AF460" s="158"/>
      <c r="AG460" s="158"/>
      <c r="AH460" s="158"/>
      <c r="AI460" s="158"/>
      <c r="AJ460" s="158"/>
      <c r="AK460" s="158"/>
      <c r="AL460" s="158"/>
      <c r="AM460" s="158"/>
      <c r="AN460" s="158"/>
      <c r="AO460" s="158"/>
    </row>
    <row r="461" spans="1:41" s="107" customFormat="1" ht="34.5" customHeight="1">
      <c r="A461" s="1022"/>
      <c r="B461" s="1019" t="s">
        <v>826</v>
      </c>
      <c r="C461" s="1087">
        <f>CEILING(63*$Z$1,0.1)</f>
        <v>78.80000000000001</v>
      </c>
      <c r="D461" s="1088"/>
      <c r="E461" s="1087">
        <f>CEILING(63*$Z$1,0.1)</f>
        <v>78.80000000000001</v>
      </c>
      <c r="F461" s="1088"/>
      <c r="G461" s="1087">
        <f>CEILING(63*$Z$1,0.1)</f>
        <v>78.80000000000001</v>
      </c>
      <c r="H461" s="1088"/>
      <c r="I461" s="1061"/>
      <c r="J461" s="1061"/>
      <c r="K461" s="1061"/>
      <c r="L461" s="1061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  <c r="AA461" s="158"/>
      <c r="AB461" s="158"/>
      <c r="AC461" s="158"/>
      <c r="AD461" s="158"/>
      <c r="AE461" s="158"/>
      <c r="AF461" s="158"/>
      <c r="AG461" s="158"/>
      <c r="AH461" s="158"/>
      <c r="AI461" s="158"/>
      <c r="AJ461" s="158"/>
      <c r="AK461" s="158"/>
      <c r="AL461" s="158"/>
      <c r="AM461" s="158"/>
      <c r="AN461" s="158"/>
      <c r="AO461" s="158"/>
    </row>
    <row r="462" spans="1:41" s="107" customFormat="1" ht="34.5" customHeight="1">
      <c r="A462" s="1022"/>
      <c r="B462" s="1019" t="s">
        <v>827</v>
      </c>
      <c r="C462" s="1087">
        <f>CEILING((C461+30*$Z$1),0.1)</f>
        <v>116.30000000000001</v>
      </c>
      <c r="D462" s="1088"/>
      <c r="E462" s="1087">
        <f>CEILING((E461+30*$Z$1),0.1)</f>
        <v>116.30000000000001</v>
      </c>
      <c r="F462" s="1088"/>
      <c r="G462" s="1087">
        <f>CEILING((G461+30*$Z$1),0.1)</f>
        <v>116.30000000000001</v>
      </c>
      <c r="H462" s="1088"/>
      <c r="I462" s="1061"/>
      <c r="J462" s="1061"/>
      <c r="K462" s="1061"/>
      <c r="L462" s="1061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  <c r="AA462" s="158"/>
      <c r="AB462" s="158"/>
      <c r="AC462" s="158"/>
      <c r="AD462" s="158"/>
      <c r="AE462" s="158"/>
      <c r="AF462" s="158"/>
      <c r="AG462" s="158"/>
      <c r="AH462" s="158"/>
      <c r="AI462" s="158"/>
      <c r="AJ462" s="158"/>
      <c r="AK462" s="158"/>
      <c r="AL462" s="158"/>
      <c r="AM462" s="158"/>
      <c r="AN462" s="158"/>
      <c r="AO462" s="158"/>
    </row>
    <row r="463" spans="1:41" s="107" customFormat="1" ht="34.5" customHeight="1">
      <c r="A463" s="1023"/>
      <c r="B463" s="1019" t="s">
        <v>828</v>
      </c>
      <c r="C463" s="1087">
        <f>CEILING(38*$Z$1,0.1)</f>
        <v>47.5</v>
      </c>
      <c r="D463" s="1088"/>
      <c r="E463" s="1087">
        <f>CEILING(38*$Z$1,0.1)</f>
        <v>47.5</v>
      </c>
      <c r="F463" s="1088"/>
      <c r="G463" s="1087">
        <f>CEILING(38*$Z$1,0.1)</f>
        <v>47.5</v>
      </c>
      <c r="H463" s="1088"/>
      <c r="I463" s="1061"/>
      <c r="J463" s="1061"/>
      <c r="K463" s="1061"/>
      <c r="L463" s="1061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  <c r="Z463" s="158"/>
      <c r="AA463" s="158"/>
      <c r="AB463" s="158"/>
      <c r="AC463" s="158"/>
      <c r="AD463" s="158"/>
      <c r="AE463" s="158"/>
      <c r="AF463" s="158"/>
      <c r="AG463" s="158"/>
      <c r="AH463" s="158"/>
      <c r="AI463" s="158"/>
      <c r="AJ463" s="158"/>
      <c r="AK463" s="158"/>
      <c r="AL463" s="158"/>
      <c r="AM463" s="158"/>
      <c r="AN463" s="158"/>
      <c r="AO463" s="158"/>
    </row>
    <row r="464" spans="1:41" s="107" customFormat="1" ht="34.5" customHeight="1">
      <c r="A464" s="1023"/>
      <c r="B464" s="1019" t="s">
        <v>829</v>
      </c>
      <c r="C464" s="1087">
        <f>CEILING((C463+30*$Z$1),0.1)</f>
        <v>85</v>
      </c>
      <c r="D464" s="1088"/>
      <c r="E464" s="1087">
        <f>CEILING((E463+30*$Z$1),0.1)</f>
        <v>85</v>
      </c>
      <c r="F464" s="1088"/>
      <c r="G464" s="1087">
        <f>CEILING((G463+30*$Z$1),0.1)</f>
        <v>85</v>
      </c>
      <c r="H464" s="1088"/>
      <c r="I464" s="1061"/>
      <c r="J464" s="1061"/>
      <c r="K464" s="1061"/>
      <c r="L464" s="1061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  <c r="AA464" s="158"/>
      <c r="AB464" s="158"/>
      <c r="AC464" s="158"/>
      <c r="AD464" s="158"/>
      <c r="AE464" s="158"/>
      <c r="AF464" s="158"/>
      <c r="AG464" s="158"/>
      <c r="AH464" s="158"/>
      <c r="AI464" s="158"/>
      <c r="AJ464" s="158"/>
      <c r="AK464" s="158"/>
      <c r="AL464" s="158"/>
      <c r="AM464" s="158"/>
      <c r="AN464" s="158"/>
      <c r="AO464" s="158"/>
    </row>
    <row r="465" spans="1:41" s="107" customFormat="1" ht="34.5" customHeight="1">
      <c r="A465" s="1023"/>
      <c r="B465" s="1019" t="s">
        <v>830</v>
      </c>
      <c r="C465" s="1087">
        <f>CEILING(43*$Z$1,0.1)</f>
        <v>53.800000000000004</v>
      </c>
      <c r="D465" s="1088"/>
      <c r="E465" s="1087">
        <f>CEILING(43*$Z$1,0.1)</f>
        <v>53.800000000000004</v>
      </c>
      <c r="F465" s="1088"/>
      <c r="G465" s="1087">
        <f>CEILING(43*$Z$1,0.1)</f>
        <v>53.800000000000004</v>
      </c>
      <c r="H465" s="1088"/>
      <c r="I465" s="1061"/>
      <c r="J465" s="1061"/>
      <c r="K465" s="1061"/>
      <c r="L465" s="1061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  <c r="Z465" s="158"/>
      <c r="AA465" s="158"/>
      <c r="AB465" s="158"/>
      <c r="AC465" s="158"/>
      <c r="AD465" s="158"/>
      <c r="AE465" s="158"/>
      <c r="AF465" s="158"/>
      <c r="AG465" s="158"/>
      <c r="AH465" s="158"/>
      <c r="AI465" s="158"/>
      <c r="AJ465" s="158"/>
      <c r="AK465" s="158"/>
      <c r="AL465" s="158"/>
      <c r="AM465" s="158"/>
      <c r="AN465" s="158"/>
      <c r="AO465" s="158"/>
    </row>
    <row r="466" spans="1:41" s="107" customFormat="1" ht="34.5" customHeight="1" thickBot="1">
      <c r="A466" s="1024" t="s">
        <v>508</v>
      </c>
      <c r="B466" s="1025" t="s">
        <v>858</v>
      </c>
      <c r="C466" s="1126">
        <f>CEILING((C465+30*$Z$1),0.1)</f>
        <v>91.30000000000001</v>
      </c>
      <c r="D466" s="1127"/>
      <c r="E466" s="1126">
        <f>CEILING((E465+30*$Z$1),0.1)</f>
        <v>91.30000000000001</v>
      </c>
      <c r="F466" s="1127"/>
      <c r="G466" s="1126">
        <f>CEILING((G465+30*$Z$1),0.1)</f>
        <v>91.30000000000001</v>
      </c>
      <c r="H466" s="1127"/>
      <c r="I466" s="1061"/>
      <c r="J466" s="1061"/>
      <c r="K466" s="1061"/>
      <c r="L466" s="1061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  <c r="AA466" s="158"/>
      <c r="AB466" s="158"/>
      <c r="AC466" s="158"/>
      <c r="AD466" s="158"/>
      <c r="AE466" s="158"/>
      <c r="AF466" s="158"/>
      <c r="AG466" s="158"/>
      <c r="AH466" s="158"/>
      <c r="AI466" s="158"/>
      <c r="AJ466" s="158"/>
      <c r="AK466" s="158"/>
      <c r="AL466" s="158"/>
      <c r="AM466" s="158"/>
      <c r="AN466" s="158"/>
      <c r="AO466" s="158"/>
    </row>
    <row r="467" spans="1:25" s="140" customFormat="1" ht="34.5" customHeight="1" thickTop="1">
      <c r="A467" s="397" t="s">
        <v>831</v>
      </c>
      <c r="B467" s="397"/>
      <c r="C467" s="397"/>
      <c r="D467" s="397"/>
      <c r="E467" s="397"/>
      <c r="F467" s="397"/>
      <c r="G467" s="397"/>
      <c r="H467" s="397"/>
      <c r="I467" s="397"/>
      <c r="J467" s="397"/>
      <c r="K467" s="170"/>
      <c r="L467" s="170"/>
      <c r="M467" s="124"/>
      <c r="N467" s="124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</row>
    <row r="468" spans="1:25" s="140" customFormat="1" ht="34.5" customHeight="1">
      <c r="A468" s="161" t="s">
        <v>453</v>
      </c>
      <c r="B468" s="162"/>
      <c r="C468" s="162"/>
      <c r="D468" s="162"/>
      <c r="E468" s="162"/>
      <c r="F468" s="162"/>
      <c r="G468" s="162"/>
      <c r="H468" s="162"/>
      <c r="I468" s="162"/>
      <c r="J468" s="162"/>
      <c r="K468" s="157"/>
      <c r="L468" s="157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</row>
    <row r="469" spans="1:25" s="140" customFormat="1" ht="34.5" customHeight="1" thickBot="1">
      <c r="A469" s="161"/>
      <c r="B469" s="162"/>
      <c r="C469" s="162"/>
      <c r="D469" s="162"/>
      <c r="E469" s="162"/>
      <c r="F469" s="162"/>
      <c r="G469" s="162"/>
      <c r="H469" s="162"/>
      <c r="I469" s="162"/>
      <c r="J469" s="162"/>
      <c r="K469" s="157"/>
      <c r="L469" s="157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</row>
    <row r="470" spans="1:42" s="214" customFormat="1" ht="34.5" customHeight="1" thickTop="1">
      <c r="A470" s="207" t="s">
        <v>34</v>
      </c>
      <c r="B470" s="208" t="s">
        <v>637</v>
      </c>
      <c r="C470" s="209" t="s">
        <v>921</v>
      </c>
      <c r="D470" s="210"/>
      <c r="E470" s="211" t="s">
        <v>922</v>
      </c>
      <c r="F470" s="212"/>
      <c r="G470" s="211" t="s">
        <v>996</v>
      </c>
      <c r="H470" s="212"/>
      <c r="I470" s="1070"/>
      <c r="J470" s="1071"/>
      <c r="K470" s="1070"/>
      <c r="L470" s="1070"/>
      <c r="M470" s="174"/>
      <c r="N470" s="174"/>
      <c r="O470" s="213"/>
      <c r="P470" s="213"/>
      <c r="Q470" s="213"/>
      <c r="R470" s="213"/>
      <c r="S470" s="213"/>
      <c r="T470" s="213"/>
      <c r="U470" s="213"/>
      <c r="V470" s="213"/>
      <c r="W470" s="213"/>
      <c r="X470" s="213"/>
      <c r="Y470" s="213"/>
      <c r="Z470" s="213"/>
      <c r="AA470" s="213"/>
      <c r="AB470" s="213"/>
      <c r="AC470" s="213"/>
      <c r="AD470" s="213"/>
      <c r="AE470" s="213"/>
      <c r="AF470" s="213"/>
      <c r="AG470" s="213"/>
      <c r="AH470" s="213"/>
      <c r="AI470" s="213"/>
      <c r="AJ470" s="213"/>
      <c r="AK470" s="213"/>
      <c r="AL470" s="213"/>
      <c r="AM470" s="213"/>
      <c r="AN470" s="213"/>
      <c r="AO470" s="213"/>
      <c r="AP470" s="213"/>
    </row>
    <row r="471" spans="1:35" s="107" customFormat="1" ht="34.5" customHeight="1">
      <c r="A471" s="471" t="s">
        <v>78</v>
      </c>
      <c r="B471" s="238" t="s">
        <v>31</v>
      </c>
      <c r="C471" s="1063">
        <f>CEILING(29*$Z$1,0.1)</f>
        <v>36.300000000000004</v>
      </c>
      <c r="D471" s="1064"/>
      <c r="E471" s="1063">
        <f>CEILING(31*$Z$1,0.1)</f>
        <v>38.800000000000004</v>
      </c>
      <c r="F471" s="1064"/>
      <c r="G471" s="1063">
        <f>CEILING(28*$Z$1,0.1)</f>
        <v>35</v>
      </c>
      <c r="H471" s="1064"/>
      <c r="I471" s="1061"/>
      <c r="J471" s="1061"/>
      <c r="K471" s="1061"/>
      <c r="L471" s="1061"/>
      <c r="M471" s="1061"/>
      <c r="N471" s="1061"/>
      <c r="O471" s="115"/>
      <c r="P471" s="115"/>
      <c r="Q471" s="115"/>
      <c r="R471" s="115"/>
      <c r="S471" s="115"/>
      <c r="T471" s="115"/>
      <c r="U471" s="115"/>
      <c r="V471" s="115"/>
      <c r="W471" s="115"/>
      <c r="X471" s="140"/>
      <c r="Y471" s="140"/>
      <c r="Z471" s="140"/>
      <c r="AA471" s="140"/>
      <c r="AB471" s="140"/>
      <c r="AC471" s="140"/>
      <c r="AD471" s="140"/>
      <c r="AE471" s="140"/>
      <c r="AF471" s="140"/>
      <c r="AG471" s="140"/>
      <c r="AH471" s="140"/>
      <c r="AI471" s="140"/>
    </row>
    <row r="472" spans="1:35" s="107" customFormat="1" ht="34.5" customHeight="1">
      <c r="A472" s="472" t="s">
        <v>30</v>
      </c>
      <c r="B472" s="238" t="s">
        <v>32</v>
      </c>
      <c r="C472" s="1065">
        <f>CEILING((C471+10*$Z$1),0.1)</f>
        <v>48.800000000000004</v>
      </c>
      <c r="D472" s="1066"/>
      <c r="E472" s="1065">
        <f>CEILING((E471+9*$Z$1),0.1)</f>
        <v>50.1</v>
      </c>
      <c r="F472" s="1066"/>
      <c r="G472" s="1065">
        <f>CEILING((G471+9*$Z$1),0.1)</f>
        <v>46.300000000000004</v>
      </c>
      <c r="H472" s="1066"/>
      <c r="I472" s="1061"/>
      <c r="J472" s="1061"/>
      <c r="K472" s="1061"/>
      <c r="L472" s="1061"/>
      <c r="M472" s="1061"/>
      <c r="N472" s="1061"/>
      <c r="O472" s="115"/>
      <c r="P472" s="115"/>
      <c r="Q472" s="115"/>
      <c r="R472" s="115"/>
      <c r="S472" s="115"/>
      <c r="T472" s="115"/>
      <c r="U472" s="115"/>
      <c r="V472" s="115"/>
      <c r="W472" s="115"/>
      <c r="X472" s="140"/>
      <c r="Y472" s="140"/>
      <c r="Z472" s="140"/>
      <c r="AA472" s="140"/>
      <c r="AB472" s="140"/>
      <c r="AC472" s="140"/>
      <c r="AD472" s="140"/>
      <c r="AE472" s="140"/>
      <c r="AF472" s="140"/>
      <c r="AG472" s="140"/>
      <c r="AH472" s="140"/>
      <c r="AI472" s="140"/>
    </row>
    <row r="473" spans="1:35" s="107" customFormat="1" ht="34.5" customHeight="1">
      <c r="A473" s="143" t="s">
        <v>1112</v>
      </c>
      <c r="B473" s="238" t="s">
        <v>258</v>
      </c>
      <c r="C473" s="1065">
        <f>CEILING((C471*0.85),0.1)</f>
        <v>30.900000000000002</v>
      </c>
      <c r="D473" s="1066"/>
      <c r="E473" s="1065">
        <f>CEILING((E471*0.85),0.1)</f>
        <v>33</v>
      </c>
      <c r="F473" s="1066"/>
      <c r="G473" s="1065">
        <f>CEILING((G471*0.85),0.1)</f>
        <v>29.8</v>
      </c>
      <c r="H473" s="1066"/>
      <c r="I473" s="1061"/>
      <c r="J473" s="1061"/>
      <c r="K473" s="1061"/>
      <c r="L473" s="1061"/>
      <c r="M473" s="1061"/>
      <c r="N473" s="1061"/>
      <c r="O473" s="115"/>
      <c r="P473" s="115"/>
      <c r="Q473" s="115"/>
      <c r="R473" s="115"/>
      <c r="S473" s="115"/>
      <c r="T473" s="115"/>
      <c r="U473" s="115"/>
      <c r="V473" s="115"/>
      <c r="W473" s="115"/>
      <c r="X473" s="140"/>
      <c r="Y473" s="140"/>
      <c r="Z473" s="140"/>
      <c r="AA473" s="140"/>
      <c r="AB473" s="140"/>
      <c r="AC473" s="140"/>
      <c r="AD473" s="140"/>
      <c r="AE473" s="140"/>
      <c r="AF473" s="140"/>
      <c r="AG473" s="140"/>
      <c r="AH473" s="140"/>
      <c r="AI473" s="140"/>
    </row>
    <row r="474" spans="1:35" s="107" customFormat="1" ht="34.5" customHeight="1" thickBot="1">
      <c r="A474" s="461" t="s">
        <v>330</v>
      </c>
      <c r="B474" s="331" t="s">
        <v>868</v>
      </c>
      <c r="C474" s="1078">
        <f>CEILING((C471*0),0.1)</f>
        <v>0</v>
      </c>
      <c r="D474" s="1079"/>
      <c r="E474" s="1078">
        <f>CEILING((E471*0),0.1)</f>
        <v>0</v>
      </c>
      <c r="F474" s="1079"/>
      <c r="G474" s="1078">
        <f>CEILING((G471*0),0.1)</f>
        <v>0</v>
      </c>
      <c r="H474" s="1079"/>
      <c r="I474" s="1061"/>
      <c r="J474" s="1061"/>
      <c r="K474" s="1061"/>
      <c r="L474" s="1061"/>
      <c r="M474" s="1061"/>
      <c r="N474" s="1061"/>
      <c r="O474" s="115"/>
      <c r="P474" s="115"/>
      <c r="Q474" s="115"/>
      <c r="R474" s="115"/>
      <c r="S474" s="115"/>
      <c r="T474" s="115"/>
      <c r="U474" s="115"/>
      <c r="V474" s="115"/>
      <c r="W474" s="115"/>
      <c r="X474" s="140"/>
      <c r="Y474" s="140"/>
      <c r="Z474" s="140"/>
      <c r="AA474" s="140"/>
      <c r="AB474" s="140"/>
      <c r="AC474" s="140"/>
      <c r="AD474" s="140"/>
      <c r="AE474" s="140"/>
      <c r="AF474" s="140"/>
      <c r="AG474" s="140"/>
      <c r="AH474" s="140"/>
      <c r="AI474" s="140"/>
    </row>
    <row r="475" spans="1:23" s="140" customFormat="1" ht="34.5" customHeight="1" thickTop="1">
      <c r="A475" s="431" t="s">
        <v>79</v>
      </c>
      <c r="B475" s="238" t="s">
        <v>42</v>
      </c>
      <c r="C475" s="1063">
        <f>CEILING(25*$Z$1,0.1)</f>
        <v>31.3</v>
      </c>
      <c r="D475" s="1064"/>
      <c r="E475" s="1063">
        <f>CEILING(28*$Z$1,0.1)</f>
        <v>35</v>
      </c>
      <c r="F475" s="1064"/>
      <c r="G475" s="1063">
        <f>CEILING(24*$Z$1,0.1)</f>
        <v>30</v>
      </c>
      <c r="H475" s="1064"/>
      <c r="I475" s="1061"/>
      <c r="J475" s="1061"/>
      <c r="K475" s="1061"/>
      <c r="L475" s="1061"/>
      <c r="M475" s="1061"/>
      <c r="N475" s="1061"/>
      <c r="O475" s="115"/>
      <c r="P475" s="115"/>
      <c r="Q475" s="115"/>
      <c r="R475" s="115"/>
      <c r="S475" s="115"/>
      <c r="T475" s="115"/>
      <c r="U475" s="115"/>
      <c r="V475" s="115"/>
      <c r="W475" s="115"/>
    </row>
    <row r="476" spans="1:25" s="140" customFormat="1" ht="34.5" customHeight="1">
      <c r="A476" s="462" t="s">
        <v>80</v>
      </c>
      <c r="B476" s="238" t="s">
        <v>43</v>
      </c>
      <c r="C476" s="1065">
        <f>CEILING((C475+9*$Z$1),0.1)</f>
        <v>42.6</v>
      </c>
      <c r="D476" s="1066"/>
      <c r="E476" s="1065">
        <f>CEILING((E475+8*$Z$1),0.1)</f>
        <v>45</v>
      </c>
      <c r="F476" s="1066"/>
      <c r="G476" s="1065">
        <f>CEILING((G475+9*$Z$1),0.1)</f>
        <v>41.300000000000004</v>
      </c>
      <c r="H476" s="1066"/>
      <c r="I476" s="1061"/>
      <c r="J476" s="1061"/>
      <c r="K476" s="1061"/>
      <c r="L476" s="1061"/>
      <c r="M476" s="1061"/>
      <c r="N476" s="1061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</row>
    <row r="477" spans="1:25" s="140" customFormat="1" ht="34.5" customHeight="1">
      <c r="A477" s="143" t="s">
        <v>1112</v>
      </c>
      <c r="B477" s="238" t="s">
        <v>258</v>
      </c>
      <c r="C477" s="1065">
        <f>CEILING((C475*0.85),0.1)</f>
        <v>26.700000000000003</v>
      </c>
      <c r="D477" s="1066"/>
      <c r="E477" s="1065">
        <f>CEILING((E475*0.85),0.1)</f>
        <v>29.8</v>
      </c>
      <c r="F477" s="1066"/>
      <c r="G477" s="1065">
        <f>CEILING((G475*0.85),0.1)</f>
        <v>25.5</v>
      </c>
      <c r="H477" s="1066"/>
      <c r="I477" s="1061"/>
      <c r="J477" s="1061"/>
      <c r="K477" s="1061"/>
      <c r="L477" s="1061"/>
      <c r="M477" s="1061"/>
      <c r="N477" s="1061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</row>
    <row r="478" spans="1:35" s="473" customFormat="1" ht="34.5" customHeight="1" thickBot="1">
      <c r="A478" s="461" t="s">
        <v>329</v>
      </c>
      <c r="B478" s="331" t="s">
        <v>601</v>
      </c>
      <c r="C478" s="1078">
        <f>CEILING((C475*0),0.1)</f>
        <v>0</v>
      </c>
      <c r="D478" s="1079"/>
      <c r="E478" s="1078">
        <f>CEILING((E475*0),0.1)</f>
        <v>0</v>
      </c>
      <c r="F478" s="1079"/>
      <c r="G478" s="1078">
        <f>CEILING((G475*0),0.1)</f>
        <v>0</v>
      </c>
      <c r="H478" s="1079"/>
      <c r="I478" s="1061"/>
      <c r="J478" s="1061"/>
      <c r="K478" s="1061"/>
      <c r="L478" s="1061"/>
      <c r="M478" s="1061"/>
      <c r="N478" s="1061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40"/>
      <c r="AA478" s="140"/>
      <c r="AB478" s="140"/>
      <c r="AC478" s="140"/>
      <c r="AD478" s="140"/>
      <c r="AE478" s="140"/>
      <c r="AF478" s="140"/>
      <c r="AG478" s="140"/>
      <c r="AH478" s="140"/>
      <c r="AI478" s="140"/>
    </row>
    <row r="479" spans="1:37" s="107" customFormat="1" ht="34.5" customHeight="1" thickTop="1">
      <c r="A479" s="431" t="s">
        <v>933</v>
      </c>
      <c r="B479" s="238" t="s">
        <v>42</v>
      </c>
      <c r="C479" s="1063">
        <f>CEILING(11*$Z$1,0.1)</f>
        <v>13.8</v>
      </c>
      <c r="D479" s="1064"/>
      <c r="E479" s="1063">
        <f>CEILING(11*$Z$1,0.1)</f>
        <v>13.8</v>
      </c>
      <c r="F479" s="1064"/>
      <c r="G479" s="1063">
        <f>CEILING(11*$Z$1,0.1)</f>
        <v>13.8</v>
      </c>
      <c r="H479" s="1064"/>
      <c r="I479" s="1061"/>
      <c r="J479" s="1061"/>
      <c r="K479" s="1061"/>
      <c r="L479" s="1061"/>
      <c r="M479" s="1061"/>
      <c r="N479" s="1061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114"/>
      <c r="AA479" s="114"/>
      <c r="AB479" s="114"/>
      <c r="AC479" s="114"/>
      <c r="AD479" s="114"/>
      <c r="AE479" s="114"/>
      <c r="AF479" s="114"/>
      <c r="AG479" s="114"/>
      <c r="AH479" s="114"/>
      <c r="AI479" s="114"/>
      <c r="AJ479" s="158"/>
      <c r="AK479" s="158"/>
    </row>
    <row r="480" spans="1:37" s="107" customFormat="1" ht="34.5" customHeight="1">
      <c r="A480" s="462" t="s">
        <v>80</v>
      </c>
      <c r="B480" s="238" t="s">
        <v>43</v>
      </c>
      <c r="C480" s="1065">
        <f>CEILING((C479+8*$Z$1),0.1)</f>
        <v>23.8</v>
      </c>
      <c r="D480" s="1066"/>
      <c r="E480" s="1065">
        <f>CEILING((E479+8*$Z$1),0.1)</f>
        <v>23.8</v>
      </c>
      <c r="F480" s="1066"/>
      <c r="G480" s="1065">
        <f>CEILING((G479+8*$Z$1),0.1)</f>
        <v>23.8</v>
      </c>
      <c r="H480" s="1066"/>
      <c r="I480" s="1061"/>
      <c r="J480" s="1061"/>
      <c r="K480" s="1061"/>
      <c r="L480" s="1061"/>
      <c r="M480" s="1061"/>
      <c r="N480" s="1061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  <c r="AA480" s="114"/>
      <c r="AB480" s="114"/>
      <c r="AC480" s="114"/>
      <c r="AD480" s="114"/>
      <c r="AE480" s="114"/>
      <c r="AF480" s="114"/>
      <c r="AG480" s="114"/>
      <c r="AH480" s="114"/>
      <c r="AI480" s="114"/>
      <c r="AJ480" s="158"/>
      <c r="AK480" s="158"/>
    </row>
    <row r="481" spans="1:37" s="107" customFormat="1" ht="34.5" customHeight="1">
      <c r="A481" s="143" t="s">
        <v>1113</v>
      </c>
      <c r="B481" s="238" t="s">
        <v>38</v>
      </c>
      <c r="C481" s="1065">
        <f>CEILING((C479*0.85),0.1)</f>
        <v>11.8</v>
      </c>
      <c r="D481" s="1066"/>
      <c r="E481" s="1065">
        <f>CEILING((E479*0.85),0.1)</f>
        <v>11.8</v>
      </c>
      <c r="F481" s="1066"/>
      <c r="G481" s="1065">
        <f>CEILING((G479*0.85),0.1)</f>
        <v>11.8</v>
      </c>
      <c r="H481" s="1066"/>
      <c r="I481" s="1061"/>
      <c r="J481" s="1061"/>
      <c r="K481" s="1061"/>
      <c r="L481" s="1061"/>
      <c r="M481" s="1061"/>
      <c r="N481" s="1061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  <c r="AA481" s="158"/>
      <c r="AB481" s="158"/>
      <c r="AC481" s="158"/>
      <c r="AD481" s="158"/>
      <c r="AE481" s="158"/>
      <c r="AF481" s="158"/>
      <c r="AG481" s="158"/>
      <c r="AH481" s="158"/>
      <c r="AI481" s="158"/>
      <c r="AJ481" s="158"/>
      <c r="AK481" s="158"/>
    </row>
    <row r="482" spans="1:37" s="107" customFormat="1" ht="34.5" customHeight="1" thickBot="1">
      <c r="A482" s="461" t="s">
        <v>329</v>
      </c>
      <c r="B482" s="243" t="s">
        <v>601</v>
      </c>
      <c r="C482" s="1196">
        <v>0</v>
      </c>
      <c r="D482" s="1197"/>
      <c r="E482" s="1196">
        <v>0</v>
      </c>
      <c r="F482" s="1197"/>
      <c r="G482" s="1067">
        <f>CEILING((G479*0),0.1)</f>
        <v>0</v>
      </c>
      <c r="H482" s="1068"/>
      <c r="I482" s="1061"/>
      <c r="J482" s="1061"/>
      <c r="K482" s="1072"/>
      <c r="L482" s="1072"/>
      <c r="M482" s="1072"/>
      <c r="N482" s="1072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  <c r="AA482" s="158"/>
      <c r="AB482" s="158"/>
      <c r="AC482" s="158"/>
      <c r="AD482" s="158"/>
      <c r="AE482" s="158"/>
      <c r="AF482" s="158"/>
      <c r="AG482" s="158"/>
      <c r="AH482" s="158"/>
      <c r="AI482" s="158"/>
      <c r="AJ482" s="158"/>
      <c r="AK482" s="158"/>
    </row>
    <row r="483" spans="1:14" s="179" customFormat="1" ht="34.5" customHeight="1" thickTop="1">
      <c r="A483" s="164" t="s">
        <v>1041</v>
      </c>
      <c r="B483" s="164"/>
      <c r="C483" s="164"/>
      <c r="D483" s="164"/>
      <c r="E483" s="164"/>
      <c r="F483" s="164"/>
      <c r="G483" s="164"/>
      <c r="H483" s="164"/>
      <c r="I483" s="164"/>
      <c r="J483" s="164"/>
      <c r="K483" s="474"/>
      <c r="L483" s="474"/>
      <c r="M483" s="174"/>
      <c r="N483" s="174"/>
    </row>
    <row r="484" spans="1:37" s="107" customFormat="1" ht="34.5" customHeight="1" thickBot="1">
      <c r="A484" s="285"/>
      <c r="B484" s="162"/>
      <c r="C484" s="162"/>
      <c r="D484" s="162"/>
      <c r="E484" s="162"/>
      <c r="F484" s="162"/>
      <c r="G484" s="162"/>
      <c r="H484" s="162"/>
      <c r="I484" s="162"/>
      <c r="J484" s="162"/>
      <c r="K484" s="108"/>
      <c r="L484" s="108"/>
      <c r="M484" s="148"/>
      <c r="N484" s="14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  <c r="AA484" s="158"/>
      <c r="AB484" s="158"/>
      <c r="AC484" s="158"/>
      <c r="AD484" s="158"/>
      <c r="AE484" s="158"/>
      <c r="AF484" s="158"/>
      <c r="AG484" s="158"/>
      <c r="AH484" s="158"/>
      <c r="AI484" s="158"/>
      <c r="AJ484" s="158"/>
      <c r="AK484" s="158"/>
    </row>
    <row r="485" spans="1:42" s="214" customFormat="1" ht="34.5" customHeight="1" thickTop="1">
      <c r="A485" s="207" t="s">
        <v>34</v>
      </c>
      <c r="B485" s="208" t="s">
        <v>637</v>
      </c>
      <c r="C485" s="209" t="s">
        <v>921</v>
      </c>
      <c r="D485" s="210"/>
      <c r="E485" s="211" t="s">
        <v>922</v>
      </c>
      <c r="F485" s="212"/>
      <c r="G485" s="211" t="s">
        <v>923</v>
      </c>
      <c r="H485" s="212"/>
      <c r="I485" s="1070"/>
      <c r="J485" s="1071"/>
      <c r="K485" s="1070"/>
      <c r="L485" s="1070"/>
      <c r="M485" s="174"/>
      <c r="N485" s="174"/>
      <c r="O485" s="213"/>
      <c r="P485" s="213"/>
      <c r="Q485" s="213"/>
      <c r="R485" s="213"/>
      <c r="S485" s="213"/>
      <c r="T485" s="213"/>
      <c r="U485" s="213"/>
      <c r="V485" s="213"/>
      <c r="W485" s="213"/>
      <c r="X485" s="213"/>
      <c r="Y485" s="213"/>
      <c r="Z485" s="213"/>
      <c r="AA485" s="213"/>
      <c r="AB485" s="213"/>
      <c r="AC485" s="213"/>
      <c r="AD485" s="213"/>
      <c r="AE485" s="213"/>
      <c r="AF485" s="213"/>
      <c r="AG485" s="213"/>
      <c r="AH485" s="213"/>
      <c r="AI485" s="213"/>
      <c r="AJ485" s="213"/>
      <c r="AK485" s="213"/>
      <c r="AL485" s="213"/>
      <c r="AM485" s="213"/>
      <c r="AN485" s="213"/>
      <c r="AO485" s="213"/>
      <c r="AP485" s="213"/>
    </row>
    <row r="486" spans="1:37" s="107" customFormat="1" ht="34.5" customHeight="1">
      <c r="A486" s="431" t="s">
        <v>82</v>
      </c>
      <c r="B486" s="264" t="s">
        <v>203</v>
      </c>
      <c r="C486" s="1073">
        <f>CEILING(44*$Z$1,0.1)</f>
        <v>55</v>
      </c>
      <c r="D486" s="1074"/>
      <c r="E486" s="1073">
        <f>CEILING(44*$Z$1,0.1)</f>
        <v>55</v>
      </c>
      <c r="F486" s="1074"/>
      <c r="G486" s="1073">
        <f>CEILING(44*$Z$1,0.1)</f>
        <v>55</v>
      </c>
      <c r="H486" s="1074"/>
      <c r="I486" s="1061"/>
      <c r="J486" s="1061"/>
      <c r="K486" s="1061"/>
      <c r="L486" s="1061"/>
      <c r="M486" s="110"/>
      <c r="N486" s="111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  <c r="Z486" s="158"/>
      <c r="AA486" s="158"/>
      <c r="AB486" s="158"/>
      <c r="AC486" s="158"/>
      <c r="AD486" s="158"/>
      <c r="AE486" s="158"/>
      <c r="AF486" s="158"/>
      <c r="AG486" s="158"/>
      <c r="AH486" s="158"/>
      <c r="AI486" s="158"/>
      <c r="AJ486" s="158"/>
      <c r="AK486" s="158"/>
    </row>
    <row r="487" spans="1:37" s="107" customFormat="1" ht="34.5" customHeight="1">
      <c r="A487" s="432" t="s">
        <v>50</v>
      </c>
      <c r="B487" s="241" t="s">
        <v>204</v>
      </c>
      <c r="C487" s="1057">
        <f>CEILING((C486+14*$Z$1),0.1)</f>
        <v>72.5</v>
      </c>
      <c r="D487" s="1058"/>
      <c r="E487" s="1057">
        <f>CEILING((E486+14*$Z$1),0.1)</f>
        <v>72.5</v>
      </c>
      <c r="F487" s="1058"/>
      <c r="G487" s="1057">
        <f>CEILING((G486+14*$Z$1),0.1)</f>
        <v>72.5</v>
      </c>
      <c r="H487" s="1058"/>
      <c r="I487" s="1061"/>
      <c r="J487" s="1061"/>
      <c r="K487" s="1061"/>
      <c r="L487" s="1061"/>
      <c r="M487" s="110"/>
      <c r="N487" s="111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  <c r="AA487" s="158"/>
      <c r="AB487" s="158"/>
      <c r="AC487" s="158"/>
      <c r="AD487" s="158"/>
      <c r="AE487" s="158"/>
      <c r="AF487" s="158"/>
      <c r="AG487" s="158"/>
      <c r="AH487" s="158"/>
      <c r="AI487" s="158"/>
      <c r="AJ487" s="158"/>
      <c r="AK487" s="158"/>
    </row>
    <row r="488" spans="1:37" s="107" customFormat="1" ht="34.5" customHeight="1">
      <c r="A488" s="475"/>
      <c r="B488" s="241" t="s">
        <v>205</v>
      </c>
      <c r="C488" s="1057">
        <f>CEILING((C486*0.8),0.1)</f>
        <v>44</v>
      </c>
      <c r="D488" s="1058"/>
      <c r="E488" s="1057">
        <f>CEILING((E486*0.8),0.1)</f>
        <v>44</v>
      </c>
      <c r="F488" s="1058"/>
      <c r="G488" s="1057">
        <f>CEILING((G486*0.8),0.1)</f>
        <v>44</v>
      </c>
      <c r="H488" s="1058"/>
      <c r="I488" s="1061"/>
      <c r="J488" s="1061"/>
      <c r="K488" s="1061"/>
      <c r="L488" s="1061"/>
      <c r="M488" s="129"/>
      <c r="N488" s="129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  <c r="AA488" s="158"/>
      <c r="AB488" s="158"/>
      <c r="AC488" s="158"/>
      <c r="AD488" s="158"/>
      <c r="AE488" s="158"/>
      <c r="AF488" s="158"/>
      <c r="AG488" s="158"/>
      <c r="AH488" s="158"/>
      <c r="AI488" s="158"/>
      <c r="AJ488" s="158"/>
      <c r="AK488" s="158"/>
    </row>
    <row r="489" spans="1:37" s="107" customFormat="1" ht="34.5" customHeight="1">
      <c r="A489" s="475"/>
      <c r="B489" s="353" t="s">
        <v>601</v>
      </c>
      <c r="C489" s="1057">
        <f>CEILING((C486*0),0.1)</f>
        <v>0</v>
      </c>
      <c r="D489" s="1058"/>
      <c r="E489" s="1057">
        <f>CEILING((E486*0),0.1)</f>
        <v>0</v>
      </c>
      <c r="F489" s="1058"/>
      <c r="G489" s="1057">
        <f>CEILING((G486*0),0.1)</f>
        <v>0</v>
      </c>
      <c r="H489" s="1058"/>
      <c r="I489" s="1061"/>
      <c r="J489" s="1061"/>
      <c r="K489" s="1061"/>
      <c r="L489" s="1061"/>
      <c r="M489" s="124"/>
      <c r="N489" s="124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  <c r="AA489" s="158"/>
      <c r="AB489" s="158"/>
      <c r="AC489" s="158"/>
      <c r="AD489" s="158"/>
      <c r="AE489" s="158"/>
      <c r="AF489" s="158"/>
      <c r="AG489" s="158"/>
      <c r="AH489" s="158"/>
      <c r="AI489" s="158"/>
      <c r="AJ489" s="158"/>
      <c r="AK489" s="158"/>
    </row>
    <row r="490" spans="1:37" s="107" customFormat="1" ht="34.5" customHeight="1">
      <c r="A490" s="475"/>
      <c r="B490" s="353" t="s">
        <v>642</v>
      </c>
      <c r="C490" s="1059">
        <f>CEILING((C486*0.5),0.1)</f>
        <v>27.5</v>
      </c>
      <c r="D490" s="1060"/>
      <c r="E490" s="1059">
        <f>CEILING((E486*0.5),0.1)</f>
        <v>27.5</v>
      </c>
      <c r="F490" s="1060"/>
      <c r="G490" s="1059">
        <f>CEILING((G486*0.5),0.1)</f>
        <v>27.5</v>
      </c>
      <c r="H490" s="1060"/>
      <c r="I490" s="1061"/>
      <c r="J490" s="1061"/>
      <c r="K490" s="1061"/>
      <c r="L490" s="1061"/>
      <c r="M490" s="124"/>
      <c r="N490" s="124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  <c r="AA490" s="158"/>
      <c r="AB490" s="158"/>
      <c r="AC490" s="158"/>
      <c r="AD490" s="158"/>
      <c r="AE490" s="158"/>
      <c r="AF490" s="158"/>
      <c r="AG490" s="158"/>
      <c r="AH490" s="158"/>
      <c r="AI490" s="158"/>
      <c r="AJ490" s="158"/>
      <c r="AK490" s="158"/>
    </row>
    <row r="491" spans="1:37" s="107" customFormat="1" ht="34.5" customHeight="1">
      <c r="A491" s="475"/>
      <c r="B491" s="264" t="s">
        <v>206</v>
      </c>
      <c r="C491" s="1073">
        <f>CEILING(49*$Z$1,0.1)</f>
        <v>61.300000000000004</v>
      </c>
      <c r="D491" s="1074"/>
      <c r="E491" s="1073">
        <f>CEILING(49*$Z$1,0.1)</f>
        <v>61.300000000000004</v>
      </c>
      <c r="F491" s="1074"/>
      <c r="G491" s="1073">
        <f>CEILING(49*$Z$1,0.1)</f>
        <v>61.300000000000004</v>
      </c>
      <c r="H491" s="1074"/>
      <c r="I491" s="1061"/>
      <c r="J491" s="1061"/>
      <c r="K491" s="1061"/>
      <c r="L491" s="1061"/>
      <c r="M491" s="124"/>
      <c r="N491" s="124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  <c r="AA491" s="158"/>
      <c r="AB491" s="158"/>
      <c r="AC491" s="158"/>
      <c r="AD491" s="158"/>
      <c r="AE491" s="158"/>
      <c r="AF491" s="158"/>
      <c r="AG491" s="158"/>
      <c r="AH491" s="158"/>
      <c r="AI491" s="158"/>
      <c r="AJ491" s="158"/>
      <c r="AK491" s="158"/>
    </row>
    <row r="492" spans="1:37" s="107" customFormat="1" ht="34.5" customHeight="1">
      <c r="A492" s="475"/>
      <c r="B492" s="241" t="s">
        <v>207</v>
      </c>
      <c r="C492" s="1057">
        <f>CEILING((C491+14*$Z$1),0.1)</f>
        <v>78.80000000000001</v>
      </c>
      <c r="D492" s="1058"/>
      <c r="E492" s="1057">
        <f>CEILING((E491+14*$Z$1),0.1)</f>
        <v>78.80000000000001</v>
      </c>
      <c r="F492" s="1058"/>
      <c r="G492" s="1057">
        <f>CEILING((G491+14*$Z$1),0.1)</f>
        <v>78.80000000000001</v>
      </c>
      <c r="H492" s="1058"/>
      <c r="I492" s="1061"/>
      <c r="J492" s="1061"/>
      <c r="K492" s="1061"/>
      <c r="L492" s="1061"/>
      <c r="M492" s="124"/>
      <c r="N492" s="124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  <c r="Z492" s="158"/>
      <c r="AA492" s="158"/>
      <c r="AB492" s="158"/>
      <c r="AC492" s="158"/>
      <c r="AD492" s="158"/>
      <c r="AE492" s="158"/>
      <c r="AF492" s="158"/>
      <c r="AG492" s="158"/>
      <c r="AH492" s="158"/>
      <c r="AI492" s="158"/>
      <c r="AJ492" s="158"/>
      <c r="AK492" s="158"/>
    </row>
    <row r="493" spans="1:37" s="107" customFormat="1" ht="34.5" customHeight="1">
      <c r="A493" s="475"/>
      <c r="B493" s="241" t="s">
        <v>208</v>
      </c>
      <c r="C493" s="1057">
        <f>CEILING((C491*0.82),0.1)</f>
        <v>50.300000000000004</v>
      </c>
      <c r="D493" s="1058"/>
      <c r="E493" s="1057">
        <f>CEILING((E491*0.82),0.1)</f>
        <v>50.300000000000004</v>
      </c>
      <c r="F493" s="1058"/>
      <c r="G493" s="1057">
        <f>CEILING((G491*0.82),0.1)</f>
        <v>50.300000000000004</v>
      </c>
      <c r="H493" s="1058"/>
      <c r="I493" s="1061"/>
      <c r="J493" s="1061"/>
      <c r="K493" s="1061"/>
      <c r="L493" s="1061"/>
      <c r="M493" s="124"/>
      <c r="N493" s="124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  <c r="AA493" s="158"/>
      <c r="AB493" s="158"/>
      <c r="AC493" s="158"/>
      <c r="AD493" s="158"/>
      <c r="AE493" s="158"/>
      <c r="AF493" s="158"/>
      <c r="AG493" s="158"/>
      <c r="AH493" s="158"/>
      <c r="AI493" s="158"/>
      <c r="AJ493" s="158"/>
      <c r="AK493" s="158"/>
    </row>
    <row r="494" spans="1:37" s="107" customFormat="1" ht="34.5" customHeight="1">
      <c r="A494" s="475"/>
      <c r="B494" s="353" t="s">
        <v>601</v>
      </c>
      <c r="C494" s="1057">
        <f>CEILING((C491*0),0.1)</f>
        <v>0</v>
      </c>
      <c r="D494" s="1058"/>
      <c r="E494" s="1057">
        <f>CEILING((E491*0),0.1)</f>
        <v>0</v>
      </c>
      <c r="F494" s="1058"/>
      <c r="G494" s="1057">
        <f>CEILING((G491*0),0.1)</f>
        <v>0</v>
      </c>
      <c r="H494" s="1058"/>
      <c r="I494" s="1061"/>
      <c r="J494" s="1061"/>
      <c r="K494" s="1061"/>
      <c r="L494" s="1061"/>
      <c r="M494" s="110"/>
      <c r="N494" s="111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  <c r="AA494" s="158"/>
      <c r="AB494" s="158"/>
      <c r="AC494" s="158"/>
      <c r="AD494" s="158"/>
      <c r="AE494" s="158"/>
      <c r="AF494" s="158"/>
      <c r="AG494" s="158"/>
      <c r="AH494" s="158"/>
      <c r="AI494" s="158"/>
      <c r="AJ494" s="158"/>
      <c r="AK494" s="158"/>
    </row>
    <row r="495" spans="1:37" s="107" customFormat="1" ht="34.5" customHeight="1" thickBot="1">
      <c r="A495" s="461" t="s">
        <v>563</v>
      </c>
      <c r="B495" s="476" t="s">
        <v>601</v>
      </c>
      <c r="C495" s="1059">
        <f>CEILING((C491*0.5),0.1)</f>
        <v>30.700000000000003</v>
      </c>
      <c r="D495" s="1060"/>
      <c r="E495" s="1059">
        <f>CEILING((E491*0.5),0.1)</f>
        <v>30.700000000000003</v>
      </c>
      <c r="F495" s="1060"/>
      <c r="G495" s="1059">
        <f>CEILING((G491*0.5),0.1)</f>
        <v>30.700000000000003</v>
      </c>
      <c r="H495" s="1060"/>
      <c r="I495" s="1061"/>
      <c r="J495" s="1061"/>
      <c r="K495" s="1061"/>
      <c r="L495" s="1061"/>
      <c r="M495" s="110"/>
      <c r="N495" s="111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  <c r="Z495" s="158"/>
      <c r="AA495" s="158"/>
      <c r="AB495" s="158"/>
      <c r="AC495" s="158"/>
      <c r="AD495" s="158"/>
      <c r="AE495" s="158"/>
      <c r="AF495" s="158"/>
      <c r="AG495" s="158"/>
      <c r="AH495" s="158"/>
      <c r="AI495" s="158"/>
      <c r="AJ495" s="158"/>
      <c r="AK495" s="158"/>
    </row>
    <row r="496" spans="1:37" s="107" customFormat="1" ht="34.5" customHeight="1" thickBot="1" thickTop="1">
      <c r="A496" s="461"/>
      <c r="B496" s="428"/>
      <c r="C496" s="1143"/>
      <c r="D496" s="1143"/>
      <c r="E496" s="1199"/>
      <c r="F496" s="1199"/>
      <c r="G496" s="1199"/>
      <c r="H496" s="1199"/>
      <c r="I496" s="1062"/>
      <c r="J496" s="1062"/>
      <c r="K496" s="113"/>
      <c r="L496" s="113"/>
      <c r="M496" s="110"/>
      <c r="N496" s="111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  <c r="AA496" s="158"/>
      <c r="AB496" s="158"/>
      <c r="AC496" s="158"/>
      <c r="AD496" s="158"/>
      <c r="AE496" s="158"/>
      <c r="AF496" s="158"/>
      <c r="AG496" s="158"/>
      <c r="AH496" s="158"/>
      <c r="AI496" s="158"/>
      <c r="AJ496" s="158"/>
      <c r="AK496" s="158"/>
    </row>
    <row r="497" spans="1:42" s="214" customFormat="1" ht="34.5" customHeight="1" thickTop="1">
      <c r="A497" s="207" t="s">
        <v>34</v>
      </c>
      <c r="B497" s="208" t="s">
        <v>637</v>
      </c>
      <c r="C497" s="209" t="s">
        <v>921</v>
      </c>
      <c r="D497" s="210"/>
      <c r="E497" s="211" t="s">
        <v>922</v>
      </c>
      <c r="F497" s="212"/>
      <c r="G497" s="211" t="s">
        <v>923</v>
      </c>
      <c r="H497" s="212"/>
      <c r="I497" s="1070"/>
      <c r="J497" s="1071"/>
      <c r="K497" s="1070"/>
      <c r="L497" s="1070"/>
      <c r="M497" s="174"/>
      <c r="N497" s="174"/>
      <c r="O497" s="213"/>
      <c r="P497" s="213"/>
      <c r="Q497" s="213"/>
      <c r="R497" s="213"/>
      <c r="S497" s="213"/>
      <c r="T497" s="213"/>
      <c r="U497" s="213"/>
      <c r="V497" s="213"/>
      <c r="W497" s="213"/>
      <c r="X497" s="213"/>
      <c r="Y497" s="213"/>
      <c r="Z497" s="213"/>
      <c r="AA497" s="213"/>
      <c r="AB497" s="213"/>
      <c r="AC497" s="213"/>
      <c r="AD497" s="213"/>
      <c r="AE497" s="213"/>
      <c r="AF497" s="213"/>
      <c r="AG497" s="213"/>
      <c r="AH497" s="213"/>
      <c r="AI497" s="213"/>
      <c r="AJ497" s="213"/>
      <c r="AK497" s="213"/>
      <c r="AL497" s="213"/>
      <c r="AM497" s="213"/>
      <c r="AN497" s="213"/>
      <c r="AO497" s="213"/>
      <c r="AP497" s="213"/>
    </row>
    <row r="498" spans="1:37" s="107" customFormat="1" ht="34.5" customHeight="1">
      <c r="A498" s="350" t="s">
        <v>640</v>
      </c>
      <c r="B498" s="238" t="s">
        <v>83</v>
      </c>
      <c r="C498" s="1073">
        <f>CEILING(41*$Z$1,0.1)</f>
        <v>51.300000000000004</v>
      </c>
      <c r="D498" s="1074"/>
      <c r="E498" s="1073">
        <f>CEILING(41*$Z$1,0.1)</f>
        <v>51.300000000000004</v>
      </c>
      <c r="F498" s="1074"/>
      <c r="G498" s="1073">
        <f>CEILING(41*$Z$1,0.1)</f>
        <v>51.300000000000004</v>
      </c>
      <c r="H498" s="1074"/>
      <c r="I498" s="1061"/>
      <c r="J498" s="1061"/>
      <c r="K498" s="1061"/>
      <c r="L498" s="1061"/>
      <c r="M498" s="110"/>
      <c r="N498" s="111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  <c r="Z498" s="158"/>
      <c r="AA498" s="158"/>
      <c r="AB498" s="158"/>
      <c r="AC498" s="158"/>
      <c r="AD498" s="158"/>
      <c r="AE498" s="158"/>
      <c r="AF498" s="158"/>
      <c r="AG498" s="158"/>
      <c r="AH498" s="158"/>
      <c r="AI498" s="158"/>
      <c r="AJ498" s="158"/>
      <c r="AK498" s="158"/>
    </row>
    <row r="499" spans="1:37" s="107" customFormat="1" ht="34.5" customHeight="1">
      <c r="A499" s="265" t="s">
        <v>50</v>
      </c>
      <c r="B499" s="124" t="s">
        <v>8</v>
      </c>
      <c r="C499" s="1057">
        <f>CEILING((C498+10*$Z$1),0.1)</f>
        <v>63.800000000000004</v>
      </c>
      <c r="D499" s="1058"/>
      <c r="E499" s="1057">
        <f>CEILING((E498+10*$Z$1),0.1)</f>
        <v>63.800000000000004</v>
      </c>
      <c r="F499" s="1058"/>
      <c r="G499" s="1057">
        <f>CEILING((G498+10*$Z$1),0.1)</f>
        <v>63.800000000000004</v>
      </c>
      <c r="H499" s="1058"/>
      <c r="I499" s="1061"/>
      <c r="J499" s="1061"/>
      <c r="K499" s="1061"/>
      <c r="L499" s="1061"/>
      <c r="M499" s="110"/>
      <c r="N499" s="111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  <c r="AA499" s="158"/>
      <c r="AB499" s="158"/>
      <c r="AC499" s="158"/>
      <c r="AD499" s="158"/>
      <c r="AE499" s="158"/>
      <c r="AF499" s="158"/>
      <c r="AG499" s="158"/>
      <c r="AH499" s="158"/>
      <c r="AI499" s="158"/>
      <c r="AJ499" s="158"/>
      <c r="AK499" s="158"/>
    </row>
    <row r="500" spans="1:119" s="107" customFormat="1" ht="34.5" customHeight="1">
      <c r="A500" s="265"/>
      <c r="B500" s="353" t="s">
        <v>38</v>
      </c>
      <c r="C500" s="1057">
        <f>CEILING((C498*0.8),0.1)</f>
        <v>41.1</v>
      </c>
      <c r="D500" s="1058"/>
      <c r="E500" s="1057">
        <f>CEILING((E498*0.8),0.1)</f>
        <v>41.1</v>
      </c>
      <c r="F500" s="1058"/>
      <c r="G500" s="1057">
        <f>CEILING((G498*0.8),0.1)</f>
        <v>41.1</v>
      </c>
      <c r="H500" s="1058"/>
      <c r="I500" s="1061"/>
      <c r="J500" s="1061"/>
      <c r="K500" s="1061"/>
      <c r="L500" s="1061"/>
      <c r="M500" s="124"/>
      <c r="N500" s="103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  <c r="Z500" s="114"/>
      <c r="AA500" s="114"/>
      <c r="AB500" s="114"/>
      <c r="AC500" s="114"/>
      <c r="AD500" s="114"/>
      <c r="AE500" s="114"/>
      <c r="AF500" s="114"/>
      <c r="AG500" s="114"/>
      <c r="AH500" s="114"/>
      <c r="AI500" s="114"/>
      <c r="AJ500" s="114"/>
      <c r="AK500" s="114"/>
      <c r="AL500" s="140"/>
      <c r="AM500" s="140"/>
      <c r="AN500" s="140"/>
      <c r="AO500" s="140"/>
      <c r="AP500" s="140"/>
      <c r="AQ500" s="140"/>
      <c r="AR500" s="140"/>
      <c r="AS500" s="140"/>
      <c r="AT500" s="140"/>
      <c r="AU500" s="140"/>
      <c r="AV500" s="140"/>
      <c r="AW500" s="140"/>
      <c r="AX500" s="140"/>
      <c r="AY500" s="140"/>
      <c r="AZ500" s="140"/>
      <c r="BA500" s="140"/>
      <c r="BB500" s="140"/>
      <c r="BC500" s="140"/>
      <c r="BD500" s="140"/>
      <c r="BE500" s="140"/>
      <c r="BF500" s="140"/>
      <c r="BG500" s="140"/>
      <c r="BH500" s="140"/>
      <c r="BI500" s="140"/>
      <c r="BJ500" s="140"/>
      <c r="BK500" s="140"/>
      <c r="BL500" s="140"/>
      <c r="BM500" s="140"/>
      <c r="BN500" s="140"/>
      <c r="BO500" s="140"/>
      <c r="BP500" s="140"/>
      <c r="BQ500" s="140"/>
      <c r="BR500" s="140"/>
      <c r="BS500" s="140"/>
      <c r="BT500" s="140"/>
      <c r="BU500" s="140"/>
      <c r="BV500" s="140"/>
      <c r="BW500" s="140"/>
      <c r="BX500" s="140"/>
      <c r="BY500" s="140"/>
      <c r="BZ500" s="140"/>
      <c r="CA500" s="140"/>
      <c r="CB500" s="140"/>
      <c r="CC500" s="140"/>
      <c r="CD500" s="140"/>
      <c r="CE500" s="140"/>
      <c r="CF500" s="140"/>
      <c r="CG500" s="140"/>
      <c r="CH500" s="140"/>
      <c r="CI500" s="140"/>
      <c r="CJ500" s="140"/>
      <c r="CK500" s="140"/>
      <c r="CL500" s="140"/>
      <c r="CM500" s="140"/>
      <c r="CN500" s="140"/>
      <c r="CO500" s="140"/>
      <c r="CP500" s="140"/>
      <c r="CQ500" s="140"/>
      <c r="CR500" s="140"/>
      <c r="CS500" s="140"/>
      <c r="CT500" s="140"/>
      <c r="CU500" s="140"/>
      <c r="CV500" s="140"/>
      <c r="CW500" s="140"/>
      <c r="CX500" s="140"/>
      <c r="CY500" s="140"/>
      <c r="CZ500" s="140"/>
      <c r="DA500" s="140"/>
      <c r="DB500" s="140"/>
      <c r="DC500" s="140"/>
      <c r="DD500" s="140"/>
      <c r="DE500" s="140"/>
      <c r="DF500" s="140"/>
      <c r="DG500" s="140"/>
      <c r="DH500" s="140"/>
      <c r="DI500" s="140"/>
      <c r="DJ500" s="140"/>
      <c r="DK500" s="140"/>
      <c r="DL500" s="140"/>
      <c r="DM500" s="140"/>
      <c r="DN500" s="140"/>
      <c r="DO500" s="140"/>
    </row>
    <row r="501" spans="1:119" s="107" customFormat="1" ht="34.5" customHeight="1">
      <c r="A501" s="267"/>
      <c r="B501" s="353" t="s">
        <v>62</v>
      </c>
      <c r="C501" s="1057">
        <f>CEILING((C498*0),0.1)</f>
        <v>0</v>
      </c>
      <c r="D501" s="1058"/>
      <c r="E501" s="1057">
        <f>CEILING((E498*0),0.1)</f>
        <v>0</v>
      </c>
      <c r="F501" s="1058"/>
      <c r="G501" s="1057">
        <f>CEILING((G498*0),0.1)</f>
        <v>0</v>
      </c>
      <c r="H501" s="1058"/>
      <c r="I501" s="1061"/>
      <c r="J501" s="1061"/>
      <c r="K501" s="1061"/>
      <c r="L501" s="1061"/>
      <c r="M501" s="124"/>
      <c r="N501" s="103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  <c r="Z501" s="114"/>
      <c r="AA501" s="114"/>
      <c r="AB501" s="114"/>
      <c r="AC501" s="114"/>
      <c r="AD501" s="114"/>
      <c r="AE501" s="114"/>
      <c r="AF501" s="114"/>
      <c r="AG501" s="114"/>
      <c r="AH501" s="114"/>
      <c r="AI501" s="114"/>
      <c r="AJ501" s="114"/>
      <c r="AK501" s="114"/>
      <c r="AL501" s="140"/>
      <c r="AM501" s="140"/>
      <c r="AN501" s="140"/>
      <c r="AO501" s="140"/>
      <c r="AP501" s="140"/>
      <c r="AQ501" s="140"/>
      <c r="AR501" s="140"/>
      <c r="AS501" s="140"/>
      <c r="AT501" s="140"/>
      <c r="AU501" s="140"/>
      <c r="AV501" s="140"/>
      <c r="AW501" s="140"/>
      <c r="AX501" s="140"/>
      <c r="AY501" s="140"/>
      <c r="AZ501" s="140"/>
      <c r="BA501" s="140"/>
      <c r="BB501" s="140"/>
      <c r="BC501" s="140"/>
      <c r="BD501" s="140"/>
      <c r="BE501" s="140"/>
      <c r="BF501" s="140"/>
      <c r="BG501" s="140"/>
      <c r="BH501" s="140"/>
      <c r="BI501" s="140"/>
      <c r="BJ501" s="140"/>
      <c r="BK501" s="140"/>
      <c r="BL501" s="140"/>
      <c r="BM501" s="140"/>
      <c r="BN501" s="140"/>
      <c r="BO501" s="140"/>
      <c r="BP501" s="140"/>
      <c r="BQ501" s="140"/>
      <c r="BR501" s="140"/>
      <c r="BS501" s="140"/>
      <c r="BT501" s="140"/>
      <c r="BU501" s="140"/>
      <c r="BV501" s="140"/>
      <c r="BW501" s="140"/>
      <c r="BX501" s="140"/>
      <c r="BY501" s="140"/>
      <c r="BZ501" s="140"/>
      <c r="CA501" s="140"/>
      <c r="CB501" s="140"/>
      <c r="CC501" s="140"/>
      <c r="CD501" s="140"/>
      <c r="CE501" s="140"/>
      <c r="CF501" s="140"/>
      <c r="CG501" s="140"/>
      <c r="CH501" s="140"/>
      <c r="CI501" s="140"/>
      <c r="CJ501" s="140"/>
      <c r="CK501" s="140"/>
      <c r="CL501" s="140"/>
      <c r="CM501" s="140"/>
      <c r="CN501" s="140"/>
      <c r="CO501" s="140"/>
      <c r="CP501" s="140"/>
      <c r="CQ501" s="140"/>
      <c r="CR501" s="140"/>
      <c r="CS501" s="140"/>
      <c r="CT501" s="140"/>
      <c r="CU501" s="140"/>
      <c r="CV501" s="140"/>
      <c r="CW501" s="140"/>
      <c r="CX501" s="140"/>
      <c r="CY501" s="140"/>
      <c r="CZ501" s="140"/>
      <c r="DA501" s="140"/>
      <c r="DB501" s="140"/>
      <c r="DC501" s="140"/>
      <c r="DD501" s="140"/>
      <c r="DE501" s="140"/>
      <c r="DF501" s="140"/>
      <c r="DG501" s="140"/>
      <c r="DH501" s="140"/>
      <c r="DI501" s="140"/>
      <c r="DJ501" s="140"/>
      <c r="DK501" s="140"/>
      <c r="DL501" s="140"/>
      <c r="DM501" s="140"/>
      <c r="DN501" s="140"/>
      <c r="DO501" s="140"/>
    </row>
    <row r="502" spans="1:119" s="107" customFormat="1" ht="34.5" customHeight="1">
      <c r="A502" s="265"/>
      <c r="B502" s="238" t="s">
        <v>643</v>
      </c>
      <c r="C502" s="1057">
        <f>CEILING(46*$Z$1,0.1)</f>
        <v>57.5</v>
      </c>
      <c r="D502" s="1058"/>
      <c r="E502" s="1057">
        <f>CEILING(46*$Z$1,0.1)</f>
        <v>57.5</v>
      </c>
      <c r="F502" s="1058"/>
      <c r="G502" s="1057">
        <f>CEILING(46*$Z$1,0.1)</f>
        <v>57.5</v>
      </c>
      <c r="H502" s="1058"/>
      <c r="I502" s="1061"/>
      <c r="J502" s="1061"/>
      <c r="K502" s="1061"/>
      <c r="L502" s="1061"/>
      <c r="M502" s="124"/>
      <c r="N502" s="103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4"/>
      <c r="Z502" s="114"/>
      <c r="AA502" s="114"/>
      <c r="AB502" s="114"/>
      <c r="AC502" s="114"/>
      <c r="AD502" s="114"/>
      <c r="AE502" s="114"/>
      <c r="AF502" s="114"/>
      <c r="AG502" s="114"/>
      <c r="AH502" s="114"/>
      <c r="AI502" s="114"/>
      <c r="AJ502" s="114"/>
      <c r="AK502" s="114"/>
      <c r="AL502" s="140"/>
      <c r="AM502" s="140"/>
      <c r="AN502" s="140"/>
      <c r="AO502" s="140"/>
      <c r="AP502" s="140"/>
      <c r="AQ502" s="140"/>
      <c r="AR502" s="140"/>
      <c r="AS502" s="140"/>
      <c r="AT502" s="140"/>
      <c r="AU502" s="140"/>
      <c r="AV502" s="140"/>
      <c r="AW502" s="140"/>
      <c r="AX502" s="140"/>
      <c r="AY502" s="140"/>
      <c r="AZ502" s="140"/>
      <c r="BA502" s="140"/>
      <c r="BB502" s="140"/>
      <c r="BC502" s="140"/>
      <c r="BD502" s="140"/>
      <c r="BE502" s="140"/>
      <c r="BF502" s="140"/>
      <c r="BG502" s="140"/>
      <c r="BH502" s="140"/>
      <c r="BI502" s="140"/>
      <c r="BJ502" s="140"/>
      <c r="BK502" s="140"/>
      <c r="BL502" s="140"/>
      <c r="BM502" s="140"/>
      <c r="BN502" s="140"/>
      <c r="BO502" s="140"/>
      <c r="BP502" s="140"/>
      <c r="BQ502" s="140"/>
      <c r="BR502" s="140"/>
      <c r="BS502" s="140"/>
      <c r="BT502" s="140"/>
      <c r="BU502" s="140"/>
      <c r="BV502" s="140"/>
      <c r="BW502" s="140"/>
      <c r="BX502" s="140"/>
      <c r="BY502" s="140"/>
      <c r="BZ502" s="140"/>
      <c r="CA502" s="140"/>
      <c r="CB502" s="140"/>
      <c r="CC502" s="140"/>
      <c r="CD502" s="140"/>
      <c r="CE502" s="140"/>
      <c r="CF502" s="140"/>
      <c r="CG502" s="140"/>
      <c r="CH502" s="140"/>
      <c r="CI502" s="140"/>
      <c r="CJ502" s="140"/>
      <c r="CK502" s="140"/>
      <c r="CL502" s="140"/>
      <c r="CM502" s="140"/>
      <c r="CN502" s="140"/>
      <c r="CO502" s="140"/>
      <c r="CP502" s="140"/>
      <c r="CQ502" s="140"/>
      <c r="CR502" s="140"/>
      <c r="CS502" s="140"/>
      <c r="CT502" s="140"/>
      <c r="CU502" s="140"/>
      <c r="CV502" s="140"/>
      <c r="CW502" s="140"/>
      <c r="CX502" s="140"/>
      <c r="CY502" s="140"/>
      <c r="CZ502" s="140"/>
      <c r="DA502" s="140"/>
      <c r="DB502" s="140"/>
      <c r="DC502" s="140"/>
      <c r="DD502" s="140"/>
      <c r="DE502" s="140"/>
      <c r="DF502" s="140"/>
      <c r="DG502" s="140"/>
      <c r="DH502" s="140"/>
      <c r="DI502" s="140"/>
      <c r="DJ502" s="140"/>
      <c r="DK502" s="140"/>
      <c r="DL502" s="140"/>
      <c r="DM502" s="140"/>
      <c r="DN502" s="140"/>
      <c r="DO502" s="140"/>
    </row>
    <row r="503" spans="1:119" s="107" customFormat="1" ht="34.5" customHeight="1" thickBot="1">
      <c r="A503" s="459" t="s">
        <v>563</v>
      </c>
      <c r="B503" s="297" t="s">
        <v>644</v>
      </c>
      <c r="C503" s="1059">
        <f>CEILING((C502+10*$Z$1),0.1)</f>
        <v>70</v>
      </c>
      <c r="D503" s="1060"/>
      <c r="E503" s="1059">
        <f>CEILING((E502+10*$Z$1),0.1)</f>
        <v>70</v>
      </c>
      <c r="F503" s="1060"/>
      <c r="G503" s="1059">
        <f>CEILING((G502+10*$Z$1),0.1)</f>
        <v>70</v>
      </c>
      <c r="H503" s="1060"/>
      <c r="I503" s="1061"/>
      <c r="J503" s="1061"/>
      <c r="K503" s="1061"/>
      <c r="L503" s="1061"/>
      <c r="M503" s="124"/>
      <c r="N503" s="103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  <c r="Z503" s="114"/>
      <c r="AA503" s="114"/>
      <c r="AB503" s="114"/>
      <c r="AC503" s="114"/>
      <c r="AD503" s="114"/>
      <c r="AE503" s="114"/>
      <c r="AF503" s="114"/>
      <c r="AG503" s="114"/>
      <c r="AH503" s="114"/>
      <c r="AI503" s="114"/>
      <c r="AJ503" s="114"/>
      <c r="AK503" s="114"/>
      <c r="AL503" s="140"/>
      <c r="AM503" s="140"/>
      <c r="AN503" s="140"/>
      <c r="AO503" s="140"/>
      <c r="AP503" s="140"/>
      <c r="AQ503" s="140"/>
      <c r="AR503" s="140"/>
      <c r="AS503" s="140"/>
      <c r="AT503" s="140"/>
      <c r="AU503" s="140"/>
      <c r="AV503" s="140"/>
      <c r="AW503" s="140"/>
      <c r="AX503" s="140"/>
      <c r="AY503" s="140"/>
      <c r="AZ503" s="140"/>
      <c r="BA503" s="140"/>
      <c r="BB503" s="140"/>
      <c r="BC503" s="140"/>
      <c r="BD503" s="140"/>
      <c r="BE503" s="140"/>
      <c r="BF503" s="140"/>
      <c r="BG503" s="140"/>
      <c r="BH503" s="140"/>
      <c r="BI503" s="140"/>
      <c r="BJ503" s="140"/>
      <c r="BK503" s="140"/>
      <c r="BL503" s="140"/>
      <c r="BM503" s="140"/>
      <c r="BN503" s="140"/>
      <c r="BO503" s="140"/>
      <c r="BP503" s="140"/>
      <c r="BQ503" s="140"/>
      <c r="BR503" s="140"/>
      <c r="BS503" s="140"/>
      <c r="BT503" s="140"/>
      <c r="BU503" s="140"/>
      <c r="BV503" s="140"/>
      <c r="BW503" s="140"/>
      <c r="BX503" s="140"/>
      <c r="BY503" s="140"/>
      <c r="BZ503" s="140"/>
      <c r="CA503" s="140"/>
      <c r="CB503" s="140"/>
      <c r="CC503" s="140"/>
      <c r="CD503" s="140"/>
      <c r="CE503" s="140"/>
      <c r="CF503" s="140"/>
      <c r="CG503" s="140"/>
      <c r="CH503" s="140"/>
      <c r="CI503" s="140"/>
      <c r="CJ503" s="140"/>
      <c r="CK503" s="140"/>
      <c r="CL503" s="140"/>
      <c r="CM503" s="140"/>
      <c r="CN503" s="140"/>
      <c r="CO503" s="140"/>
      <c r="CP503" s="140"/>
      <c r="CQ503" s="140"/>
      <c r="CR503" s="140"/>
      <c r="CS503" s="140"/>
      <c r="CT503" s="140"/>
      <c r="CU503" s="140"/>
      <c r="CV503" s="140"/>
      <c r="CW503" s="140"/>
      <c r="CX503" s="140"/>
      <c r="CY503" s="140"/>
      <c r="CZ503" s="140"/>
      <c r="DA503" s="140"/>
      <c r="DB503" s="140"/>
      <c r="DC503" s="140"/>
      <c r="DD503" s="140"/>
      <c r="DE503" s="140"/>
      <c r="DF503" s="140"/>
      <c r="DG503" s="140"/>
      <c r="DH503" s="140"/>
      <c r="DI503" s="140"/>
      <c r="DJ503" s="140"/>
      <c r="DK503" s="140"/>
      <c r="DL503" s="140"/>
      <c r="DM503" s="140"/>
      <c r="DN503" s="140"/>
      <c r="DO503" s="140"/>
    </row>
    <row r="504" spans="1:119" s="107" customFormat="1" ht="34.5" customHeight="1" thickBot="1" thickTop="1">
      <c r="A504" s="477"/>
      <c r="B504" s="478"/>
      <c r="C504" s="479"/>
      <c r="D504" s="479"/>
      <c r="E504" s="430"/>
      <c r="F504" s="430"/>
      <c r="G504" s="430"/>
      <c r="H504" s="430"/>
      <c r="I504" s="430"/>
      <c r="J504" s="430"/>
      <c r="K504" s="138"/>
      <c r="L504" s="138"/>
      <c r="M504" s="124"/>
      <c r="N504" s="103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  <c r="Z504" s="114"/>
      <c r="AA504" s="114"/>
      <c r="AB504" s="114"/>
      <c r="AC504" s="114"/>
      <c r="AD504" s="114"/>
      <c r="AE504" s="114"/>
      <c r="AF504" s="114"/>
      <c r="AG504" s="114"/>
      <c r="AH504" s="114"/>
      <c r="AI504" s="114"/>
      <c r="AJ504" s="114"/>
      <c r="AK504" s="114"/>
      <c r="AL504" s="140"/>
      <c r="AM504" s="140"/>
      <c r="AN504" s="140"/>
      <c r="AO504" s="140"/>
      <c r="AP504" s="140"/>
      <c r="AQ504" s="140"/>
      <c r="AR504" s="140"/>
      <c r="AS504" s="140"/>
      <c r="AT504" s="140"/>
      <c r="AU504" s="140"/>
      <c r="AV504" s="140"/>
      <c r="AW504" s="140"/>
      <c r="AX504" s="140"/>
      <c r="AY504" s="140"/>
      <c r="AZ504" s="140"/>
      <c r="BA504" s="140"/>
      <c r="BB504" s="140"/>
      <c r="BC504" s="140"/>
      <c r="BD504" s="140"/>
      <c r="BE504" s="140"/>
      <c r="BF504" s="140"/>
      <c r="BG504" s="140"/>
      <c r="BH504" s="140"/>
      <c r="BI504" s="140"/>
      <c r="BJ504" s="140"/>
      <c r="BK504" s="140"/>
      <c r="BL504" s="140"/>
      <c r="BM504" s="140"/>
      <c r="BN504" s="140"/>
      <c r="BO504" s="140"/>
      <c r="BP504" s="140"/>
      <c r="BQ504" s="140"/>
      <c r="BR504" s="140"/>
      <c r="BS504" s="140"/>
      <c r="BT504" s="140"/>
      <c r="BU504" s="140"/>
      <c r="BV504" s="140"/>
      <c r="BW504" s="140"/>
      <c r="BX504" s="140"/>
      <c r="BY504" s="140"/>
      <c r="BZ504" s="140"/>
      <c r="CA504" s="140"/>
      <c r="CB504" s="140"/>
      <c r="CC504" s="140"/>
      <c r="CD504" s="140"/>
      <c r="CE504" s="140"/>
      <c r="CF504" s="140"/>
      <c r="CG504" s="140"/>
      <c r="CH504" s="140"/>
      <c r="CI504" s="140"/>
      <c r="CJ504" s="140"/>
      <c r="CK504" s="140"/>
      <c r="CL504" s="140"/>
      <c r="CM504" s="140"/>
      <c r="CN504" s="140"/>
      <c r="CO504" s="140"/>
      <c r="CP504" s="140"/>
      <c r="CQ504" s="140"/>
      <c r="CR504" s="140"/>
      <c r="CS504" s="140"/>
      <c r="CT504" s="140"/>
      <c r="CU504" s="140"/>
      <c r="CV504" s="140"/>
      <c r="CW504" s="140"/>
      <c r="CX504" s="140"/>
      <c r="CY504" s="140"/>
      <c r="CZ504" s="140"/>
      <c r="DA504" s="140"/>
      <c r="DB504" s="140"/>
      <c r="DC504" s="140"/>
      <c r="DD504" s="140"/>
      <c r="DE504" s="140"/>
      <c r="DF504" s="140"/>
      <c r="DG504" s="140"/>
      <c r="DH504" s="140"/>
      <c r="DI504" s="140"/>
      <c r="DJ504" s="140"/>
      <c r="DK504" s="140"/>
      <c r="DL504" s="140"/>
      <c r="DM504" s="140"/>
      <c r="DN504" s="140"/>
      <c r="DO504" s="140"/>
    </row>
    <row r="505" spans="1:42" s="214" customFormat="1" ht="34.5" customHeight="1" thickTop="1">
      <c r="A505" s="207" t="s">
        <v>34</v>
      </c>
      <c r="B505" s="208" t="s">
        <v>637</v>
      </c>
      <c r="C505" s="209" t="s">
        <v>921</v>
      </c>
      <c r="D505" s="210"/>
      <c r="E505" s="211" t="s">
        <v>922</v>
      </c>
      <c r="F505" s="212"/>
      <c r="G505" s="211" t="s">
        <v>923</v>
      </c>
      <c r="H505" s="212"/>
      <c r="I505" s="1070"/>
      <c r="J505" s="1071"/>
      <c r="K505" s="1070"/>
      <c r="L505" s="1070"/>
      <c r="M505" s="174"/>
      <c r="N505" s="174"/>
      <c r="O505" s="213"/>
      <c r="P505" s="213"/>
      <c r="Q505" s="213"/>
      <c r="R505" s="213"/>
      <c r="S505" s="213"/>
      <c r="T505" s="213"/>
      <c r="U505" s="213"/>
      <c r="V505" s="213"/>
      <c r="W505" s="213"/>
      <c r="X505" s="213"/>
      <c r="Y505" s="213"/>
      <c r="Z505" s="213"/>
      <c r="AA505" s="213"/>
      <c r="AB505" s="213"/>
      <c r="AC505" s="213"/>
      <c r="AD505" s="213"/>
      <c r="AE505" s="213"/>
      <c r="AF505" s="213"/>
      <c r="AG505" s="213"/>
      <c r="AH505" s="213"/>
      <c r="AI505" s="213"/>
      <c r="AJ505" s="213"/>
      <c r="AK505" s="213"/>
      <c r="AL505" s="213"/>
      <c r="AM505" s="213"/>
      <c r="AN505" s="213"/>
      <c r="AO505" s="213"/>
      <c r="AP505" s="213"/>
    </row>
    <row r="506" spans="1:37" s="140" customFormat="1" ht="34.5" customHeight="1">
      <c r="A506" s="480" t="s">
        <v>90</v>
      </c>
      <c r="B506" s="236" t="s">
        <v>42</v>
      </c>
      <c r="C506" s="1073">
        <f>CEILING(44*$Z$1,0.1)</f>
        <v>55</v>
      </c>
      <c r="D506" s="1074"/>
      <c r="E506" s="1073">
        <f>CEILING(44*$Z$1,0.1)</f>
        <v>55</v>
      </c>
      <c r="F506" s="1074"/>
      <c r="G506" s="1073">
        <f>CEILING(44*$Z$1,0.1)</f>
        <v>55</v>
      </c>
      <c r="H506" s="1074"/>
      <c r="I506" s="1061"/>
      <c r="J506" s="1061"/>
      <c r="K506" s="1061"/>
      <c r="L506" s="1061"/>
      <c r="M506" s="124"/>
      <c r="N506" s="103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  <c r="AA506" s="114"/>
      <c r="AB506" s="114"/>
      <c r="AC506" s="114"/>
      <c r="AD506" s="114"/>
      <c r="AE506" s="114"/>
      <c r="AF506" s="114"/>
      <c r="AG506" s="114"/>
      <c r="AH506" s="114"/>
      <c r="AI506" s="114"/>
      <c r="AJ506" s="114"/>
      <c r="AK506" s="114"/>
    </row>
    <row r="507" spans="1:37" s="140" customFormat="1" ht="34.5" customHeight="1">
      <c r="A507" s="134"/>
      <c r="B507" s="238" t="s">
        <v>43</v>
      </c>
      <c r="C507" s="1057">
        <f>CEILING(55*$Z$1,0.1)</f>
        <v>68.8</v>
      </c>
      <c r="D507" s="1058"/>
      <c r="E507" s="1057">
        <f>CEILING(55*$Z$1,0.1)</f>
        <v>68.8</v>
      </c>
      <c r="F507" s="1058"/>
      <c r="G507" s="1057">
        <f>CEILING(55*$Z$1,0.1)</f>
        <v>68.8</v>
      </c>
      <c r="H507" s="1058"/>
      <c r="I507" s="1061"/>
      <c r="J507" s="1061"/>
      <c r="K507" s="1061"/>
      <c r="L507" s="1061"/>
      <c r="M507" s="148"/>
      <c r="N507" s="148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  <c r="AA507" s="114"/>
      <c r="AB507" s="114"/>
      <c r="AC507" s="114"/>
      <c r="AD507" s="114"/>
      <c r="AE507" s="114"/>
      <c r="AF507" s="114"/>
      <c r="AG507" s="114"/>
      <c r="AH507" s="114"/>
      <c r="AI507" s="114"/>
      <c r="AJ507" s="114"/>
      <c r="AK507" s="114"/>
    </row>
    <row r="508" spans="1:119" s="473" customFormat="1" ht="34.5" customHeight="1">
      <c r="A508" s="349" t="s">
        <v>328</v>
      </c>
      <c r="B508" s="481" t="s">
        <v>641</v>
      </c>
      <c r="C508" s="1059">
        <f>CEILING((C506*0.7),0.1)</f>
        <v>38.5</v>
      </c>
      <c r="D508" s="1060"/>
      <c r="E508" s="1059">
        <f>CEILING((E506*0.7),0.1)</f>
        <v>38.5</v>
      </c>
      <c r="F508" s="1060"/>
      <c r="G508" s="1059">
        <f>CEILING((G506*0.7),0.1)</f>
        <v>38.5</v>
      </c>
      <c r="H508" s="1060"/>
      <c r="I508" s="1061"/>
      <c r="J508" s="1061"/>
      <c r="K508" s="1061"/>
      <c r="L508" s="1061"/>
      <c r="M508" s="148"/>
      <c r="N508" s="148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  <c r="AA508" s="114"/>
      <c r="AB508" s="114"/>
      <c r="AC508" s="114"/>
      <c r="AD508" s="114"/>
      <c r="AE508" s="114"/>
      <c r="AF508" s="114"/>
      <c r="AG508" s="114"/>
      <c r="AH508" s="114"/>
      <c r="AI508" s="114"/>
      <c r="AJ508" s="114"/>
      <c r="AK508" s="114"/>
      <c r="AL508" s="140"/>
      <c r="AM508" s="140"/>
      <c r="AN508" s="140"/>
      <c r="AO508" s="140"/>
      <c r="AP508" s="140"/>
      <c r="AQ508" s="140"/>
      <c r="AR508" s="140"/>
      <c r="AS508" s="140"/>
      <c r="AT508" s="140"/>
      <c r="AU508" s="140"/>
      <c r="AV508" s="140"/>
      <c r="AW508" s="140"/>
      <c r="AX508" s="140"/>
      <c r="AY508" s="140"/>
      <c r="AZ508" s="140"/>
      <c r="BA508" s="140"/>
      <c r="BB508" s="140"/>
      <c r="BC508" s="140"/>
      <c r="BD508" s="140"/>
      <c r="BE508" s="140"/>
      <c r="BF508" s="140"/>
      <c r="BG508" s="140"/>
      <c r="BH508" s="140"/>
      <c r="BI508" s="140"/>
      <c r="BJ508" s="140"/>
      <c r="BK508" s="140"/>
      <c r="BL508" s="140"/>
      <c r="BM508" s="140"/>
      <c r="BN508" s="140"/>
      <c r="BO508" s="140"/>
      <c r="BP508" s="140"/>
      <c r="BQ508" s="140"/>
      <c r="BR508" s="140"/>
      <c r="BS508" s="140"/>
      <c r="BT508" s="140"/>
      <c r="BU508" s="140"/>
      <c r="BV508" s="140"/>
      <c r="BW508" s="140"/>
      <c r="BX508" s="140"/>
      <c r="BY508" s="140"/>
      <c r="BZ508" s="140"/>
      <c r="CA508" s="140"/>
      <c r="CB508" s="140"/>
      <c r="CC508" s="140"/>
      <c r="CD508" s="140"/>
      <c r="CE508" s="140"/>
      <c r="CF508" s="140"/>
      <c r="CG508" s="140"/>
      <c r="CH508" s="140"/>
      <c r="CI508" s="140"/>
      <c r="CJ508" s="140"/>
      <c r="CK508" s="140"/>
      <c r="CL508" s="140"/>
      <c r="CM508" s="140"/>
      <c r="CN508" s="140"/>
      <c r="CO508" s="140"/>
      <c r="CP508" s="140"/>
      <c r="CQ508" s="140"/>
      <c r="CR508" s="140"/>
      <c r="CS508" s="140"/>
      <c r="CT508" s="140"/>
      <c r="CU508" s="140"/>
      <c r="CV508" s="140"/>
      <c r="CW508" s="140"/>
      <c r="CX508" s="140"/>
      <c r="CY508" s="140"/>
      <c r="CZ508" s="140"/>
      <c r="DA508" s="140"/>
      <c r="DB508" s="140"/>
      <c r="DC508" s="140"/>
      <c r="DD508" s="140"/>
      <c r="DE508" s="140"/>
      <c r="DF508" s="140"/>
      <c r="DG508" s="140"/>
      <c r="DH508" s="140"/>
      <c r="DI508" s="140"/>
      <c r="DJ508" s="140"/>
      <c r="DK508" s="140"/>
      <c r="DL508" s="140"/>
      <c r="DM508" s="140"/>
      <c r="DN508" s="140"/>
      <c r="DO508" s="140"/>
    </row>
    <row r="509" spans="1:12" s="114" customFormat="1" ht="34.5" customHeight="1">
      <c r="A509" s="451" t="s">
        <v>647</v>
      </c>
      <c r="B509" s="164"/>
      <c r="C509" s="164"/>
      <c r="D509" s="164"/>
      <c r="E509" s="164"/>
      <c r="F509" s="164"/>
      <c r="G509" s="164"/>
      <c r="H509" s="164"/>
      <c r="I509" s="164"/>
      <c r="J509" s="164"/>
      <c r="K509" s="157"/>
      <c r="L509" s="157"/>
    </row>
    <row r="510" spans="1:119" s="107" customFormat="1" ht="34.5" customHeight="1" thickBot="1">
      <c r="A510" s="482"/>
      <c r="B510" s="255"/>
      <c r="C510" s="239"/>
      <c r="D510" s="239"/>
      <c r="E510" s="239"/>
      <c r="F510" s="239"/>
      <c r="G510" s="239"/>
      <c r="H510" s="239"/>
      <c r="I510" s="148"/>
      <c r="J510" s="148"/>
      <c r="K510" s="113"/>
      <c r="L510" s="113"/>
      <c r="M510" s="148"/>
      <c r="N510" s="148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  <c r="AA510" s="114"/>
      <c r="AB510" s="114"/>
      <c r="AC510" s="114"/>
      <c r="AD510" s="114"/>
      <c r="AE510" s="114"/>
      <c r="AF510" s="114"/>
      <c r="AG510" s="114"/>
      <c r="AH510" s="114"/>
      <c r="AI510" s="114"/>
      <c r="AJ510" s="114"/>
      <c r="AK510" s="114"/>
      <c r="AL510" s="140"/>
      <c r="AM510" s="140"/>
      <c r="AN510" s="140"/>
      <c r="AO510" s="140"/>
      <c r="AP510" s="140"/>
      <c r="AQ510" s="140"/>
      <c r="AR510" s="140"/>
      <c r="AS510" s="140"/>
      <c r="AT510" s="140"/>
      <c r="AU510" s="140"/>
      <c r="AV510" s="140"/>
      <c r="AW510" s="140"/>
      <c r="AX510" s="140"/>
      <c r="AY510" s="140"/>
      <c r="AZ510" s="140"/>
      <c r="BA510" s="140"/>
      <c r="BB510" s="140"/>
      <c r="BC510" s="140"/>
      <c r="BD510" s="140"/>
      <c r="BE510" s="140"/>
      <c r="BF510" s="140"/>
      <c r="BG510" s="140"/>
      <c r="BH510" s="140"/>
      <c r="BI510" s="140"/>
      <c r="BJ510" s="140"/>
      <c r="BK510" s="140"/>
      <c r="BL510" s="140"/>
      <c r="BM510" s="140"/>
      <c r="BN510" s="140"/>
      <c r="BO510" s="140"/>
      <c r="BP510" s="140"/>
      <c r="BQ510" s="140"/>
      <c r="BR510" s="140"/>
      <c r="BS510" s="140"/>
      <c r="BT510" s="140"/>
      <c r="BU510" s="140"/>
      <c r="BV510" s="140"/>
      <c r="BW510" s="140"/>
      <c r="BX510" s="140"/>
      <c r="BY510" s="140"/>
      <c r="BZ510" s="140"/>
      <c r="CA510" s="140"/>
      <c r="CB510" s="140"/>
      <c r="CC510" s="140"/>
      <c r="CD510" s="140"/>
      <c r="CE510" s="140"/>
      <c r="CF510" s="140"/>
      <c r="CG510" s="140"/>
      <c r="CH510" s="140"/>
      <c r="CI510" s="140"/>
      <c r="CJ510" s="140"/>
      <c r="CK510" s="140"/>
      <c r="CL510" s="140"/>
      <c r="CM510" s="140"/>
      <c r="CN510" s="140"/>
      <c r="CO510" s="140"/>
      <c r="CP510" s="140"/>
      <c r="CQ510" s="140"/>
      <c r="CR510" s="140"/>
      <c r="CS510" s="140"/>
      <c r="CT510" s="140"/>
      <c r="CU510" s="140"/>
      <c r="CV510" s="140"/>
      <c r="CW510" s="140"/>
      <c r="CX510" s="140"/>
      <c r="CY510" s="140"/>
      <c r="CZ510" s="140"/>
      <c r="DA510" s="140"/>
      <c r="DB510" s="140"/>
      <c r="DC510" s="140"/>
      <c r="DD510" s="140"/>
      <c r="DE510" s="140"/>
      <c r="DF510" s="140"/>
      <c r="DG510" s="140"/>
      <c r="DH510" s="140"/>
      <c r="DI510" s="140"/>
      <c r="DJ510" s="140"/>
      <c r="DK510" s="140"/>
      <c r="DL510" s="140"/>
      <c r="DM510" s="140"/>
      <c r="DN510" s="140"/>
      <c r="DO510" s="140"/>
    </row>
    <row r="511" spans="1:42" s="214" customFormat="1" ht="34.5" customHeight="1" thickTop="1">
      <c r="A511" s="207" t="s">
        <v>34</v>
      </c>
      <c r="B511" s="208" t="s">
        <v>637</v>
      </c>
      <c r="C511" s="209" t="s">
        <v>921</v>
      </c>
      <c r="D511" s="210"/>
      <c r="E511" s="211" t="s">
        <v>922</v>
      </c>
      <c r="F511" s="212"/>
      <c r="G511" s="211" t="s">
        <v>923</v>
      </c>
      <c r="H511" s="212"/>
      <c r="I511" s="1070"/>
      <c r="J511" s="1071"/>
      <c r="K511" s="1070"/>
      <c r="L511" s="1070"/>
      <c r="M511" s="174"/>
      <c r="N511" s="174"/>
      <c r="O511" s="213"/>
      <c r="P511" s="213"/>
      <c r="Q511" s="213"/>
      <c r="R511" s="213"/>
      <c r="S511" s="213"/>
      <c r="T511" s="213"/>
      <c r="U511" s="213"/>
      <c r="V511" s="213"/>
      <c r="W511" s="213"/>
      <c r="X511" s="213"/>
      <c r="Y511" s="213"/>
      <c r="Z511" s="213"/>
      <c r="AA511" s="213"/>
      <c r="AB511" s="213"/>
      <c r="AC511" s="213"/>
      <c r="AD511" s="213"/>
      <c r="AE511" s="213"/>
      <c r="AF511" s="213"/>
      <c r="AG511" s="213"/>
      <c r="AH511" s="213"/>
      <c r="AI511" s="213"/>
      <c r="AJ511" s="213"/>
      <c r="AK511" s="213"/>
      <c r="AL511" s="213"/>
      <c r="AM511" s="213"/>
      <c r="AN511" s="213"/>
      <c r="AO511" s="213"/>
      <c r="AP511" s="213"/>
    </row>
    <row r="512" spans="1:25" s="140" customFormat="1" ht="34.5" customHeight="1">
      <c r="A512" s="480" t="s">
        <v>645</v>
      </c>
      <c r="B512" s="236" t="s">
        <v>42</v>
      </c>
      <c r="C512" s="1073">
        <f>CEILING(40*$Z$1,0.1)</f>
        <v>50</v>
      </c>
      <c r="D512" s="1074"/>
      <c r="E512" s="1073">
        <f>CEILING(40*$Z$1,0.1)</f>
        <v>50</v>
      </c>
      <c r="F512" s="1074"/>
      <c r="G512" s="1073">
        <f>CEILING(40*$Z$1,0.1)</f>
        <v>50</v>
      </c>
      <c r="H512" s="1074"/>
      <c r="I512" s="1061"/>
      <c r="J512" s="1061"/>
      <c r="K512" s="1061"/>
      <c r="L512" s="1061"/>
      <c r="M512" s="124"/>
      <c r="N512" s="103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</row>
    <row r="513" spans="1:25" s="140" customFormat="1" ht="34.5" customHeight="1">
      <c r="A513" s="134"/>
      <c r="B513" s="238" t="s">
        <v>43</v>
      </c>
      <c r="C513" s="1057">
        <f>CEILING(51*$Z$1,0.1)</f>
        <v>63.800000000000004</v>
      </c>
      <c r="D513" s="1058"/>
      <c r="E513" s="1057">
        <f>CEILING(51*$Z$1,0.1)</f>
        <v>63.800000000000004</v>
      </c>
      <c r="F513" s="1058"/>
      <c r="G513" s="1057">
        <f>CEILING(51*$Z$1,0.1)</f>
        <v>63.800000000000004</v>
      </c>
      <c r="H513" s="1058"/>
      <c r="I513" s="1061"/>
      <c r="J513" s="1061"/>
      <c r="K513" s="1061"/>
      <c r="L513" s="1061"/>
      <c r="M513" s="124"/>
      <c r="N513" s="103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</row>
    <row r="514" spans="1:42" s="473" customFormat="1" ht="34.5" customHeight="1">
      <c r="A514" s="349" t="s">
        <v>328</v>
      </c>
      <c r="B514" s="481" t="s">
        <v>641</v>
      </c>
      <c r="C514" s="1059">
        <f>CEILING((C512*0.7),0.1)</f>
        <v>35</v>
      </c>
      <c r="D514" s="1060"/>
      <c r="E514" s="1059">
        <f>CEILING((E512*0.7),0.1)</f>
        <v>35</v>
      </c>
      <c r="F514" s="1060"/>
      <c r="G514" s="1059">
        <f>CEILING((G512*0.7),0.1)</f>
        <v>35</v>
      </c>
      <c r="H514" s="1060"/>
      <c r="I514" s="1061"/>
      <c r="J514" s="1061"/>
      <c r="K514" s="1061"/>
      <c r="L514" s="1061"/>
      <c r="M514" s="124"/>
      <c r="N514" s="103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40"/>
      <c r="AA514" s="140"/>
      <c r="AB514" s="140"/>
      <c r="AC514" s="140"/>
      <c r="AD514" s="140"/>
      <c r="AE514" s="140"/>
      <c r="AF514" s="140"/>
      <c r="AG514" s="140"/>
      <c r="AH514" s="140"/>
      <c r="AI514" s="140"/>
      <c r="AJ514" s="140"/>
      <c r="AK514" s="140"/>
      <c r="AL514" s="140"/>
      <c r="AM514" s="140"/>
      <c r="AN514" s="140"/>
      <c r="AO514" s="140"/>
      <c r="AP514" s="140"/>
    </row>
    <row r="515" spans="1:12" s="114" customFormat="1" ht="34.5" customHeight="1">
      <c r="A515" s="451" t="s">
        <v>646</v>
      </c>
      <c r="B515" s="164"/>
      <c r="C515" s="164"/>
      <c r="D515" s="164"/>
      <c r="E515" s="164"/>
      <c r="F515" s="164"/>
      <c r="G515" s="164"/>
      <c r="H515" s="164"/>
      <c r="I515" s="164"/>
      <c r="J515" s="164"/>
      <c r="K515" s="157"/>
      <c r="L515" s="157"/>
    </row>
    <row r="516" spans="1:25" s="140" customFormat="1" ht="34.5" customHeight="1" thickBot="1">
      <c r="A516" s="386"/>
      <c r="B516" s="386"/>
      <c r="C516" s="386"/>
      <c r="D516" s="386"/>
      <c r="E516" s="386"/>
      <c r="F516" s="386"/>
      <c r="G516" s="386"/>
      <c r="H516" s="386"/>
      <c r="I516" s="386"/>
      <c r="J516" s="386"/>
      <c r="K516" s="113"/>
      <c r="L516" s="113"/>
      <c r="M516" s="483"/>
      <c r="N516" s="483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</row>
    <row r="517" spans="1:42" s="214" customFormat="1" ht="34.5" customHeight="1" thickTop="1">
      <c r="A517" s="207" t="s">
        <v>34</v>
      </c>
      <c r="B517" s="208" t="s">
        <v>637</v>
      </c>
      <c r="C517" s="209" t="s">
        <v>921</v>
      </c>
      <c r="D517" s="210"/>
      <c r="E517" s="211" t="s">
        <v>922</v>
      </c>
      <c r="F517" s="484"/>
      <c r="G517" s="485" t="s">
        <v>923</v>
      </c>
      <c r="H517" s="486"/>
      <c r="I517" s="1070"/>
      <c r="J517" s="1071"/>
      <c r="K517" s="1070"/>
      <c r="L517" s="1070"/>
      <c r="M517" s="174"/>
      <c r="N517" s="174"/>
      <c r="O517" s="213"/>
      <c r="P517" s="213"/>
      <c r="Q517" s="213"/>
      <c r="R517" s="213"/>
      <c r="S517" s="213"/>
      <c r="T517" s="213"/>
      <c r="U517" s="213"/>
      <c r="V517" s="213"/>
      <c r="W517" s="213"/>
      <c r="X517" s="213"/>
      <c r="Y517" s="213"/>
      <c r="Z517" s="213"/>
      <c r="AA517" s="213"/>
      <c r="AB517" s="213"/>
      <c r="AC517" s="213"/>
      <c r="AD517" s="213"/>
      <c r="AE517" s="213"/>
      <c r="AF517" s="213"/>
      <c r="AG517" s="213"/>
      <c r="AH517" s="213"/>
      <c r="AI517" s="213"/>
      <c r="AJ517" s="213"/>
      <c r="AK517" s="213"/>
      <c r="AL517" s="213"/>
      <c r="AM517" s="213"/>
      <c r="AN517" s="213"/>
      <c r="AO517" s="213"/>
      <c r="AP517" s="213"/>
    </row>
    <row r="518" spans="1:25" s="140" customFormat="1" ht="34.5" customHeight="1">
      <c r="A518" s="350" t="s">
        <v>85</v>
      </c>
      <c r="B518" s="264" t="s">
        <v>42</v>
      </c>
      <c r="C518" s="1073">
        <f>CEILING(44*$Z$1,0.1)</f>
        <v>55</v>
      </c>
      <c r="D518" s="1074"/>
      <c r="E518" s="1073">
        <f>CEILING(44*$Z$1,0.1)</f>
        <v>55</v>
      </c>
      <c r="F518" s="1117"/>
      <c r="G518" s="1057">
        <f>CEILING(44*$Z$1,0.1)</f>
        <v>55</v>
      </c>
      <c r="H518" s="1058"/>
      <c r="I518" s="1061"/>
      <c r="J518" s="1061"/>
      <c r="K518" s="1061"/>
      <c r="L518" s="1061"/>
      <c r="M518" s="483"/>
      <c r="N518" s="483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</row>
    <row r="519" spans="1:25" s="140" customFormat="1" ht="34.5" customHeight="1">
      <c r="A519" s="295" t="s">
        <v>80</v>
      </c>
      <c r="B519" s="241" t="s">
        <v>43</v>
      </c>
      <c r="C519" s="1057">
        <f>CEILING(55*$Z$1,0.1)</f>
        <v>68.8</v>
      </c>
      <c r="D519" s="1058"/>
      <c r="E519" s="1057">
        <f>CEILING(55*$Z$1,0.1)</f>
        <v>68.8</v>
      </c>
      <c r="F519" s="1061"/>
      <c r="G519" s="1057">
        <f>CEILING(55*$Z$1,0.1)</f>
        <v>68.8</v>
      </c>
      <c r="H519" s="1058"/>
      <c r="I519" s="1061"/>
      <c r="J519" s="1061"/>
      <c r="K519" s="1061"/>
      <c r="L519" s="1061"/>
      <c r="M519" s="483"/>
      <c r="N519" s="483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</row>
    <row r="520" spans="1:25" s="140" customFormat="1" ht="34.5" customHeight="1">
      <c r="A520" s="295"/>
      <c r="B520" s="241" t="s">
        <v>38</v>
      </c>
      <c r="C520" s="1057">
        <f>CEILING((C518*0.85),0.1)</f>
        <v>46.800000000000004</v>
      </c>
      <c r="D520" s="1058"/>
      <c r="E520" s="1057">
        <f>CEILING((E518*0.85),0.1)</f>
        <v>46.800000000000004</v>
      </c>
      <c r="F520" s="1061"/>
      <c r="G520" s="1057">
        <f>CEILING((G518*0.85),0.1)</f>
        <v>46.800000000000004</v>
      </c>
      <c r="H520" s="1058"/>
      <c r="I520" s="1061"/>
      <c r="J520" s="1061"/>
      <c r="K520" s="1061"/>
      <c r="L520" s="1061"/>
      <c r="M520" s="483"/>
      <c r="N520" s="483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</row>
    <row r="521" spans="1:25" s="140" customFormat="1" ht="34.5" customHeight="1">
      <c r="A521" s="134"/>
      <c r="B521" s="330" t="s">
        <v>641</v>
      </c>
      <c r="C521" s="1057">
        <f>CEILING((C518*0.7),0.1)</f>
        <v>38.5</v>
      </c>
      <c r="D521" s="1058"/>
      <c r="E521" s="1057">
        <f>CEILING((E518*0.7),0.1)</f>
        <v>38.5</v>
      </c>
      <c r="F521" s="1061"/>
      <c r="G521" s="1057">
        <f>CEILING((G518*0.7),0.1)</f>
        <v>38.5</v>
      </c>
      <c r="H521" s="1058"/>
      <c r="I521" s="1061"/>
      <c r="J521" s="1061"/>
      <c r="K521" s="1061"/>
      <c r="L521" s="1061"/>
      <c r="M521" s="129"/>
      <c r="N521" s="129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</row>
    <row r="522" spans="1:25" s="140" customFormat="1" ht="34.5" customHeight="1">
      <c r="A522" s="295"/>
      <c r="B522" s="238" t="s">
        <v>162</v>
      </c>
      <c r="C522" s="1057">
        <f>CEILING(51*$Z$1,0.1)</f>
        <v>63.800000000000004</v>
      </c>
      <c r="D522" s="1058"/>
      <c r="E522" s="1057">
        <f>CEILING(51*$Z$1,0.1)</f>
        <v>63.800000000000004</v>
      </c>
      <c r="F522" s="1061"/>
      <c r="G522" s="1057">
        <f>CEILING(51*$Z$1,0.1)</f>
        <v>63.800000000000004</v>
      </c>
      <c r="H522" s="1058"/>
      <c r="I522" s="1061"/>
      <c r="J522" s="1061"/>
      <c r="K522" s="1061"/>
      <c r="L522" s="1061"/>
      <c r="M522" s="129"/>
      <c r="N522" s="129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</row>
    <row r="523" spans="1:45" s="473" customFormat="1" ht="34.5" customHeight="1">
      <c r="A523" s="349" t="s">
        <v>327</v>
      </c>
      <c r="B523" s="481" t="s">
        <v>163</v>
      </c>
      <c r="C523" s="1059">
        <f>CEILING(62*$Z$1,0.1)</f>
        <v>77.5</v>
      </c>
      <c r="D523" s="1060"/>
      <c r="E523" s="1059">
        <f>CEILING(62*$Z$1,0.1)</f>
        <v>77.5</v>
      </c>
      <c r="F523" s="1207"/>
      <c r="G523" s="1059">
        <f>CEILING(62*$Z$1,0.1)</f>
        <v>77.5</v>
      </c>
      <c r="H523" s="1060"/>
      <c r="I523" s="1061"/>
      <c r="J523" s="1061"/>
      <c r="K523" s="1061"/>
      <c r="L523" s="1061"/>
      <c r="M523" s="148"/>
      <c r="N523" s="148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40"/>
      <c r="AA523" s="140"/>
      <c r="AB523" s="140"/>
      <c r="AC523" s="140"/>
      <c r="AD523" s="140"/>
      <c r="AE523" s="140"/>
      <c r="AF523" s="140"/>
      <c r="AG523" s="140"/>
      <c r="AH523" s="140"/>
      <c r="AI523" s="140"/>
      <c r="AJ523" s="140"/>
      <c r="AK523" s="140"/>
      <c r="AL523" s="140"/>
      <c r="AM523" s="140"/>
      <c r="AN523" s="140"/>
      <c r="AO523" s="140"/>
      <c r="AP523" s="140"/>
      <c r="AQ523" s="140"/>
      <c r="AR523" s="140"/>
      <c r="AS523" s="140"/>
    </row>
    <row r="524" spans="1:12" s="114" customFormat="1" ht="34.5" customHeight="1">
      <c r="A524" s="451" t="s">
        <v>647</v>
      </c>
      <c r="B524" s="164"/>
      <c r="C524" s="164"/>
      <c r="D524" s="164"/>
      <c r="E524" s="164"/>
      <c r="F524" s="164"/>
      <c r="G524" s="164"/>
      <c r="H524" s="164"/>
      <c r="I524" s="164"/>
      <c r="J524" s="164"/>
      <c r="K524" s="157"/>
      <c r="L524" s="157"/>
    </row>
    <row r="525" spans="1:49" s="140" customFormat="1" ht="34.5" customHeight="1" thickBot="1">
      <c r="A525" s="386"/>
      <c r="B525" s="386"/>
      <c r="C525" s="386"/>
      <c r="D525" s="386"/>
      <c r="E525" s="386"/>
      <c r="F525" s="386"/>
      <c r="G525" s="386"/>
      <c r="H525" s="386"/>
      <c r="I525" s="386"/>
      <c r="J525" s="386"/>
      <c r="K525" s="113"/>
      <c r="L525" s="113"/>
      <c r="M525" s="483"/>
      <c r="N525" s="487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  <c r="AA525" s="114"/>
      <c r="AB525" s="114"/>
      <c r="AC525" s="114"/>
      <c r="AD525" s="114"/>
      <c r="AE525" s="114"/>
      <c r="AF525" s="114"/>
      <c r="AG525" s="114"/>
      <c r="AH525" s="114"/>
      <c r="AI525" s="114"/>
      <c r="AJ525" s="114"/>
      <c r="AK525" s="114"/>
      <c r="AL525" s="114"/>
      <c r="AM525" s="114"/>
      <c r="AN525" s="114"/>
      <c r="AO525" s="114"/>
      <c r="AP525" s="114"/>
      <c r="AQ525" s="114"/>
      <c r="AR525" s="114"/>
      <c r="AS525" s="114"/>
      <c r="AT525" s="114"/>
      <c r="AU525" s="114"/>
      <c r="AV525" s="114"/>
      <c r="AW525" s="114"/>
    </row>
    <row r="526" spans="1:42" s="214" customFormat="1" ht="34.5" customHeight="1" thickTop="1">
      <c r="A526" s="207" t="s">
        <v>34</v>
      </c>
      <c r="B526" s="208" t="s">
        <v>637</v>
      </c>
      <c r="C526" s="209" t="s">
        <v>921</v>
      </c>
      <c r="D526" s="210"/>
      <c r="E526" s="211" t="s">
        <v>922</v>
      </c>
      <c r="F526" s="212"/>
      <c r="G526" s="211" t="s">
        <v>923</v>
      </c>
      <c r="H526" s="212"/>
      <c r="I526" s="1070"/>
      <c r="J526" s="1071"/>
      <c r="K526" s="1070"/>
      <c r="L526" s="1070"/>
      <c r="M526" s="174"/>
      <c r="N526" s="174"/>
      <c r="O526" s="213"/>
      <c r="P526" s="213"/>
      <c r="Q526" s="213"/>
      <c r="R526" s="213"/>
      <c r="S526" s="213"/>
      <c r="T526" s="213"/>
      <c r="U526" s="213"/>
      <c r="V526" s="213"/>
      <c r="W526" s="213"/>
      <c r="X526" s="213"/>
      <c r="Y526" s="213"/>
      <c r="Z526" s="213"/>
      <c r="AA526" s="213"/>
      <c r="AB526" s="213"/>
      <c r="AC526" s="213"/>
      <c r="AD526" s="213"/>
      <c r="AE526" s="213"/>
      <c r="AF526" s="213"/>
      <c r="AG526" s="213"/>
      <c r="AH526" s="213"/>
      <c r="AI526" s="213"/>
      <c r="AJ526" s="213"/>
      <c r="AK526" s="213"/>
      <c r="AL526" s="213"/>
      <c r="AM526" s="213"/>
      <c r="AN526" s="213"/>
      <c r="AO526" s="213"/>
      <c r="AP526" s="213"/>
    </row>
    <row r="527" spans="1:49" s="140" customFormat="1" ht="34.5" customHeight="1">
      <c r="A527" s="480" t="s">
        <v>86</v>
      </c>
      <c r="B527" s="236" t="s">
        <v>42</v>
      </c>
      <c r="C527" s="1073">
        <f>CEILING(21*$Z$1,0.1)</f>
        <v>26.3</v>
      </c>
      <c r="D527" s="1074"/>
      <c r="E527" s="1073">
        <f>CEILING(21*$Z$1,0.1)</f>
        <v>26.3</v>
      </c>
      <c r="F527" s="1074"/>
      <c r="G527" s="1073">
        <f>CEILING(21*$Z$1,0.1)</f>
        <v>26.3</v>
      </c>
      <c r="H527" s="1074"/>
      <c r="I527" s="1061"/>
      <c r="J527" s="1061"/>
      <c r="K527" s="1061"/>
      <c r="L527" s="1061"/>
      <c r="M527" s="483"/>
      <c r="N527" s="487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  <c r="Z527" s="114"/>
      <c r="AA527" s="114"/>
      <c r="AB527" s="114"/>
      <c r="AC527" s="114"/>
      <c r="AD527" s="114"/>
      <c r="AE527" s="114"/>
      <c r="AF527" s="114"/>
      <c r="AG527" s="114"/>
      <c r="AH527" s="114"/>
      <c r="AI527" s="114"/>
      <c r="AJ527" s="114"/>
      <c r="AK527" s="114"/>
      <c r="AL527" s="114"/>
      <c r="AM527" s="114"/>
      <c r="AN527" s="114"/>
      <c r="AO527" s="114"/>
      <c r="AP527" s="114"/>
      <c r="AQ527" s="114"/>
      <c r="AR527" s="114"/>
      <c r="AS527" s="114"/>
      <c r="AT527" s="114"/>
      <c r="AU527" s="114"/>
      <c r="AV527" s="114"/>
      <c r="AW527" s="114"/>
    </row>
    <row r="528" spans="1:49" s="140" customFormat="1" ht="34.5" customHeight="1">
      <c r="A528" s="295" t="s">
        <v>84</v>
      </c>
      <c r="B528" s="238" t="s">
        <v>43</v>
      </c>
      <c r="C528" s="1057">
        <f>CEILING(33*$Z$1,0.1)</f>
        <v>41.300000000000004</v>
      </c>
      <c r="D528" s="1058"/>
      <c r="E528" s="1057">
        <f>CEILING(33*$Z$1,0.1)</f>
        <v>41.300000000000004</v>
      </c>
      <c r="F528" s="1058"/>
      <c r="G528" s="1057">
        <f>CEILING(33*$Z$1,0.1)</f>
        <v>41.300000000000004</v>
      </c>
      <c r="H528" s="1058"/>
      <c r="I528" s="1061"/>
      <c r="J528" s="1061"/>
      <c r="K528" s="1061"/>
      <c r="L528" s="1061"/>
      <c r="M528" s="483"/>
      <c r="N528" s="487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  <c r="Z528" s="114"/>
      <c r="AA528" s="114"/>
      <c r="AB528" s="114"/>
      <c r="AC528" s="114"/>
      <c r="AD528" s="114"/>
      <c r="AE528" s="114"/>
      <c r="AF528" s="114"/>
      <c r="AG528" s="114"/>
      <c r="AH528" s="114"/>
      <c r="AI528" s="114"/>
      <c r="AJ528" s="114"/>
      <c r="AK528" s="114"/>
      <c r="AL528" s="114"/>
      <c r="AM528" s="114"/>
      <c r="AN528" s="114"/>
      <c r="AO528" s="114"/>
      <c r="AP528" s="114"/>
      <c r="AQ528" s="114"/>
      <c r="AR528" s="114"/>
      <c r="AS528" s="114"/>
      <c r="AT528" s="114"/>
      <c r="AU528" s="114"/>
      <c r="AV528" s="114"/>
      <c r="AW528" s="114"/>
    </row>
    <row r="529" spans="1:49" s="473" customFormat="1" ht="34.5" customHeight="1">
      <c r="A529" s="488" t="s">
        <v>326</v>
      </c>
      <c r="B529" s="481" t="s">
        <v>641</v>
      </c>
      <c r="C529" s="1059">
        <f>CEILING((C527*0.7),0.1)</f>
        <v>18.5</v>
      </c>
      <c r="D529" s="1060"/>
      <c r="E529" s="1059">
        <f>CEILING((E527*0.7),0.1)</f>
        <v>18.5</v>
      </c>
      <c r="F529" s="1060"/>
      <c r="G529" s="1059">
        <f>CEILING((G527*0.7),0.1)</f>
        <v>18.5</v>
      </c>
      <c r="H529" s="1060"/>
      <c r="I529" s="1061"/>
      <c r="J529" s="1061"/>
      <c r="K529" s="1061"/>
      <c r="L529" s="1061"/>
      <c r="M529" s="129"/>
      <c r="N529" s="129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  <c r="Z529" s="114"/>
      <c r="AA529" s="114"/>
      <c r="AB529" s="114"/>
      <c r="AC529" s="114"/>
      <c r="AD529" s="114"/>
      <c r="AE529" s="114"/>
      <c r="AF529" s="114"/>
      <c r="AG529" s="114"/>
      <c r="AH529" s="114"/>
      <c r="AI529" s="114"/>
      <c r="AJ529" s="114"/>
      <c r="AK529" s="114"/>
      <c r="AL529" s="114"/>
      <c r="AM529" s="114"/>
      <c r="AN529" s="114"/>
      <c r="AO529" s="114"/>
      <c r="AP529" s="114"/>
      <c r="AQ529" s="114"/>
      <c r="AR529" s="114"/>
      <c r="AS529" s="114"/>
      <c r="AT529" s="114"/>
      <c r="AU529" s="114"/>
      <c r="AV529" s="114"/>
      <c r="AW529" s="114"/>
    </row>
    <row r="530" spans="1:12" s="114" customFormat="1" ht="34.5" customHeight="1">
      <c r="A530" s="451" t="s">
        <v>646</v>
      </c>
      <c r="B530" s="164"/>
      <c r="C530" s="164"/>
      <c r="D530" s="164"/>
      <c r="E530" s="164"/>
      <c r="F530" s="164"/>
      <c r="G530" s="164"/>
      <c r="H530" s="164"/>
      <c r="I530" s="164"/>
      <c r="J530" s="164"/>
      <c r="K530" s="157"/>
      <c r="L530" s="157"/>
    </row>
    <row r="531" spans="1:49" s="140" customFormat="1" ht="34.5" customHeight="1" thickBot="1">
      <c r="A531" s="124"/>
      <c r="B531" s="386"/>
      <c r="C531" s="430"/>
      <c r="D531" s="430"/>
      <c r="E531" s="430"/>
      <c r="F531" s="430"/>
      <c r="G531" s="430"/>
      <c r="H531" s="430"/>
      <c r="I531" s="1232"/>
      <c r="J531" s="1232"/>
      <c r="K531" s="489"/>
      <c r="L531" s="489"/>
      <c r="M531" s="483"/>
      <c r="N531" s="487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  <c r="Z531" s="114"/>
      <c r="AA531" s="114"/>
      <c r="AB531" s="114"/>
      <c r="AC531" s="114"/>
      <c r="AD531" s="114"/>
      <c r="AE531" s="114"/>
      <c r="AF531" s="114"/>
      <c r="AG531" s="114"/>
      <c r="AH531" s="114"/>
      <c r="AI531" s="114"/>
      <c r="AJ531" s="114"/>
      <c r="AK531" s="114"/>
      <c r="AL531" s="114"/>
      <c r="AM531" s="114"/>
      <c r="AN531" s="114"/>
      <c r="AO531" s="114"/>
      <c r="AP531" s="114"/>
      <c r="AQ531" s="114"/>
      <c r="AR531" s="114"/>
      <c r="AS531" s="114"/>
      <c r="AT531" s="114"/>
      <c r="AU531" s="114"/>
      <c r="AV531" s="114"/>
      <c r="AW531" s="114"/>
    </row>
    <row r="532" spans="1:42" s="214" customFormat="1" ht="34.5" customHeight="1" thickTop="1">
      <c r="A532" s="207" t="s">
        <v>34</v>
      </c>
      <c r="B532" s="208" t="s">
        <v>91</v>
      </c>
      <c r="C532" s="209" t="s">
        <v>921</v>
      </c>
      <c r="D532" s="210"/>
      <c r="E532" s="211" t="s">
        <v>922</v>
      </c>
      <c r="F532" s="212"/>
      <c r="G532" s="211" t="s">
        <v>923</v>
      </c>
      <c r="H532" s="212"/>
      <c r="I532" s="1070"/>
      <c r="J532" s="1071"/>
      <c r="K532" s="1070"/>
      <c r="L532" s="1070"/>
      <c r="M532" s="174"/>
      <c r="N532" s="174"/>
      <c r="O532" s="213"/>
      <c r="P532" s="213"/>
      <c r="Q532" s="213"/>
      <c r="R532" s="213"/>
      <c r="S532" s="213"/>
      <c r="T532" s="213"/>
      <c r="U532" s="213"/>
      <c r="V532" s="213"/>
      <c r="W532" s="213"/>
      <c r="X532" s="213"/>
      <c r="Y532" s="213"/>
      <c r="Z532" s="213"/>
      <c r="AA532" s="213"/>
      <c r="AB532" s="213"/>
      <c r="AC532" s="213"/>
      <c r="AD532" s="213"/>
      <c r="AE532" s="213"/>
      <c r="AF532" s="213"/>
      <c r="AG532" s="213"/>
      <c r="AH532" s="213"/>
      <c r="AI532" s="213"/>
      <c r="AJ532" s="213"/>
      <c r="AK532" s="213"/>
      <c r="AL532" s="213"/>
      <c r="AM532" s="213"/>
      <c r="AN532" s="213"/>
      <c r="AO532" s="213"/>
      <c r="AP532" s="213"/>
    </row>
    <row r="533" spans="1:49" s="140" customFormat="1" ht="34.5" customHeight="1">
      <c r="A533" s="443" t="s">
        <v>400</v>
      </c>
      <c r="B533" s="236" t="s">
        <v>42</v>
      </c>
      <c r="C533" s="1073">
        <f>CEILING(23*$Z$1,0.1)</f>
        <v>28.8</v>
      </c>
      <c r="D533" s="1074"/>
      <c r="E533" s="1073">
        <f>CEILING(23*$Z$1,0.1)</f>
        <v>28.8</v>
      </c>
      <c r="F533" s="1074"/>
      <c r="G533" s="1073">
        <f>CEILING(23*$Z$1,0.1)</f>
        <v>28.8</v>
      </c>
      <c r="H533" s="1074"/>
      <c r="I533" s="1061"/>
      <c r="J533" s="1061"/>
      <c r="K533" s="1061"/>
      <c r="L533" s="1061"/>
      <c r="M533" s="483"/>
      <c r="N533" s="487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  <c r="Z533" s="114"/>
      <c r="AA533" s="114"/>
      <c r="AB533" s="114"/>
      <c r="AC533" s="114"/>
      <c r="AD533" s="114"/>
      <c r="AE533" s="114"/>
      <c r="AF533" s="114"/>
      <c r="AG533" s="114"/>
      <c r="AH533" s="114"/>
      <c r="AI533" s="114"/>
      <c r="AJ533" s="114"/>
      <c r="AK533" s="114"/>
      <c r="AL533" s="114"/>
      <c r="AM533" s="114"/>
      <c r="AN533" s="114"/>
      <c r="AO533" s="114"/>
      <c r="AP533" s="114"/>
      <c r="AQ533" s="114"/>
      <c r="AR533" s="114"/>
      <c r="AS533" s="114"/>
      <c r="AT533" s="114"/>
      <c r="AU533" s="114"/>
      <c r="AV533" s="114"/>
      <c r="AW533" s="114"/>
    </row>
    <row r="534" spans="1:49" s="140" customFormat="1" ht="34.5" customHeight="1">
      <c r="A534" s="295"/>
      <c r="B534" s="238" t="s">
        <v>43</v>
      </c>
      <c r="C534" s="1057">
        <f>CEILING(29*$Z$1,0.1)</f>
        <v>36.300000000000004</v>
      </c>
      <c r="D534" s="1058"/>
      <c r="E534" s="1057">
        <f>CEILING(29*$Z$1,0.1)</f>
        <v>36.300000000000004</v>
      </c>
      <c r="F534" s="1058"/>
      <c r="G534" s="1057">
        <f>CEILING(29*$Z$1,0.1)</f>
        <v>36.300000000000004</v>
      </c>
      <c r="H534" s="1058"/>
      <c r="I534" s="1061"/>
      <c r="J534" s="1061"/>
      <c r="K534" s="1061"/>
      <c r="L534" s="1061"/>
      <c r="M534" s="483"/>
      <c r="N534" s="487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  <c r="Y534" s="114"/>
      <c r="Z534" s="114"/>
      <c r="AA534" s="114"/>
      <c r="AB534" s="114"/>
      <c r="AC534" s="114"/>
      <c r="AD534" s="114"/>
      <c r="AE534" s="114"/>
      <c r="AF534" s="114"/>
      <c r="AG534" s="114"/>
      <c r="AH534" s="114"/>
      <c r="AI534" s="114"/>
      <c r="AJ534" s="114"/>
      <c r="AK534" s="114"/>
      <c r="AL534" s="114"/>
      <c r="AM534" s="114"/>
      <c r="AN534" s="114"/>
      <c r="AO534" s="114"/>
      <c r="AP534" s="114"/>
      <c r="AQ534" s="114"/>
      <c r="AR534" s="114"/>
      <c r="AS534" s="114"/>
      <c r="AT534" s="114"/>
      <c r="AU534" s="114"/>
      <c r="AV534" s="114"/>
      <c r="AW534" s="114"/>
    </row>
    <row r="535" spans="1:49" s="473" customFormat="1" ht="34.5" customHeight="1">
      <c r="A535" s="488" t="s">
        <v>327</v>
      </c>
      <c r="B535" s="481" t="s">
        <v>641</v>
      </c>
      <c r="C535" s="1059">
        <f>CEILING((C533*0.7),0.1)</f>
        <v>20.200000000000003</v>
      </c>
      <c r="D535" s="1060"/>
      <c r="E535" s="1059">
        <f>CEILING((E533*0.7),0.1)</f>
        <v>20.200000000000003</v>
      </c>
      <c r="F535" s="1060"/>
      <c r="G535" s="1059">
        <f>CEILING((G533*0.7),0.1)</f>
        <v>20.200000000000003</v>
      </c>
      <c r="H535" s="1060"/>
      <c r="I535" s="1061"/>
      <c r="J535" s="1061"/>
      <c r="K535" s="1061"/>
      <c r="L535" s="1061"/>
      <c r="M535" s="483"/>
      <c r="N535" s="487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  <c r="AA535" s="114"/>
      <c r="AB535" s="114"/>
      <c r="AC535" s="114"/>
      <c r="AD535" s="114"/>
      <c r="AE535" s="114"/>
      <c r="AF535" s="114"/>
      <c r="AG535" s="114"/>
      <c r="AH535" s="114"/>
      <c r="AI535" s="114"/>
      <c r="AJ535" s="114"/>
      <c r="AK535" s="114"/>
      <c r="AL535" s="114"/>
      <c r="AM535" s="114"/>
      <c r="AN535" s="114"/>
      <c r="AO535" s="114"/>
      <c r="AP535" s="114"/>
      <c r="AQ535" s="114"/>
      <c r="AR535" s="114"/>
      <c r="AS535" s="114"/>
      <c r="AT535" s="114"/>
      <c r="AU535" s="114"/>
      <c r="AV535" s="114"/>
      <c r="AW535" s="114"/>
    </row>
    <row r="536" spans="1:12" s="114" customFormat="1" ht="34.5" customHeight="1">
      <c r="A536" s="451" t="s">
        <v>646</v>
      </c>
      <c r="B536" s="164"/>
      <c r="C536" s="164"/>
      <c r="D536" s="164"/>
      <c r="E536" s="164"/>
      <c r="F536" s="164"/>
      <c r="G536" s="164"/>
      <c r="H536" s="164"/>
      <c r="I536" s="164"/>
      <c r="J536" s="164"/>
      <c r="K536" s="157"/>
      <c r="L536" s="157"/>
    </row>
    <row r="537" spans="1:49" s="140" customFormat="1" ht="34.5" customHeight="1" thickBot="1">
      <c r="A537" s="490"/>
      <c r="B537" s="124"/>
      <c r="C537" s="148"/>
      <c r="D537" s="148"/>
      <c r="E537" s="148"/>
      <c r="F537" s="148"/>
      <c r="G537" s="148"/>
      <c r="H537" s="148"/>
      <c r="I537" s="148"/>
      <c r="J537" s="148"/>
      <c r="K537" s="489"/>
      <c r="L537" s="489"/>
      <c r="M537" s="124"/>
      <c r="N537" s="103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  <c r="Z537" s="114"/>
      <c r="AA537" s="114"/>
      <c r="AB537" s="114"/>
      <c r="AC537" s="114"/>
      <c r="AD537" s="114"/>
      <c r="AE537" s="114"/>
      <c r="AF537" s="114"/>
      <c r="AG537" s="114"/>
      <c r="AH537" s="114"/>
      <c r="AI537" s="114"/>
      <c r="AJ537" s="114"/>
      <c r="AK537" s="114"/>
      <c r="AL537" s="114"/>
      <c r="AM537" s="114"/>
      <c r="AN537" s="114"/>
      <c r="AO537" s="114"/>
      <c r="AP537" s="114"/>
      <c r="AQ537" s="114"/>
      <c r="AR537" s="114"/>
      <c r="AS537" s="114"/>
      <c r="AT537" s="114"/>
      <c r="AU537" s="114"/>
      <c r="AV537" s="114"/>
      <c r="AW537" s="114"/>
    </row>
    <row r="538" spans="1:42" s="214" customFormat="1" ht="34.5" customHeight="1" thickTop="1">
      <c r="A538" s="207" t="s">
        <v>34</v>
      </c>
      <c r="B538" s="208" t="s">
        <v>637</v>
      </c>
      <c r="C538" s="209" t="s">
        <v>921</v>
      </c>
      <c r="D538" s="210"/>
      <c r="E538" s="211" t="s">
        <v>922</v>
      </c>
      <c r="F538" s="212"/>
      <c r="G538" s="211" t="s">
        <v>923</v>
      </c>
      <c r="H538" s="212"/>
      <c r="I538" s="1070"/>
      <c r="J538" s="1071"/>
      <c r="K538" s="1070"/>
      <c r="L538" s="1070"/>
      <c r="M538" s="174"/>
      <c r="N538" s="174"/>
      <c r="O538" s="213"/>
      <c r="P538" s="213"/>
      <c r="Q538" s="213"/>
      <c r="R538" s="213"/>
      <c r="S538" s="213"/>
      <c r="T538" s="213"/>
      <c r="U538" s="213"/>
      <c r="V538" s="213"/>
      <c r="W538" s="213"/>
      <c r="X538" s="213"/>
      <c r="Y538" s="213"/>
      <c r="Z538" s="213"/>
      <c r="AA538" s="213"/>
      <c r="AB538" s="213"/>
      <c r="AC538" s="213"/>
      <c r="AD538" s="213"/>
      <c r="AE538" s="213"/>
      <c r="AF538" s="213"/>
      <c r="AG538" s="213"/>
      <c r="AH538" s="213"/>
      <c r="AI538" s="213"/>
      <c r="AJ538" s="213"/>
      <c r="AK538" s="213"/>
      <c r="AL538" s="213"/>
      <c r="AM538" s="213"/>
      <c r="AN538" s="213"/>
      <c r="AO538" s="213"/>
      <c r="AP538" s="213"/>
    </row>
    <row r="539" spans="1:49" s="140" customFormat="1" ht="34.5" customHeight="1">
      <c r="A539" s="443" t="s">
        <v>87</v>
      </c>
      <c r="B539" s="238" t="s">
        <v>42</v>
      </c>
      <c r="C539" s="1073">
        <f>CEILING(38*$Z$1,0.1)</f>
        <v>47.5</v>
      </c>
      <c r="D539" s="1074"/>
      <c r="E539" s="1073">
        <f>CEILING(38*$Z$1,0.1)</f>
        <v>47.5</v>
      </c>
      <c r="F539" s="1074"/>
      <c r="G539" s="1073">
        <f>CEILING(38*$Z$1,0.1)</f>
        <v>47.5</v>
      </c>
      <c r="H539" s="1074"/>
      <c r="I539" s="1061"/>
      <c r="J539" s="1061"/>
      <c r="K539" s="1061"/>
      <c r="L539" s="1061"/>
      <c r="M539" s="124"/>
      <c r="N539" s="103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  <c r="AA539" s="114"/>
      <c r="AB539" s="114"/>
      <c r="AC539" s="114"/>
      <c r="AD539" s="114"/>
      <c r="AE539" s="114"/>
      <c r="AF539" s="114"/>
      <c r="AG539" s="114"/>
      <c r="AH539" s="114"/>
      <c r="AI539" s="114"/>
      <c r="AJ539" s="114"/>
      <c r="AK539" s="114"/>
      <c r="AL539" s="114"/>
      <c r="AM539" s="114"/>
      <c r="AN539" s="114"/>
      <c r="AO539" s="114"/>
      <c r="AP539" s="114"/>
      <c r="AQ539" s="114"/>
      <c r="AR539" s="114"/>
      <c r="AS539" s="114"/>
      <c r="AT539" s="114"/>
      <c r="AU539" s="114"/>
      <c r="AV539" s="114"/>
      <c r="AW539" s="114"/>
    </row>
    <row r="540" spans="1:49" s="140" customFormat="1" ht="34.5" customHeight="1">
      <c r="A540" s="295" t="s">
        <v>84</v>
      </c>
      <c r="B540" s="238" t="s">
        <v>43</v>
      </c>
      <c r="C540" s="1057">
        <f>CEILING(49*$Z$1,0.1)</f>
        <v>61.300000000000004</v>
      </c>
      <c r="D540" s="1058"/>
      <c r="E540" s="1057">
        <f>CEILING(49*$Z$1,0.1)</f>
        <v>61.300000000000004</v>
      </c>
      <c r="F540" s="1058"/>
      <c r="G540" s="1057">
        <f>CEILING(49*$Z$1,0.1)</f>
        <v>61.300000000000004</v>
      </c>
      <c r="H540" s="1058"/>
      <c r="I540" s="1061"/>
      <c r="J540" s="1061"/>
      <c r="K540" s="1061"/>
      <c r="L540" s="1061"/>
      <c r="M540" s="124"/>
      <c r="N540" s="103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  <c r="AA540" s="114"/>
      <c r="AB540" s="114"/>
      <c r="AC540" s="114"/>
      <c r="AD540" s="114"/>
      <c r="AE540" s="114"/>
      <c r="AF540" s="114"/>
      <c r="AG540" s="114"/>
      <c r="AH540" s="114"/>
      <c r="AI540" s="114"/>
      <c r="AJ540" s="114"/>
      <c r="AK540" s="114"/>
      <c r="AL540" s="114"/>
      <c r="AM540" s="114"/>
      <c r="AN540" s="114"/>
      <c r="AO540" s="114"/>
      <c r="AP540" s="114"/>
      <c r="AQ540" s="114"/>
      <c r="AR540" s="114"/>
      <c r="AS540" s="114"/>
      <c r="AT540" s="114"/>
      <c r="AU540" s="114"/>
      <c r="AV540" s="114"/>
      <c r="AW540" s="114"/>
    </row>
    <row r="541" spans="1:49" s="140" customFormat="1" ht="34.5" customHeight="1">
      <c r="A541" s="295"/>
      <c r="B541" s="238" t="s">
        <v>806</v>
      </c>
      <c r="C541" s="1085">
        <v>0</v>
      </c>
      <c r="D541" s="1086"/>
      <c r="E541" s="1085">
        <v>0</v>
      </c>
      <c r="F541" s="1086"/>
      <c r="G541" s="1085">
        <v>0</v>
      </c>
      <c r="H541" s="1086"/>
      <c r="I541" s="1062"/>
      <c r="J541" s="1062"/>
      <c r="K541" s="1062"/>
      <c r="L541" s="1062"/>
      <c r="M541" s="124"/>
      <c r="N541" s="103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  <c r="AA541" s="114"/>
      <c r="AB541" s="114"/>
      <c r="AC541" s="114"/>
      <c r="AD541" s="114"/>
      <c r="AE541" s="114"/>
      <c r="AF541" s="114"/>
      <c r="AG541" s="114"/>
      <c r="AH541" s="114"/>
      <c r="AI541" s="114"/>
      <c r="AJ541" s="114"/>
      <c r="AK541" s="114"/>
      <c r="AL541" s="114"/>
      <c r="AM541" s="114"/>
      <c r="AN541" s="114"/>
      <c r="AO541" s="114"/>
      <c r="AP541" s="114"/>
      <c r="AQ541" s="114"/>
      <c r="AR541" s="114"/>
      <c r="AS541" s="114"/>
      <c r="AT541" s="114"/>
      <c r="AU541" s="114"/>
      <c r="AV541" s="114"/>
      <c r="AW541" s="114"/>
    </row>
    <row r="542" spans="1:49" s="140" customFormat="1" ht="34.5" customHeight="1">
      <c r="A542" s="134"/>
      <c r="B542" s="330" t="s">
        <v>641</v>
      </c>
      <c r="C542" s="1057">
        <f>CEILING((C539*0.5),0.1)</f>
        <v>23.8</v>
      </c>
      <c r="D542" s="1058"/>
      <c r="E542" s="1057">
        <f>CEILING((E539*0.5),0.1)</f>
        <v>23.8</v>
      </c>
      <c r="F542" s="1058"/>
      <c r="G542" s="1057">
        <f>CEILING((G539*0.5),0.1)</f>
        <v>23.8</v>
      </c>
      <c r="H542" s="1058"/>
      <c r="I542" s="1061"/>
      <c r="J542" s="1061"/>
      <c r="K542" s="1061"/>
      <c r="L542" s="1061"/>
      <c r="M542" s="124"/>
      <c r="N542" s="103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  <c r="Z542" s="114"/>
      <c r="AA542" s="114"/>
      <c r="AB542" s="114"/>
      <c r="AC542" s="114"/>
      <c r="AD542" s="114"/>
      <c r="AE542" s="114"/>
      <c r="AF542" s="114"/>
      <c r="AG542" s="114"/>
      <c r="AH542" s="114"/>
      <c r="AI542" s="114"/>
      <c r="AJ542" s="114"/>
      <c r="AK542" s="114"/>
      <c r="AL542" s="114"/>
      <c r="AM542" s="114"/>
      <c r="AN542" s="114"/>
      <c r="AO542" s="114"/>
      <c r="AP542" s="114"/>
      <c r="AQ542" s="114"/>
      <c r="AR542" s="114"/>
      <c r="AS542" s="114"/>
      <c r="AT542" s="114"/>
      <c r="AU542" s="114"/>
      <c r="AV542" s="114"/>
      <c r="AW542" s="114"/>
    </row>
    <row r="543" spans="1:49" s="140" customFormat="1" ht="34.5" customHeight="1">
      <c r="A543" s="295"/>
      <c r="B543" s="238" t="s">
        <v>88</v>
      </c>
      <c r="C543" s="1057">
        <f>CEILING(75*$Z$1,0.1)</f>
        <v>93.80000000000001</v>
      </c>
      <c r="D543" s="1058"/>
      <c r="E543" s="1057">
        <f>CEILING(75*$Z$1,0.1)</f>
        <v>93.80000000000001</v>
      </c>
      <c r="F543" s="1058"/>
      <c r="G543" s="1057">
        <f>CEILING(75*$Z$1,0.1)</f>
        <v>93.80000000000001</v>
      </c>
      <c r="H543" s="1058"/>
      <c r="I543" s="1061"/>
      <c r="J543" s="1061"/>
      <c r="K543" s="1061"/>
      <c r="L543" s="1061"/>
      <c r="M543" s="124"/>
      <c r="N543" s="103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  <c r="Z543" s="114"/>
      <c r="AA543" s="114"/>
      <c r="AB543" s="114"/>
      <c r="AC543" s="114"/>
      <c r="AD543" s="114"/>
      <c r="AE543" s="114"/>
      <c r="AF543" s="114"/>
      <c r="AG543" s="114"/>
      <c r="AH543" s="114"/>
      <c r="AI543" s="114"/>
      <c r="AJ543" s="114"/>
      <c r="AK543" s="114"/>
      <c r="AL543" s="114"/>
      <c r="AM543" s="114"/>
      <c r="AN543" s="114"/>
      <c r="AO543" s="114"/>
      <c r="AP543" s="114"/>
      <c r="AQ543" s="114"/>
      <c r="AR543" s="114"/>
      <c r="AS543" s="114"/>
      <c r="AT543" s="114"/>
      <c r="AU543" s="114"/>
      <c r="AV543" s="114"/>
      <c r="AW543" s="114"/>
    </row>
    <row r="544" spans="1:49" s="473" customFormat="1" ht="34.5" customHeight="1">
      <c r="A544" s="349" t="s">
        <v>326</v>
      </c>
      <c r="B544" s="288" t="s">
        <v>89</v>
      </c>
      <c r="C544" s="1059">
        <f>CEILING(103*$Z$1,0.1)</f>
        <v>128.8</v>
      </c>
      <c r="D544" s="1060"/>
      <c r="E544" s="1059">
        <f>CEILING(103*$Z$1,0.1)</f>
        <v>128.8</v>
      </c>
      <c r="F544" s="1060"/>
      <c r="G544" s="1059">
        <f>CEILING(103*$Z$1,0.1)</f>
        <v>128.8</v>
      </c>
      <c r="H544" s="1060"/>
      <c r="I544" s="1061"/>
      <c r="J544" s="1061"/>
      <c r="K544" s="1061"/>
      <c r="L544" s="1061"/>
      <c r="M544" s="124"/>
      <c r="N544" s="103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  <c r="AA544" s="114"/>
      <c r="AB544" s="114"/>
      <c r="AC544" s="114"/>
      <c r="AD544" s="114"/>
      <c r="AE544" s="114"/>
      <c r="AF544" s="114"/>
      <c r="AG544" s="114"/>
      <c r="AH544" s="114"/>
      <c r="AI544" s="114"/>
      <c r="AJ544" s="114"/>
      <c r="AK544" s="114"/>
      <c r="AL544" s="114"/>
      <c r="AM544" s="114"/>
      <c r="AN544" s="114"/>
      <c r="AO544" s="114"/>
      <c r="AP544" s="114"/>
      <c r="AQ544" s="114"/>
      <c r="AR544" s="114"/>
      <c r="AS544" s="114"/>
      <c r="AT544" s="114"/>
      <c r="AU544" s="114"/>
      <c r="AV544" s="114"/>
      <c r="AW544" s="114"/>
    </row>
    <row r="545" spans="1:25" s="492" customFormat="1" ht="34.5" customHeight="1">
      <c r="A545" s="386" t="s">
        <v>648</v>
      </c>
      <c r="B545" s="386"/>
      <c r="C545" s="386"/>
      <c r="D545" s="386"/>
      <c r="E545" s="386"/>
      <c r="F545" s="386"/>
      <c r="G545" s="386"/>
      <c r="H545" s="386"/>
      <c r="I545" s="386"/>
      <c r="J545" s="386"/>
      <c r="K545" s="365"/>
      <c r="L545" s="365"/>
      <c r="M545" s="181"/>
      <c r="N545" s="181"/>
      <c r="O545" s="491"/>
      <c r="P545" s="491"/>
      <c r="Q545" s="491"/>
      <c r="R545" s="491"/>
      <c r="S545" s="491"/>
      <c r="T545" s="491"/>
      <c r="U545" s="491"/>
      <c r="V545" s="491"/>
      <c r="W545" s="491"/>
      <c r="X545" s="491"/>
      <c r="Y545" s="491"/>
    </row>
    <row r="546" spans="1:25" s="140" customFormat="1" ht="34.5" customHeight="1">
      <c r="A546" s="386"/>
      <c r="B546" s="397"/>
      <c r="C546" s="397"/>
      <c r="D546" s="397"/>
      <c r="E546" s="397"/>
      <c r="F546" s="397"/>
      <c r="G546" s="397"/>
      <c r="H546" s="397"/>
      <c r="I546" s="397"/>
      <c r="J546" s="397"/>
      <c r="K546" s="170"/>
      <c r="L546" s="170"/>
      <c r="M546" s="124"/>
      <c r="N546" s="124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</row>
    <row r="547" spans="1:49" s="15" customFormat="1" ht="34.5" customHeight="1">
      <c r="A547" s="1102" t="s">
        <v>910</v>
      </c>
      <c r="B547" s="1102"/>
      <c r="C547" s="1102"/>
      <c r="D547" s="1102"/>
      <c r="E547" s="1102"/>
      <c r="F547" s="1102"/>
      <c r="G547" s="1102"/>
      <c r="H547" s="1102"/>
      <c r="I547" s="1102"/>
      <c r="J547" s="1102"/>
      <c r="K547" s="37"/>
      <c r="L547" s="13"/>
      <c r="M547" s="7"/>
      <c r="N547" s="40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</row>
    <row r="548" spans="1:25" s="107" customFormat="1" ht="34.5" customHeight="1" thickBot="1">
      <c r="A548" s="1105"/>
      <c r="B548" s="1105"/>
      <c r="C548" s="1106"/>
      <c r="D548" s="1106"/>
      <c r="E548" s="1106"/>
      <c r="F548" s="1106"/>
      <c r="G548" s="1106"/>
      <c r="H548" s="1106"/>
      <c r="I548" s="942"/>
      <c r="J548" s="943"/>
      <c r="K548" s="104"/>
      <c r="L548" s="104"/>
      <c r="M548" s="110"/>
      <c r="N548" s="111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</row>
    <row r="549" spans="1:42" s="214" customFormat="1" ht="34.5" customHeight="1" thickTop="1">
      <c r="A549" s="207" t="s">
        <v>34</v>
      </c>
      <c r="B549" s="208" t="s">
        <v>934</v>
      </c>
      <c r="C549" s="209" t="s">
        <v>921</v>
      </c>
      <c r="D549" s="210"/>
      <c r="E549" s="211" t="s">
        <v>922</v>
      </c>
      <c r="F549" s="212"/>
      <c r="G549" s="211" t="s">
        <v>923</v>
      </c>
      <c r="H549" s="212"/>
      <c r="I549" s="1070"/>
      <c r="J549" s="1071"/>
      <c r="K549" s="1070"/>
      <c r="L549" s="1070"/>
      <c r="M549" s="174"/>
      <c r="N549" s="174"/>
      <c r="O549" s="213"/>
      <c r="P549" s="213"/>
      <c r="Q549" s="213"/>
      <c r="R549" s="213"/>
      <c r="S549" s="213"/>
      <c r="T549" s="213"/>
      <c r="U549" s="213"/>
      <c r="V549" s="213"/>
      <c r="W549" s="213"/>
      <c r="X549" s="213"/>
      <c r="Y549" s="213"/>
      <c r="Z549" s="213"/>
      <c r="AA549" s="213"/>
      <c r="AB549" s="213"/>
      <c r="AC549" s="213"/>
      <c r="AD549" s="213"/>
      <c r="AE549" s="213"/>
      <c r="AF549" s="213"/>
      <c r="AG549" s="213"/>
      <c r="AH549" s="213"/>
      <c r="AI549" s="213"/>
      <c r="AJ549" s="213"/>
      <c r="AK549" s="213"/>
      <c r="AL549" s="213"/>
      <c r="AM549" s="213"/>
      <c r="AN549" s="213"/>
      <c r="AO549" s="213"/>
      <c r="AP549" s="213"/>
    </row>
    <row r="550" spans="1:25" s="107" customFormat="1" ht="34.5" customHeight="1">
      <c r="A550" s="779" t="s">
        <v>93</v>
      </c>
      <c r="B550" s="289" t="s">
        <v>42</v>
      </c>
      <c r="C550" s="964">
        <f>CEILING(64*$Z$1,0.1)</f>
        <v>80</v>
      </c>
      <c r="D550" s="965"/>
      <c r="E550" s="964">
        <f>CEILING(64*$Z$1,0.1)</f>
        <v>80</v>
      </c>
      <c r="F550" s="965"/>
      <c r="G550" s="964">
        <f>CEILING(64*$Z$1,0.1)</f>
        <v>80</v>
      </c>
      <c r="H550" s="966"/>
      <c r="I550" s="327"/>
      <c r="J550" s="157"/>
      <c r="K550" s="327"/>
      <c r="L550" s="157"/>
      <c r="M550" s="110"/>
      <c r="N550" s="111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</row>
    <row r="551" spans="1:25" s="107" customFormat="1" ht="34.5" customHeight="1">
      <c r="A551" s="317" t="s">
        <v>36</v>
      </c>
      <c r="B551" s="238" t="s">
        <v>43</v>
      </c>
      <c r="C551" s="967">
        <f>CEILING((C550+32*$Z$1),0.1)</f>
        <v>120</v>
      </c>
      <c r="D551" s="968"/>
      <c r="E551" s="967">
        <f>CEILING((E550+32*$Z$1),0.1)</f>
        <v>120</v>
      </c>
      <c r="F551" s="968"/>
      <c r="G551" s="967">
        <f>CEILING((G550+32*$Z$1),0.1)</f>
        <v>120</v>
      </c>
      <c r="H551" s="969"/>
      <c r="I551" s="327"/>
      <c r="J551" s="157"/>
      <c r="K551" s="327"/>
      <c r="L551" s="157"/>
      <c r="M551" s="110"/>
      <c r="N551" s="111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</row>
    <row r="552" spans="1:25" s="107" customFormat="1" ht="34.5" customHeight="1">
      <c r="A552" s="944" t="s">
        <v>1064</v>
      </c>
      <c r="B552" s="353" t="s">
        <v>451</v>
      </c>
      <c r="C552" s="967">
        <f>CEILING(68.8*$Z$1,0.1)</f>
        <v>86</v>
      </c>
      <c r="D552" s="968"/>
      <c r="E552" s="967">
        <f>CEILING(68.8*$Z$1,0.1)</f>
        <v>86</v>
      </c>
      <c r="F552" s="968"/>
      <c r="G552" s="967">
        <f>CEILING(68.8*$Z$1,0.1)</f>
        <v>86</v>
      </c>
      <c r="H552" s="969"/>
      <c r="I552" s="327"/>
      <c r="J552" s="157"/>
      <c r="K552" s="327"/>
      <c r="L552" s="157"/>
      <c r="M552" s="110"/>
      <c r="N552" s="111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</row>
    <row r="553" spans="1:25" s="107" customFormat="1" ht="34.5" customHeight="1">
      <c r="A553" s="324" t="s">
        <v>1058</v>
      </c>
      <c r="B553" s="238" t="s">
        <v>452</v>
      </c>
      <c r="C553" s="967">
        <f>CEILING((C552+34.4*$Z$1),0.1)</f>
        <v>129</v>
      </c>
      <c r="D553" s="968"/>
      <c r="E553" s="967">
        <f>CEILING((E552+34.4*$Z$1),0.1)</f>
        <v>129</v>
      </c>
      <c r="F553" s="968"/>
      <c r="G553" s="967">
        <f>CEILING((G552+34.4*$Z$1),0.1)</f>
        <v>129</v>
      </c>
      <c r="H553" s="969"/>
      <c r="I553" s="327"/>
      <c r="J553" s="157"/>
      <c r="K553" s="327"/>
      <c r="L553" s="157"/>
      <c r="M553" s="110"/>
      <c r="N553" s="111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</row>
    <row r="554" spans="1:25" s="107" customFormat="1" ht="34.5" customHeight="1">
      <c r="A554" s="937"/>
      <c r="B554" s="330" t="s">
        <v>35</v>
      </c>
      <c r="C554" s="967">
        <f>CEILING(70.4*$Z$1,0.1)</f>
        <v>88</v>
      </c>
      <c r="D554" s="968"/>
      <c r="E554" s="967">
        <f>CEILING(70.4*$Z$1,0.1)</f>
        <v>88</v>
      </c>
      <c r="F554" s="968"/>
      <c r="G554" s="967">
        <f>CEILING(70.4*$Z$1,0.1)</f>
        <v>88</v>
      </c>
      <c r="H554" s="969"/>
      <c r="I554" s="327"/>
      <c r="J554" s="157"/>
      <c r="K554" s="327"/>
      <c r="L554" s="157"/>
      <c r="M554" s="110"/>
      <c r="N554" s="111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</row>
    <row r="555" spans="1:53" s="107" customFormat="1" ht="34.5" customHeight="1" thickBot="1">
      <c r="A555" s="461" t="s">
        <v>325</v>
      </c>
      <c r="B555" s="571" t="s">
        <v>37</v>
      </c>
      <c r="C555" s="970">
        <f>CEILING((C554+35.2*$Z$1),0.1)</f>
        <v>132</v>
      </c>
      <c r="D555" s="971"/>
      <c r="E555" s="970">
        <f>CEILING((E554+35.2*$Z$1),0.1)</f>
        <v>132</v>
      </c>
      <c r="F555" s="971"/>
      <c r="G555" s="970">
        <f>CEILING((G554+35.2*$Z$1),0.1)</f>
        <v>132</v>
      </c>
      <c r="H555" s="972"/>
      <c r="I555" s="327"/>
      <c r="J555" s="157"/>
      <c r="K555" s="327"/>
      <c r="L555" s="157"/>
      <c r="M555" s="110"/>
      <c r="N555" s="111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  <c r="AA555" s="158"/>
      <c r="AB555" s="158"/>
      <c r="AC555" s="158"/>
      <c r="AD555" s="158"/>
      <c r="AE555" s="158"/>
      <c r="AF555" s="158"/>
      <c r="AG555" s="158"/>
      <c r="AH555" s="158"/>
      <c r="AI555" s="158"/>
      <c r="AJ555" s="158"/>
      <c r="AK555" s="158"/>
      <c r="AL555" s="158"/>
      <c r="AM555" s="158"/>
      <c r="AN555" s="158"/>
      <c r="AO555" s="158"/>
      <c r="AP555" s="158"/>
      <c r="AQ555" s="158"/>
      <c r="AR555" s="158"/>
      <c r="AS555" s="158"/>
      <c r="AT555" s="158"/>
      <c r="AU555" s="158"/>
      <c r="AV555" s="158"/>
      <c r="AW555" s="158"/>
      <c r="AX555" s="158"/>
      <c r="AY555" s="158"/>
      <c r="AZ555" s="158"/>
      <c r="BA555" s="158"/>
    </row>
    <row r="556" spans="1:14" s="179" customFormat="1" ht="34.5" customHeight="1" thickTop="1">
      <c r="A556" s="171" t="s">
        <v>859</v>
      </c>
      <c r="B556" s="172"/>
      <c r="C556" s="173"/>
      <c r="D556" s="174"/>
      <c r="E556" s="173"/>
      <c r="F556" s="174"/>
      <c r="G556" s="173"/>
      <c r="H556" s="174"/>
      <c r="I556" s="173"/>
      <c r="J556" s="174"/>
      <c r="K556" s="175"/>
      <c r="L556" s="176"/>
      <c r="M556" s="177"/>
      <c r="N556" s="178"/>
    </row>
    <row r="557" spans="1:14" s="179" customFormat="1" ht="34.5" customHeight="1">
      <c r="A557" s="850" t="s">
        <v>860</v>
      </c>
      <c r="B557" s="172"/>
      <c r="C557" s="173"/>
      <c r="D557" s="174"/>
      <c r="E557" s="173"/>
      <c r="F557" s="174"/>
      <c r="G557" s="173"/>
      <c r="H557" s="174"/>
      <c r="I557" s="173"/>
      <c r="J557" s="174"/>
      <c r="K557" s="175"/>
      <c r="L557" s="176"/>
      <c r="M557" s="177"/>
      <c r="N557" s="178"/>
    </row>
    <row r="558" spans="1:25" s="107" customFormat="1" ht="34.5" customHeight="1" thickBot="1">
      <c r="A558" s="447"/>
      <c r="B558" s="255"/>
      <c r="C558" s="939"/>
      <c r="D558" s="940"/>
      <c r="E558" s="939"/>
      <c r="F558" s="940"/>
      <c r="G558" s="939"/>
      <c r="H558" s="940"/>
      <c r="I558" s="939"/>
      <c r="J558" s="940"/>
      <c r="K558" s="113"/>
      <c r="L558" s="104"/>
      <c r="M558" s="110"/>
      <c r="N558" s="111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</row>
    <row r="559" spans="1:42" s="214" customFormat="1" ht="34.5" customHeight="1" thickTop="1">
      <c r="A559" s="207" t="s">
        <v>34</v>
      </c>
      <c r="B559" s="208" t="s">
        <v>637</v>
      </c>
      <c r="C559" s="209" t="s">
        <v>921</v>
      </c>
      <c r="D559" s="210"/>
      <c r="E559" s="211" t="s">
        <v>922</v>
      </c>
      <c r="F559" s="212"/>
      <c r="G559" s="211" t="s">
        <v>923</v>
      </c>
      <c r="H559" s="212"/>
      <c r="I559" s="1070"/>
      <c r="J559" s="1071"/>
      <c r="K559" s="1070"/>
      <c r="L559" s="1070"/>
      <c r="M559" s="174"/>
      <c r="N559" s="174"/>
      <c r="O559" s="213"/>
      <c r="P559" s="213"/>
      <c r="Q559" s="213"/>
      <c r="R559" s="213"/>
      <c r="S559" s="213"/>
      <c r="T559" s="213"/>
      <c r="U559" s="213"/>
      <c r="V559" s="213"/>
      <c r="W559" s="213"/>
      <c r="X559" s="213"/>
      <c r="Y559" s="213"/>
      <c r="Z559" s="213"/>
      <c r="AA559" s="213"/>
      <c r="AB559" s="213"/>
      <c r="AC559" s="213"/>
      <c r="AD559" s="213"/>
      <c r="AE559" s="213"/>
      <c r="AF559" s="213"/>
      <c r="AG559" s="213"/>
      <c r="AH559" s="213"/>
      <c r="AI559" s="213"/>
      <c r="AJ559" s="213"/>
      <c r="AK559" s="213"/>
      <c r="AL559" s="213"/>
      <c r="AM559" s="213"/>
      <c r="AN559" s="213"/>
      <c r="AO559" s="213"/>
      <c r="AP559" s="213"/>
    </row>
    <row r="560" spans="1:25" s="107" customFormat="1" ht="34.5" customHeight="1">
      <c r="A560" s="350" t="s">
        <v>446</v>
      </c>
      <c r="B560" s="353" t="s">
        <v>448</v>
      </c>
      <c r="C560" s="1063">
        <f>CEILING(48*$Z$1,0.1)</f>
        <v>60</v>
      </c>
      <c r="D560" s="1064"/>
      <c r="E560" s="1063">
        <f>CEILING(48*$Z$1,0.1)</f>
        <v>60</v>
      </c>
      <c r="F560" s="1064"/>
      <c r="G560" s="1063">
        <f>CEILING(48*$Z$1,0.1)</f>
        <v>60</v>
      </c>
      <c r="H560" s="1064"/>
      <c r="I560" s="1061"/>
      <c r="J560" s="1061"/>
      <c r="K560" s="1061"/>
      <c r="L560" s="1061"/>
      <c r="M560" s="110"/>
      <c r="N560" s="111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</row>
    <row r="561" spans="1:25" s="107" customFormat="1" ht="34.5" customHeight="1">
      <c r="A561" s="735"/>
      <c r="B561" s="238" t="s">
        <v>449</v>
      </c>
      <c r="C561" s="1065">
        <f>CEILING((C560+20*$Z$1),0.1)</f>
        <v>85</v>
      </c>
      <c r="D561" s="1066"/>
      <c r="E561" s="1065">
        <f>CEILING((E560+20*$Z$1),0.1)</f>
        <v>85</v>
      </c>
      <c r="F561" s="1066"/>
      <c r="G561" s="1065">
        <f>CEILING((G560+20*$Z$1),0.1)</f>
        <v>85</v>
      </c>
      <c r="H561" s="1066"/>
      <c r="I561" s="1061"/>
      <c r="J561" s="1061"/>
      <c r="K561" s="1061"/>
      <c r="L561" s="1061"/>
      <c r="M561" s="130"/>
      <c r="N561" s="130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</row>
    <row r="562" spans="1:25" s="107" customFormat="1" ht="34.5" customHeight="1">
      <c r="A562" s="265" t="s">
        <v>50</v>
      </c>
      <c r="B562" s="321" t="s">
        <v>38</v>
      </c>
      <c r="C562" s="1065">
        <f>CEILING((C560*0.85),0.1)</f>
        <v>51</v>
      </c>
      <c r="D562" s="1066"/>
      <c r="E562" s="1065">
        <f>CEILING((E560*0.85),0.1)</f>
        <v>51</v>
      </c>
      <c r="F562" s="1066"/>
      <c r="G562" s="1065">
        <f>CEILING((G560*0.85),0.1)</f>
        <v>51</v>
      </c>
      <c r="H562" s="1066"/>
      <c r="I562" s="1061"/>
      <c r="J562" s="1061"/>
      <c r="K562" s="1061"/>
      <c r="L562" s="1061"/>
      <c r="M562" s="110"/>
      <c r="N562" s="111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</row>
    <row r="563" spans="1:25" s="107" customFormat="1" ht="34.5" customHeight="1">
      <c r="A563" s="132" t="s">
        <v>1063</v>
      </c>
      <c r="B563" s="353" t="s">
        <v>450</v>
      </c>
      <c r="C563" s="1065">
        <f>CEILING((C560*0),0.1)</f>
        <v>0</v>
      </c>
      <c r="D563" s="1066"/>
      <c r="E563" s="1065">
        <f>CEILING((E560*0),0.1)</f>
        <v>0</v>
      </c>
      <c r="F563" s="1066"/>
      <c r="G563" s="1065">
        <f>CEILING((G560*0),0.1)</f>
        <v>0</v>
      </c>
      <c r="H563" s="1066"/>
      <c r="I563" s="1061"/>
      <c r="J563" s="1061"/>
      <c r="K563" s="1061"/>
      <c r="L563" s="1061"/>
      <c r="M563" s="110"/>
      <c r="N563" s="111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</row>
    <row r="564" spans="1:25" s="107" customFormat="1" ht="34.5" customHeight="1">
      <c r="A564" s="944"/>
      <c r="B564" s="238" t="s">
        <v>60</v>
      </c>
      <c r="C564" s="1057">
        <f>CEILING(70*$Z$1,0.1)</f>
        <v>87.5</v>
      </c>
      <c r="D564" s="1058"/>
      <c r="E564" s="1057">
        <f>CEILING(70*$Z$1,0.1)</f>
        <v>87.5</v>
      </c>
      <c r="F564" s="1058"/>
      <c r="G564" s="1057">
        <f>CEILING(70*$Z$1,0.1)</f>
        <v>87.5</v>
      </c>
      <c r="H564" s="1058"/>
      <c r="I564" s="1061"/>
      <c r="J564" s="1061"/>
      <c r="K564" s="1061"/>
      <c r="L564" s="1061"/>
      <c r="M564" s="110"/>
      <c r="N564" s="111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</row>
    <row r="565" spans="1:25" s="107" customFormat="1" ht="34.5" customHeight="1" thickBot="1">
      <c r="A565" s="715" t="s">
        <v>447</v>
      </c>
      <c r="B565" s="297" t="s">
        <v>61</v>
      </c>
      <c r="C565" s="1059">
        <f>CEILING((C564+40*$Z$1),0.1)</f>
        <v>137.5</v>
      </c>
      <c r="D565" s="1060"/>
      <c r="E565" s="1059">
        <f>CEILING((E564+40*$Z$1),0.1)</f>
        <v>137.5</v>
      </c>
      <c r="F565" s="1060"/>
      <c r="G565" s="1059">
        <f>CEILING((G564+40*$Z$1),0.1)</f>
        <v>137.5</v>
      </c>
      <c r="H565" s="1060"/>
      <c r="I565" s="1061"/>
      <c r="J565" s="1061"/>
      <c r="K565" s="1061"/>
      <c r="L565" s="1061"/>
      <c r="M565" s="110"/>
      <c r="N565" s="111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</row>
    <row r="566" spans="1:25" s="107" customFormat="1" ht="34.5" customHeight="1" thickTop="1">
      <c r="A566" s="397" t="s">
        <v>638</v>
      </c>
      <c r="B566" s="124"/>
      <c r="C566" s="939"/>
      <c r="D566" s="939"/>
      <c r="E566" s="939"/>
      <c r="F566" s="939"/>
      <c r="G566" s="939"/>
      <c r="H566" s="939"/>
      <c r="I566" s="939"/>
      <c r="J566" s="939"/>
      <c r="K566" s="138"/>
      <c r="L566" s="138"/>
      <c r="M566" s="110"/>
      <c r="N566" s="111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</row>
    <row r="567" spans="1:61" s="107" customFormat="1" ht="34.5" customHeight="1" thickBot="1">
      <c r="A567" s="803"/>
      <c r="B567" s="437"/>
      <c r="C567" s="437"/>
      <c r="D567" s="437"/>
      <c r="E567" s="437"/>
      <c r="F567" s="437"/>
      <c r="G567" s="945"/>
      <c r="H567" s="945"/>
      <c r="I567" s="945"/>
      <c r="J567" s="945"/>
      <c r="K567" s="104"/>
      <c r="L567" s="104"/>
      <c r="M567" s="110"/>
      <c r="N567" s="103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  <c r="Z567" s="140"/>
      <c r="AA567" s="140"/>
      <c r="AB567" s="140"/>
      <c r="AC567" s="140"/>
      <c r="AD567" s="140"/>
      <c r="AE567" s="140"/>
      <c r="AF567" s="140"/>
      <c r="AG567" s="140"/>
      <c r="AH567" s="140"/>
      <c r="AI567" s="140"/>
      <c r="AJ567" s="140"/>
      <c r="AK567" s="140"/>
      <c r="AL567" s="140"/>
      <c r="AM567" s="140"/>
      <c r="AN567" s="140"/>
      <c r="AO567" s="140"/>
      <c r="AP567" s="140"/>
      <c r="AQ567" s="140"/>
      <c r="AR567" s="140"/>
      <c r="AS567" s="140"/>
      <c r="AT567" s="140"/>
      <c r="AU567" s="140"/>
      <c r="AV567" s="140"/>
      <c r="AW567" s="140"/>
      <c r="AX567" s="140"/>
      <c r="AY567" s="140"/>
      <c r="AZ567" s="140"/>
      <c r="BA567" s="140"/>
      <c r="BB567" s="140"/>
      <c r="BC567" s="140"/>
      <c r="BD567" s="140"/>
      <c r="BE567" s="140"/>
      <c r="BF567" s="140"/>
      <c r="BG567" s="140"/>
      <c r="BH567" s="140"/>
      <c r="BI567" s="140"/>
    </row>
    <row r="568" spans="1:42" s="214" customFormat="1" ht="34.5" customHeight="1" thickTop="1">
      <c r="A568" s="207" t="s">
        <v>34</v>
      </c>
      <c r="B568" s="208" t="s">
        <v>637</v>
      </c>
      <c r="C568" s="209" t="s">
        <v>921</v>
      </c>
      <c r="D568" s="210"/>
      <c r="E568" s="211" t="s">
        <v>922</v>
      </c>
      <c r="F568" s="212"/>
      <c r="G568" s="211" t="s">
        <v>923</v>
      </c>
      <c r="H568" s="212"/>
      <c r="I568" s="1070"/>
      <c r="J568" s="1071"/>
      <c r="K568" s="1070"/>
      <c r="L568" s="1070"/>
      <c r="M568" s="174"/>
      <c r="N568" s="174"/>
      <c r="O568" s="213"/>
      <c r="P568" s="213"/>
      <c r="Q568" s="213"/>
      <c r="R568" s="213"/>
      <c r="S568" s="213"/>
      <c r="T568" s="213"/>
      <c r="U568" s="213"/>
      <c r="V568" s="213"/>
      <c r="W568" s="213"/>
      <c r="X568" s="213"/>
      <c r="Y568" s="213"/>
      <c r="Z568" s="213"/>
      <c r="AA568" s="213"/>
      <c r="AB568" s="213"/>
      <c r="AC568" s="213"/>
      <c r="AD568" s="213"/>
      <c r="AE568" s="213"/>
      <c r="AF568" s="213"/>
      <c r="AG568" s="213"/>
      <c r="AH568" s="213"/>
      <c r="AI568" s="213"/>
      <c r="AJ568" s="213"/>
      <c r="AK568" s="213"/>
      <c r="AL568" s="213"/>
      <c r="AM568" s="213"/>
      <c r="AN568" s="213"/>
      <c r="AO568" s="213"/>
      <c r="AP568" s="213"/>
    </row>
    <row r="569" spans="1:63" s="140" customFormat="1" ht="34.5" customHeight="1">
      <c r="A569" s="858" t="s">
        <v>94</v>
      </c>
      <c r="B569" s="353" t="s">
        <v>83</v>
      </c>
      <c r="C569" s="1073">
        <f>CEILING(33*$Z$1,0.1)</f>
        <v>41.300000000000004</v>
      </c>
      <c r="D569" s="1074"/>
      <c r="E569" s="1073">
        <f>CEILING(33*$Z$1,0.1)</f>
        <v>41.300000000000004</v>
      </c>
      <c r="F569" s="1074"/>
      <c r="G569" s="1073">
        <f>CEILING(33*$Z$1,0.1)</f>
        <v>41.300000000000004</v>
      </c>
      <c r="H569" s="1074"/>
      <c r="I569" s="1061"/>
      <c r="J569" s="1061"/>
      <c r="K569" s="1061"/>
      <c r="L569" s="1061"/>
      <c r="M569" s="103"/>
      <c r="N569" s="103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  <c r="AA569" s="114"/>
      <c r="AB569" s="114"/>
      <c r="AC569" s="114"/>
      <c r="AD569" s="114"/>
      <c r="AE569" s="114"/>
      <c r="AF569" s="114"/>
      <c r="AG569" s="114"/>
      <c r="AH569" s="114"/>
      <c r="AI569" s="114"/>
      <c r="AJ569" s="114"/>
      <c r="AK569" s="114"/>
      <c r="AL569" s="114"/>
      <c r="AM569" s="114"/>
      <c r="AN569" s="114"/>
      <c r="AO569" s="114"/>
      <c r="AP569" s="114"/>
      <c r="AQ569" s="114"/>
      <c r="AR569" s="114"/>
      <c r="AS569" s="114"/>
      <c r="AT569" s="114"/>
      <c r="AU569" s="114"/>
      <c r="AV569" s="114"/>
      <c r="AW569" s="114"/>
      <c r="AX569" s="114"/>
      <c r="AY569" s="114"/>
      <c r="AZ569" s="114"/>
      <c r="BA569" s="114"/>
      <c r="BB569" s="114"/>
      <c r="BC569" s="114"/>
      <c r="BD569" s="114"/>
      <c r="BE569" s="114"/>
      <c r="BF569" s="114"/>
      <c r="BG569" s="114"/>
      <c r="BH569" s="114"/>
      <c r="BI569" s="114"/>
      <c r="BJ569" s="114"/>
      <c r="BK569" s="114"/>
    </row>
    <row r="570" spans="1:63" s="140" customFormat="1" ht="34.5" customHeight="1">
      <c r="A570" s="946"/>
      <c r="B570" s="238" t="s">
        <v>8</v>
      </c>
      <c r="C570" s="1057">
        <f>CEILING(41*$Z$1,0.1)</f>
        <v>51.300000000000004</v>
      </c>
      <c r="D570" s="1058"/>
      <c r="E570" s="1057">
        <f>CEILING(41*$Z$1,0.1)</f>
        <v>51.300000000000004</v>
      </c>
      <c r="F570" s="1058"/>
      <c r="G570" s="1057">
        <f>CEILING(41*$Z$1,0.1)</f>
        <v>51.300000000000004</v>
      </c>
      <c r="H570" s="1058"/>
      <c r="I570" s="1061"/>
      <c r="J570" s="1061"/>
      <c r="K570" s="1061"/>
      <c r="L570" s="1061"/>
      <c r="M570" s="103"/>
      <c r="N570" s="103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  <c r="Z570" s="114"/>
      <c r="AA570" s="114"/>
      <c r="AB570" s="114"/>
      <c r="AC570" s="114"/>
      <c r="AD570" s="114"/>
      <c r="AE570" s="114"/>
      <c r="AF570" s="114"/>
      <c r="AG570" s="114"/>
      <c r="AH570" s="114"/>
      <c r="AI570" s="114"/>
      <c r="AJ570" s="114"/>
      <c r="AK570" s="114"/>
      <c r="AL570" s="114"/>
      <c r="AM570" s="114"/>
      <c r="AN570" s="114"/>
      <c r="AO570" s="114"/>
      <c r="AP570" s="114"/>
      <c r="AQ570" s="114"/>
      <c r="AR570" s="114"/>
      <c r="AS570" s="114"/>
      <c r="AT570" s="114"/>
      <c r="AU570" s="114"/>
      <c r="AV570" s="114"/>
      <c r="AW570" s="114"/>
      <c r="AX570" s="114"/>
      <c r="AY570" s="114"/>
      <c r="AZ570" s="114"/>
      <c r="BA570" s="114"/>
      <c r="BB570" s="114"/>
      <c r="BC570" s="114"/>
      <c r="BD570" s="114"/>
      <c r="BE570" s="114"/>
      <c r="BF570" s="114"/>
      <c r="BG570" s="114"/>
      <c r="BH570" s="114"/>
      <c r="BI570" s="114"/>
      <c r="BJ570" s="114"/>
      <c r="BK570" s="114"/>
    </row>
    <row r="571" spans="1:63" s="140" customFormat="1" ht="34.5" customHeight="1">
      <c r="A571" s="265" t="s">
        <v>80</v>
      </c>
      <c r="B571" s="321" t="s">
        <v>38</v>
      </c>
      <c r="C571" s="1057">
        <f>CEILING(26*$Z$1,0.1)</f>
        <v>32.5</v>
      </c>
      <c r="D571" s="1058"/>
      <c r="E571" s="1057">
        <f>CEILING(26*$Z$1,0.1)</f>
        <v>32.5</v>
      </c>
      <c r="F571" s="1058"/>
      <c r="G571" s="1057">
        <f>CEILING(26*$Z$1,0.1)</f>
        <v>32.5</v>
      </c>
      <c r="H571" s="1058"/>
      <c r="I571" s="1061"/>
      <c r="J571" s="1061"/>
      <c r="K571" s="1061"/>
      <c r="L571" s="1061"/>
      <c r="M571" s="103"/>
      <c r="N571" s="103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  <c r="Y571" s="114"/>
      <c r="Z571" s="114"/>
      <c r="AA571" s="114"/>
      <c r="AB571" s="114"/>
      <c r="AC571" s="114"/>
      <c r="AD571" s="114"/>
      <c r="AE571" s="114"/>
      <c r="AF571" s="114"/>
      <c r="AG571" s="114"/>
      <c r="AH571" s="114"/>
      <c r="AI571" s="114"/>
      <c r="AJ571" s="114"/>
      <c r="AK571" s="114"/>
      <c r="AL571" s="114"/>
      <c r="AM571" s="114"/>
      <c r="AN571" s="114"/>
      <c r="AO571" s="114"/>
      <c r="AP571" s="114"/>
      <c r="AQ571" s="114"/>
      <c r="AR571" s="114"/>
      <c r="AS571" s="114"/>
      <c r="AT571" s="114"/>
      <c r="AU571" s="114"/>
      <c r="AV571" s="114"/>
      <c r="AW571" s="114"/>
      <c r="AX571" s="114"/>
      <c r="AY571" s="114"/>
      <c r="AZ571" s="114"/>
      <c r="BA571" s="114"/>
      <c r="BB571" s="114"/>
      <c r="BC571" s="114"/>
      <c r="BD571" s="114"/>
      <c r="BE571" s="114"/>
      <c r="BF571" s="114"/>
      <c r="BG571" s="114"/>
      <c r="BH571" s="114"/>
      <c r="BI571" s="114"/>
      <c r="BJ571" s="114"/>
      <c r="BK571" s="114"/>
    </row>
    <row r="572" spans="1:63" s="140" customFormat="1" ht="34.5" customHeight="1">
      <c r="A572" s="265"/>
      <c r="B572" s="241" t="s">
        <v>601</v>
      </c>
      <c r="C572" s="1103">
        <v>0</v>
      </c>
      <c r="D572" s="1104"/>
      <c r="E572" s="1103">
        <v>0</v>
      </c>
      <c r="F572" s="1104"/>
      <c r="G572" s="1103">
        <v>0</v>
      </c>
      <c r="H572" s="1104"/>
      <c r="I572" s="1062"/>
      <c r="J572" s="1062"/>
      <c r="K572" s="1062"/>
      <c r="L572" s="1062"/>
      <c r="M572" s="103"/>
      <c r="N572" s="103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  <c r="AA572" s="114"/>
      <c r="AB572" s="114"/>
      <c r="AC572" s="114"/>
      <c r="AD572" s="114"/>
      <c r="AE572" s="114"/>
      <c r="AF572" s="114"/>
      <c r="AG572" s="114"/>
      <c r="AH572" s="114"/>
      <c r="AI572" s="114"/>
      <c r="AJ572" s="114"/>
      <c r="AK572" s="114"/>
      <c r="AL572" s="114"/>
      <c r="AM572" s="114"/>
      <c r="AN572" s="114"/>
      <c r="AO572" s="114"/>
      <c r="AP572" s="114"/>
      <c r="AQ572" s="114"/>
      <c r="AR572" s="114"/>
      <c r="AS572" s="114"/>
      <c r="AT572" s="114"/>
      <c r="AU572" s="114"/>
      <c r="AV572" s="114"/>
      <c r="AW572" s="114"/>
      <c r="AX572" s="114"/>
      <c r="AY572" s="114"/>
      <c r="AZ572" s="114"/>
      <c r="BA572" s="114"/>
      <c r="BB572" s="114"/>
      <c r="BC572" s="114"/>
      <c r="BD572" s="114"/>
      <c r="BE572" s="114"/>
      <c r="BF572" s="114"/>
      <c r="BG572" s="114"/>
      <c r="BH572" s="114"/>
      <c r="BI572" s="114"/>
      <c r="BJ572" s="114"/>
      <c r="BK572" s="114"/>
    </row>
    <row r="573" spans="1:63" s="140" customFormat="1" ht="34.5" customHeight="1">
      <c r="A573" s="265"/>
      <c r="B573" s="353" t="s">
        <v>35</v>
      </c>
      <c r="C573" s="1073">
        <f>CEILING(43*$Z$1,0.1)</f>
        <v>53.800000000000004</v>
      </c>
      <c r="D573" s="1074"/>
      <c r="E573" s="1073">
        <f>CEILING(43*$Z$1,0.1)</f>
        <v>53.800000000000004</v>
      </c>
      <c r="F573" s="1074"/>
      <c r="G573" s="1073">
        <f>CEILING(43*$Z$1,0.1)</f>
        <v>53.800000000000004</v>
      </c>
      <c r="H573" s="1074"/>
      <c r="I573" s="1061"/>
      <c r="J573" s="1061"/>
      <c r="K573" s="1061"/>
      <c r="L573" s="1061"/>
      <c r="M573" s="103"/>
      <c r="N573" s="103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  <c r="Z573" s="114"/>
      <c r="AA573" s="114"/>
      <c r="AB573" s="114"/>
      <c r="AC573" s="114"/>
      <c r="AD573" s="114"/>
      <c r="AE573" s="114"/>
      <c r="AF573" s="114"/>
      <c r="AG573" s="114"/>
      <c r="AH573" s="114"/>
      <c r="AI573" s="114"/>
      <c r="AJ573" s="114"/>
      <c r="AK573" s="114"/>
      <c r="AL573" s="114"/>
      <c r="AM573" s="114"/>
      <c r="AN573" s="114"/>
      <c r="AO573" s="114"/>
      <c r="AP573" s="114"/>
      <c r="AQ573" s="114"/>
      <c r="AR573" s="114"/>
      <c r="AS573" s="114"/>
      <c r="AT573" s="114"/>
      <c r="AU573" s="114"/>
      <c r="AV573" s="114"/>
      <c r="AW573" s="114"/>
      <c r="AX573" s="114"/>
      <c r="AY573" s="114"/>
      <c r="AZ573" s="114"/>
      <c r="BA573" s="114"/>
      <c r="BB573" s="114"/>
      <c r="BC573" s="114"/>
      <c r="BD573" s="114"/>
      <c r="BE573" s="114"/>
      <c r="BF573" s="114"/>
      <c r="BG573" s="114"/>
      <c r="BH573" s="114"/>
      <c r="BI573" s="114"/>
      <c r="BJ573" s="114"/>
      <c r="BK573" s="114"/>
    </row>
    <row r="574" spans="1:63" s="473" customFormat="1" ht="34.5" customHeight="1">
      <c r="A574" s="730" t="s">
        <v>563</v>
      </c>
      <c r="B574" s="331" t="s">
        <v>37</v>
      </c>
      <c r="C574" s="1059">
        <f>CEILING(51*$Z$1,0.1)</f>
        <v>63.800000000000004</v>
      </c>
      <c r="D574" s="1060"/>
      <c r="E574" s="1059">
        <f>CEILING(51*$Z$1,0.1)</f>
        <v>63.800000000000004</v>
      </c>
      <c r="F574" s="1060"/>
      <c r="G574" s="1059">
        <f>CEILING(51*$Z$1,0.1)</f>
        <v>63.800000000000004</v>
      </c>
      <c r="H574" s="1060"/>
      <c r="I574" s="1061"/>
      <c r="J574" s="1061"/>
      <c r="K574" s="1061"/>
      <c r="L574" s="1061"/>
      <c r="M574" s="103"/>
      <c r="N574" s="103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  <c r="AA574" s="114"/>
      <c r="AB574" s="114"/>
      <c r="AC574" s="114"/>
      <c r="AD574" s="114"/>
      <c r="AE574" s="114"/>
      <c r="AF574" s="114"/>
      <c r="AG574" s="114"/>
      <c r="AH574" s="114"/>
      <c r="AI574" s="114"/>
      <c r="AJ574" s="114"/>
      <c r="AK574" s="114"/>
      <c r="AL574" s="114"/>
      <c r="AM574" s="114"/>
      <c r="AN574" s="114"/>
      <c r="AO574" s="114"/>
      <c r="AP574" s="114"/>
      <c r="AQ574" s="114"/>
      <c r="AR574" s="114"/>
      <c r="AS574" s="114"/>
      <c r="AT574" s="114"/>
      <c r="AU574" s="114"/>
      <c r="AV574" s="114"/>
      <c r="AW574" s="114"/>
      <c r="AX574" s="114"/>
      <c r="AY574" s="114"/>
      <c r="AZ574" s="114"/>
      <c r="BA574" s="114"/>
      <c r="BB574" s="114"/>
      <c r="BC574" s="114"/>
      <c r="BD574" s="114"/>
      <c r="BE574" s="114"/>
      <c r="BF574" s="114"/>
      <c r="BG574" s="114"/>
      <c r="BH574" s="114"/>
      <c r="BI574" s="114"/>
      <c r="BJ574" s="607"/>
      <c r="BK574" s="607"/>
    </row>
    <row r="575" spans="1:25" s="107" customFormat="1" ht="34.5" customHeight="1" thickBot="1">
      <c r="A575" s="947"/>
      <c r="B575" s="947"/>
      <c r="C575" s="947"/>
      <c r="D575" s="947"/>
      <c r="E575" s="947"/>
      <c r="F575" s="947"/>
      <c r="G575" s="793"/>
      <c r="H575" s="793"/>
      <c r="I575" s="793"/>
      <c r="J575" s="793"/>
      <c r="K575" s="104"/>
      <c r="L575" s="104"/>
      <c r="M575" s="110"/>
      <c r="N575" s="111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</row>
    <row r="576" spans="1:42" s="214" customFormat="1" ht="34.5" customHeight="1" thickTop="1">
      <c r="A576" s="207" t="s">
        <v>34</v>
      </c>
      <c r="B576" s="208" t="s">
        <v>91</v>
      </c>
      <c r="C576" s="209" t="s">
        <v>921</v>
      </c>
      <c r="D576" s="210"/>
      <c r="E576" s="211" t="s">
        <v>922</v>
      </c>
      <c r="F576" s="212"/>
      <c r="G576" s="211" t="s">
        <v>923</v>
      </c>
      <c r="H576" s="212"/>
      <c r="I576" s="1070"/>
      <c r="J576" s="1071"/>
      <c r="K576" s="1070"/>
      <c r="L576" s="1070"/>
      <c r="M576" s="174"/>
      <c r="N576" s="174"/>
      <c r="O576" s="213"/>
      <c r="P576" s="213"/>
      <c r="Q576" s="213"/>
      <c r="R576" s="213"/>
      <c r="S576" s="213"/>
      <c r="T576" s="213"/>
      <c r="U576" s="213"/>
      <c r="V576" s="213"/>
      <c r="W576" s="213"/>
      <c r="X576" s="213"/>
      <c r="Y576" s="213"/>
      <c r="Z576" s="213"/>
      <c r="AA576" s="213"/>
      <c r="AB576" s="213"/>
      <c r="AC576" s="213"/>
      <c r="AD576" s="213"/>
      <c r="AE576" s="213"/>
      <c r="AF576" s="213"/>
      <c r="AG576" s="213"/>
      <c r="AH576" s="213"/>
      <c r="AI576" s="213"/>
      <c r="AJ576" s="213"/>
      <c r="AK576" s="213"/>
      <c r="AL576" s="213"/>
      <c r="AM576" s="213"/>
      <c r="AN576" s="213"/>
      <c r="AO576" s="213"/>
      <c r="AP576" s="213"/>
    </row>
    <row r="577" spans="1:25" s="107" customFormat="1" ht="34.5" customHeight="1">
      <c r="A577" s="350" t="s">
        <v>655</v>
      </c>
      <c r="B577" s="353" t="s">
        <v>42</v>
      </c>
      <c r="C577" s="1073">
        <f>CEILING(53*$Z$1,0.1)</f>
        <v>66.3</v>
      </c>
      <c r="D577" s="1074"/>
      <c r="E577" s="1073">
        <f>CEILING(53*$Z$1,0.1)</f>
        <v>66.3</v>
      </c>
      <c r="F577" s="1074"/>
      <c r="G577" s="1073">
        <f>CEILING(53*$Z$1,0.1)</f>
        <v>66.3</v>
      </c>
      <c r="H577" s="1074"/>
      <c r="I577" s="1061"/>
      <c r="J577" s="1061"/>
      <c r="K577" s="1061"/>
      <c r="L577" s="1061"/>
      <c r="M577" s="103"/>
      <c r="N577" s="111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</row>
    <row r="578" spans="1:25" s="107" customFormat="1" ht="34.5" customHeight="1">
      <c r="A578" s="134" t="s">
        <v>564</v>
      </c>
      <c r="B578" s="238" t="s">
        <v>43</v>
      </c>
      <c r="C578" s="1057">
        <f>CEILING(66*$Z$1,0.1)</f>
        <v>82.5</v>
      </c>
      <c r="D578" s="1058"/>
      <c r="E578" s="1057">
        <f>CEILING(66*$Z$1,0.1)</f>
        <v>82.5</v>
      </c>
      <c r="F578" s="1058"/>
      <c r="G578" s="1057">
        <f>CEILING(66*$Z$1,0.1)</f>
        <v>82.5</v>
      </c>
      <c r="H578" s="1058"/>
      <c r="I578" s="1061"/>
      <c r="J578" s="1061"/>
      <c r="K578" s="1061"/>
      <c r="L578" s="1061"/>
      <c r="M578" s="103"/>
      <c r="N578" s="111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</row>
    <row r="579" spans="1:25" s="107" customFormat="1" ht="34.5" customHeight="1">
      <c r="A579" s="265" t="s">
        <v>50</v>
      </c>
      <c r="B579" s="238" t="s">
        <v>75</v>
      </c>
      <c r="C579" s="1057">
        <v>0</v>
      </c>
      <c r="D579" s="1058"/>
      <c r="E579" s="1057">
        <v>0</v>
      </c>
      <c r="F579" s="1058"/>
      <c r="G579" s="1057">
        <v>0</v>
      </c>
      <c r="H579" s="1058"/>
      <c r="I579" s="1062"/>
      <c r="J579" s="1062"/>
      <c r="K579" s="1061"/>
      <c r="L579" s="1061"/>
      <c r="M579" s="103"/>
      <c r="N579" s="111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</row>
    <row r="580" spans="1:25" s="107" customFormat="1" ht="34.5" customHeight="1" thickBot="1">
      <c r="A580" s="715" t="s">
        <v>563</v>
      </c>
      <c r="B580" s="331" t="s">
        <v>654</v>
      </c>
      <c r="C580" s="1059">
        <f>CEILING((C577*0),0.1)</f>
        <v>0</v>
      </c>
      <c r="D580" s="1060"/>
      <c r="E580" s="1059">
        <f>CEILING((E577*0),0.1)</f>
        <v>0</v>
      </c>
      <c r="F580" s="1060"/>
      <c r="G580" s="1059">
        <f>CEILING((G577*0),0.1)</f>
        <v>0</v>
      </c>
      <c r="H580" s="1060"/>
      <c r="I580" s="1061"/>
      <c r="J580" s="1061"/>
      <c r="K580" s="1061"/>
      <c r="L580" s="1061"/>
      <c r="M580" s="103"/>
      <c r="N580" s="111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</row>
    <row r="581" spans="1:63" s="107" customFormat="1" ht="34.5" customHeight="1" thickTop="1">
      <c r="A581" s="948" t="s">
        <v>649</v>
      </c>
      <c r="B581" s="124"/>
      <c r="C581" s="940"/>
      <c r="D581" s="940"/>
      <c r="E581" s="940"/>
      <c r="F581" s="940"/>
      <c r="G581" s="940"/>
      <c r="H581" s="940"/>
      <c r="I581" s="940"/>
      <c r="J581" s="940"/>
      <c r="K581" s="139"/>
      <c r="L581" s="139"/>
      <c r="M581" s="110"/>
      <c r="N581" s="103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  <c r="Z581" s="114"/>
      <c r="AA581" s="114"/>
      <c r="AB581" s="114"/>
      <c r="AC581" s="114"/>
      <c r="AD581" s="114"/>
      <c r="AE581" s="114"/>
      <c r="AF581" s="114"/>
      <c r="AG581" s="114"/>
      <c r="AH581" s="114"/>
      <c r="AI581" s="114"/>
      <c r="AJ581" s="114"/>
      <c r="AK581" s="114"/>
      <c r="AL581" s="114"/>
      <c r="AM581" s="114"/>
      <c r="AN581" s="114"/>
      <c r="AO581" s="114"/>
      <c r="AP581" s="114"/>
      <c r="AQ581" s="114"/>
      <c r="AR581" s="114"/>
      <c r="AS581" s="114"/>
      <c r="AT581" s="114"/>
      <c r="AU581" s="114"/>
      <c r="AV581" s="114"/>
      <c r="AW581" s="114"/>
      <c r="AX581" s="114"/>
      <c r="AY581" s="114"/>
      <c r="AZ581" s="114"/>
      <c r="BA581" s="114"/>
      <c r="BB581" s="114"/>
      <c r="BC581" s="114"/>
      <c r="BD581" s="114"/>
      <c r="BE581" s="114"/>
      <c r="BF581" s="114"/>
      <c r="BG581" s="114"/>
      <c r="BH581" s="114"/>
      <c r="BI581" s="114"/>
      <c r="BJ581" s="114"/>
      <c r="BK581" s="114"/>
    </row>
    <row r="582" spans="1:25" s="107" customFormat="1" ht="34.5" customHeight="1" thickBot="1">
      <c r="A582" s="555"/>
      <c r="B582" s="440"/>
      <c r="C582" s="949"/>
      <c r="D582" s="949"/>
      <c r="E582" s="949"/>
      <c r="F582" s="949"/>
      <c r="G582" s="950"/>
      <c r="H582" s="950"/>
      <c r="I582" s="530"/>
      <c r="J582" s="530"/>
      <c r="K582" s="113"/>
      <c r="L582" s="104"/>
      <c r="M582" s="103"/>
      <c r="N582" s="111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</row>
    <row r="583" spans="1:42" s="214" customFormat="1" ht="34.5" customHeight="1" thickTop="1">
      <c r="A583" s="207" t="s">
        <v>34</v>
      </c>
      <c r="B583" s="208" t="s">
        <v>935</v>
      </c>
      <c r="C583" s="209" t="s">
        <v>921</v>
      </c>
      <c r="D583" s="210"/>
      <c r="E583" s="211" t="s">
        <v>922</v>
      </c>
      <c r="F583" s="212"/>
      <c r="G583" s="211" t="s">
        <v>923</v>
      </c>
      <c r="H583" s="212"/>
      <c r="I583" s="1070"/>
      <c r="J583" s="1071"/>
      <c r="K583" s="1070"/>
      <c r="L583" s="1070"/>
      <c r="M583" s="174"/>
      <c r="N583" s="174"/>
      <c r="O583" s="213"/>
      <c r="P583" s="213"/>
      <c r="Q583" s="213"/>
      <c r="R583" s="213"/>
      <c r="S583" s="213"/>
      <c r="T583" s="213"/>
      <c r="U583" s="213"/>
      <c r="V583" s="213"/>
      <c r="W583" s="213"/>
      <c r="X583" s="213"/>
      <c r="Y583" s="213"/>
      <c r="Z583" s="213"/>
      <c r="AA583" s="213"/>
      <c r="AB583" s="213"/>
      <c r="AC583" s="213"/>
      <c r="AD583" s="213"/>
      <c r="AE583" s="213"/>
      <c r="AF583" s="213"/>
      <c r="AG583" s="213"/>
      <c r="AH583" s="213"/>
      <c r="AI583" s="213"/>
      <c r="AJ583" s="213"/>
      <c r="AK583" s="213"/>
      <c r="AL583" s="213"/>
      <c r="AM583" s="213"/>
      <c r="AN583" s="213"/>
      <c r="AO583" s="213"/>
      <c r="AP583" s="213"/>
    </row>
    <row r="584" spans="1:63" s="107" customFormat="1" ht="34.5" customHeight="1">
      <c r="A584" s="858" t="s">
        <v>262</v>
      </c>
      <c r="B584" s="353" t="s">
        <v>280</v>
      </c>
      <c r="C584" s="1073">
        <f>CEILING(38*$Z$1,0.1)</f>
        <v>47.5</v>
      </c>
      <c r="D584" s="1074"/>
      <c r="E584" s="1073">
        <f>CEILING(38*$Z$1,0.1)</f>
        <v>47.5</v>
      </c>
      <c r="F584" s="1074"/>
      <c r="G584" s="1073">
        <f>CEILING(38*$Z$1,0.1)</f>
        <v>47.5</v>
      </c>
      <c r="H584" s="1074"/>
      <c r="I584" s="1061"/>
      <c r="J584" s="1061"/>
      <c r="K584" s="1061"/>
      <c r="L584" s="1061"/>
      <c r="M584" s="103"/>
      <c r="N584" s="103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  <c r="AA584" s="114"/>
      <c r="AB584" s="114"/>
      <c r="AC584" s="114"/>
      <c r="AD584" s="114"/>
      <c r="AE584" s="114"/>
      <c r="AF584" s="114"/>
      <c r="AG584" s="114"/>
      <c r="AH584" s="114"/>
      <c r="AI584" s="114"/>
      <c r="AJ584" s="114"/>
      <c r="AK584" s="114"/>
      <c r="AL584" s="114"/>
      <c r="AM584" s="114"/>
      <c r="AN584" s="114"/>
      <c r="AO584" s="114"/>
      <c r="AP584" s="114"/>
      <c r="AQ584" s="114"/>
      <c r="AR584" s="114"/>
      <c r="AS584" s="114"/>
      <c r="AT584" s="114"/>
      <c r="AU584" s="114"/>
      <c r="AV584" s="114"/>
      <c r="AW584" s="114"/>
      <c r="AX584" s="114"/>
      <c r="AY584" s="114"/>
      <c r="AZ584" s="114"/>
      <c r="BA584" s="114"/>
      <c r="BB584" s="114"/>
      <c r="BC584" s="114"/>
      <c r="BD584" s="114"/>
      <c r="BE584" s="114"/>
      <c r="BF584" s="114"/>
      <c r="BG584" s="114"/>
      <c r="BH584" s="114"/>
      <c r="BI584" s="114"/>
      <c r="BJ584" s="114"/>
      <c r="BK584" s="114"/>
    </row>
    <row r="585" spans="1:63" s="107" customFormat="1" ht="34.5" customHeight="1">
      <c r="A585" s="946"/>
      <c r="B585" s="238" t="s">
        <v>281</v>
      </c>
      <c r="C585" s="1057">
        <f>CEILING(47*$Z$1,0.1)</f>
        <v>58.800000000000004</v>
      </c>
      <c r="D585" s="1058"/>
      <c r="E585" s="1057">
        <f>CEILING(47*$Z$1,0.1)</f>
        <v>58.800000000000004</v>
      </c>
      <c r="F585" s="1058"/>
      <c r="G585" s="1057">
        <f>CEILING(47*$Z$1,0.1)</f>
        <v>58.800000000000004</v>
      </c>
      <c r="H585" s="1058"/>
      <c r="I585" s="1061"/>
      <c r="J585" s="1061"/>
      <c r="K585" s="1061"/>
      <c r="L585" s="1061"/>
      <c r="M585" s="103"/>
      <c r="N585" s="103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  <c r="AA585" s="114"/>
      <c r="AB585" s="114"/>
      <c r="AC585" s="114"/>
      <c r="AD585" s="114"/>
      <c r="AE585" s="114"/>
      <c r="AF585" s="114"/>
      <c r="AG585" s="114"/>
      <c r="AH585" s="114"/>
      <c r="AI585" s="114"/>
      <c r="AJ585" s="114"/>
      <c r="AK585" s="114"/>
      <c r="AL585" s="114"/>
      <c r="AM585" s="114"/>
      <c r="AN585" s="114"/>
      <c r="AO585" s="114"/>
      <c r="AP585" s="114"/>
      <c r="AQ585" s="114"/>
      <c r="AR585" s="114"/>
      <c r="AS585" s="114"/>
      <c r="AT585" s="114"/>
      <c r="AU585" s="114"/>
      <c r="AV585" s="114"/>
      <c r="AW585" s="114"/>
      <c r="AX585" s="114"/>
      <c r="AY585" s="114"/>
      <c r="AZ585" s="114"/>
      <c r="BA585" s="114"/>
      <c r="BB585" s="114"/>
      <c r="BC585" s="114"/>
      <c r="BD585" s="114"/>
      <c r="BE585" s="114"/>
      <c r="BF585" s="114"/>
      <c r="BG585" s="114"/>
      <c r="BH585" s="114"/>
      <c r="BI585" s="114"/>
      <c r="BJ585" s="114"/>
      <c r="BK585" s="114"/>
    </row>
    <row r="586" spans="1:63" s="107" customFormat="1" ht="34.5" customHeight="1">
      <c r="A586" s="265" t="s">
        <v>80</v>
      </c>
      <c r="B586" s="321" t="s">
        <v>38</v>
      </c>
      <c r="C586" s="1057">
        <f>CEILING(30*$Z$1,0.1)</f>
        <v>37.5</v>
      </c>
      <c r="D586" s="1058"/>
      <c r="E586" s="1057">
        <f>CEILING(30*$Z$1,0.1)</f>
        <v>37.5</v>
      </c>
      <c r="F586" s="1058"/>
      <c r="G586" s="1057">
        <f>CEILING(30*$Z$1,0.1)</f>
        <v>37.5</v>
      </c>
      <c r="H586" s="1058"/>
      <c r="I586" s="1061"/>
      <c r="J586" s="1061"/>
      <c r="K586" s="1061"/>
      <c r="L586" s="1061"/>
      <c r="M586" s="103"/>
      <c r="N586" s="103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  <c r="Z586" s="114"/>
      <c r="AA586" s="114"/>
      <c r="AB586" s="114"/>
      <c r="AC586" s="114"/>
      <c r="AD586" s="114"/>
      <c r="AE586" s="114"/>
      <c r="AF586" s="114"/>
      <c r="AG586" s="114"/>
      <c r="AH586" s="114"/>
      <c r="AI586" s="114"/>
      <c r="AJ586" s="114"/>
      <c r="AK586" s="114"/>
      <c r="AL586" s="114"/>
      <c r="AM586" s="114"/>
      <c r="AN586" s="114"/>
      <c r="AO586" s="114"/>
      <c r="AP586" s="114"/>
      <c r="AQ586" s="114"/>
      <c r="AR586" s="114"/>
      <c r="AS586" s="114"/>
      <c r="AT586" s="114"/>
      <c r="AU586" s="114"/>
      <c r="AV586" s="114"/>
      <c r="AW586" s="114"/>
      <c r="AX586" s="114"/>
      <c r="AY586" s="114"/>
      <c r="AZ586" s="114"/>
      <c r="BA586" s="114"/>
      <c r="BB586" s="114"/>
      <c r="BC586" s="114"/>
      <c r="BD586" s="114"/>
      <c r="BE586" s="114"/>
      <c r="BF586" s="114"/>
      <c r="BG586" s="114"/>
      <c r="BH586" s="114"/>
      <c r="BI586" s="114"/>
      <c r="BJ586" s="114"/>
      <c r="BK586" s="114"/>
    </row>
    <row r="587" spans="1:63" s="107" customFormat="1" ht="34.5" customHeight="1">
      <c r="A587" s="265"/>
      <c r="B587" s="241" t="s">
        <v>75</v>
      </c>
      <c r="C587" s="1085">
        <v>0</v>
      </c>
      <c r="D587" s="1086"/>
      <c r="E587" s="1085">
        <v>0</v>
      </c>
      <c r="F587" s="1086"/>
      <c r="G587" s="1085">
        <v>0</v>
      </c>
      <c r="H587" s="1086"/>
      <c r="I587" s="1062"/>
      <c r="J587" s="1062"/>
      <c r="K587" s="1062"/>
      <c r="L587" s="1062"/>
      <c r="M587" s="103"/>
      <c r="N587" s="103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  <c r="AA587" s="114"/>
      <c r="AB587" s="114"/>
      <c r="AC587" s="114"/>
      <c r="AD587" s="114"/>
      <c r="AE587" s="114"/>
      <c r="AF587" s="114"/>
      <c r="AG587" s="114"/>
      <c r="AH587" s="114"/>
      <c r="AI587" s="114"/>
      <c r="AJ587" s="114"/>
      <c r="AK587" s="114"/>
      <c r="AL587" s="114"/>
      <c r="AM587" s="114"/>
      <c r="AN587" s="114"/>
      <c r="AO587" s="114"/>
      <c r="AP587" s="114"/>
      <c r="AQ587" s="114"/>
      <c r="AR587" s="114"/>
      <c r="AS587" s="114"/>
      <c r="AT587" s="114"/>
      <c r="AU587" s="114"/>
      <c r="AV587" s="114"/>
      <c r="AW587" s="114"/>
      <c r="AX587" s="114"/>
      <c r="AY587" s="114"/>
      <c r="AZ587" s="114"/>
      <c r="BA587" s="114"/>
      <c r="BB587" s="114"/>
      <c r="BC587" s="114"/>
      <c r="BD587" s="114"/>
      <c r="BE587" s="114"/>
      <c r="BF587" s="114"/>
      <c r="BG587" s="114"/>
      <c r="BH587" s="114"/>
      <c r="BI587" s="114"/>
      <c r="BJ587" s="114"/>
      <c r="BK587" s="114"/>
    </row>
    <row r="588" spans="1:63" s="107" customFormat="1" ht="34.5" customHeight="1">
      <c r="A588" s="265"/>
      <c r="B588" s="331" t="s">
        <v>654</v>
      </c>
      <c r="C588" s="1059">
        <f>CEILING((C584*0.5),0.1)</f>
        <v>23.8</v>
      </c>
      <c r="D588" s="1060"/>
      <c r="E588" s="1059">
        <f>CEILING((E584*0.5),0.1)</f>
        <v>23.8</v>
      </c>
      <c r="F588" s="1060"/>
      <c r="G588" s="1059">
        <f>CEILING((G584*0.5),0.1)</f>
        <v>23.8</v>
      </c>
      <c r="H588" s="1060"/>
      <c r="I588" s="1061"/>
      <c r="J588" s="1061"/>
      <c r="K588" s="1061"/>
      <c r="L588" s="1061"/>
      <c r="M588" s="103"/>
      <c r="N588" s="103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  <c r="AA588" s="114"/>
      <c r="AB588" s="114"/>
      <c r="AC588" s="114"/>
      <c r="AD588" s="114"/>
      <c r="AE588" s="114"/>
      <c r="AF588" s="114"/>
      <c r="AG588" s="114"/>
      <c r="AH588" s="114"/>
      <c r="AI588" s="114"/>
      <c r="AJ588" s="114"/>
      <c r="AK588" s="114"/>
      <c r="AL588" s="114"/>
      <c r="AM588" s="114"/>
      <c r="AN588" s="114"/>
      <c r="AO588" s="114"/>
      <c r="AP588" s="114"/>
      <c r="AQ588" s="114"/>
      <c r="AR588" s="114"/>
      <c r="AS588" s="114"/>
      <c r="AT588" s="114"/>
      <c r="AU588" s="114"/>
      <c r="AV588" s="114"/>
      <c r="AW588" s="114"/>
      <c r="AX588" s="114"/>
      <c r="AY588" s="114"/>
      <c r="AZ588" s="114"/>
      <c r="BA588" s="114"/>
      <c r="BB588" s="114"/>
      <c r="BC588" s="114"/>
      <c r="BD588" s="114"/>
      <c r="BE588" s="114"/>
      <c r="BF588" s="114"/>
      <c r="BG588" s="114"/>
      <c r="BH588" s="114"/>
      <c r="BI588" s="114"/>
      <c r="BJ588" s="114"/>
      <c r="BK588" s="114"/>
    </row>
    <row r="589" spans="1:63" s="107" customFormat="1" ht="34.5" customHeight="1">
      <c r="A589" s="265"/>
      <c r="B589" s="353" t="s">
        <v>35</v>
      </c>
      <c r="C589" s="1073">
        <f>CEILING(53*$Z$1,0.1)</f>
        <v>66.3</v>
      </c>
      <c r="D589" s="1074"/>
      <c r="E589" s="1073">
        <f>CEILING(53*$Z$1,0.1)</f>
        <v>66.3</v>
      </c>
      <c r="F589" s="1074"/>
      <c r="G589" s="1073">
        <f>CEILING(53*$Z$1,0.1)</f>
        <v>66.3</v>
      </c>
      <c r="H589" s="1074"/>
      <c r="I589" s="1061"/>
      <c r="J589" s="1061"/>
      <c r="K589" s="1061"/>
      <c r="L589" s="1061"/>
      <c r="M589" s="103"/>
      <c r="N589" s="103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  <c r="AA589" s="114"/>
      <c r="AB589" s="114"/>
      <c r="AC589" s="114"/>
      <c r="AD589" s="114"/>
      <c r="AE589" s="114"/>
      <c r="AF589" s="114"/>
      <c r="AG589" s="114"/>
      <c r="AH589" s="114"/>
      <c r="AI589" s="114"/>
      <c r="AJ589" s="114"/>
      <c r="AK589" s="114"/>
      <c r="AL589" s="114"/>
      <c r="AM589" s="114"/>
      <c r="AN589" s="114"/>
      <c r="AO589" s="114"/>
      <c r="AP589" s="114"/>
      <c r="AQ589" s="114"/>
      <c r="AR589" s="114"/>
      <c r="AS589" s="114"/>
      <c r="AT589" s="114"/>
      <c r="AU589" s="114"/>
      <c r="AV589" s="114"/>
      <c r="AW589" s="114"/>
      <c r="AX589" s="114"/>
      <c r="AY589" s="114"/>
      <c r="AZ589" s="114"/>
      <c r="BA589" s="114"/>
      <c r="BB589" s="114"/>
      <c r="BC589" s="114"/>
      <c r="BD589" s="114"/>
      <c r="BE589" s="114"/>
      <c r="BF589" s="114"/>
      <c r="BG589" s="114"/>
      <c r="BH589" s="114"/>
      <c r="BI589" s="114"/>
      <c r="BJ589" s="114"/>
      <c r="BK589" s="114"/>
    </row>
    <row r="590" spans="1:63" s="107" customFormat="1" ht="34.5" customHeight="1">
      <c r="A590" s="265"/>
      <c r="B590" s="238" t="s">
        <v>37</v>
      </c>
      <c r="C590" s="1057">
        <f>CEILING(62*$Z$1,0.1)</f>
        <v>77.5</v>
      </c>
      <c r="D590" s="1058"/>
      <c r="E590" s="1057">
        <f>CEILING(62*$Z$1,0.1)</f>
        <v>77.5</v>
      </c>
      <c r="F590" s="1058"/>
      <c r="G590" s="1057">
        <f>CEILING(62*$Z$1,0.1)</f>
        <v>77.5</v>
      </c>
      <c r="H590" s="1058"/>
      <c r="I590" s="1061"/>
      <c r="J590" s="1061"/>
      <c r="K590" s="1061"/>
      <c r="L590" s="1061"/>
      <c r="M590" s="103"/>
      <c r="N590" s="103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  <c r="AA590" s="114"/>
      <c r="AB590" s="114"/>
      <c r="AC590" s="114"/>
      <c r="AD590" s="114"/>
      <c r="AE590" s="114"/>
      <c r="AF590" s="114"/>
      <c r="AG590" s="114"/>
      <c r="AH590" s="114"/>
      <c r="AI590" s="114"/>
      <c r="AJ590" s="114"/>
      <c r="AK590" s="114"/>
      <c r="AL590" s="114"/>
      <c r="AM590" s="114"/>
      <c r="AN590" s="114"/>
      <c r="AO590" s="114"/>
      <c r="AP590" s="114"/>
      <c r="AQ590" s="114"/>
      <c r="AR590" s="114"/>
      <c r="AS590" s="114"/>
      <c r="AT590" s="114"/>
      <c r="AU590" s="114"/>
      <c r="AV590" s="114"/>
      <c r="AW590" s="114"/>
      <c r="AX590" s="114"/>
      <c r="AY590" s="114"/>
      <c r="AZ590" s="114"/>
      <c r="BA590" s="114"/>
      <c r="BB590" s="114"/>
      <c r="BC590" s="114"/>
      <c r="BD590" s="114"/>
      <c r="BE590" s="114"/>
      <c r="BF590" s="114"/>
      <c r="BG590" s="114"/>
      <c r="BH590" s="114"/>
      <c r="BI590" s="114"/>
      <c r="BJ590" s="114"/>
      <c r="BK590" s="114"/>
    </row>
    <row r="591" spans="1:63" s="107" customFormat="1" ht="34.5" customHeight="1">
      <c r="A591" s="265"/>
      <c r="B591" s="321" t="s">
        <v>38</v>
      </c>
      <c r="C591" s="1057">
        <f>CEILING(49*$Z$1,0.1)</f>
        <v>61.300000000000004</v>
      </c>
      <c r="D591" s="1058"/>
      <c r="E591" s="1057">
        <f>CEILING(49*$Z$1,0.1)</f>
        <v>61.300000000000004</v>
      </c>
      <c r="F591" s="1058"/>
      <c r="G591" s="1057">
        <f>CEILING(49*$Z$1,0.1)</f>
        <v>61.300000000000004</v>
      </c>
      <c r="H591" s="1058"/>
      <c r="I591" s="1061"/>
      <c r="J591" s="1061"/>
      <c r="K591" s="1061"/>
      <c r="L591" s="1061"/>
      <c r="M591" s="103"/>
      <c r="N591" s="103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  <c r="AA591" s="114"/>
      <c r="AB591" s="114"/>
      <c r="AC591" s="114"/>
      <c r="AD591" s="114"/>
      <c r="AE591" s="114"/>
      <c r="AF591" s="114"/>
      <c r="AG591" s="114"/>
      <c r="AH591" s="114"/>
      <c r="AI591" s="114"/>
      <c r="AJ591" s="114"/>
      <c r="AK591" s="114"/>
      <c r="AL591" s="114"/>
      <c r="AM591" s="114"/>
      <c r="AN591" s="114"/>
      <c r="AO591" s="114"/>
      <c r="AP591" s="114"/>
      <c r="AQ591" s="114"/>
      <c r="AR591" s="114"/>
      <c r="AS591" s="114"/>
      <c r="AT591" s="114"/>
      <c r="AU591" s="114"/>
      <c r="AV591" s="114"/>
      <c r="AW591" s="114"/>
      <c r="AX591" s="114"/>
      <c r="AY591" s="114"/>
      <c r="AZ591" s="114"/>
      <c r="BA591" s="114"/>
      <c r="BB591" s="114"/>
      <c r="BC591" s="114"/>
      <c r="BD591" s="114"/>
      <c r="BE591" s="114"/>
      <c r="BF591" s="114"/>
      <c r="BG591" s="114"/>
      <c r="BH591" s="114"/>
      <c r="BI591" s="114"/>
      <c r="BJ591" s="114"/>
      <c r="BK591" s="114"/>
    </row>
    <row r="592" spans="1:63" s="107" customFormat="1" ht="34.5" customHeight="1">
      <c r="A592" s="265"/>
      <c r="B592" s="241" t="s">
        <v>75</v>
      </c>
      <c r="C592" s="1085">
        <v>0</v>
      </c>
      <c r="D592" s="1086"/>
      <c r="E592" s="1085">
        <v>0</v>
      </c>
      <c r="F592" s="1086"/>
      <c r="G592" s="1085">
        <v>0</v>
      </c>
      <c r="H592" s="1086"/>
      <c r="I592" s="1062"/>
      <c r="J592" s="1062"/>
      <c r="K592" s="1062"/>
      <c r="L592" s="1062"/>
      <c r="M592" s="103"/>
      <c r="N592" s="103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  <c r="AA592" s="114"/>
      <c r="AB592" s="114"/>
      <c r="AC592" s="114"/>
      <c r="AD592" s="114"/>
      <c r="AE592" s="114"/>
      <c r="AF592" s="114"/>
      <c r="AG592" s="114"/>
      <c r="AH592" s="114"/>
      <c r="AI592" s="114"/>
      <c r="AJ592" s="114"/>
      <c r="AK592" s="114"/>
      <c r="AL592" s="114"/>
      <c r="AM592" s="114"/>
      <c r="AN592" s="114"/>
      <c r="AO592" s="114"/>
      <c r="AP592" s="114"/>
      <c r="AQ592" s="114"/>
      <c r="AR592" s="114"/>
      <c r="AS592" s="114"/>
      <c r="AT592" s="114"/>
      <c r="AU592" s="114"/>
      <c r="AV592" s="114"/>
      <c r="AW592" s="114"/>
      <c r="AX592" s="114"/>
      <c r="AY592" s="114"/>
      <c r="AZ592" s="114"/>
      <c r="BA592" s="114"/>
      <c r="BB592" s="114"/>
      <c r="BC592" s="114"/>
      <c r="BD592" s="114"/>
      <c r="BE592" s="114"/>
      <c r="BF592" s="114"/>
      <c r="BG592" s="114"/>
      <c r="BH592" s="114"/>
      <c r="BI592" s="114"/>
      <c r="BJ592" s="114"/>
      <c r="BK592" s="114"/>
    </row>
    <row r="593" spans="1:63" s="107" customFormat="1" ht="34.5" customHeight="1" thickBot="1">
      <c r="A593" s="715" t="s">
        <v>307</v>
      </c>
      <c r="B593" s="243" t="s">
        <v>654</v>
      </c>
      <c r="C593" s="1076">
        <f>CEILING((C589*0.5),0.1)</f>
        <v>33.2</v>
      </c>
      <c r="D593" s="1077"/>
      <c r="E593" s="1076">
        <f>CEILING((E589*0.5),0.1)</f>
        <v>33.2</v>
      </c>
      <c r="F593" s="1077"/>
      <c r="G593" s="1076">
        <f>CEILING((G589*0.5),0.1)</f>
        <v>33.2</v>
      </c>
      <c r="H593" s="1077"/>
      <c r="I593" s="1061"/>
      <c r="J593" s="1061"/>
      <c r="K593" s="1061"/>
      <c r="L593" s="1061"/>
      <c r="M593" s="103"/>
      <c r="N593" s="103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  <c r="AA593" s="114"/>
      <c r="AB593" s="114"/>
      <c r="AC593" s="114"/>
      <c r="AD593" s="114"/>
      <c r="AE593" s="114"/>
      <c r="AF593" s="114"/>
      <c r="AG593" s="114"/>
      <c r="AH593" s="114"/>
      <c r="AI593" s="114"/>
      <c r="AJ593" s="114"/>
      <c r="AK593" s="114"/>
      <c r="AL593" s="114"/>
      <c r="AM593" s="114"/>
      <c r="AN593" s="114"/>
      <c r="AO593" s="114"/>
      <c r="AP593" s="114"/>
      <c r="AQ593" s="114"/>
      <c r="AR593" s="114"/>
      <c r="AS593" s="114"/>
      <c r="AT593" s="114"/>
      <c r="AU593" s="114"/>
      <c r="AV593" s="114"/>
      <c r="AW593" s="114"/>
      <c r="AX593" s="114"/>
      <c r="AY593" s="114"/>
      <c r="AZ593" s="114"/>
      <c r="BA593" s="114"/>
      <c r="BB593" s="114"/>
      <c r="BC593" s="114"/>
      <c r="BD593" s="114"/>
      <c r="BE593" s="114"/>
      <c r="BF593" s="114"/>
      <c r="BG593" s="114"/>
      <c r="BH593" s="114"/>
      <c r="BI593" s="114"/>
      <c r="BJ593" s="114"/>
      <c r="BK593" s="114"/>
    </row>
    <row r="594" spans="1:63" s="107" customFormat="1" ht="34.5" customHeight="1" thickBot="1" thickTop="1">
      <c r="A594" s="810"/>
      <c r="B594" s="428"/>
      <c r="C594" s="940"/>
      <c r="D594" s="940"/>
      <c r="E594" s="940"/>
      <c r="F594" s="940"/>
      <c r="G594" s="940"/>
      <c r="H594" s="940"/>
      <c r="I594" s="940"/>
      <c r="J594" s="940"/>
      <c r="K594" s="139"/>
      <c r="L594" s="139"/>
      <c r="M594" s="110"/>
      <c r="N594" s="103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  <c r="Z594" s="114"/>
      <c r="AA594" s="114"/>
      <c r="AB594" s="114"/>
      <c r="AC594" s="114"/>
      <c r="AD594" s="114"/>
      <c r="AE594" s="114"/>
      <c r="AF594" s="114"/>
      <c r="AG594" s="114"/>
      <c r="AH594" s="114"/>
      <c r="AI594" s="114"/>
      <c r="AJ594" s="114"/>
      <c r="AK594" s="114"/>
      <c r="AL594" s="114"/>
      <c r="AM594" s="114"/>
      <c r="AN594" s="114"/>
      <c r="AO594" s="114"/>
      <c r="AP594" s="114"/>
      <c r="AQ594" s="114"/>
      <c r="AR594" s="114"/>
      <c r="AS594" s="114"/>
      <c r="AT594" s="114"/>
      <c r="AU594" s="114"/>
      <c r="AV594" s="114"/>
      <c r="AW594" s="114"/>
      <c r="AX594" s="114"/>
      <c r="AY594" s="114"/>
      <c r="AZ594" s="114"/>
      <c r="BA594" s="114"/>
      <c r="BB594" s="114"/>
      <c r="BC594" s="114"/>
      <c r="BD594" s="114"/>
      <c r="BE594" s="114"/>
      <c r="BF594" s="114"/>
      <c r="BG594" s="114"/>
      <c r="BH594" s="114"/>
      <c r="BI594" s="114"/>
      <c r="BJ594" s="114"/>
      <c r="BK594" s="114"/>
    </row>
    <row r="595" spans="1:42" s="214" customFormat="1" ht="34.5" customHeight="1" thickTop="1">
      <c r="A595" s="207" t="s">
        <v>34</v>
      </c>
      <c r="B595" s="208" t="s">
        <v>935</v>
      </c>
      <c r="C595" s="209" t="s">
        <v>921</v>
      </c>
      <c r="D595" s="210"/>
      <c r="E595" s="211" t="s">
        <v>922</v>
      </c>
      <c r="F595" s="212"/>
      <c r="G595" s="211" t="s">
        <v>923</v>
      </c>
      <c r="H595" s="212"/>
      <c r="I595" s="1070"/>
      <c r="J595" s="1071"/>
      <c r="K595" s="1070"/>
      <c r="L595" s="1070"/>
      <c r="M595" s="174"/>
      <c r="N595" s="174"/>
      <c r="O595" s="213"/>
      <c r="P595" s="213"/>
      <c r="Q595" s="213"/>
      <c r="R595" s="213"/>
      <c r="S595" s="213"/>
      <c r="T595" s="213"/>
      <c r="U595" s="213"/>
      <c r="V595" s="213"/>
      <c r="W595" s="213"/>
      <c r="X595" s="213"/>
      <c r="Y595" s="213"/>
      <c r="Z595" s="213"/>
      <c r="AA595" s="213"/>
      <c r="AB595" s="213"/>
      <c r="AC595" s="213"/>
      <c r="AD595" s="213"/>
      <c r="AE595" s="213"/>
      <c r="AF595" s="213"/>
      <c r="AG595" s="213"/>
      <c r="AH595" s="213"/>
      <c r="AI595" s="213"/>
      <c r="AJ595" s="213"/>
      <c r="AK595" s="213"/>
      <c r="AL595" s="213"/>
      <c r="AM595" s="213"/>
      <c r="AN595" s="213"/>
      <c r="AO595" s="213"/>
      <c r="AP595" s="213"/>
    </row>
    <row r="596" spans="1:63" s="107" customFormat="1" ht="34.5" customHeight="1">
      <c r="A596" s="858" t="s">
        <v>650</v>
      </c>
      <c r="B596" s="353" t="s">
        <v>83</v>
      </c>
      <c r="C596" s="1073">
        <f>CEILING(30*$Z$1,0.1)</f>
        <v>37.5</v>
      </c>
      <c r="D596" s="1074"/>
      <c r="E596" s="1073">
        <f>CEILING(30*$Z$1,0.1)</f>
        <v>37.5</v>
      </c>
      <c r="F596" s="1074"/>
      <c r="G596" s="1073">
        <f>CEILING(30*$Z$1,0.1)</f>
        <v>37.5</v>
      </c>
      <c r="H596" s="1074"/>
      <c r="I596" s="1061"/>
      <c r="J596" s="1061"/>
      <c r="K596" s="1061"/>
      <c r="L596" s="1061"/>
      <c r="M596" s="103"/>
      <c r="N596" s="103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  <c r="AA596" s="114"/>
      <c r="AB596" s="114"/>
      <c r="AC596" s="114"/>
      <c r="AD596" s="114"/>
      <c r="AE596" s="114"/>
      <c r="AF596" s="114"/>
      <c r="AG596" s="114"/>
      <c r="AH596" s="114"/>
      <c r="AI596" s="114"/>
      <c r="AJ596" s="114"/>
      <c r="AK596" s="114"/>
      <c r="AL596" s="114"/>
      <c r="AM596" s="114"/>
      <c r="AN596" s="114"/>
      <c r="AO596" s="114"/>
      <c r="AP596" s="114"/>
      <c r="AQ596" s="114"/>
      <c r="AR596" s="114"/>
      <c r="AS596" s="114"/>
      <c r="AT596" s="114"/>
      <c r="AU596" s="114"/>
      <c r="AV596" s="114"/>
      <c r="AW596" s="114"/>
      <c r="AX596" s="114"/>
      <c r="AY596" s="114"/>
      <c r="AZ596" s="114"/>
      <c r="BA596" s="114"/>
      <c r="BB596" s="114"/>
      <c r="BC596" s="114"/>
      <c r="BD596" s="114"/>
      <c r="BE596" s="114"/>
      <c r="BF596" s="114"/>
      <c r="BG596" s="114"/>
      <c r="BH596" s="114"/>
      <c r="BI596" s="114"/>
      <c r="BJ596" s="114"/>
      <c r="BK596" s="114"/>
    </row>
    <row r="597" spans="1:63" s="107" customFormat="1" ht="34.5" customHeight="1">
      <c r="A597" s="946"/>
      <c r="B597" s="238" t="s">
        <v>8</v>
      </c>
      <c r="C597" s="1057">
        <f>CEILING(37*$Z$1,0.1)</f>
        <v>46.300000000000004</v>
      </c>
      <c r="D597" s="1058"/>
      <c r="E597" s="1057">
        <f>CEILING(37*$Z$1,0.1)</f>
        <v>46.300000000000004</v>
      </c>
      <c r="F597" s="1058"/>
      <c r="G597" s="1057">
        <f>CEILING(37*$Z$1,0.1)</f>
        <v>46.300000000000004</v>
      </c>
      <c r="H597" s="1058"/>
      <c r="I597" s="1061"/>
      <c r="J597" s="1061"/>
      <c r="K597" s="1061"/>
      <c r="L597" s="1061"/>
      <c r="M597" s="103"/>
      <c r="N597" s="103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  <c r="Z597" s="114"/>
      <c r="AA597" s="114"/>
      <c r="AB597" s="114"/>
      <c r="AC597" s="114"/>
      <c r="AD597" s="114"/>
      <c r="AE597" s="114"/>
      <c r="AF597" s="114"/>
      <c r="AG597" s="114"/>
      <c r="AH597" s="114"/>
      <c r="AI597" s="114"/>
      <c r="AJ597" s="114"/>
      <c r="AK597" s="114"/>
      <c r="AL597" s="114"/>
      <c r="AM597" s="114"/>
      <c r="AN597" s="114"/>
      <c r="AO597" s="114"/>
      <c r="AP597" s="114"/>
      <c r="AQ597" s="114"/>
      <c r="AR597" s="114"/>
      <c r="AS597" s="114"/>
      <c r="AT597" s="114"/>
      <c r="AU597" s="114"/>
      <c r="AV597" s="114"/>
      <c r="AW597" s="114"/>
      <c r="AX597" s="114"/>
      <c r="AY597" s="114"/>
      <c r="AZ597" s="114"/>
      <c r="BA597" s="114"/>
      <c r="BB597" s="114"/>
      <c r="BC597" s="114"/>
      <c r="BD597" s="114"/>
      <c r="BE597" s="114"/>
      <c r="BF597" s="114"/>
      <c r="BG597" s="114"/>
      <c r="BH597" s="114"/>
      <c r="BI597" s="114"/>
      <c r="BJ597" s="114"/>
      <c r="BK597" s="114"/>
    </row>
    <row r="598" spans="1:63" s="107" customFormat="1" ht="34.5" customHeight="1">
      <c r="A598" s="265"/>
      <c r="B598" s="241" t="s">
        <v>75</v>
      </c>
      <c r="C598" s="1085">
        <v>0</v>
      </c>
      <c r="D598" s="1086"/>
      <c r="E598" s="1085">
        <v>0</v>
      </c>
      <c r="F598" s="1086"/>
      <c r="G598" s="1085">
        <v>0</v>
      </c>
      <c r="H598" s="1086"/>
      <c r="I598" s="1062"/>
      <c r="J598" s="1062"/>
      <c r="K598" s="1062"/>
      <c r="L598" s="1062"/>
      <c r="M598" s="103"/>
      <c r="N598" s="103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  <c r="AA598" s="114"/>
      <c r="AB598" s="114"/>
      <c r="AC598" s="114"/>
      <c r="AD598" s="114"/>
      <c r="AE598" s="114"/>
      <c r="AF598" s="114"/>
      <c r="AG598" s="114"/>
      <c r="AH598" s="114"/>
      <c r="AI598" s="114"/>
      <c r="AJ598" s="114"/>
      <c r="AK598" s="114"/>
      <c r="AL598" s="114"/>
      <c r="AM598" s="114"/>
      <c r="AN598" s="114"/>
      <c r="AO598" s="114"/>
      <c r="AP598" s="114"/>
      <c r="AQ598" s="114"/>
      <c r="AR598" s="114"/>
      <c r="AS598" s="114"/>
      <c r="AT598" s="114"/>
      <c r="AU598" s="114"/>
      <c r="AV598" s="114"/>
      <c r="AW598" s="114"/>
      <c r="AX598" s="114"/>
      <c r="AY598" s="114"/>
      <c r="AZ598" s="114"/>
      <c r="BA598" s="114"/>
      <c r="BB598" s="114"/>
      <c r="BC598" s="114"/>
      <c r="BD598" s="114"/>
      <c r="BE598" s="114"/>
      <c r="BF598" s="114"/>
      <c r="BG598" s="114"/>
      <c r="BH598" s="114"/>
      <c r="BI598" s="114"/>
      <c r="BJ598" s="114"/>
      <c r="BK598" s="114"/>
    </row>
    <row r="599" spans="1:63" s="107" customFormat="1" ht="34.5" customHeight="1">
      <c r="A599" s="730" t="s">
        <v>563</v>
      </c>
      <c r="B599" s="331" t="s">
        <v>76</v>
      </c>
      <c r="C599" s="1059">
        <f>CEILING((C596*0.5),0.1)</f>
        <v>18.8</v>
      </c>
      <c r="D599" s="1060"/>
      <c r="E599" s="1059">
        <f>CEILING((E596*0.5),0.1)</f>
        <v>18.8</v>
      </c>
      <c r="F599" s="1060"/>
      <c r="G599" s="1059">
        <f>CEILING((G596*0.5),0.1)</f>
        <v>18.8</v>
      </c>
      <c r="H599" s="1060"/>
      <c r="I599" s="1061"/>
      <c r="J599" s="1061"/>
      <c r="K599" s="1061"/>
      <c r="L599" s="1061"/>
      <c r="M599" s="103"/>
      <c r="N599" s="103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  <c r="AA599" s="114"/>
      <c r="AB599" s="114"/>
      <c r="AC599" s="114"/>
      <c r="AD599" s="114"/>
      <c r="AE599" s="114"/>
      <c r="AF599" s="114"/>
      <c r="AG599" s="114"/>
      <c r="AH599" s="114"/>
      <c r="AI599" s="114"/>
      <c r="AJ599" s="114"/>
      <c r="AK599" s="114"/>
      <c r="AL599" s="114"/>
      <c r="AM599" s="114"/>
      <c r="AN599" s="114"/>
      <c r="AO599" s="114"/>
      <c r="AP599" s="114"/>
      <c r="AQ599" s="114"/>
      <c r="AR599" s="114"/>
      <c r="AS599" s="114"/>
      <c r="AT599" s="114"/>
      <c r="AU599" s="114"/>
      <c r="AV599" s="114"/>
      <c r="AW599" s="114"/>
      <c r="AX599" s="114"/>
      <c r="AY599" s="114"/>
      <c r="AZ599" s="114"/>
      <c r="BA599" s="114"/>
      <c r="BB599" s="114"/>
      <c r="BC599" s="114"/>
      <c r="BD599" s="114"/>
      <c r="BE599" s="114"/>
      <c r="BF599" s="114"/>
      <c r="BG599" s="114"/>
      <c r="BH599" s="114"/>
      <c r="BI599" s="114"/>
      <c r="BJ599" s="114"/>
      <c r="BK599" s="114"/>
    </row>
    <row r="600" spans="1:63" s="107" customFormat="1" ht="34.5" customHeight="1" thickBot="1">
      <c r="A600" s="810"/>
      <c r="B600" s="428"/>
      <c r="C600" s="941"/>
      <c r="D600" s="941"/>
      <c r="E600" s="941"/>
      <c r="F600" s="940"/>
      <c r="G600" s="940"/>
      <c r="H600" s="940"/>
      <c r="I600" s="940"/>
      <c r="J600" s="940"/>
      <c r="K600" s="139"/>
      <c r="L600" s="139"/>
      <c r="M600" s="110"/>
      <c r="N600" s="103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  <c r="Z600" s="114"/>
      <c r="AA600" s="114"/>
      <c r="AB600" s="114"/>
      <c r="AC600" s="114"/>
      <c r="AD600" s="114"/>
      <c r="AE600" s="114"/>
      <c r="AF600" s="114"/>
      <c r="AG600" s="114"/>
      <c r="AH600" s="114"/>
      <c r="AI600" s="114"/>
      <c r="AJ600" s="114"/>
      <c r="AK600" s="114"/>
      <c r="AL600" s="114"/>
      <c r="AM600" s="114"/>
      <c r="AN600" s="114"/>
      <c r="AO600" s="114"/>
      <c r="AP600" s="114"/>
      <c r="AQ600" s="114"/>
      <c r="AR600" s="114"/>
      <c r="AS600" s="114"/>
      <c r="AT600" s="114"/>
      <c r="AU600" s="114"/>
      <c r="AV600" s="114"/>
      <c r="AW600" s="114"/>
      <c r="AX600" s="114"/>
      <c r="AY600" s="114"/>
      <c r="AZ600" s="114"/>
      <c r="BA600" s="114"/>
      <c r="BB600" s="114"/>
      <c r="BC600" s="114"/>
      <c r="BD600" s="114"/>
      <c r="BE600" s="114"/>
      <c r="BF600" s="114"/>
      <c r="BG600" s="114"/>
      <c r="BH600" s="114"/>
      <c r="BI600" s="114"/>
      <c r="BJ600" s="114"/>
      <c r="BK600" s="114"/>
    </row>
    <row r="601" spans="1:42" s="214" customFormat="1" ht="34.5" customHeight="1" thickTop="1">
      <c r="A601" s="207" t="s">
        <v>34</v>
      </c>
      <c r="B601" s="208" t="s">
        <v>935</v>
      </c>
      <c r="C601" s="209" t="s">
        <v>921</v>
      </c>
      <c r="D601" s="210"/>
      <c r="E601" s="211" t="s">
        <v>922</v>
      </c>
      <c r="F601" s="212"/>
      <c r="G601" s="211" t="s">
        <v>923</v>
      </c>
      <c r="H601" s="212"/>
      <c r="I601" s="1070"/>
      <c r="J601" s="1071"/>
      <c r="K601" s="1070"/>
      <c r="L601" s="1070"/>
      <c r="M601" s="174"/>
      <c r="N601" s="174"/>
      <c r="O601" s="213"/>
      <c r="P601" s="213"/>
      <c r="Q601" s="213"/>
      <c r="R601" s="213"/>
      <c r="S601" s="213"/>
      <c r="T601" s="213"/>
      <c r="U601" s="213"/>
      <c r="V601" s="213"/>
      <c r="W601" s="213"/>
      <c r="X601" s="213"/>
      <c r="Y601" s="213"/>
      <c r="Z601" s="213"/>
      <c r="AA601" s="213"/>
      <c r="AB601" s="213"/>
      <c r="AC601" s="213"/>
      <c r="AD601" s="213"/>
      <c r="AE601" s="213"/>
      <c r="AF601" s="213"/>
      <c r="AG601" s="213"/>
      <c r="AH601" s="213"/>
      <c r="AI601" s="213"/>
      <c r="AJ601" s="213"/>
      <c r="AK601" s="213"/>
      <c r="AL601" s="213"/>
      <c r="AM601" s="213"/>
      <c r="AN601" s="213"/>
      <c r="AO601" s="213"/>
      <c r="AP601" s="213"/>
    </row>
    <row r="602" spans="1:63" s="140" customFormat="1" ht="34.5" customHeight="1">
      <c r="A602" s="858" t="s">
        <v>651</v>
      </c>
      <c r="B602" s="353" t="s">
        <v>280</v>
      </c>
      <c r="C602" s="1073">
        <f>CEILING(33*$Z$1,0.1)</f>
        <v>41.300000000000004</v>
      </c>
      <c r="D602" s="1074"/>
      <c r="E602" s="1073">
        <f>CEILING(33*$Z$1,0.1)</f>
        <v>41.300000000000004</v>
      </c>
      <c r="F602" s="1074"/>
      <c r="G602" s="1073">
        <f>CEILING(33*$Z$1,0.1)</f>
        <v>41.300000000000004</v>
      </c>
      <c r="H602" s="1074"/>
      <c r="I602" s="1061"/>
      <c r="J602" s="1061"/>
      <c r="K602" s="1061"/>
      <c r="L602" s="1061"/>
      <c r="M602" s="103"/>
      <c r="N602" s="103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  <c r="Z602" s="114"/>
      <c r="AA602" s="114"/>
      <c r="AB602" s="114"/>
      <c r="AC602" s="114"/>
      <c r="AD602" s="114"/>
      <c r="AE602" s="114"/>
      <c r="AF602" s="114"/>
      <c r="AG602" s="114"/>
      <c r="AH602" s="114"/>
      <c r="AI602" s="114"/>
      <c r="AJ602" s="114"/>
      <c r="AK602" s="114"/>
      <c r="AL602" s="114"/>
      <c r="AM602" s="114"/>
      <c r="AN602" s="114"/>
      <c r="AO602" s="114"/>
      <c r="AP602" s="114"/>
      <c r="AQ602" s="114"/>
      <c r="AR602" s="114"/>
      <c r="AS602" s="114"/>
      <c r="AT602" s="114"/>
      <c r="AU602" s="114"/>
      <c r="AV602" s="114"/>
      <c r="AW602" s="114"/>
      <c r="AX602" s="114"/>
      <c r="AY602" s="114"/>
      <c r="AZ602" s="114"/>
      <c r="BA602" s="114"/>
      <c r="BB602" s="114"/>
      <c r="BC602" s="114"/>
      <c r="BD602" s="114"/>
      <c r="BE602" s="114"/>
      <c r="BF602" s="114"/>
      <c r="BG602" s="114"/>
      <c r="BH602" s="114"/>
      <c r="BI602" s="114"/>
      <c r="BJ602" s="114"/>
      <c r="BK602" s="114"/>
    </row>
    <row r="603" spans="1:63" s="140" customFormat="1" ht="34.5" customHeight="1">
      <c r="A603" s="946"/>
      <c r="B603" s="238" t="s">
        <v>281</v>
      </c>
      <c r="C603" s="1057">
        <f>CEILING(42*$Z$1,0.1)</f>
        <v>52.5</v>
      </c>
      <c r="D603" s="1058"/>
      <c r="E603" s="1057">
        <f>CEILING(42*$Z$1,0.1)</f>
        <v>52.5</v>
      </c>
      <c r="F603" s="1058"/>
      <c r="G603" s="1057">
        <f>CEILING(42*$Z$1,0.1)</f>
        <v>52.5</v>
      </c>
      <c r="H603" s="1058"/>
      <c r="I603" s="1061"/>
      <c r="J603" s="1061"/>
      <c r="K603" s="1061"/>
      <c r="L603" s="1061"/>
      <c r="M603" s="103"/>
      <c r="N603" s="103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  <c r="Z603" s="114"/>
      <c r="AA603" s="114"/>
      <c r="AB603" s="114"/>
      <c r="AC603" s="114"/>
      <c r="AD603" s="114"/>
      <c r="AE603" s="114"/>
      <c r="AF603" s="114"/>
      <c r="AG603" s="114"/>
      <c r="AH603" s="114"/>
      <c r="AI603" s="114"/>
      <c r="AJ603" s="114"/>
      <c r="AK603" s="114"/>
      <c r="AL603" s="114"/>
      <c r="AM603" s="114"/>
      <c r="AN603" s="114"/>
      <c r="AO603" s="114"/>
      <c r="AP603" s="114"/>
      <c r="AQ603" s="114"/>
      <c r="AR603" s="114"/>
      <c r="AS603" s="114"/>
      <c r="AT603" s="114"/>
      <c r="AU603" s="114"/>
      <c r="AV603" s="114"/>
      <c r="AW603" s="114"/>
      <c r="AX603" s="114"/>
      <c r="AY603" s="114"/>
      <c r="AZ603" s="114"/>
      <c r="BA603" s="114"/>
      <c r="BB603" s="114"/>
      <c r="BC603" s="114"/>
      <c r="BD603" s="114"/>
      <c r="BE603" s="114"/>
      <c r="BF603" s="114"/>
      <c r="BG603" s="114"/>
      <c r="BH603" s="114"/>
      <c r="BI603" s="114"/>
      <c r="BJ603" s="114"/>
      <c r="BK603" s="114"/>
    </row>
    <row r="604" spans="1:63" s="140" customFormat="1" ht="34.5" customHeight="1">
      <c r="A604" s="265"/>
      <c r="B604" s="241" t="s">
        <v>75</v>
      </c>
      <c r="C604" s="1085">
        <v>0</v>
      </c>
      <c r="D604" s="1086"/>
      <c r="E604" s="1085">
        <v>0</v>
      </c>
      <c r="F604" s="1086"/>
      <c r="G604" s="1085">
        <v>0</v>
      </c>
      <c r="H604" s="1086"/>
      <c r="I604" s="1062"/>
      <c r="J604" s="1062"/>
      <c r="K604" s="1062"/>
      <c r="L604" s="1062"/>
      <c r="M604" s="103"/>
      <c r="N604" s="103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  <c r="Z604" s="114"/>
      <c r="AA604" s="114"/>
      <c r="AB604" s="114"/>
      <c r="AC604" s="114"/>
      <c r="AD604" s="114"/>
      <c r="AE604" s="114"/>
      <c r="AF604" s="114"/>
      <c r="AG604" s="114"/>
      <c r="AH604" s="114"/>
      <c r="AI604" s="114"/>
      <c r="AJ604" s="114"/>
      <c r="AK604" s="114"/>
      <c r="AL604" s="114"/>
      <c r="AM604" s="114"/>
      <c r="AN604" s="114"/>
      <c r="AO604" s="114"/>
      <c r="AP604" s="114"/>
      <c r="AQ604" s="114"/>
      <c r="AR604" s="114"/>
      <c r="AS604" s="114"/>
      <c r="AT604" s="114"/>
      <c r="AU604" s="114"/>
      <c r="AV604" s="114"/>
      <c r="AW604" s="114"/>
      <c r="AX604" s="114"/>
      <c r="AY604" s="114"/>
      <c r="AZ604" s="114"/>
      <c r="BA604" s="114"/>
      <c r="BB604" s="114"/>
      <c r="BC604" s="114"/>
      <c r="BD604" s="114"/>
      <c r="BE604" s="114"/>
      <c r="BF604" s="114"/>
      <c r="BG604" s="114"/>
      <c r="BH604" s="114"/>
      <c r="BI604" s="114"/>
      <c r="BJ604" s="114"/>
      <c r="BK604" s="114"/>
    </row>
    <row r="605" spans="1:63" s="140" customFormat="1" ht="34.5" customHeight="1">
      <c r="A605" s="265"/>
      <c r="B605" s="331" t="s">
        <v>654</v>
      </c>
      <c r="C605" s="1059">
        <f>CEILING((C602*0.5),0.1)</f>
        <v>20.700000000000003</v>
      </c>
      <c r="D605" s="1060"/>
      <c r="E605" s="1059">
        <f>CEILING((E602*0.5),0.1)</f>
        <v>20.700000000000003</v>
      </c>
      <c r="F605" s="1060"/>
      <c r="G605" s="1059">
        <f>CEILING((G602*0.5),0.1)</f>
        <v>20.700000000000003</v>
      </c>
      <c r="H605" s="1060"/>
      <c r="I605" s="1061"/>
      <c r="J605" s="1061"/>
      <c r="K605" s="1061"/>
      <c r="L605" s="1061"/>
      <c r="M605" s="103"/>
      <c r="N605" s="103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  <c r="AA605" s="114"/>
      <c r="AB605" s="114"/>
      <c r="AC605" s="114"/>
      <c r="AD605" s="114"/>
      <c r="AE605" s="114"/>
      <c r="AF605" s="114"/>
      <c r="AG605" s="114"/>
      <c r="AH605" s="114"/>
      <c r="AI605" s="114"/>
      <c r="AJ605" s="114"/>
      <c r="AK605" s="114"/>
      <c r="AL605" s="114"/>
      <c r="AM605" s="114"/>
      <c r="AN605" s="114"/>
      <c r="AO605" s="114"/>
      <c r="AP605" s="114"/>
      <c r="AQ605" s="114"/>
      <c r="AR605" s="114"/>
      <c r="AS605" s="114"/>
      <c r="AT605" s="114"/>
      <c r="AU605" s="114"/>
      <c r="AV605" s="114"/>
      <c r="AW605" s="114"/>
      <c r="AX605" s="114"/>
      <c r="AY605" s="114"/>
      <c r="AZ605" s="114"/>
      <c r="BA605" s="114"/>
      <c r="BB605" s="114"/>
      <c r="BC605" s="114"/>
      <c r="BD605" s="114"/>
      <c r="BE605" s="114"/>
      <c r="BF605" s="114"/>
      <c r="BG605" s="114"/>
      <c r="BH605" s="114"/>
      <c r="BI605" s="114"/>
      <c r="BJ605" s="114"/>
      <c r="BK605" s="114"/>
    </row>
    <row r="606" spans="1:63" s="140" customFormat="1" ht="34.5" customHeight="1">
      <c r="A606" s="265"/>
      <c r="B606" s="353" t="s">
        <v>652</v>
      </c>
      <c r="C606" s="1073">
        <f>CEILING(38*$Z$1,0.1)</f>
        <v>47.5</v>
      </c>
      <c r="D606" s="1074"/>
      <c r="E606" s="1073">
        <f>CEILING(38*$Z$1,0.1)</f>
        <v>47.5</v>
      </c>
      <c r="F606" s="1074"/>
      <c r="G606" s="1073">
        <f>CEILING(38*$Z$1,0.1)</f>
        <v>47.5</v>
      </c>
      <c r="H606" s="1074"/>
      <c r="I606" s="1061"/>
      <c r="J606" s="1061"/>
      <c r="K606" s="1061"/>
      <c r="L606" s="1061"/>
      <c r="M606" s="103"/>
      <c r="N606" s="103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  <c r="Y606" s="114"/>
      <c r="Z606" s="114"/>
      <c r="AA606" s="114"/>
      <c r="AB606" s="114"/>
      <c r="AC606" s="114"/>
      <c r="AD606" s="114"/>
      <c r="AE606" s="114"/>
      <c r="AF606" s="114"/>
      <c r="AG606" s="114"/>
      <c r="AH606" s="114"/>
      <c r="AI606" s="114"/>
      <c r="AJ606" s="114"/>
      <c r="AK606" s="114"/>
      <c r="AL606" s="114"/>
      <c r="AM606" s="114"/>
      <c r="AN606" s="114"/>
      <c r="AO606" s="114"/>
      <c r="AP606" s="114"/>
      <c r="AQ606" s="114"/>
      <c r="AR606" s="114"/>
      <c r="AS606" s="114"/>
      <c r="AT606" s="114"/>
      <c r="AU606" s="114"/>
      <c r="AV606" s="114"/>
      <c r="AW606" s="114"/>
      <c r="AX606" s="114"/>
      <c r="AY606" s="114"/>
      <c r="AZ606" s="114"/>
      <c r="BA606" s="114"/>
      <c r="BB606" s="114"/>
      <c r="BC606" s="114"/>
      <c r="BD606" s="114"/>
      <c r="BE606" s="114"/>
      <c r="BF606" s="114"/>
      <c r="BG606" s="114"/>
      <c r="BH606" s="114"/>
      <c r="BI606" s="114"/>
      <c r="BJ606" s="114"/>
      <c r="BK606" s="114"/>
    </row>
    <row r="607" spans="1:63" s="473" customFormat="1" ht="34.5" customHeight="1">
      <c r="A607" s="730" t="s">
        <v>563</v>
      </c>
      <c r="B607" s="331" t="s">
        <v>653</v>
      </c>
      <c r="C607" s="1059">
        <f>CEILING(42*$Z$1,0.1)</f>
        <v>52.5</v>
      </c>
      <c r="D607" s="1060"/>
      <c r="E607" s="1059">
        <f>CEILING(42*$Z$1,0.1)</f>
        <v>52.5</v>
      </c>
      <c r="F607" s="1060"/>
      <c r="G607" s="1059">
        <f>CEILING(42*$Z$1,0.1)</f>
        <v>52.5</v>
      </c>
      <c r="H607" s="1060"/>
      <c r="I607" s="1061"/>
      <c r="J607" s="1061"/>
      <c r="K607" s="1061"/>
      <c r="L607" s="1061"/>
      <c r="M607" s="103"/>
      <c r="N607" s="103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  <c r="Y607" s="114"/>
      <c r="Z607" s="114"/>
      <c r="AA607" s="114"/>
      <c r="AB607" s="114"/>
      <c r="AC607" s="114"/>
      <c r="AD607" s="114"/>
      <c r="AE607" s="114"/>
      <c r="AF607" s="114"/>
      <c r="AG607" s="114"/>
      <c r="AH607" s="114"/>
      <c r="AI607" s="114"/>
      <c r="AJ607" s="114"/>
      <c r="AK607" s="114"/>
      <c r="AL607" s="114"/>
      <c r="AM607" s="114"/>
      <c r="AN607" s="114"/>
      <c r="AO607" s="114"/>
      <c r="AP607" s="114"/>
      <c r="AQ607" s="114"/>
      <c r="AR607" s="114"/>
      <c r="AS607" s="114"/>
      <c r="AT607" s="114"/>
      <c r="AU607" s="114"/>
      <c r="AV607" s="114"/>
      <c r="AW607" s="114"/>
      <c r="AX607" s="114"/>
      <c r="AY607" s="114"/>
      <c r="AZ607" s="114"/>
      <c r="BA607" s="114"/>
      <c r="BB607" s="114"/>
      <c r="BC607" s="114"/>
      <c r="BD607" s="114"/>
      <c r="BE607" s="114"/>
      <c r="BF607" s="114"/>
      <c r="BG607" s="114"/>
      <c r="BH607" s="114"/>
      <c r="BI607" s="114"/>
      <c r="BJ607" s="114"/>
      <c r="BK607" s="114"/>
    </row>
    <row r="608" spans="1:63" s="107" customFormat="1" ht="34.5" customHeight="1">
      <c r="A608" s="951"/>
      <c r="B608" s="124"/>
      <c r="C608" s="940"/>
      <c r="D608" s="940"/>
      <c r="E608" s="940"/>
      <c r="F608" s="940"/>
      <c r="G608" s="940"/>
      <c r="H608" s="940"/>
      <c r="I608" s="940"/>
      <c r="J608" s="940"/>
      <c r="K608" s="139"/>
      <c r="L608" s="139"/>
      <c r="M608" s="110"/>
      <c r="N608" s="103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  <c r="Z608" s="114"/>
      <c r="AA608" s="114"/>
      <c r="AB608" s="114"/>
      <c r="AC608" s="114"/>
      <c r="AD608" s="114"/>
      <c r="AE608" s="114"/>
      <c r="AF608" s="114"/>
      <c r="AG608" s="114"/>
      <c r="AH608" s="114"/>
      <c r="AI608" s="114"/>
      <c r="AJ608" s="114"/>
      <c r="AK608" s="114"/>
      <c r="AL608" s="114"/>
      <c r="AM608" s="114"/>
      <c r="AN608" s="114"/>
      <c r="AO608" s="114"/>
      <c r="AP608" s="114"/>
      <c r="AQ608" s="114"/>
      <c r="AR608" s="114"/>
      <c r="AS608" s="114"/>
      <c r="AT608" s="114"/>
      <c r="AU608" s="114"/>
      <c r="AV608" s="114"/>
      <c r="AW608" s="114"/>
      <c r="AX608" s="114"/>
      <c r="AY608" s="114"/>
      <c r="AZ608" s="114"/>
      <c r="BA608" s="114"/>
      <c r="BB608" s="114"/>
      <c r="BC608" s="114"/>
      <c r="BD608" s="114"/>
      <c r="BE608" s="114"/>
      <c r="BF608" s="114"/>
      <c r="BG608" s="114"/>
      <c r="BH608" s="114"/>
      <c r="BI608" s="114"/>
      <c r="BJ608" s="114"/>
      <c r="BK608" s="114"/>
    </row>
    <row r="609" spans="1:25" s="107" customFormat="1" ht="34.5" customHeight="1">
      <c r="A609" s="1098" t="s">
        <v>936</v>
      </c>
      <c r="B609" s="1098"/>
      <c r="C609" s="1098"/>
      <c r="D609" s="1098"/>
      <c r="E609" s="1098"/>
      <c r="F609" s="1098"/>
      <c r="G609" s="1109"/>
      <c r="H609" s="1109"/>
      <c r="I609" s="103"/>
      <c r="J609" s="103"/>
      <c r="K609" s="104"/>
      <c r="L609" s="104"/>
      <c r="M609" s="105"/>
      <c r="N609" s="106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</row>
    <row r="610" spans="1:25" s="107" customFormat="1" ht="34.5" customHeight="1">
      <c r="A610" s="1098" t="s">
        <v>937</v>
      </c>
      <c r="B610" s="1098"/>
      <c r="C610" s="1098"/>
      <c r="D610" s="1098"/>
      <c r="E610" s="1098"/>
      <c r="F610" s="1098"/>
      <c r="G610" s="1109"/>
      <c r="H610" s="1109"/>
      <c r="I610" s="103"/>
      <c r="J610" s="103"/>
      <c r="K610" s="104"/>
      <c r="L610" s="104"/>
      <c r="M610" s="106"/>
      <c r="N610" s="106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</row>
    <row r="611" spans="1:25" s="107" customFormat="1" ht="34.5" customHeight="1">
      <c r="A611" s="1098" t="s">
        <v>938</v>
      </c>
      <c r="B611" s="1109"/>
      <c r="C611" s="1109"/>
      <c r="D611" s="1109"/>
      <c r="E611" s="1109"/>
      <c r="F611" s="1109"/>
      <c r="G611" s="1109"/>
      <c r="H611" s="1109"/>
      <c r="I611" s="103"/>
      <c r="J611" s="103"/>
      <c r="K611" s="108"/>
      <c r="L611" s="108"/>
      <c r="M611" s="106"/>
      <c r="N611" s="106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</row>
    <row r="612" spans="1:25" s="107" customFormat="1" ht="34.5" customHeight="1">
      <c r="A612" s="1098" t="s">
        <v>939</v>
      </c>
      <c r="B612" s="1098"/>
      <c r="C612" s="1098"/>
      <c r="D612" s="1098"/>
      <c r="E612" s="1098"/>
      <c r="F612" s="1098"/>
      <c r="G612" s="1109"/>
      <c r="H612" s="1109"/>
      <c r="I612" s="103"/>
      <c r="J612" s="103"/>
      <c r="K612" s="108"/>
      <c r="L612" s="108"/>
      <c r="M612" s="109"/>
      <c r="N612" s="109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</row>
    <row r="613" spans="1:25" s="15" customFormat="1" ht="34.5" customHeight="1">
      <c r="A613" s="65"/>
      <c r="B613" s="65"/>
      <c r="C613" s="65"/>
      <c r="D613" s="65"/>
      <c r="E613" s="65"/>
      <c r="F613" s="65"/>
      <c r="G613" s="66"/>
      <c r="H613" s="66"/>
      <c r="I613" s="40"/>
      <c r="J613" s="40"/>
      <c r="K613" s="52"/>
      <c r="L613" s="52"/>
      <c r="M613" s="67"/>
      <c r="N613" s="67"/>
      <c r="O613" s="14"/>
      <c r="P613" s="64"/>
      <c r="Q613" s="64"/>
      <c r="R613" s="14"/>
      <c r="S613" s="14"/>
      <c r="T613" s="14"/>
      <c r="U613" s="14"/>
      <c r="V613" s="14"/>
      <c r="W613" s="14"/>
      <c r="X613" s="14"/>
      <c r="Y613" s="14"/>
    </row>
    <row r="614" spans="1:25" s="15" customFormat="1" ht="34.5" customHeight="1">
      <c r="A614" s="1102" t="s">
        <v>911</v>
      </c>
      <c r="B614" s="1102"/>
      <c r="C614" s="1102"/>
      <c r="D614" s="1102"/>
      <c r="E614" s="1102"/>
      <c r="F614" s="1102"/>
      <c r="G614" s="1102"/>
      <c r="H614" s="1102"/>
      <c r="I614" s="63"/>
      <c r="J614" s="63"/>
      <c r="K614" s="52"/>
      <c r="L614" s="52"/>
      <c r="M614" s="38"/>
      <c r="N614" s="38"/>
      <c r="O614" s="14"/>
      <c r="P614" s="38"/>
      <c r="Q614" s="38"/>
      <c r="R614" s="14"/>
      <c r="S614" s="14"/>
      <c r="T614" s="14"/>
      <c r="U614" s="14"/>
      <c r="V614" s="14"/>
      <c r="W614" s="14"/>
      <c r="X614" s="14"/>
      <c r="Y614" s="14"/>
    </row>
    <row r="615" spans="1:25" s="107" customFormat="1" ht="34.5" customHeight="1" thickBot="1">
      <c r="A615" s="928"/>
      <c r="B615" s="928"/>
      <c r="C615" s="929"/>
      <c r="D615" s="929"/>
      <c r="E615" s="929"/>
      <c r="F615" s="929"/>
      <c r="G615" s="929"/>
      <c r="H615" s="929"/>
      <c r="I615" s="530"/>
      <c r="J615" s="530"/>
      <c r="K615" s="108"/>
      <c r="L615" s="108"/>
      <c r="M615" s="905"/>
      <c r="N615" s="905"/>
      <c r="O615" s="105"/>
      <c r="P615" s="905"/>
      <c r="Q615" s="905"/>
      <c r="R615" s="105"/>
      <c r="S615" s="105"/>
      <c r="T615" s="105"/>
      <c r="U615" s="105"/>
      <c r="V615" s="105"/>
      <c r="W615" s="105"/>
      <c r="X615" s="105"/>
      <c r="Y615" s="105"/>
    </row>
    <row r="616" spans="1:42" s="214" customFormat="1" ht="34.5" customHeight="1" thickTop="1">
      <c r="A616" s="207" t="s">
        <v>34</v>
      </c>
      <c r="B616" s="208" t="s">
        <v>91</v>
      </c>
      <c r="C616" s="209" t="s">
        <v>921</v>
      </c>
      <c r="D616" s="210"/>
      <c r="E616" s="211" t="s">
        <v>922</v>
      </c>
      <c r="F616" s="212"/>
      <c r="G616" s="211" t="s">
        <v>923</v>
      </c>
      <c r="H616" s="212"/>
      <c r="I616" s="1070"/>
      <c r="J616" s="1071"/>
      <c r="K616" s="1070"/>
      <c r="L616" s="1070"/>
      <c r="M616" s="174"/>
      <c r="N616" s="174"/>
      <c r="O616" s="213"/>
      <c r="P616" s="213"/>
      <c r="Q616" s="213"/>
      <c r="R616" s="213"/>
      <c r="S616" s="213"/>
      <c r="T616" s="213"/>
      <c r="U616" s="213"/>
      <c r="V616" s="213"/>
      <c r="W616" s="213"/>
      <c r="X616" s="213"/>
      <c r="Y616" s="213"/>
      <c r="Z616" s="213"/>
      <c r="AA616" s="213"/>
      <c r="AB616" s="213"/>
      <c r="AC616" s="213"/>
      <c r="AD616" s="213"/>
      <c r="AE616" s="213"/>
      <c r="AF616" s="213"/>
      <c r="AG616" s="213"/>
      <c r="AH616" s="213"/>
      <c r="AI616" s="213"/>
      <c r="AJ616" s="213"/>
      <c r="AK616" s="213"/>
      <c r="AL616" s="213"/>
      <c r="AM616" s="213"/>
      <c r="AN616" s="213"/>
      <c r="AO616" s="213"/>
      <c r="AP616" s="213"/>
    </row>
    <row r="617" spans="1:25" s="107" customFormat="1" ht="34.5" customHeight="1">
      <c r="A617" s="293" t="s">
        <v>385</v>
      </c>
      <c r="B617" s="236" t="s">
        <v>230</v>
      </c>
      <c r="C617" s="977">
        <f>CEILING(42*$Z$1,0.1)</f>
        <v>52.5</v>
      </c>
      <c r="D617" s="978"/>
      <c r="E617" s="977">
        <f>CEILING(42*$Z$1,0.1)</f>
        <v>52.5</v>
      </c>
      <c r="F617" s="978"/>
      <c r="G617" s="991">
        <f>CEILING(42*$Z$1,0.1)</f>
        <v>52.5</v>
      </c>
      <c r="H617" s="978"/>
      <c r="I617" s="900"/>
      <c r="J617" s="900"/>
      <c r="K617" s="900"/>
      <c r="L617" s="900"/>
      <c r="M617" s="905"/>
      <c r="N617" s="905"/>
      <c r="O617" s="105"/>
      <c r="P617" s="905"/>
      <c r="Q617" s="905"/>
      <c r="R617" s="105"/>
      <c r="S617" s="105"/>
      <c r="T617" s="105"/>
      <c r="U617" s="105"/>
      <c r="V617" s="105"/>
      <c r="W617" s="105"/>
      <c r="X617" s="105"/>
      <c r="Y617" s="105"/>
    </row>
    <row r="618" spans="1:25" s="107" customFormat="1" ht="34.5" customHeight="1">
      <c r="A618" s="317" t="s">
        <v>50</v>
      </c>
      <c r="B618" s="238" t="s">
        <v>231</v>
      </c>
      <c r="C618" s="975">
        <f>CEILING((C617+25*$Z$1),0.1)</f>
        <v>83.80000000000001</v>
      </c>
      <c r="D618" s="976"/>
      <c r="E618" s="975">
        <f>CEILING((E617+19*$Z$1),0.1)</f>
        <v>76.3</v>
      </c>
      <c r="F618" s="976"/>
      <c r="G618" s="993">
        <f>CEILING((G617+19*$Z$1),0.1)</f>
        <v>76.3</v>
      </c>
      <c r="H618" s="976"/>
      <c r="I618" s="900"/>
      <c r="J618" s="900"/>
      <c r="K618" s="900"/>
      <c r="L618" s="900"/>
      <c r="M618" s="905"/>
      <c r="N618" s="905"/>
      <c r="O618" s="105"/>
      <c r="P618" s="905"/>
      <c r="Q618" s="905"/>
      <c r="R618" s="105"/>
      <c r="S618" s="105"/>
      <c r="T618" s="105"/>
      <c r="U618" s="105"/>
      <c r="V618" s="105"/>
      <c r="W618" s="105"/>
      <c r="X618" s="105"/>
      <c r="Y618" s="105"/>
    </row>
    <row r="619" spans="1:25" s="107" customFormat="1" ht="34.5" customHeight="1" thickBot="1">
      <c r="A619" s="303" t="s">
        <v>1054</v>
      </c>
      <c r="B619" s="297" t="s">
        <v>386</v>
      </c>
      <c r="C619" s="979">
        <f>CEILING(50*$Z$1,0.1)</f>
        <v>62.5</v>
      </c>
      <c r="D619" s="980"/>
      <c r="E619" s="979">
        <f>CEILING(50*$Z$1,0.1)</f>
        <v>62.5</v>
      </c>
      <c r="F619" s="980"/>
      <c r="G619" s="995">
        <f>CEILING(50*$Z$1,0.1)</f>
        <v>62.5</v>
      </c>
      <c r="H619" s="980"/>
      <c r="I619" s="900"/>
      <c r="J619" s="900"/>
      <c r="K619" s="900"/>
      <c r="L619" s="900"/>
      <c r="M619" s="905"/>
      <c r="N619" s="905"/>
      <c r="O619" s="105"/>
      <c r="P619" s="905"/>
      <c r="Q619" s="905"/>
      <c r="R619" s="105"/>
      <c r="S619" s="105"/>
      <c r="T619" s="105"/>
      <c r="U619" s="105"/>
      <c r="V619" s="105"/>
      <c r="W619" s="105"/>
      <c r="X619" s="105"/>
      <c r="Y619" s="105"/>
    </row>
    <row r="620" spans="1:25" s="155" customFormat="1" ht="34.5" customHeight="1" thickTop="1">
      <c r="A620" s="548" t="s">
        <v>387</v>
      </c>
      <c r="B620" s="124"/>
      <c r="C620" s="930"/>
      <c r="D620" s="900"/>
      <c r="E620" s="930"/>
      <c r="F620" s="900"/>
      <c r="G620" s="930"/>
      <c r="H620" s="900"/>
      <c r="I620" s="930"/>
      <c r="J620" s="900"/>
      <c r="K620" s="930"/>
      <c r="L620" s="900"/>
      <c r="M620" s="905"/>
      <c r="N620" s="905"/>
      <c r="O620" s="151"/>
      <c r="P620" s="905"/>
      <c r="Q620" s="905"/>
      <c r="R620" s="151"/>
      <c r="S620" s="151"/>
      <c r="T620" s="151"/>
      <c r="U620" s="151"/>
      <c r="V620" s="151"/>
      <c r="W620" s="151"/>
      <c r="X620" s="151"/>
      <c r="Y620" s="151"/>
    </row>
    <row r="621" spans="1:25" s="653" customFormat="1" ht="34.5" customHeight="1">
      <c r="A621" s="397" t="s">
        <v>656</v>
      </c>
      <c r="B621" s="447"/>
      <c r="C621" s="125"/>
      <c r="D621" s="125"/>
      <c r="E621" s="125"/>
      <c r="F621" s="125"/>
      <c r="G621" s="125"/>
      <c r="H621" s="125"/>
      <c r="I621" s="125"/>
      <c r="J621" s="125"/>
      <c r="K621" s="931"/>
      <c r="L621" s="931"/>
      <c r="M621" s="932"/>
      <c r="N621" s="933"/>
      <c r="O621" s="934"/>
      <c r="P621" s="935"/>
      <c r="Q621" s="935"/>
      <c r="R621" s="934"/>
      <c r="S621" s="934"/>
      <c r="T621" s="934"/>
      <c r="U621" s="934"/>
      <c r="V621" s="934"/>
      <c r="W621" s="934"/>
      <c r="X621" s="934"/>
      <c r="Y621" s="934"/>
    </row>
    <row r="622" spans="1:25" s="167" customFormat="1" ht="34.5" customHeight="1">
      <c r="A622" s="163"/>
      <c r="B622" s="188"/>
      <c r="C622" s="163"/>
      <c r="D622" s="163"/>
      <c r="E622" s="163"/>
      <c r="F622" s="163"/>
      <c r="G622" s="163"/>
      <c r="H622" s="163"/>
      <c r="I622" s="189"/>
      <c r="J622" s="189"/>
      <c r="K622" s="190"/>
      <c r="L622" s="190"/>
      <c r="M622" s="191"/>
      <c r="N622" s="191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</row>
    <row r="623" spans="1:25" s="107" customFormat="1" ht="34.5" customHeight="1" thickBot="1">
      <c r="A623" s="1106"/>
      <c r="B623" s="1106"/>
      <c r="C623" s="1106"/>
      <c r="D623" s="1106"/>
      <c r="E623" s="1106"/>
      <c r="F623" s="1106"/>
      <c r="G623" s="1106"/>
      <c r="H623" s="1106"/>
      <c r="I623" s="530"/>
      <c r="J623" s="530"/>
      <c r="K623" s="563"/>
      <c r="L623" s="563"/>
      <c r="M623" s="905"/>
      <c r="N623" s="905"/>
      <c r="O623" s="105"/>
      <c r="P623" s="905"/>
      <c r="Q623" s="905"/>
      <c r="R623" s="105"/>
      <c r="S623" s="105"/>
      <c r="T623" s="105"/>
      <c r="U623" s="105"/>
      <c r="V623" s="105"/>
      <c r="W623" s="105"/>
      <c r="X623" s="105"/>
      <c r="Y623" s="105"/>
    </row>
    <row r="624" spans="1:42" s="214" customFormat="1" ht="34.5" customHeight="1" thickTop="1">
      <c r="A624" s="207" t="s">
        <v>34</v>
      </c>
      <c r="B624" s="208" t="s">
        <v>91</v>
      </c>
      <c r="C624" s="209" t="s">
        <v>921</v>
      </c>
      <c r="D624" s="210"/>
      <c r="E624" s="211" t="s">
        <v>922</v>
      </c>
      <c r="F624" s="212"/>
      <c r="G624" s="211" t="s">
        <v>923</v>
      </c>
      <c r="H624" s="212"/>
      <c r="I624" s="1070"/>
      <c r="J624" s="1071"/>
      <c r="K624" s="1070"/>
      <c r="L624" s="1070"/>
      <c r="M624" s="174"/>
      <c r="N624" s="174"/>
      <c r="O624" s="213"/>
      <c r="P624" s="213"/>
      <c r="Q624" s="213"/>
      <c r="R624" s="213"/>
      <c r="S624" s="213"/>
      <c r="T624" s="213"/>
      <c r="U624" s="213"/>
      <c r="V624" s="213"/>
      <c r="W624" s="213"/>
      <c r="X624" s="213"/>
      <c r="Y624" s="213"/>
      <c r="Z624" s="213"/>
      <c r="AA624" s="213"/>
      <c r="AB624" s="213"/>
      <c r="AC624" s="213"/>
      <c r="AD624" s="213"/>
      <c r="AE624" s="213"/>
      <c r="AF624" s="213"/>
      <c r="AG624" s="213"/>
      <c r="AH624" s="213"/>
      <c r="AI624" s="213"/>
      <c r="AJ624" s="213"/>
      <c r="AK624" s="213"/>
      <c r="AL624" s="213"/>
      <c r="AM624" s="213"/>
      <c r="AN624" s="213"/>
      <c r="AO624" s="213"/>
      <c r="AP624" s="213"/>
    </row>
    <row r="625" spans="1:25" s="107" customFormat="1" ht="34.5" customHeight="1">
      <c r="A625" s="350" t="s">
        <v>515</v>
      </c>
      <c r="B625" s="236" t="s">
        <v>42</v>
      </c>
      <c r="C625" s="903"/>
      <c r="D625" s="918"/>
      <c r="E625" s="903"/>
      <c r="F625" s="918"/>
      <c r="G625" s="903"/>
      <c r="H625" s="904"/>
      <c r="I625" s="900"/>
      <c r="J625" s="900"/>
      <c r="K625" s="900"/>
      <c r="L625" s="900"/>
      <c r="M625" s="124"/>
      <c r="N625" s="111"/>
      <c r="O625" s="105"/>
      <c r="P625" s="1211"/>
      <c r="Q625" s="1211"/>
      <c r="R625" s="105"/>
      <c r="S625" s="105"/>
      <c r="T625" s="105"/>
      <c r="U625" s="105"/>
      <c r="V625" s="105"/>
      <c r="W625" s="105"/>
      <c r="X625" s="105"/>
      <c r="Y625" s="105"/>
    </row>
    <row r="626" spans="1:25" s="107" customFormat="1" ht="34.5" customHeight="1">
      <c r="A626" s="317" t="s">
        <v>50</v>
      </c>
      <c r="B626" s="238" t="s">
        <v>43</v>
      </c>
      <c r="C626" s="906"/>
      <c r="D626" s="900"/>
      <c r="E626" s="906"/>
      <c r="F626" s="900"/>
      <c r="G626" s="906"/>
      <c r="H626" s="907"/>
      <c r="I626" s="900"/>
      <c r="J626" s="900"/>
      <c r="K626" s="900"/>
      <c r="L626" s="900"/>
      <c r="M626" s="124"/>
      <c r="N626" s="111"/>
      <c r="O626" s="105"/>
      <c r="P626" s="1062"/>
      <c r="Q626" s="1062"/>
      <c r="R626" s="105"/>
      <c r="S626" s="105"/>
      <c r="T626" s="105"/>
      <c r="U626" s="105"/>
      <c r="V626" s="105"/>
      <c r="W626" s="105"/>
      <c r="X626" s="105"/>
      <c r="Y626" s="105"/>
    </row>
    <row r="627" spans="1:25" s="107" customFormat="1" ht="34.5" customHeight="1">
      <c r="A627" s="936"/>
      <c r="B627" s="238" t="s">
        <v>601</v>
      </c>
      <c r="C627" s="906"/>
      <c r="D627" s="900"/>
      <c r="E627" s="906"/>
      <c r="F627" s="900"/>
      <c r="G627" s="906"/>
      <c r="H627" s="907"/>
      <c r="I627" s="900"/>
      <c r="J627" s="900"/>
      <c r="K627" s="900"/>
      <c r="L627" s="900"/>
      <c r="M627" s="124"/>
      <c r="N627" s="111"/>
      <c r="O627" s="105"/>
      <c r="P627" s="905"/>
      <c r="Q627" s="905"/>
      <c r="R627" s="105"/>
      <c r="S627" s="105"/>
      <c r="T627" s="105"/>
      <c r="U627" s="105"/>
      <c r="V627" s="105"/>
      <c r="W627" s="105"/>
      <c r="X627" s="105"/>
      <c r="Y627" s="105"/>
    </row>
    <row r="628" spans="1:25" s="107" customFormat="1" ht="34.5" customHeight="1">
      <c r="A628" s="936" t="s">
        <v>941</v>
      </c>
      <c r="B628" s="238" t="s">
        <v>380</v>
      </c>
      <c r="C628" s="906"/>
      <c r="D628" s="900"/>
      <c r="E628" s="906"/>
      <c r="F628" s="900"/>
      <c r="G628" s="906"/>
      <c r="H628" s="907"/>
      <c r="I628" s="900"/>
      <c r="J628" s="900"/>
      <c r="K628" s="900"/>
      <c r="L628" s="900"/>
      <c r="M628" s="124"/>
      <c r="N628" s="111"/>
      <c r="O628" s="105"/>
      <c r="P628" s="905"/>
      <c r="Q628" s="905"/>
      <c r="R628" s="105"/>
      <c r="S628" s="105"/>
      <c r="T628" s="105"/>
      <c r="U628" s="105"/>
      <c r="V628" s="105"/>
      <c r="W628" s="105"/>
      <c r="X628" s="105"/>
      <c r="Y628" s="105"/>
    </row>
    <row r="629" spans="1:25" s="107" customFormat="1" ht="34.5" customHeight="1">
      <c r="A629" s="936"/>
      <c r="B629" s="238" t="s">
        <v>381</v>
      </c>
      <c r="C629" s="906"/>
      <c r="D629" s="900"/>
      <c r="E629" s="906"/>
      <c r="F629" s="900"/>
      <c r="G629" s="906"/>
      <c r="H629" s="907"/>
      <c r="I629" s="900"/>
      <c r="J629" s="900"/>
      <c r="K629" s="900"/>
      <c r="L629" s="900"/>
      <c r="M629" s="124"/>
      <c r="N629" s="111"/>
      <c r="O629" s="105"/>
      <c r="P629" s="905"/>
      <c r="Q629" s="905"/>
      <c r="R629" s="105"/>
      <c r="S629" s="105"/>
      <c r="T629" s="105"/>
      <c r="U629" s="105"/>
      <c r="V629" s="105"/>
      <c r="W629" s="105"/>
      <c r="X629" s="105"/>
      <c r="Y629" s="105"/>
    </row>
    <row r="630" spans="1:25" s="107" customFormat="1" ht="34.5" customHeight="1">
      <c r="A630" s="936"/>
      <c r="B630" s="238" t="s">
        <v>382</v>
      </c>
      <c r="C630" s="906"/>
      <c r="D630" s="900"/>
      <c r="E630" s="906"/>
      <c r="F630" s="900"/>
      <c r="G630" s="906"/>
      <c r="H630" s="907"/>
      <c r="I630" s="900"/>
      <c r="J630" s="900"/>
      <c r="K630" s="900"/>
      <c r="L630" s="900"/>
      <c r="M630" s="124"/>
      <c r="N630" s="111"/>
      <c r="O630" s="105"/>
      <c r="P630" s="905"/>
      <c r="Q630" s="905"/>
      <c r="R630" s="105"/>
      <c r="S630" s="105"/>
      <c r="T630" s="105"/>
      <c r="U630" s="105"/>
      <c r="V630" s="105"/>
      <c r="W630" s="105"/>
      <c r="X630" s="105"/>
      <c r="Y630" s="105"/>
    </row>
    <row r="631" spans="1:25" s="107" customFormat="1" ht="34.5" customHeight="1" thickBot="1">
      <c r="A631" s="303" t="s">
        <v>1023</v>
      </c>
      <c r="B631" s="297" t="s">
        <v>383</v>
      </c>
      <c r="C631" s="908"/>
      <c r="D631" s="919"/>
      <c r="E631" s="908"/>
      <c r="F631" s="919"/>
      <c r="G631" s="908"/>
      <c r="H631" s="909"/>
      <c r="I631" s="900"/>
      <c r="J631" s="900"/>
      <c r="K631" s="900"/>
      <c r="L631" s="900"/>
      <c r="M631" s="124"/>
      <c r="N631" s="111"/>
      <c r="O631" s="105"/>
      <c r="P631" s="1062"/>
      <c r="Q631" s="1062"/>
      <c r="R631" s="105"/>
      <c r="S631" s="105"/>
      <c r="T631" s="105"/>
      <c r="U631" s="105"/>
      <c r="V631" s="105"/>
      <c r="W631" s="105"/>
      <c r="X631" s="105"/>
      <c r="Y631" s="105"/>
    </row>
    <row r="632" spans="1:25" s="187" customFormat="1" ht="34.5" customHeight="1" thickTop="1">
      <c r="A632" s="180" t="s">
        <v>384</v>
      </c>
      <c r="B632" s="181"/>
      <c r="C632" s="910"/>
      <c r="D632" s="910"/>
      <c r="E632" s="910"/>
      <c r="F632" s="910"/>
      <c r="G632" s="910"/>
      <c r="H632" s="910"/>
      <c r="I632" s="910"/>
      <c r="J632" s="910"/>
      <c r="K632" s="183"/>
      <c r="L632" s="183"/>
      <c r="M632" s="184"/>
      <c r="N632" s="185"/>
      <c r="O632" s="186"/>
      <c r="P632" s="910"/>
      <c r="Q632" s="910"/>
      <c r="R632" s="186"/>
      <c r="S632" s="186"/>
      <c r="T632" s="186"/>
      <c r="U632" s="186"/>
      <c r="V632" s="186"/>
      <c r="W632" s="186"/>
      <c r="X632" s="186"/>
      <c r="Y632" s="186"/>
    </row>
    <row r="633" spans="1:25" s="107" customFormat="1" ht="34.5" customHeight="1" thickBot="1">
      <c r="A633" s="1124"/>
      <c r="B633" s="1124"/>
      <c r="C633" s="1124"/>
      <c r="D633" s="1124"/>
      <c r="E633" s="1124"/>
      <c r="F633" s="1124"/>
      <c r="G633" s="1124"/>
      <c r="H633" s="1124"/>
      <c r="I633" s="1125"/>
      <c r="J633" s="1125"/>
      <c r="K633" s="563"/>
      <c r="L633" s="563"/>
      <c r="M633" s="110"/>
      <c r="N633" s="111"/>
      <c r="O633" s="105"/>
      <c r="P633" s="115"/>
      <c r="Q633" s="115"/>
      <c r="R633" s="105"/>
      <c r="S633" s="105"/>
      <c r="T633" s="105"/>
      <c r="U633" s="105"/>
      <c r="V633" s="105"/>
      <c r="W633" s="105"/>
      <c r="X633" s="105"/>
      <c r="Y633" s="105"/>
    </row>
    <row r="634" spans="1:42" s="214" customFormat="1" ht="34.5" customHeight="1" thickTop="1">
      <c r="A634" s="207" t="s">
        <v>34</v>
      </c>
      <c r="B634" s="208" t="s">
        <v>91</v>
      </c>
      <c r="C634" s="209" t="s">
        <v>921</v>
      </c>
      <c r="D634" s="210"/>
      <c r="E634" s="211" t="s">
        <v>922</v>
      </c>
      <c r="F634" s="212"/>
      <c r="G634" s="211" t="s">
        <v>923</v>
      </c>
      <c r="H634" s="212"/>
      <c r="I634" s="1070"/>
      <c r="J634" s="1071"/>
      <c r="K634" s="1070"/>
      <c r="L634" s="1070"/>
      <c r="M634" s="174"/>
      <c r="N634" s="174"/>
      <c r="O634" s="213"/>
      <c r="P634" s="213"/>
      <c r="Q634" s="213"/>
      <c r="R634" s="213"/>
      <c r="S634" s="213"/>
      <c r="T634" s="213"/>
      <c r="U634" s="213"/>
      <c r="V634" s="213"/>
      <c r="W634" s="213"/>
      <c r="X634" s="213"/>
      <c r="Y634" s="213"/>
      <c r="Z634" s="213"/>
      <c r="AA634" s="213"/>
      <c r="AB634" s="213"/>
      <c r="AC634" s="213"/>
      <c r="AD634" s="213"/>
      <c r="AE634" s="213"/>
      <c r="AF634" s="213"/>
      <c r="AG634" s="213"/>
      <c r="AH634" s="213"/>
      <c r="AI634" s="213"/>
      <c r="AJ634" s="213"/>
      <c r="AK634" s="213"/>
      <c r="AL634" s="213"/>
      <c r="AM634" s="213"/>
      <c r="AN634" s="213"/>
      <c r="AO634" s="213"/>
      <c r="AP634" s="213"/>
    </row>
    <row r="635" spans="1:25" s="107" customFormat="1" ht="34.5" customHeight="1">
      <c r="A635" s="293" t="s">
        <v>516</v>
      </c>
      <c r="B635" s="236" t="s">
        <v>230</v>
      </c>
      <c r="C635" s="977">
        <f>CEILING(40*$Z$1,0.1)</f>
        <v>50</v>
      </c>
      <c r="D635" s="978"/>
      <c r="E635" s="977">
        <f>CEILING(40*$Z$1,0.1)</f>
        <v>50</v>
      </c>
      <c r="F635" s="978"/>
      <c r="G635" s="991">
        <f>CEILING(40*$Z$1,0.1)</f>
        <v>50</v>
      </c>
      <c r="H635" s="992"/>
      <c r="I635" s="900"/>
      <c r="J635" s="900"/>
      <c r="K635" s="900"/>
      <c r="L635" s="900"/>
      <c r="M635" s="115"/>
      <c r="N635" s="920"/>
      <c r="O635" s="920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</row>
    <row r="636" spans="1:17" s="107" customFormat="1" ht="34.5" customHeight="1">
      <c r="A636" s="317" t="s">
        <v>50</v>
      </c>
      <c r="B636" s="238" t="s">
        <v>231</v>
      </c>
      <c r="C636" s="975">
        <f>CEILING((C635+20*$Z$1),0.1)</f>
        <v>75</v>
      </c>
      <c r="D636" s="976"/>
      <c r="E636" s="975">
        <f>CEILING((E635+16*$Z$1),0.1)</f>
        <v>70</v>
      </c>
      <c r="F636" s="976"/>
      <c r="G636" s="993">
        <f>CEILING((G635+16*$Z$1),0.1)</f>
        <v>70</v>
      </c>
      <c r="H636" s="994"/>
      <c r="I636" s="900"/>
      <c r="J636" s="900"/>
      <c r="K636" s="900"/>
      <c r="L636" s="900"/>
      <c r="M636" s="115"/>
      <c r="N636" s="470"/>
      <c r="O636" s="470"/>
      <c r="P636" s="105"/>
      <c r="Q636" s="105"/>
    </row>
    <row r="637" spans="1:17" s="107" customFormat="1" ht="34.5" customHeight="1">
      <c r="A637" s="937" t="s">
        <v>1055</v>
      </c>
      <c r="B637" s="238" t="s">
        <v>38</v>
      </c>
      <c r="C637" s="975">
        <f>CEILING((C635*0.85),0.1)</f>
        <v>42.5</v>
      </c>
      <c r="D637" s="976"/>
      <c r="E637" s="975">
        <f>CEILING((E635*0.85),0.1)</f>
        <v>42.5</v>
      </c>
      <c r="F637" s="976"/>
      <c r="G637" s="993">
        <f>CEILING((G635*0.85),0.1)</f>
        <v>42.5</v>
      </c>
      <c r="H637" s="994"/>
      <c r="I637" s="900"/>
      <c r="J637" s="900"/>
      <c r="K637" s="900"/>
      <c r="L637" s="900"/>
      <c r="M637" s="115"/>
      <c r="N637" s="470"/>
      <c r="O637" s="470"/>
      <c r="P637" s="105"/>
      <c r="Q637" s="105"/>
    </row>
    <row r="638" spans="1:17" s="107" customFormat="1" ht="34.5" customHeight="1">
      <c r="A638" s="936"/>
      <c r="B638" s="238" t="s">
        <v>601</v>
      </c>
      <c r="C638" s="975">
        <f>CEILING((C635*0.5),0.1)</f>
        <v>25</v>
      </c>
      <c r="D638" s="976"/>
      <c r="E638" s="975">
        <f>CEILING((E635*0.5),0.1)</f>
        <v>25</v>
      </c>
      <c r="F638" s="976"/>
      <c r="G638" s="993">
        <f>CEILING((G635*0.5),0.1)</f>
        <v>25</v>
      </c>
      <c r="H638" s="994"/>
      <c r="I638" s="900"/>
      <c r="J638" s="900"/>
      <c r="K638" s="900"/>
      <c r="L638" s="900"/>
      <c r="M638" s="115"/>
      <c r="N638" s="470"/>
      <c r="O638" s="470"/>
      <c r="P638" s="105"/>
      <c r="Q638" s="105"/>
    </row>
    <row r="639" spans="1:17" s="107" customFormat="1" ht="34.5" customHeight="1" thickBot="1">
      <c r="A639" s="303" t="s">
        <v>1023</v>
      </c>
      <c r="B639" s="297" t="s">
        <v>35</v>
      </c>
      <c r="C639" s="979">
        <f>CEILING(52*$Z$1,0.1)</f>
        <v>65</v>
      </c>
      <c r="D639" s="980"/>
      <c r="E639" s="979">
        <f>CEILING(52*$Z$1,0.1)</f>
        <v>65</v>
      </c>
      <c r="F639" s="980"/>
      <c r="G639" s="995">
        <f>CEILING(52*$Z$1,0.1)</f>
        <v>65</v>
      </c>
      <c r="H639" s="996"/>
      <c r="I639" s="900"/>
      <c r="J639" s="900"/>
      <c r="K639" s="900"/>
      <c r="L639" s="900"/>
      <c r="M639" s="115"/>
      <c r="N639" s="470"/>
      <c r="O639" s="470"/>
      <c r="P639" s="105"/>
      <c r="Q639" s="105"/>
    </row>
    <row r="640" spans="1:25" s="653" customFormat="1" ht="34.5" customHeight="1" thickTop="1">
      <c r="A640" s="397" t="s">
        <v>656</v>
      </c>
      <c r="B640" s="447"/>
      <c r="C640" s="125"/>
      <c r="D640" s="125"/>
      <c r="E640" s="125"/>
      <c r="F640" s="125"/>
      <c r="G640" s="125"/>
      <c r="H640" s="125"/>
      <c r="I640" s="125"/>
      <c r="J640" s="125"/>
      <c r="K640" s="931"/>
      <c r="L640" s="931"/>
      <c r="M640" s="932"/>
      <c r="N640" s="933"/>
      <c r="O640" s="934"/>
      <c r="P640" s="935"/>
      <c r="Q640" s="935"/>
      <c r="R640" s="934"/>
      <c r="S640" s="934"/>
      <c r="T640" s="934"/>
      <c r="U640" s="934"/>
      <c r="V640" s="934"/>
      <c r="W640" s="934"/>
      <c r="X640" s="934"/>
      <c r="Y640" s="934"/>
    </row>
    <row r="641" spans="1:25" s="167" customFormat="1" ht="34.5" customHeight="1">
      <c r="A641" s="163"/>
      <c r="B641" s="188"/>
      <c r="C641" s="163"/>
      <c r="D641" s="163"/>
      <c r="E641" s="163"/>
      <c r="F641" s="163"/>
      <c r="G641" s="163"/>
      <c r="H641" s="163"/>
      <c r="I641" s="189"/>
      <c r="J641" s="189"/>
      <c r="K641" s="190"/>
      <c r="L641" s="190"/>
      <c r="M641" s="191"/>
      <c r="N641" s="191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</row>
    <row r="642" spans="1:17" s="107" customFormat="1" ht="34.5" customHeight="1" thickBot="1">
      <c r="A642" s="1144"/>
      <c r="B642" s="1144"/>
      <c r="C642" s="1144"/>
      <c r="D642" s="1144"/>
      <c r="E642" s="1144"/>
      <c r="F642" s="1144"/>
      <c r="G642" s="1144"/>
      <c r="H642" s="1144"/>
      <c r="I642" s="905"/>
      <c r="J642" s="905"/>
      <c r="K642" s="104"/>
      <c r="L642" s="104"/>
      <c r="M642" s="115"/>
      <c r="N642" s="470"/>
      <c r="O642" s="470"/>
      <c r="P642" s="105"/>
      <c r="Q642" s="105"/>
    </row>
    <row r="643" spans="1:42" s="214" customFormat="1" ht="34.5" customHeight="1" thickTop="1">
      <c r="A643" s="207" t="s">
        <v>34</v>
      </c>
      <c r="B643" s="208" t="s">
        <v>637</v>
      </c>
      <c r="C643" s="209" t="s">
        <v>921</v>
      </c>
      <c r="D643" s="210"/>
      <c r="E643" s="211" t="s">
        <v>922</v>
      </c>
      <c r="F643" s="212"/>
      <c r="G643" s="211" t="s">
        <v>923</v>
      </c>
      <c r="H643" s="212"/>
      <c r="I643" s="1070"/>
      <c r="J643" s="1071"/>
      <c r="K643" s="1070"/>
      <c r="L643" s="1070"/>
      <c r="M643" s="174"/>
      <c r="N643" s="174"/>
      <c r="O643" s="213"/>
      <c r="P643" s="213"/>
      <c r="Q643" s="213"/>
      <c r="R643" s="213"/>
      <c r="S643" s="213"/>
      <c r="T643" s="213"/>
      <c r="U643" s="213"/>
      <c r="V643" s="213"/>
      <c r="W643" s="213"/>
      <c r="X643" s="213"/>
      <c r="Y643" s="213"/>
      <c r="Z643" s="213"/>
      <c r="AA643" s="213"/>
      <c r="AB643" s="213"/>
      <c r="AC643" s="213"/>
      <c r="AD643" s="213"/>
      <c r="AE643" s="213"/>
      <c r="AF643" s="213"/>
      <c r="AG643" s="213"/>
      <c r="AH643" s="213"/>
      <c r="AI643" s="213"/>
      <c r="AJ643" s="213"/>
      <c r="AK643" s="213"/>
      <c r="AL643" s="213"/>
      <c r="AM643" s="213"/>
      <c r="AN643" s="213"/>
      <c r="AO643" s="213"/>
      <c r="AP643" s="213"/>
    </row>
    <row r="644" spans="1:25" s="107" customFormat="1" ht="34.5" customHeight="1">
      <c r="A644" s="350" t="s">
        <v>96</v>
      </c>
      <c r="B644" s="353" t="s">
        <v>42</v>
      </c>
      <c r="C644" s="901">
        <f>CEILING(24*$Z$1,0.1)</f>
        <v>30</v>
      </c>
      <c r="D644" s="902"/>
      <c r="E644" s="901">
        <f>CEILING(26*$Z$1,0.1)</f>
        <v>32.5</v>
      </c>
      <c r="F644" s="902"/>
      <c r="G644" s="901">
        <f>CEILING(23*$Z$1,0.1)</f>
        <v>28.8</v>
      </c>
      <c r="H644" s="902"/>
      <c r="I644" s="900"/>
      <c r="J644" s="900"/>
      <c r="K644" s="900"/>
      <c r="L644" s="900"/>
      <c r="M644" s="110"/>
      <c r="N644" s="111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</row>
    <row r="645" spans="1:25" s="107" customFormat="1" ht="34.5" customHeight="1">
      <c r="A645" s="143" t="s">
        <v>1112</v>
      </c>
      <c r="B645" s="238" t="s">
        <v>43</v>
      </c>
      <c r="C645" s="911">
        <f>CEILING((C644+10*$Z$1),0.1)</f>
        <v>42.5</v>
      </c>
      <c r="D645" s="912"/>
      <c r="E645" s="911">
        <f>CEILING((E644+10*$Z$1),0.1)</f>
        <v>45</v>
      </c>
      <c r="F645" s="912"/>
      <c r="G645" s="911">
        <f>CEILING((G644+10*$Z$1),0.1)</f>
        <v>41.300000000000004</v>
      </c>
      <c r="H645" s="912"/>
      <c r="I645" s="900"/>
      <c r="J645" s="900"/>
      <c r="K645" s="900"/>
      <c r="L645" s="900"/>
      <c r="M645" s="110"/>
      <c r="N645" s="111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</row>
    <row r="646" spans="1:25" s="107" customFormat="1" ht="34.5" customHeight="1">
      <c r="A646" s="265" t="s">
        <v>80</v>
      </c>
      <c r="B646" s="321" t="s">
        <v>38</v>
      </c>
      <c r="C646" s="911">
        <f>CEILING((C644*0.85),0.1)</f>
        <v>25.5</v>
      </c>
      <c r="D646" s="912"/>
      <c r="E646" s="911">
        <f>CEILING((E644*0.85),0.1)</f>
        <v>27.700000000000003</v>
      </c>
      <c r="F646" s="912"/>
      <c r="G646" s="911">
        <f>CEILING((G644*0.85),0.1)</f>
        <v>24.5</v>
      </c>
      <c r="H646" s="912"/>
      <c r="I646" s="900"/>
      <c r="J646" s="900"/>
      <c r="K646" s="900"/>
      <c r="L646" s="900"/>
      <c r="M646" s="129"/>
      <c r="N646" s="129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</row>
    <row r="647" spans="1:25" s="107" customFormat="1" ht="34.5" customHeight="1" thickBot="1">
      <c r="A647" s="497" t="s">
        <v>1038</v>
      </c>
      <c r="B647" s="243" t="s">
        <v>62</v>
      </c>
      <c r="C647" s="915">
        <f>CEILING((C644*0),0.1)</f>
        <v>0</v>
      </c>
      <c r="D647" s="916"/>
      <c r="E647" s="915">
        <f>CEILING((E644*0),0.1)</f>
        <v>0</v>
      </c>
      <c r="F647" s="916"/>
      <c r="G647" s="915">
        <f>CEILING((G644*0),0.1)</f>
        <v>0</v>
      </c>
      <c r="H647" s="916"/>
      <c r="I647" s="900"/>
      <c r="J647" s="900"/>
      <c r="K647" s="900"/>
      <c r="L647" s="900"/>
      <c r="M647" s="124"/>
      <c r="N647" s="124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</row>
    <row r="648" spans="1:37" s="107" customFormat="1" ht="34.5" customHeight="1" thickBot="1" thickTop="1">
      <c r="A648" s="285"/>
      <c r="B648" s="917"/>
      <c r="C648" s="917"/>
      <c r="D648" s="917"/>
      <c r="E648" s="917"/>
      <c r="F648" s="917"/>
      <c r="G648" s="917"/>
      <c r="H648" s="917"/>
      <c r="I648" s="921"/>
      <c r="J648" s="921"/>
      <c r="K648" s="108"/>
      <c r="L648" s="108"/>
      <c r="M648" s="905"/>
      <c r="N648" s="905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  <c r="Z648" s="158"/>
      <c r="AA648" s="158"/>
      <c r="AB648" s="158"/>
      <c r="AC648" s="158"/>
      <c r="AD648" s="158"/>
      <c r="AE648" s="158"/>
      <c r="AF648" s="158"/>
      <c r="AG648" s="158"/>
      <c r="AH648" s="158"/>
      <c r="AI648" s="158"/>
      <c r="AJ648" s="158"/>
      <c r="AK648" s="158"/>
    </row>
    <row r="649" spans="1:42" s="214" customFormat="1" ht="34.5" customHeight="1" thickTop="1">
      <c r="A649" s="207" t="s">
        <v>34</v>
      </c>
      <c r="B649" s="208" t="s">
        <v>91</v>
      </c>
      <c r="C649" s="209" t="s">
        <v>921</v>
      </c>
      <c r="D649" s="210"/>
      <c r="E649" s="211" t="s">
        <v>922</v>
      </c>
      <c r="F649" s="212"/>
      <c r="G649" s="211" t="s">
        <v>923</v>
      </c>
      <c r="H649" s="212"/>
      <c r="I649" s="1070"/>
      <c r="J649" s="1071"/>
      <c r="K649" s="1070"/>
      <c r="L649" s="1070"/>
      <c r="M649" s="174"/>
      <c r="N649" s="174"/>
      <c r="O649" s="213"/>
      <c r="P649" s="213"/>
      <c r="Q649" s="213"/>
      <c r="R649" s="213"/>
      <c r="S649" s="213"/>
      <c r="T649" s="213"/>
      <c r="U649" s="213"/>
      <c r="V649" s="213"/>
      <c r="W649" s="213"/>
      <c r="X649" s="213"/>
      <c r="Y649" s="213"/>
      <c r="Z649" s="213"/>
      <c r="AA649" s="213"/>
      <c r="AB649" s="213"/>
      <c r="AC649" s="213"/>
      <c r="AD649" s="213"/>
      <c r="AE649" s="213"/>
      <c r="AF649" s="213"/>
      <c r="AG649" s="213"/>
      <c r="AH649" s="213"/>
      <c r="AI649" s="213"/>
      <c r="AJ649" s="213"/>
      <c r="AK649" s="213"/>
      <c r="AL649" s="213"/>
      <c r="AM649" s="213"/>
      <c r="AN649" s="213"/>
      <c r="AO649" s="213"/>
      <c r="AP649" s="213"/>
    </row>
    <row r="650" spans="1:25" s="140" customFormat="1" ht="34.5" customHeight="1">
      <c r="A650" s="350" t="s">
        <v>97</v>
      </c>
      <c r="B650" s="353" t="s">
        <v>42</v>
      </c>
      <c r="C650" s="901">
        <f>CEILING(19*$Z$1,0.1)</f>
        <v>23.8</v>
      </c>
      <c r="D650" s="902"/>
      <c r="E650" s="901">
        <f>CEILING(21*$Z$1,0.1)</f>
        <v>26.3</v>
      </c>
      <c r="F650" s="902"/>
      <c r="G650" s="901">
        <f>CEILING(19*$Z$1,0.1)</f>
        <v>23.8</v>
      </c>
      <c r="H650" s="902"/>
      <c r="I650" s="900"/>
      <c r="J650" s="900"/>
      <c r="K650" s="900"/>
      <c r="L650" s="900"/>
      <c r="M650" s="114"/>
      <c r="N650" s="115"/>
      <c r="O650" s="115"/>
      <c r="P650" s="115"/>
      <c r="Q650" s="1069"/>
      <c r="R650" s="1069"/>
      <c r="S650" s="1069"/>
      <c r="T650" s="1069"/>
      <c r="U650" s="115"/>
      <c r="V650" s="115"/>
      <c r="W650" s="115"/>
      <c r="X650" s="115"/>
      <c r="Y650" s="115"/>
    </row>
    <row r="651" spans="1:25" s="140" customFormat="1" ht="34.5" customHeight="1">
      <c r="A651" s="143" t="s">
        <v>1056</v>
      </c>
      <c r="B651" s="238" t="s">
        <v>43</v>
      </c>
      <c r="C651" s="911">
        <f>CEILING((C650+9*$Z$1),0.1)</f>
        <v>35.1</v>
      </c>
      <c r="D651" s="912"/>
      <c r="E651" s="911">
        <f>CEILING((E650+9*$Z$1),0.1)</f>
        <v>37.6</v>
      </c>
      <c r="F651" s="912"/>
      <c r="G651" s="911">
        <f>CEILING((G650+9*$Z$1),0.1)</f>
        <v>35.1</v>
      </c>
      <c r="H651" s="912"/>
      <c r="I651" s="900"/>
      <c r="J651" s="900"/>
      <c r="K651" s="900"/>
      <c r="L651" s="900"/>
      <c r="M651" s="114"/>
      <c r="N651" s="115"/>
      <c r="O651" s="115"/>
      <c r="P651" s="115"/>
      <c r="Q651" s="1062"/>
      <c r="R651" s="1062"/>
      <c r="S651" s="1062"/>
      <c r="T651" s="1062"/>
      <c r="U651" s="115"/>
      <c r="V651" s="115"/>
      <c r="W651" s="115"/>
      <c r="X651" s="115"/>
      <c r="Y651" s="115"/>
    </row>
    <row r="652" spans="1:42" s="473" customFormat="1" ht="34.5" customHeight="1">
      <c r="A652" s="938" t="s">
        <v>80</v>
      </c>
      <c r="B652" s="354" t="s">
        <v>38</v>
      </c>
      <c r="C652" s="913">
        <f>CEILING((C650*0.85),0.1)</f>
        <v>20.3</v>
      </c>
      <c r="D652" s="914"/>
      <c r="E652" s="913">
        <f>CEILING((E650*0.85),0.1)</f>
        <v>22.400000000000002</v>
      </c>
      <c r="F652" s="914"/>
      <c r="G652" s="913">
        <f>CEILING((G650*0.85),0.1)</f>
        <v>20.3</v>
      </c>
      <c r="H652" s="914"/>
      <c r="I652" s="900"/>
      <c r="J652" s="900"/>
      <c r="K652" s="900"/>
      <c r="L652" s="900"/>
      <c r="M652" s="114"/>
      <c r="N652" s="115"/>
      <c r="O652" s="115"/>
      <c r="P652" s="115"/>
      <c r="Q652" s="1062"/>
      <c r="R652" s="1062"/>
      <c r="S652" s="1062"/>
      <c r="T652" s="1062"/>
      <c r="U652" s="115"/>
      <c r="V652" s="115"/>
      <c r="W652" s="115"/>
      <c r="X652" s="115"/>
      <c r="Y652" s="115"/>
      <c r="Z652" s="140"/>
      <c r="AA652" s="140"/>
      <c r="AB652" s="140"/>
      <c r="AC652" s="140"/>
      <c r="AD652" s="140"/>
      <c r="AE652" s="140"/>
      <c r="AF652" s="140"/>
      <c r="AG652" s="140"/>
      <c r="AH652" s="140"/>
      <c r="AI652" s="140"/>
      <c r="AJ652" s="140"/>
      <c r="AK652" s="140"/>
      <c r="AL652" s="140"/>
      <c r="AM652" s="140"/>
      <c r="AN652" s="140"/>
      <c r="AO652" s="140"/>
      <c r="AP652" s="140"/>
    </row>
    <row r="653" spans="1:12" s="33" customFormat="1" ht="34.5" customHeight="1">
      <c r="A653" s="102"/>
      <c r="B653" s="101"/>
      <c r="C653" s="101"/>
      <c r="D653" s="101"/>
      <c r="E653" s="101"/>
      <c r="F653" s="101"/>
      <c r="G653" s="101"/>
      <c r="H653" s="101"/>
      <c r="I653" s="101"/>
      <c r="J653" s="101"/>
      <c r="K653" s="45"/>
      <c r="L653" s="45"/>
    </row>
    <row r="654" spans="1:25" s="107" customFormat="1" ht="34.5" customHeight="1">
      <c r="A654" s="1098" t="s">
        <v>942</v>
      </c>
      <c r="B654" s="1098"/>
      <c r="C654" s="1098"/>
      <c r="D654" s="1098"/>
      <c r="E654" s="1098"/>
      <c r="F654" s="1098"/>
      <c r="G654" s="1098"/>
      <c r="H654" s="1098"/>
      <c r="I654" s="112"/>
      <c r="J654" s="106"/>
      <c r="K654" s="113"/>
      <c r="L654" s="113"/>
      <c r="M654" s="114"/>
      <c r="N654" s="115"/>
      <c r="O654" s="105"/>
      <c r="P654" s="105"/>
      <c r="Q654" s="1062"/>
      <c r="R654" s="1062"/>
      <c r="S654" s="1062"/>
      <c r="T654" s="1062"/>
      <c r="U654" s="105"/>
      <c r="V654" s="105"/>
      <c r="W654" s="105"/>
      <c r="X654" s="105"/>
      <c r="Y654" s="105"/>
    </row>
    <row r="655" spans="1:25" s="107" customFormat="1" ht="34.5" customHeight="1">
      <c r="A655" s="1098" t="s">
        <v>943</v>
      </c>
      <c r="B655" s="1098"/>
      <c r="C655" s="1098"/>
      <c r="D655" s="1098"/>
      <c r="E655" s="1098"/>
      <c r="F655" s="1098"/>
      <c r="G655" s="1098"/>
      <c r="H655" s="1098"/>
      <c r="I655" s="112"/>
      <c r="J655" s="106"/>
      <c r="K655" s="104"/>
      <c r="L655" s="113"/>
      <c r="M655" s="114"/>
      <c r="N655" s="115"/>
      <c r="O655" s="105"/>
      <c r="P655" s="105"/>
      <c r="Q655" s="1062"/>
      <c r="R655" s="1062"/>
      <c r="S655" s="1062"/>
      <c r="T655" s="1062"/>
      <c r="U655" s="105"/>
      <c r="V655" s="105"/>
      <c r="W655" s="105"/>
      <c r="X655" s="105"/>
      <c r="Y655" s="105"/>
    </row>
    <row r="656" spans="1:25" s="107" customFormat="1" ht="34.5" customHeight="1">
      <c r="A656" s="1098" t="s">
        <v>944</v>
      </c>
      <c r="B656" s="1098"/>
      <c r="C656" s="1098"/>
      <c r="D656" s="1098"/>
      <c r="E656" s="1098"/>
      <c r="F656" s="1098"/>
      <c r="G656" s="1098"/>
      <c r="H656" s="1098"/>
      <c r="I656" s="1131"/>
      <c r="J656" s="106"/>
      <c r="K656" s="104"/>
      <c r="L656" s="113"/>
      <c r="M656" s="114"/>
      <c r="N656" s="115"/>
      <c r="O656" s="105"/>
      <c r="P656" s="105"/>
      <c r="Q656" s="1062"/>
      <c r="R656" s="1062"/>
      <c r="S656" s="1062"/>
      <c r="T656" s="1062"/>
      <c r="U656" s="105"/>
      <c r="V656" s="105"/>
      <c r="W656" s="105"/>
      <c r="X656" s="105"/>
      <c r="Y656" s="105"/>
    </row>
    <row r="657" spans="1:25" s="15" customFormat="1" ht="34.5" customHeight="1">
      <c r="A657" s="1108"/>
      <c r="B657" s="1108"/>
      <c r="C657" s="1108"/>
      <c r="D657" s="1108"/>
      <c r="E657" s="1108"/>
      <c r="F657" s="1108"/>
      <c r="G657" s="1108"/>
      <c r="H657" s="1108"/>
      <c r="I657" s="68"/>
      <c r="J657" s="38"/>
      <c r="K657" s="37"/>
      <c r="L657" s="37"/>
      <c r="M657" s="33"/>
      <c r="N657" s="41"/>
      <c r="O657" s="14"/>
      <c r="P657" s="14"/>
      <c r="Q657" s="1193"/>
      <c r="R657" s="1193"/>
      <c r="S657" s="1193"/>
      <c r="T657" s="1193"/>
      <c r="U657" s="14"/>
      <c r="V657" s="14"/>
      <c r="W657" s="14"/>
      <c r="X657" s="14"/>
      <c r="Y657" s="14"/>
    </row>
    <row r="658" spans="1:25" s="15" customFormat="1" ht="34.5" customHeight="1">
      <c r="A658" s="61"/>
      <c r="B658" s="63"/>
      <c r="C658" s="63"/>
      <c r="D658" s="63"/>
      <c r="E658" s="63"/>
      <c r="F658" s="63"/>
      <c r="G658" s="63"/>
      <c r="H658" s="63"/>
      <c r="I658" s="63"/>
      <c r="J658" s="63"/>
      <c r="K658" s="37"/>
      <c r="L658" s="37"/>
      <c r="M658" s="33"/>
      <c r="N658" s="41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1:25" s="15" customFormat="1" ht="34.5" customHeight="1">
      <c r="A659" s="1110" t="s">
        <v>98</v>
      </c>
      <c r="B659" s="1110"/>
      <c r="C659" s="1110"/>
      <c r="D659" s="1110"/>
      <c r="E659" s="1110"/>
      <c r="F659" s="1110"/>
      <c r="G659" s="1110"/>
      <c r="H659" s="1110"/>
      <c r="I659" s="1110"/>
      <c r="J659" s="1110"/>
      <c r="K659" s="1110"/>
      <c r="L659" s="1110"/>
      <c r="M659" s="1110"/>
      <c r="N659" s="1110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1:25" s="15" customFormat="1" ht="34.5" customHeight="1">
      <c r="A660" s="1107" t="s">
        <v>912</v>
      </c>
      <c r="B660" s="1107"/>
      <c r="C660" s="1107"/>
      <c r="D660" s="1107"/>
      <c r="E660" s="1107"/>
      <c r="F660" s="1107"/>
      <c r="G660" s="1107"/>
      <c r="H660" s="1107"/>
      <c r="I660" s="37"/>
      <c r="J660" s="37"/>
      <c r="K660" s="37"/>
      <c r="L660" s="37"/>
      <c r="M660" s="1089"/>
      <c r="N660" s="1089"/>
      <c r="O660" s="14"/>
      <c r="P660" s="1089"/>
      <c r="Q660" s="1089"/>
      <c r="R660" s="1089"/>
      <c r="S660" s="1089"/>
      <c r="T660" s="14"/>
      <c r="U660" s="14"/>
      <c r="V660" s="14"/>
      <c r="W660" s="14"/>
      <c r="X660" s="14"/>
      <c r="Y660" s="14"/>
    </row>
    <row r="661" spans="1:25" s="15" customFormat="1" ht="34.5" customHeight="1" thickBot="1">
      <c r="A661" s="70"/>
      <c r="B661" s="70"/>
      <c r="C661" s="70"/>
      <c r="D661" s="70"/>
      <c r="E661" s="70"/>
      <c r="F661" s="70"/>
      <c r="G661" s="70"/>
      <c r="H661" s="70"/>
      <c r="I661" s="37"/>
      <c r="J661" s="37"/>
      <c r="K661" s="56"/>
      <c r="L661" s="56"/>
      <c r="M661" s="1089"/>
      <c r="N661" s="1089"/>
      <c r="O661" s="14"/>
      <c r="P661" s="1193"/>
      <c r="Q661" s="1193"/>
      <c r="R661" s="1193"/>
      <c r="S661" s="1193"/>
      <c r="T661" s="14"/>
      <c r="U661" s="14"/>
      <c r="V661" s="14"/>
      <c r="W661" s="14"/>
      <c r="X661" s="14"/>
      <c r="Y661" s="14"/>
    </row>
    <row r="662" spans="1:42" s="214" customFormat="1" ht="34.5" customHeight="1" thickTop="1">
      <c r="A662" s="207" t="s">
        <v>34</v>
      </c>
      <c r="B662" s="208" t="s">
        <v>637</v>
      </c>
      <c r="C662" s="209" t="s">
        <v>921</v>
      </c>
      <c r="D662" s="210"/>
      <c r="E662" s="211" t="s">
        <v>922</v>
      </c>
      <c r="F662" s="212"/>
      <c r="G662" s="211" t="s">
        <v>923</v>
      </c>
      <c r="H662" s="212"/>
      <c r="I662" s="1070"/>
      <c r="J662" s="1071"/>
      <c r="K662" s="1070"/>
      <c r="L662" s="1070"/>
      <c r="M662" s="174"/>
      <c r="N662" s="174"/>
      <c r="O662" s="213"/>
      <c r="P662" s="213"/>
      <c r="Q662" s="213"/>
      <c r="R662" s="213"/>
      <c r="S662" s="213"/>
      <c r="T662" s="213"/>
      <c r="U662" s="213"/>
      <c r="V662" s="213"/>
      <c r="W662" s="213"/>
      <c r="X662" s="213"/>
      <c r="Y662" s="213"/>
      <c r="Z662" s="213"/>
      <c r="AA662" s="213"/>
      <c r="AB662" s="213"/>
      <c r="AC662" s="213"/>
      <c r="AD662" s="213"/>
      <c r="AE662" s="213"/>
      <c r="AF662" s="213"/>
      <c r="AG662" s="213"/>
      <c r="AH662" s="213"/>
      <c r="AI662" s="213"/>
      <c r="AJ662" s="213"/>
      <c r="AK662" s="213"/>
      <c r="AL662" s="213"/>
      <c r="AM662" s="213"/>
      <c r="AN662" s="213"/>
      <c r="AO662" s="213"/>
      <c r="AP662" s="213"/>
    </row>
    <row r="663" spans="1:19" s="158" customFormat="1" ht="34.5" customHeight="1">
      <c r="A663" s="493" t="s">
        <v>815</v>
      </c>
      <c r="B663" s="294" t="s">
        <v>42</v>
      </c>
      <c r="C663" s="411"/>
      <c r="D663" s="494"/>
      <c r="E663" s="411"/>
      <c r="F663" s="494"/>
      <c r="G663" s="411"/>
      <c r="H663" s="494"/>
      <c r="I663" s="327"/>
      <c r="J663" s="327"/>
      <c r="K663" s="327"/>
      <c r="L663" s="327"/>
      <c r="M663" s="1061"/>
      <c r="N663" s="1061"/>
      <c r="O663" s="114"/>
      <c r="P663" s="1062"/>
      <c r="Q663" s="1062"/>
      <c r="R663" s="1062"/>
      <c r="S663" s="1062"/>
    </row>
    <row r="664" spans="1:19" s="158" customFormat="1" ht="34.5" customHeight="1">
      <c r="A664" s="295" t="s">
        <v>50</v>
      </c>
      <c r="B664" s="296" t="s">
        <v>43</v>
      </c>
      <c r="C664" s="415"/>
      <c r="D664" s="495"/>
      <c r="E664" s="415"/>
      <c r="F664" s="495"/>
      <c r="G664" s="415"/>
      <c r="H664" s="495"/>
      <c r="I664" s="327"/>
      <c r="J664" s="327"/>
      <c r="K664" s="327"/>
      <c r="L664" s="327"/>
      <c r="M664" s="1061"/>
      <c r="N664" s="1061"/>
      <c r="O664" s="114"/>
      <c r="P664" s="1062"/>
      <c r="Q664" s="1062"/>
      <c r="R664" s="1062"/>
      <c r="S664" s="1062"/>
    </row>
    <row r="665" spans="1:19" s="158" customFormat="1" ht="34.5" customHeight="1">
      <c r="A665" s="295"/>
      <c r="B665" s="296" t="s">
        <v>38</v>
      </c>
      <c r="C665" s="415"/>
      <c r="D665" s="495"/>
      <c r="E665" s="415"/>
      <c r="F665" s="495"/>
      <c r="G665" s="415"/>
      <c r="H665" s="495"/>
      <c r="I665" s="327"/>
      <c r="J665" s="327"/>
      <c r="K665" s="327"/>
      <c r="L665" s="327"/>
      <c r="M665" s="1061"/>
      <c r="N665" s="1061"/>
      <c r="O665" s="114"/>
      <c r="P665" s="1062"/>
      <c r="Q665" s="1062"/>
      <c r="R665" s="1062"/>
      <c r="S665" s="1062"/>
    </row>
    <row r="666" spans="1:19" s="158" customFormat="1" ht="34.5" customHeight="1">
      <c r="A666" s="116" t="s">
        <v>861</v>
      </c>
      <c r="B666" s="296" t="s">
        <v>868</v>
      </c>
      <c r="C666" s="415"/>
      <c r="D666" s="495"/>
      <c r="E666" s="415"/>
      <c r="F666" s="495"/>
      <c r="G666" s="415"/>
      <c r="H666" s="495"/>
      <c r="I666" s="327"/>
      <c r="J666" s="327"/>
      <c r="K666" s="327"/>
      <c r="L666" s="327"/>
      <c r="M666" s="1061"/>
      <c r="N666" s="1061"/>
      <c r="O666" s="114"/>
      <c r="P666" s="1062"/>
      <c r="Q666" s="1062"/>
      <c r="R666" s="1062"/>
      <c r="S666" s="1062"/>
    </row>
    <row r="667" spans="1:19" s="158" customFormat="1" ht="34.5" customHeight="1">
      <c r="A667" s="295"/>
      <c r="B667" s="496" t="s">
        <v>52</v>
      </c>
      <c r="C667" s="415"/>
      <c r="D667" s="495"/>
      <c r="E667" s="415"/>
      <c r="F667" s="495"/>
      <c r="G667" s="415"/>
      <c r="H667" s="495"/>
      <c r="I667" s="327"/>
      <c r="J667" s="327"/>
      <c r="K667" s="327"/>
      <c r="L667" s="327"/>
      <c r="M667" s="1061"/>
      <c r="N667" s="1061"/>
      <c r="P667" s="1062"/>
      <c r="Q667" s="1062"/>
      <c r="R667" s="1062"/>
      <c r="S667" s="1062"/>
    </row>
    <row r="668" spans="1:19" s="158" customFormat="1" ht="34.5" customHeight="1">
      <c r="A668" s="295"/>
      <c r="B668" s="496" t="s">
        <v>45</v>
      </c>
      <c r="C668" s="415"/>
      <c r="D668" s="495"/>
      <c r="E668" s="415"/>
      <c r="F668" s="495"/>
      <c r="G668" s="415"/>
      <c r="H668" s="495"/>
      <c r="I668" s="327"/>
      <c r="J668" s="327"/>
      <c r="K668" s="327"/>
      <c r="L668" s="327"/>
      <c r="M668" s="1061"/>
      <c r="N668" s="1061"/>
      <c r="P668" s="1062"/>
      <c r="Q668" s="1062"/>
      <c r="R668" s="1062"/>
      <c r="S668" s="1062"/>
    </row>
    <row r="669" spans="1:19" s="158" customFormat="1" ht="34.5" customHeight="1" thickBot="1">
      <c r="A669" s="497" t="s">
        <v>1019</v>
      </c>
      <c r="B669" s="297" t="s">
        <v>60</v>
      </c>
      <c r="C669" s="418"/>
      <c r="D669" s="498"/>
      <c r="E669" s="418"/>
      <c r="F669" s="498"/>
      <c r="G669" s="418"/>
      <c r="H669" s="498"/>
      <c r="I669" s="327"/>
      <c r="J669" s="327"/>
      <c r="K669" s="327"/>
      <c r="L669" s="327"/>
      <c r="M669" s="1061"/>
      <c r="N669" s="1061"/>
      <c r="P669" s="1062"/>
      <c r="Q669" s="1062"/>
      <c r="R669" s="1062"/>
      <c r="S669" s="1062"/>
    </row>
    <row r="670" spans="1:12" s="158" customFormat="1" ht="34.5" customHeight="1" thickBot="1" thickTop="1">
      <c r="A670" s="499"/>
      <c r="B670" s="500"/>
      <c r="C670" s="500"/>
      <c r="D670" s="501"/>
      <c r="E670" s="501"/>
      <c r="F670" s="501"/>
      <c r="G670" s="501"/>
      <c r="H670" s="501"/>
      <c r="I670" s="502"/>
      <c r="J670" s="502"/>
      <c r="K670" s="503"/>
      <c r="L670" s="503"/>
    </row>
    <row r="671" spans="1:42" s="214" customFormat="1" ht="34.5" customHeight="1" thickTop="1">
      <c r="A671" s="207" t="s">
        <v>34</v>
      </c>
      <c r="B671" s="208" t="s">
        <v>637</v>
      </c>
      <c r="C671" s="209" t="s">
        <v>921</v>
      </c>
      <c r="D671" s="210"/>
      <c r="E671" s="211" t="s">
        <v>922</v>
      </c>
      <c r="F671" s="212"/>
      <c r="G671" s="211" t="s">
        <v>923</v>
      </c>
      <c r="H671" s="212"/>
      <c r="I671" s="1070"/>
      <c r="J671" s="1071"/>
      <c r="K671" s="1070"/>
      <c r="L671" s="1070"/>
      <c r="M671" s="174"/>
      <c r="N671" s="174"/>
      <c r="O671" s="213"/>
      <c r="P671" s="213"/>
      <c r="Q671" s="213"/>
      <c r="R671" s="213"/>
      <c r="S671" s="213"/>
      <c r="T671" s="213"/>
      <c r="U671" s="213"/>
      <c r="V671" s="213"/>
      <c r="W671" s="213"/>
      <c r="X671" s="213"/>
      <c r="Y671" s="213"/>
      <c r="Z671" s="213"/>
      <c r="AA671" s="213"/>
      <c r="AB671" s="213"/>
      <c r="AC671" s="213"/>
      <c r="AD671" s="213"/>
      <c r="AE671" s="213"/>
      <c r="AF671" s="213"/>
      <c r="AG671" s="213"/>
      <c r="AH671" s="213"/>
      <c r="AI671" s="213"/>
      <c r="AJ671" s="213"/>
      <c r="AK671" s="213"/>
      <c r="AL671" s="213"/>
      <c r="AM671" s="213"/>
      <c r="AN671" s="213"/>
      <c r="AO671" s="213"/>
      <c r="AP671" s="213"/>
    </row>
    <row r="672" spans="1:14" s="158" customFormat="1" ht="34.5" customHeight="1">
      <c r="A672" s="504" t="s">
        <v>367</v>
      </c>
      <c r="B672" s="505" t="s">
        <v>56</v>
      </c>
      <c r="C672" s="1073"/>
      <c r="D672" s="1074"/>
      <c r="E672" s="1057"/>
      <c r="F672" s="1061"/>
      <c r="G672" s="1073"/>
      <c r="H672" s="1074"/>
      <c r="I672" s="1061"/>
      <c r="J672" s="1061"/>
      <c r="K672" s="1061"/>
      <c r="L672" s="1061"/>
      <c r="M672" s="110"/>
      <c r="N672" s="111"/>
    </row>
    <row r="673" spans="1:14" s="158" customFormat="1" ht="34.5" customHeight="1">
      <c r="A673" s="344" t="s">
        <v>50</v>
      </c>
      <c r="B673" s="506" t="s">
        <v>43</v>
      </c>
      <c r="C673" s="1057"/>
      <c r="D673" s="1058"/>
      <c r="E673" s="1057"/>
      <c r="F673" s="1058"/>
      <c r="G673" s="1057"/>
      <c r="H673" s="1058"/>
      <c r="I673" s="1061"/>
      <c r="J673" s="1061"/>
      <c r="K673" s="1061"/>
      <c r="L673" s="1061"/>
      <c r="M673" s="110"/>
      <c r="N673" s="111"/>
    </row>
    <row r="674" spans="1:14" s="158" customFormat="1" ht="34.5" customHeight="1">
      <c r="A674" s="453"/>
      <c r="B674" s="506" t="s">
        <v>188</v>
      </c>
      <c r="C674" s="1057"/>
      <c r="D674" s="1058"/>
      <c r="E674" s="1057"/>
      <c r="F674" s="1058"/>
      <c r="G674" s="1057"/>
      <c r="H674" s="1058"/>
      <c r="I674" s="1061"/>
      <c r="J674" s="1061"/>
      <c r="K674" s="1061"/>
      <c r="L674" s="1061"/>
      <c r="M674" s="110"/>
      <c r="N674" s="111"/>
    </row>
    <row r="675" spans="1:14" s="158" customFormat="1" ht="34.5" customHeight="1">
      <c r="A675" s="453" t="s">
        <v>366</v>
      </c>
      <c r="B675" s="296" t="s">
        <v>601</v>
      </c>
      <c r="C675" s="1085"/>
      <c r="D675" s="1086"/>
      <c r="E675" s="1085"/>
      <c r="F675" s="1086"/>
      <c r="G675" s="1085"/>
      <c r="H675" s="1086"/>
      <c r="I675" s="1062"/>
      <c r="J675" s="1062"/>
      <c r="K675" s="1062"/>
      <c r="L675" s="1062"/>
      <c r="M675" s="110"/>
      <c r="N675" s="111"/>
    </row>
    <row r="676" spans="1:12" s="158" customFormat="1" ht="34.5" customHeight="1">
      <c r="A676" s="453"/>
      <c r="B676" s="507" t="s">
        <v>44</v>
      </c>
      <c r="C676" s="1057"/>
      <c r="D676" s="1058"/>
      <c r="E676" s="1057"/>
      <c r="F676" s="1061"/>
      <c r="G676" s="1057"/>
      <c r="H676" s="1058"/>
      <c r="I676" s="1061"/>
      <c r="J676" s="1061"/>
      <c r="K676" s="1061"/>
      <c r="L676" s="1061"/>
    </row>
    <row r="677" spans="1:12" s="158" customFormat="1" ht="34.5" customHeight="1">
      <c r="A677" s="453"/>
      <c r="B677" s="507" t="s">
        <v>45</v>
      </c>
      <c r="C677" s="1057"/>
      <c r="D677" s="1058"/>
      <c r="E677" s="1057"/>
      <c r="F677" s="1061"/>
      <c r="G677" s="1057"/>
      <c r="H677" s="1058"/>
      <c r="I677" s="1061"/>
      <c r="J677" s="1061"/>
      <c r="K677" s="1061"/>
      <c r="L677" s="1061"/>
    </row>
    <row r="678" spans="1:12" s="158" customFormat="1" ht="34.5" customHeight="1">
      <c r="A678" s="116" t="s">
        <v>861</v>
      </c>
      <c r="B678" s="506" t="s">
        <v>491</v>
      </c>
      <c r="C678" s="1057"/>
      <c r="D678" s="1058"/>
      <c r="E678" s="1057"/>
      <c r="F678" s="1061"/>
      <c r="G678" s="1057"/>
      <c r="H678" s="1058"/>
      <c r="I678" s="1061"/>
      <c r="J678" s="1061"/>
      <c r="K678" s="1061"/>
      <c r="L678" s="1061"/>
    </row>
    <row r="679" spans="1:12" s="158" customFormat="1" ht="34.5" customHeight="1" thickBot="1">
      <c r="A679" s="508"/>
      <c r="B679" s="509" t="s">
        <v>54</v>
      </c>
      <c r="C679" s="1076"/>
      <c r="D679" s="1077"/>
      <c r="E679" s="1076"/>
      <c r="F679" s="1077"/>
      <c r="G679" s="1076"/>
      <c r="H679" s="1077"/>
      <c r="I679" s="1061"/>
      <c r="J679" s="1061"/>
      <c r="K679" s="1061"/>
      <c r="L679" s="1061"/>
    </row>
    <row r="680" spans="1:12" s="158" customFormat="1" ht="34.5" customHeight="1" thickTop="1">
      <c r="A680" s="453"/>
      <c r="B680" s="510" t="s">
        <v>151</v>
      </c>
      <c r="C680" s="1096"/>
      <c r="D680" s="1097"/>
      <c r="E680" s="1096"/>
      <c r="F680" s="1097"/>
      <c r="G680" s="1096"/>
      <c r="H680" s="1097"/>
      <c r="I680" s="1061"/>
      <c r="J680" s="1061"/>
      <c r="K680" s="1061"/>
      <c r="L680" s="1061"/>
    </row>
    <row r="681" spans="1:12" s="158" customFormat="1" ht="34.5" customHeight="1">
      <c r="A681" s="453"/>
      <c r="B681" s="510" t="s">
        <v>152</v>
      </c>
      <c r="C681" s="1057"/>
      <c r="D681" s="1058"/>
      <c r="E681" s="1057"/>
      <c r="F681" s="1058"/>
      <c r="G681" s="1057"/>
      <c r="H681" s="1058"/>
      <c r="I681" s="1061"/>
      <c r="J681" s="1061"/>
      <c r="K681" s="1061"/>
      <c r="L681" s="1061"/>
    </row>
    <row r="682" spans="1:12" s="158" customFormat="1" ht="34.5" customHeight="1">
      <c r="A682" s="453"/>
      <c r="B682" s="510" t="s">
        <v>243</v>
      </c>
      <c r="C682" s="1057"/>
      <c r="D682" s="1058"/>
      <c r="E682" s="1057"/>
      <c r="F682" s="1058"/>
      <c r="G682" s="1057"/>
      <c r="H682" s="1058"/>
      <c r="I682" s="1061"/>
      <c r="J682" s="1061"/>
      <c r="K682" s="1061"/>
      <c r="L682" s="1061"/>
    </row>
    <row r="683" spans="1:12" s="158" customFormat="1" ht="34.5" customHeight="1" thickBot="1">
      <c r="A683" s="511" t="s">
        <v>1020</v>
      </c>
      <c r="B683" s="512" t="s">
        <v>244</v>
      </c>
      <c r="C683" s="1076"/>
      <c r="D683" s="1077"/>
      <c r="E683" s="1076"/>
      <c r="F683" s="1077"/>
      <c r="G683" s="1076"/>
      <c r="H683" s="1077"/>
      <c r="I683" s="1061"/>
      <c r="J683" s="1061"/>
      <c r="K683" s="1061"/>
      <c r="L683" s="1061"/>
    </row>
    <row r="684" spans="1:12" s="158" customFormat="1" ht="34.5" customHeight="1" thickTop="1">
      <c r="A684" s="502" t="s">
        <v>368</v>
      </c>
      <c r="B684" s="502"/>
      <c r="C684" s="502"/>
      <c r="D684" s="502"/>
      <c r="E684" s="502"/>
      <c r="F684" s="502"/>
      <c r="G684" s="502"/>
      <c r="H684" s="502"/>
      <c r="I684" s="513"/>
      <c r="J684" s="513"/>
      <c r="K684" s="514"/>
      <c r="L684" s="514"/>
    </row>
    <row r="685" spans="1:37" s="371" customFormat="1" ht="34.5" customHeight="1">
      <c r="A685" s="163"/>
      <c r="B685" s="164"/>
      <c r="C685" s="163"/>
      <c r="D685" s="163"/>
      <c r="E685" s="163"/>
      <c r="F685" s="163"/>
      <c r="G685" s="163"/>
      <c r="H685" s="163"/>
      <c r="I685" s="163"/>
      <c r="J685" s="163"/>
      <c r="K685" s="515"/>
      <c r="L685" s="515"/>
      <c r="M685" s="174"/>
      <c r="N685" s="174"/>
      <c r="O685" s="179"/>
      <c r="P685" s="179"/>
      <c r="Q685" s="179"/>
      <c r="R685" s="179"/>
      <c r="S685" s="179"/>
      <c r="T685" s="179"/>
      <c r="U685" s="179"/>
      <c r="V685" s="179"/>
      <c r="W685" s="179"/>
      <c r="X685" s="179"/>
      <c r="Y685" s="179"/>
      <c r="Z685" s="179"/>
      <c r="AA685" s="179"/>
      <c r="AB685" s="179"/>
      <c r="AC685" s="179"/>
      <c r="AD685" s="179"/>
      <c r="AE685" s="179"/>
      <c r="AF685" s="179"/>
      <c r="AG685" s="179"/>
      <c r="AH685" s="179"/>
      <c r="AI685" s="179"/>
      <c r="AJ685" s="179"/>
      <c r="AK685" s="179"/>
    </row>
    <row r="686" spans="1:12" s="158" customFormat="1" ht="34.5" customHeight="1" thickBot="1">
      <c r="A686" s="501"/>
      <c r="B686" s="501"/>
      <c r="C686" s="502"/>
      <c r="D686" s="502"/>
      <c r="E686" s="502"/>
      <c r="F686" s="502"/>
      <c r="G686" s="502"/>
      <c r="H686" s="502"/>
      <c r="I686" s="513"/>
      <c r="J686" s="513"/>
      <c r="K686" s="514"/>
      <c r="L686" s="514"/>
    </row>
    <row r="687" spans="1:42" s="214" customFormat="1" ht="34.5" customHeight="1" thickTop="1">
      <c r="A687" s="207" t="s">
        <v>34</v>
      </c>
      <c r="B687" s="208" t="s">
        <v>637</v>
      </c>
      <c r="C687" s="209" t="s">
        <v>921</v>
      </c>
      <c r="D687" s="210"/>
      <c r="E687" s="211" t="s">
        <v>922</v>
      </c>
      <c r="F687" s="212"/>
      <c r="G687" s="211" t="s">
        <v>923</v>
      </c>
      <c r="H687" s="212"/>
      <c r="I687" s="1070"/>
      <c r="J687" s="1071"/>
      <c r="K687" s="1070"/>
      <c r="L687" s="1070"/>
      <c r="M687" s="174"/>
      <c r="N687" s="174"/>
      <c r="O687" s="213"/>
      <c r="P687" s="213"/>
      <c r="Q687" s="213"/>
      <c r="R687" s="213"/>
      <c r="S687" s="213"/>
      <c r="T687" s="213"/>
      <c r="U687" s="213"/>
      <c r="V687" s="213"/>
      <c r="W687" s="213"/>
      <c r="X687" s="213"/>
      <c r="Y687" s="213"/>
      <c r="Z687" s="213"/>
      <c r="AA687" s="213"/>
      <c r="AB687" s="213"/>
      <c r="AC687" s="213"/>
      <c r="AD687" s="213"/>
      <c r="AE687" s="213"/>
      <c r="AF687" s="213"/>
      <c r="AG687" s="213"/>
      <c r="AH687" s="213"/>
      <c r="AI687" s="213"/>
      <c r="AJ687" s="213"/>
      <c r="AK687" s="213"/>
      <c r="AL687" s="213"/>
      <c r="AM687" s="213"/>
      <c r="AN687" s="213"/>
      <c r="AO687" s="213"/>
      <c r="AP687" s="213"/>
    </row>
    <row r="688" spans="1:12" s="158" customFormat="1" ht="34.5" customHeight="1">
      <c r="A688" s="504" t="s">
        <v>369</v>
      </c>
      <c r="B688" s="505" t="s">
        <v>657</v>
      </c>
      <c r="C688" s="1073"/>
      <c r="D688" s="1074"/>
      <c r="E688" s="1073"/>
      <c r="F688" s="1074"/>
      <c r="G688" s="1073"/>
      <c r="H688" s="1074"/>
      <c r="I688" s="1061"/>
      <c r="J688" s="1061"/>
      <c r="K688" s="1061"/>
      <c r="L688" s="1061"/>
    </row>
    <row r="689" spans="1:12" s="158" customFormat="1" ht="34.5" customHeight="1">
      <c r="A689" s="344" t="s">
        <v>50</v>
      </c>
      <c r="B689" s="506" t="s">
        <v>653</v>
      </c>
      <c r="C689" s="1057"/>
      <c r="D689" s="1058"/>
      <c r="E689" s="1057"/>
      <c r="F689" s="1058"/>
      <c r="G689" s="1057"/>
      <c r="H689" s="1058"/>
      <c r="I689" s="1061"/>
      <c r="J689" s="1061"/>
      <c r="K689" s="1061"/>
      <c r="L689" s="1061"/>
    </row>
    <row r="690" spans="1:12" s="158" customFormat="1" ht="34.5" customHeight="1">
      <c r="A690" s="116" t="s">
        <v>861</v>
      </c>
      <c r="B690" s="506" t="s">
        <v>188</v>
      </c>
      <c r="C690" s="1057"/>
      <c r="D690" s="1058"/>
      <c r="E690" s="1057"/>
      <c r="F690" s="1058"/>
      <c r="G690" s="1057"/>
      <c r="H690" s="1058"/>
      <c r="I690" s="1061"/>
      <c r="J690" s="1061"/>
      <c r="K690" s="1061"/>
      <c r="L690" s="1061"/>
    </row>
    <row r="691" spans="1:12" s="158" customFormat="1" ht="34.5" customHeight="1" thickBot="1">
      <c r="A691" s="516" t="s">
        <v>865</v>
      </c>
      <c r="B691" s="517" t="s">
        <v>601</v>
      </c>
      <c r="C691" s="1212"/>
      <c r="D691" s="1213"/>
      <c r="E691" s="1212"/>
      <c r="F691" s="1213"/>
      <c r="G691" s="1212"/>
      <c r="H691" s="1213"/>
      <c r="I691" s="1062"/>
      <c r="J691" s="1062"/>
      <c r="K691" s="1062"/>
      <c r="L691" s="1062"/>
    </row>
    <row r="692" spans="1:12" s="158" customFormat="1" ht="34.5" customHeight="1" thickTop="1">
      <c r="A692" s="502" t="s">
        <v>658</v>
      </c>
      <c r="B692" s="502"/>
      <c r="C692" s="502"/>
      <c r="D692" s="502"/>
      <c r="E692" s="502"/>
      <c r="F692" s="502"/>
      <c r="G692" s="502"/>
      <c r="H692" s="502"/>
      <c r="I692" s="513"/>
      <c r="J692" s="513"/>
      <c r="K692" s="514"/>
      <c r="L692" s="514"/>
    </row>
    <row r="693" spans="1:12" s="158" customFormat="1" ht="34.5" customHeight="1">
      <c r="A693" s="1219" t="s">
        <v>370</v>
      </c>
      <c r="B693" s="1220"/>
      <c r="C693" s="1220"/>
      <c r="D693" s="1220"/>
      <c r="E693" s="1220"/>
      <c r="F693" s="1220"/>
      <c r="G693" s="1220"/>
      <c r="H693" s="1220"/>
      <c r="I693" s="1220"/>
      <c r="J693" s="1220"/>
      <c r="K693" s="514"/>
      <c r="L693" s="514"/>
    </row>
    <row r="694" spans="1:12" s="158" customFormat="1" ht="34.5" customHeight="1" thickBot="1">
      <c r="A694" s="518"/>
      <c r="B694" s="124"/>
      <c r="C694" s="148"/>
      <c r="D694" s="501"/>
      <c r="E694" s="501"/>
      <c r="F694" s="501"/>
      <c r="G694" s="501"/>
      <c r="H694" s="501"/>
      <c r="I694" s="513"/>
      <c r="J694" s="513"/>
      <c r="K694" s="514"/>
      <c r="L694" s="514"/>
    </row>
    <row r="695" spans="1:42" s="214" customFormat="1" ht="34.5" customHeight="1" thickTop="1">
      <c r="A695" s="207" t="s">
        <v>34</v>
      </c>
      <c r="B695" s="208" t="s">
        <v>637</v>
      </c>
      <c r="C695" s="209" t="s">
        <v>921</v>
      </c>
      <c r="D695" s="210"/>
      <c r="E695" s="211" t="s">
        <v>922</v>
      </c>
      <c r="F695" s="212"/>
      <c r="G695" s="211" t="s">
        <v>923</v>
      </c>
      <c r="H695" s="212"/>
      <c r="I695" s="1070"/>
      <c r="J695" s="1071"/>
      <c r="K695" s="1070"/>
      <c r="L695" s="1070"/>
      <c r="M695" s="174"/>
      <c r="N695" s="174"/>
      <c r="O695" s="213"/>
      <c r="P695" s="213"/>
      <c r="Q695" s="213"/>
      <c r="R695" s="213"/>
      <c r="S695" s="213"/>
      <c r="T695" s="213"/>
      <c r="U695" s="213"/>
      <c r="V695" s="213"/>
      <c r="W695" s="213"/>
      <c r="X695" s="213"/>
      <c r="Y695" s="213"/>
      <c r="Z695" s="213"/>
      <c r="AA695" s="213"/>
      <c r="AB695" s="213"/>
      <c r="AC695" s="213"/>
      <c r="AD695" s="213"/>
      <c r="AE695" s="213"/>
      <c r="AF695" s="213"/>
      <c r="AG695" s="213"/>
      <c r="AH695" s="213"/>
      <c r="AI695" s="213"/>
      <c r="AJ695" s="213"/>
      <c r="AK695" s="213"/>
      <c r="AL695" s="213"/>
      <c r="AM695" s="213"/>
      <c r="AN695" s="213"/>
      <c r="AO695" s="213"/>
      <c r="AP695" s="213"/>
    </row>
    <row r="696" spans="1:13" s="158" customFormat="1" ht="34.5" customHeight="1">
      <c r="A696" s="519" t="s">
        <v>266</v>
      </c>
      <c r="B696" s="294" t="s">
        <v>42</v>
      </c>
      <c r="C696" s="1073"/>
      <c r="D696" s="1074"/>
      <c r="E696" s="1073"/>
      <c r="F696" s="1117"/>
      <c r="G696" s="1073"/>
      <c r="H696" s="1074"/>
      <c r="I696" s="1061"/>
      <c r="J696" s="1061"/>
      <c r="K696" s="1061"/>
      <c r="L696" s="1061"/>
      <c r="M696" s="114"/>
    </row>
    <row r="697" spans="1:13" s="158" customFormat="1" ht="34.5" customHeight="1">
      <c r="A697" s="344" t="s">
        <v>50</v>
      </c>
      <c r="B697" s="296" t="s">
        <v>43</v>
      </c>
      <c r="C697" s="1057"/>
      <c r="D697" s="1058"/>
      <c r="E697" s="1057"/>
      <c r="F697" s="1058"/>
      <c r="G697" s="1057"/>
      <c r="H697" s="1058"/>
      <c r="I697" s="1061"/>
      <c r="J697" s="1061"/>
      <c r="K697" s="1061"/>
      <c r="L697" s="1061"/>
      <c r="M697" s="114"/>
    </row>
    <row r="698" spans="1:13" s="158" customFormat="1" ht="34.5" customHeight="1">
      <c r="A698" s="344"/>
      <c r="B698" s="296" t="s">
        <v>38</v>
      </c>
      <c r="C698" s="1057"/>
      <c r="D698" s="1058"/>
      <c r="E698" s="1057"/>
      <c r="F698" s="1058"/>
      <c r="G698" s="1057"/>
      <c r="H698" s="1058"/>
      <c r="I698" s="1061"/>
      <c r="J698" s="1061"/>
      <c r="K698" s="1061"/>
      <c r="L698" s="1061"/>
      <c r="M698" s="114"/>
    </row>
    <row r="699" spans="1:13" s="158" customFormat="1" ht="34.5" customHeight="1">
      <c r="A699" s="116" t="s">
        <v>861</v>
      </c>
      <c r="B699" s="296" t="s">
        <v>601</v>
      </c>
      <c r="C699" s="1099"/>
      <c r="D699" s="1080"/>
      <c r="E699" s="1099"/>
      <c r="F699" s="1080"/>
      <c r="G699" s="1099"/>
      <c r="H699" s="1080"/>
      <c r="I699" s="1072"/>
      <c r="J699" s="1072"/>
      <c r="K699" s="1072"/>
      <c r="L699" s="1072"/>
      <c r="M699" s="114"/>
    </row>
    <row r="700" spans="1:13" s="158" customFormat="1" ht="34.5" customHeight="1">
      <c r="A700" s="508"/>
      <c r="B700" s="496" t="s">
        <v>44</v>
      </c>
      <c r="C700" s="1057"/>
      <c r="D700" s="1058"/>
      <c r="E700" s="1057"/>
      <c r="F700" s="1061"/>
      <c r="G700" s="1057"/>
      <c r="H700" s="1058"/>
      <c r="I700" s="1061"/>
      <c r="J700" s="1061"/>
      <c r="K700" s="1061"/>
      <c r="L700" s="1061"/>
      <c r="M700" s="114"/>
    </row>
    <row r="701" spans="1:13" s="158" customFormat="1" ht="34.5" customHeight="1">
      <c r="A701" s="344"/>
      <c r="B701" s="496" t="s">
        <v>45</v>
      </c>
      <c r="C701" s="1057"/>
      <c r="D701" s="1058"/>
      <c r="E701" s="1057"/>
      <c r="F701" s="1058"/>
      <c r="G701" s="1057"/>
      <c r="H701" s="1058"/>
      <c r="I701" s="1061"/>
      <c r="J701" s="1061"/>
      <c r="K701" s="1061"/>
      <c r="L701" s="1061"/>
      <c r="M701" s="114"/>
    </row>
    <row r="702" spans="1:13" s="158" customFormat="1" ht="34.5" customHeight="1">
      <c r="A702" s="344"/>
      <c r="B702" s="289" t="s">
        <v>35</v>
      </c>
      <c r="C702" s="1057"/>
      <c r="D702" s="1058"/>
      <c r="E702" s="1057"/>
      <c r="F702" s="1061"/>
      <c r="G702" s="1057"/>
      <c r="H702" s="1058"/>
      <c r="I702" s="1061"/>
      <c r="J702" s="1061"/>
      <c r="K702" s="1061"/>
      <c r="L702" s="1061"/>
      <c r="M702" s="114"/>
    </row>
    <row r="703" spans="1:13" s="158" customFormat="1" ht="34.5" customHeight="1">
      <c r="A703" s="520" t="s">
        <v>308</v>
      </c>
      <c r="B703" s="521" t="s">
        <v>37</v>
      </c>
      <c r="C703" s="1059"/>
      <c r="D703" s="1060"/>
      <c r="E703" s="1059"/>
      <c r="F703" s="1060"/>
      <c r="G703" s="1059"/>
      <c r="H703" s="1060"/>
      <c r="I703" s="1061"/>
      <c r="J703" s="1061"/>
      <c r="K703" s="1061"/>
      <c r="L703" s="1061"/>
      <c r="M703" s="114"/>
    </row>
    <row r="704" spans="1:12" s="158" customFormat="1" ht="34.5" customHeight="1" thickBot="1">
      <c r="A704" s="518"/>
      <c r="B704" s="124"/>
      <c r="C704" s="148"/>
      <c r="D704" s="501"/>
      <c r="E704" s="501"/>
      <c r="F704" s="501"/>
      <c r="G704" s="501"/>
      <c r="H704" s="501"/>
      <c r="I704" s="513"/>
      <c r="J704" s="513"/>
      <c r="K704" s="514"/>
      <c r="L704" s="514"/>
    </row>
    <row r="705" spans="1:42" s="214" customFormat="1" ht="34.5" customHeight="1" thickTop="1">
      <c r="A705" s="207" t="s">
        <v>34</v>
      </c>
      <c r="B705" s="208" t="s">
        <v>637</v>
      </c>
      <c r="C705" s="209" t="s">
        <v>921</v>
      </c>
      <c r="D705" s="210"/>
      <c r="E705" s="211" t="s">
        <v>922</v>
      </c>
      <c r="F705" s="212"/>
      <c r="G705" s="211" t="s">
        <v>923</v>
      </c>
      <c r="H705" s="212"/>
      <c r="I705" s="1070"/>
      <c r="J705" s="1071"/>
      <c r="K705" s="1070"/>
      <c r="L705" s="1070"/>
      <c r="M705" s="174"/>
      <c r="N705" s="174"/>
      <c r="O705" s="213"/>
      <c r="P705" s="213"/>
      <c r="Q705" s="213"/>
      <c r="R705" s="213"/>
      <c r="S705" s="213"/>
      <c r="T705" s="213"/>
      <c r="U705" s="213"/>
      <c r="V705" s="213"/>
      <c r="W705" s="213"/>
      <c r="X705" s="213"/>
      <c r="Y705" s="213"/>
      <c r="Z705" s="213"/>
      <c r="AA705" s="213"/>
      <c r="AB705" s="213"/>
      <c r="AC705" s="213"/>
      <c r="AD705" s="213"/>
      <c r="AE705" s="213"/>
      <c r="AF705" s="213"/>
      <c r="AG705" s="213"/>
      <c r="AH705" s="213"/>
      <c r="AI705" s="213"/>
      <c r="AJ705" s="213"/>
      <c r="AK705" s="213"/>
      <c r="AL705" s="213"/>
      <c r="AM705" s="213"/>
      <c r="AN705" s="213"/>
      <c r="AO705" s="213"/>
      <c r="AP705" s="213"/>
    </row>
    <row r="706" spans="1:12" s="114" customFormat="1" ht="34.5" customHeight="1">
      <c r="A706" s="519" t="s">
        <v>862</v>
      </c>
      <c r="B706" s="294" t="s">
        <v>42</v>
      </c>
      <c r="C706" s="1073"/>
      <c r="D706" s="1074"/>
      <c r="E706" s="1073"/>
      <c r="F706" s="1117"/>
      <c r="G706" s="1073"/>
      <c r="H706" s="1074"/>
      <c r="I706" s="1061"/>
      <c r="J706" s="1061"/>
      <c r="K706" s="1061"/>
      <c r="L706" s="1061"/>
    </row>
    <row r="707" spans="1:12" s="114" customFormat="1" ht="34.5" customHeight="1">
      <c r="A707" s="344" t="s">
        <v>863</v>
      </c>
      <c r="B707" s="296" t="s">
        <v>43</v>
      </c>
      <c r="C707" s="1057"/>
      <c r="D707" s="1058"/>
      <c r="E707" s="1057"/>
      <c r="F707" s="1058"/>
      <c r="G707" s="1057"/>
      <c r="H707" s="1058"/>
      <c r="I707" s="1061"/>
      <c r="J707" s="1061"/>
      <c r="K707" s="1061"/>
      <c r="L707" s="1061"/>
    </row>
    <row r="708" spans="1:12" s="523" customFormat="1" ht="34.5" customHeight="1">
      <c r="A708" s="522" t="s">
        <v>864</v>
      </c>
      <c r="B708" s="296" t="s">
        <v>151</v>
      </c>
      <c r="C708" s="1214"/>
      <c r="D708" s="1215"/>
      <c r="E708" s="1214"/>
      <c r="F708" s="1218"/>
      <c r="G708" s="1214"/>
      <c r="H708" s="1215"/>
      <c r="I708" s="1218"/>
      <c r="J708" s="1218"/>
      <c r="K708" s="1218"/>
      <c r="L708" s="1218"/>
    </row>
    <row r="709" spans="1:12" s="114" customFormat="1" ht="34.5" customHeight="1" thickBot="1">
      <c r="A709" s="511" t="s">
        <v>423</v>
      </c>
      <c r="B709" s="524" t="s">
        <v>152</v>
      </c>
      <c r="C709" s="1076"/>
      <c r="D709" s="1077"/>
      <c r="E709" s="1076"/>
      <c r="F709" s="1077"/>
      <c r="G709" s="1076"/>
      <c r="H709" s="1077"/>
      <c r="I709" s="1061"/>
      <c r="J709" s="1061"/>
      <c r="K709" s="1061"/>
      <c r="L709" s="1061"/>
    </row>
    <row r="710" spans="1:12" s="33" customFormat="1" ht="34.5" customHeight="1" thickTop="1">
      <c r="A710" s="1221"/>
      <c r="B710" s="1221"/>
      <c r="C710" s="1221"/>
      <c r="D710" s="1221"/>
      <c r="E710" s="1221"/>
      <c r="F710" s="1221"/>
      <c r="G710" s="1221"/>
      <c r="H710" s="1221"/>
      <c r="I710" s="1221"/>
      <c r="J710" s="1221"/>
      <c r="K710" s="45"/>
      <c r="L710" s="45"/>
    </row>
    <row r="711" spans="1:25" s="15" customFormat="1" ht="34.5" customHeight="1">
      <c r="A711" s="1110" t="s">
        <v>913</v>
      </c>
      <c r="B711" s="1110"/>
      <c r="C711" s="1110"/>
      <c r="D711" s="1110"/>
      <c r="E711" s="1110"/>
      <c r="F711" s="1110"/>
      <c r="G711" s="1110"/>
      <c r="H711" s="1110"/>
      <c r="I711" s="1110"/>
      <c r="J711" s="1110"/>
      <c r="K711" s="37"/>
      <c r="L711" s="71"/>
      <c r="M711" s="7"/>
      <c r="N711" s="7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1:25" s="15" customFormat="1" ht="34.5" customHeight="1" thickBot="1">
      <c r="A712" s="72"/>
      <c r="B712" s="72"/>
      <c r="C712" s="72"/>
      <c r="D712" s="72"/>
      <c r="E712" s="72"/>
      <c r="F712" s="72"/>
      <c r="G712" s="72"/>
      <c r="H712" s="72"/>
      <c r="I712" s="4"/>
      <c r="J712" s="4"/>
      <c r="K712" s="37"/>
      <c r="L712" s="71"/>
      <c r="M712" s="7"/>
      <c r="N712" s="7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1:42" s="214" customFormat="1" ht="34.5" customHeight="1" thickTop="1">
      <c r="A713" s="207" t="s">
        <v>34</v>
      </c>
      <c r="B713" s="208" t="s">
        <v>637</v>
      </c>
      <c r="C713" s="209" t="s">
        <v>921</v>
      </c>
      <c r="D713" s="210"/>
      <c r="E713" s="211" t="s">
        <v>922</v>
      </c>
      <c r="F713" s="212"/>
      <c r="G713" s="211" t="s">
        <v>923</v>
      </c>
      <c r="H713" s="212"/>
      <c r="I713" s="1070"/>
      <c r="J713" s="1071"/>
      <c r="K713" s="1070"/>
      <c r="L713" s="1070"/>
      <c r="M713" s="174"/>
      <c r="N713" s="174"/>
      <c r="O713" s="213"/>
      <c r="P713" s="213"/>
      <c r="Q713" s="213"/>
      <c r="R713" s="213"/>
      <c r="S713" s="213"/>
      <c r="T713" s="213"/>
      <c r="U713" s="213"/>
      <c r="V713" s="213"/>
      <c r="W713" s="213"/>
      <c r="X713" s="213"/>
      <c r="Y713" s="213"/>
      <c r="Z713" s="213"/>
      <c r="AA713" s="213"/>
      <c r="AB713" s="213"/>
      <c r="AC713" s="213"/>
      <c r="AD713" s="213"/>
      <c r="AE713" s="213"/>
      <c r="AF713" s="213"/>
      <c r="AG713" s="213"/>
      <c r="AH713" s="213"/>
      <c r="AI713" s="213"/>
      <c r="AJ713" s="213"/>
      <c r="AK713" s="213"/>
      <c r="AL713" s="213"/>
      <c r="AM713" s="213"/>
      <c r="AN713" s="213"/>
      <c r="AO713" s="213"/>
      <c r="AP713" s="213"/>
    </row>
    <row r="714" spans="1:47" s="140" customFormat="1" ht="34.5" customHeight="1">
      <c r="A714" s="525" t="s">
        <v>99</v>
      </c>
      <c r="B714" s="294" t="s">
        <v>100</v>
      </c>
      <c r="C714" s="1063">
        <f>CEILING(55.25*$Z$1,0.1)</f>
        <v>69.10000000000001</v>
      </c>
      <c r="D714" s="1064"/>
      <c r="E714" s="1063">
        <f>CEILING(55.25*$Z$1,0.1)</f>
        <v>69.10000000000001</v>
      </c>
      <c r="F714" s="1064"/>
      <c r="G714" s="1063">
        <f>CEILING(55.25*$Z$1,0.1)</f>
        <v>69.10000000000001</v>
      </c>
      <c r="H714" s="1064"/>
      <c r="I714" s="1061"/>
      <c r="J714" s="1061"/>
      <c r="K714" s="1061"/>
      <c r="L714" s="1061"/>
      <c r="M714" s="103"/>
      <c r="N714" s="103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  <c r="Y714" s="114"/>
      <c r="Z714" s="114"/>
      <c r="AA714" s="114"/>
      <c r="AB714" s="114"/>
      <c r="AC714" s="114"/>
      <c r="AD714" s="114"/>
      <c r="AE714" s="114"/>
      <c r="AF714" s="114"/>
      <c r="AG714" s="114"/>
      <c r="AH714" s="114"/>
      <c r="AI714" s="114"/>
      <c r="AJ714" s="114"/>
      <c r="AK714" s="114"/>
      <c r="AL714" s="114"/>
      <c r="AM714" s="114"/>
      <c r="AN714" s="114"/>
      <c r="AO714" s="114"/>
      <c r="AP714" s="114"/>
      <c r="AQ714" s="114"/>
      <c r="AR714" s="114"/>
      <c r="AS714" s="114"/>
      <c r="AT714" s="114"/>
      <c r="AU714" s="114"/>
    </row>
    <row r="715" spans="1:47" s="140" customFormat="1" ht="34.5" customHeight="1">
      <c r="A715" s="526" t="s">
        <v>36</v>
      </c>
      <c r="B715" s="296" t="s">
        <v>101</v>
      </c>
      <c r="C715" s="1065">
        <f>CEILING((C714+22.1*$Z$1),0.1)</f>
        <v>96.80000000000001</v>
      </c>
      <c r="D715" s="1066"/>
      <c r="E715" s="1065">
        <f>CEILING((E714+22.1*$Z$1),0.1)</f>
        <v>96.80000000000001</v>
      </c>
      <c r="F715" s="1066"/>
      <c r="G715" s="1065">
        <f>CEILING((G714+22.1*$Z$1),0.1)</f>
        <v>96.80000000000001</v>
      </c>
      <c r="H715" s="1066"/>
      <c r="I715" s="1061"/>
      <c r="J715" s="1061"/>
      <c r="K715" s="1061"/>
      <c r="L715" s="1061"/>
      <c r="M715" s="103"/>
      <c r="N715" s="103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  <c r="Y715" s="114"/>
      <c r="Z715" s="114"/>
      <c r="AA715" s="114"/>
      <c r="AB715" s="114"/>
      <c r="AC715" s="114"/>
      <c r="AD715" s="114"/>
      <c r="AE715" s="114"/>
      <c r="AF715" s="114"/>
      <c r="AG715" s="114"/>
      <c r="AH715" s="114"/>
      <c r="AI715" s="114"/>
      <c r="AJ715" s="114"/>
      <c r="AK715" s="114"/>
      <c r="AL715" s="114"/>
      <c r="AM715" s="114"/>
      <c r="AN715" s="114"/>
      <c r="AO715" s="114"/>
      <c r="AP715" s="114"/>
      <c r="AQ715" s="114"/>
      <c r="AR715" s="114"/>
      <c r="AS715" s="114"/>
      <c r="AT715" s="114"/>
      <c r="AU715" s="114"/>
    </row>
    <row r="716" spans="1:47" s="140" customFormat="1" ht="34.5" customHeight="1">
      <c r="A716" s="526"/>
      <c r="B716" s="296" t="s">
        <v>38</v>
      </c>
      <c r="C716" s="1065">
        <f>CEILING((C714*0.75),0.1)</f>
        <v>51.900000000000006</v>
      </c>
      <c r="D716" s="1066"/>
      <c r="E716" s="1065">
        <f>CEILING((E714*0.75),0.1)</f>
        <v>51.900000000000006</v>
      </c>
      <c r="F716" s="1066"/>
      <c r="G716" s="1065">
        <f>CEILING((G714*0.75),0.1)</f>
        <v>51.900000000000006</v>
      </c>
      <c r="H716" s="1066"/>
      <c r="I716" s="1061"/>
      <c r="J716" s="1061"/>
      <c r="K716" s="1061"/>
      <c r="L716" s="1061"/>
      <c r="M716" s="527"/>
      <c r="N716" s="103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  <c r="Z716" s="114"/>
      <c r="AA716" s="114"/>
      <c r="AB716" s="114"/>
      <c r="AC716" s="114"/>
      <c r="AD716" s="114"/>
      <c r="AE716" s="114"/>
      <c r="AF716" s="114"/>
      <c r="AG716" s="114"/>
      <c r="AH716" s="114"/>
      <c r="AI716" s="114"/>
      <c r="AJ716" s="114"/>
      <c r="AK716" s="114"/>
      <c r="AL716" s="114"/>
      <c r="AM716" s="114"/>
      <c r="AN716" s="114"/>
      <c r="AO716" s="114"/>
      <c r="AP716" s="114"/>
      <c r="AQ716" s="114"/>
      <c r="AR716" s="114"/>
      <c r="AS716" s="114"/>
      <c r="AT716" s="114"/>
      <c r="AU716" s="114"/>
    </row>
    <row r="717" spans="1:47" s="140" customFormat="1" ht="34.5" customHeight="1">
      <c r="A717" s="133"/>
      <c r="B717" s="456" t="s">
        <v>659</v>
      </c>
      <c r="C717" s="1078">
        <v>0</v>
      </c>
      <c r="D717" s="1079"/>
      <c r="E717" s="1078">
        <v>0</v>
      </c>
      <c r="F717" s="1079"/>
      <c r="G717" s="1078">
        <v>0</v>
      </c>
      <c r="H717" s="1079"/>
      <c r="I717" s="1061"/>
      <c r="J717" s="1061"/>
      <c r="K717" s="1061"/>
      <c r="L717" s="1061"/>
      <c r="M717" s="124"/>
      <c r="N717" s="12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  <c r="Z717" s="114"/>
      <c r="AA717" s="114"/>
      <c r="AB717" s="114"/>
      <c r="AC717" s="114"/>
      <c r="AD717" s="114"/>
      <c r="AE717" s="114"/>
      <c r="AF717" s="114"/>
      <c r="AG717" s="114"/>
      <c r="AH717" s="114"/>
      <c r="AI717" s="114"/>
      <c r="AJ717" s="114"/>
      <c r="AK717" s="114"/>
      <c r="AL717" s="114"/>
      <c r="AM717" s="114"/>
      <c r="AN717" s="114"/>
      <c r="AO717" s="114"/>
      <c r="AP717" s="114"/>
      <c r="AQ717" s="114"/>
      <c r="AR717" s="114"/>
      <c r="AS717" s="114"/>
      <c r="AT717" s="114"/>
      <c r="AU717" s="114"/>
    </row>
    <row r="718" spans="1:47" s="140" customFormat="1" ht="34.5" customHeight="1">
      <c r="A718" s="528"/>
      <c r="B718" s="296" t="s">
        <v>102</v>
      </c>
      <c r="C718" s="1063">
        <f>CEILING(58*$Z$1,0.1)</f>
        <v>72.5</v>
      </c>
      <c r="D718" s="1064"/>
      <c r="E718" s="1063">
        <f>CEILING(58*$Z$1,0.1)</f>
        <v>72.5</v>
      </c>
      <c r="F718" s="1064"/>
      <c r="G718" s="1063">
        <f>CEILING(58*$Z$1,0.1)</f>
        <v>72.5</v>
      </c>
      <c r="H718" s="1064"/>
      <c r="I718" s="1061"/>
      <c r="J718" s="1061"/>
      <c r="K718" s="1061"/>
      <c r="L718" s="1061"/>
      <c r="M718" s="124"/>
      <c r="N718" s="103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  <c r="Z718" s="114"/>
      <c r="AA718" s="114"/>
      <c r="AB718" s="114"/>
      <c r="AC718" s="114"/>
      <c r="AD718" s="114"/>
      <c r="AE718" s="114"/>
      <c r="AF718" s="114"/>
      <c r="AG718" s="114"/>
      <c r="AH718" s="114"/>
      <c r="AI718" s="114"/>
      <c r="AJ718" s="114"/>
      <c r="AK718" s="114"/>
      <c r="AL718" s="114"/>
      <c r="AM718" s="114"/>
      <c r="AN718" s="114"/>
      <c r="AO718" s="114"/>
      <c r="AP718" s="114"/>
      <c r="AQ718" s="114"/>
      <c r="AR718" s="114"/>
      <c r="AS718" s="114"/>
      <c r="AT718" s="114"/>
      <c r="AU718" s="114"/>
    </row>
    <row r="719" spans="1:47" s="140" customFormat="1" ht="34.5" customHeight="1">
      <c r="A719" s="528" t="s">
        <v>1064</v>
      </c>
      <c r="B719" s="296" t="s">
        <v>103</v>
      </c>
      <c r="C719" s="1065">
        <f>CEILING((C718+23.14*$Z$1),0.1)</f>
        <v>101.5</v>
      </c>
      <c r="D719" s="1066"/>
      <c r="E719" s="1065">
        <f>CEILING((E718+23.14*$Z$1),0.1)</f>
        <v>101.5</v>
      </c>
      <c r="F719" s="1066"/>
      <c r="G719" s="1065">
        <f>CEILING((G718+23.14*$Z$1),0.1)</f>
        <v>101.5</v>
      </c>
      <c r="H719" s="1066"/>
      <c r="I719" s="1061"/>
      <c r="J719" s="1061"/>
      <c r="K719" s="1061"/>
      <c r="L719" s="1061"/>
      <c r="M719" s="124"/>
      <c r="N719" s="103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  <c r="Z719" s="114"/>
      <c r="AA719" s="114"/>
      <c r="AB719" s="114"/>
      <c r="AC719" s="114"/>
      <c r="AD719" s="114"/>
      <c r="AE719" s="114"/>
      <c r="AF719" s="114"/>
      <c r="AG719" s="114"/>
      <c r="AH719" s="114"/>
      <c r="AI719" s="114"/>
      <c r="AJ719" s="114"/>
      <c r="AK719" s="114"/>
      <c r="AL719" s="114"/>
      <c r="AM719" s="114"/>
      <c r="AN719" s="114"/>
      <c r="AO719" s="114"/>
      <c r="AP719" s="114"/>
      <c r="AQ719" s="114"/>
      <c r="AR719" s="114"/>
      <c r="AS719" s="114"/>
      <c r="AT719" s="114"/>
      <c r="AU719" s="114"/>
    </row>
    <row r="720" spans="1:47" s="140" customFormat="1" ht="34.5" customHeight="1">
      <c r="A720" s="133" t="s">
        <v>1058</v>
      </c>
      <c r="B720" s="456" t="s">
        <v>38</v>
      </c>
      <c r="C720" s="1078">
        <f>CEILING((C718*0.75),0.1)</f>
        <v>54.400000000000006</v>
      </c>
      <c r="D720" s="1079"/>
      <c r="E720" s="1078">
        <f>CEILING((E718*0.75),0.1)</f>
        <v>54.400000000000006</v>
      </c>
      <c r="F720" s="1079"/>
      <c r="G720" s="1078">
        <f>CEILING((G718*0.75),0.1)</f>
        <v>54.400000000000006</v>
      </c>
      <c r="H720" s="1079"/>
      <c r="I720" s="1061"/>
      <c r="J720" s="1061"/>
      <c r="K720" s="1061"/>
      <c r="L720" s="1061"/>
      <c r="M720" s="124"/>
      <c r="N720" s="103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  <c r="Z720" s="114"/>
      <c r="AA720" s="114"/>
      <c r="AB720" s="114"/>
      <c r="AC720" s="114"/>
      <c r="AD720" s="114"/>
      <c r="AE720" s="114"/>
      <c r="AF720" s="114"/>
      <c r="AG720" s="114"/>
      <c r="AH720" s="114"/>
      <c r="AI720" s="114"/>
      <c r="AJ720" s="114"/>
      <c r="AK720" s="114"/>
      <c r="AL720" s="114"/>
      <c r="AM720" s="114"/>
      <c r="AN720" s="114"/>
      <c r="AO720" s="114"/>
      <c r="AP720" s="114"/>
      <c r="AQ720" s="114"/>
      <c r="AR720" s="114"/>
      <c r="AS720" s="114"/>
      <c r="AT720" s="114"/>
      <c r="AU720" s="114"/>
    </row>
    <row r="721" spans="1:47" s="140" customFormat="1" ht="34.5" customHeight="1">
      <c r="A721" s="528"/>
      <c r="B721" s="296" t="s">
        <v>355</v>
      </c>
      <c r="C721" s="1063">
        <f>CEILING(61.1*$Z$1,0.1)</f>
        <v>76.4</v>
      </c>
      <c r="D721" s="1064"/>
      <c r="E721" s="1063">
        <f>CEILING(61.1*$Z$1,0.1)</f>
        <v>76.4</v>
      </c>
      <c r="F721" s="1064"/>
      <c r="G721" s="1063">
        <f>CEILING(61.1*$Z$1,0.1)</f>
        <v>76.4</v>
      </c>
      <c r="H721" s="1064"/>
      <c r="I721" s="1061"/>
      <c r="J721" s="1061"/>
      <c r="K721" s="1061"/>
      <c r="L721" s="1061"/>
      <c r="M721" s="124"/>
      <c r="N721" s="103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  <c r="Z721" s="114"/>
      <c r="AA721" s="114"/>
      <c r="AB721" s="114"/>
      <c r="AC721" s="114"/>
      <c r="AD721" s="114"/>
      <c r="AE721" s="114"/>
      <c r="AF721" s="114"/>
      <c r="AG721" s="114"/>
      <c r="AH721" s="114"/>
      <c r="AI721" s="114"/>
      <c r="AJ721" s="114"/>
      <c r="AK721" s="114"/>
      <c r="AL721" s="114"/>
      <c r="AM721" s="114"/>
      <c r="AN721" s="114"/>
      <c r="AO721" s="114"/>
      <c r="AP721" s="114"/>
      <c r="AQ721" s="114"/>
      <c r="AR721" s="114"/>
      <c r="AS721" s="114"/>
      <c r="AT721" s="114"/>
      <c r="AU721" s="114"/>
    </row>
    <row r="722" spans="1:47" s="140" customFormat="1" ht="34.5" customHeight="1">
      <c r="A722" s="528"/>
      <c r="B722" s="296" t="s">
        <v>356</v>
      </c>
      <c r="C722" s="1065">
        <f>CEILING((C721+24.4*$Z$1),0.1)</f>
        <v>106.9</v>
      </c>
      <c r="D722" s="1066"/>
      <c r="E722" s="1065">
        <f>CEILING((E721+24.4*$Z$1),0.1)</f>
        <v>106.9</v>
      </c>
      <c r="F722" s="1066"/>
      <c r="G722" s="1065">
        <f>CEILING((G721+24.4*$Z$1),0.1)</f>
        <v>106.9</v>
      </c>
      <c r="H722" s="1066"/>
      <c r="I722" s="1061"/>
      <c r="J722" s="1061"/>
      <c r="K722" s="1061"/>
      <c r="L722" s="1061"/>
      <c r="M722" s="124"/>
      <c r="N722" s="103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  <c r="Z722" s="114"/>
      <c r="AA722" s="114"/>
      <c r="AB722" s="114"/>
      <c r="AC722" s="114"/>
      <c r="AD722" s="114"/>
      <c r="AE722" s="114"/>
      <c r="AF722" s="114"/>
      <c r="AG722" s="114"/>
      <c r="AH722" s="114"/>
      <c r="AI722" s="114"/>
      <c r="AJ722" s="114"/>
      <c r="AK722" s="114"/>
      <c r="AL722" s="114"/>
      <c r="AM722" s="114"/>
      <c r="AN722" s="114"/>
      <c r="AO722" s="114"/>
      <c r="AP722" s="114"/>
      <c r="AQ722" s="114"/>
      <c r="AR722" s="114"/>
      <c r="AS722" s="114"/>
      <c r="AT722" s="114"/>
      <c r="AU722" s="114"/>
    </row>
    <row r="723" spans="1:47" s="140" customFormat="1" ht="34.5" customHeight="1">
      <c r="A723" s="528"/>
      <c r="B723" s="456" t="s">
        <v>38</v>
      </c>
      <c r="C723" s="1078">
        <f>CEILING((C721*0.75),0.1)</f>
        <v>57.300000000000004</v>
      </c>
      <c r="D723" s="1079"/>
      <c r="E723" s="1078">
        <f>CEILING((E721*0.75),0.1)</f>
        <v>57.300000000000004</v>
      </c>
      <c r="F723" s="1079"/>
      <c r="G723" s="1078">
        <f>CEILING((G721*0.75),0.1)</f>
        <v>57.300000000000004</v>
      </c>
      <c r="H723" s="1079"/>
      <c r="I723" s="1061"/>
      <c r="J723" s="1061"/>
      <c r="K723" s="1061"/>
      <c r="L723" s="1061"/>
      <c r="M723" s="124"/>
      <c r="N723" s="103"/>
      <c r="O723" s="114"/>
      <c r="P723" s="114"/>
      <c r="Q723" s="114"/>
      <c r="R723" s="114"/>
      <c r="S723" s="114"/>
      <c r="T723" s="114"/>
      <c r="U723" s="114"/>
      <c r="V723" s="114"/>
      <c r="W723" s="114"/>
      <c r="X723" s="114"/>
      <c r="Y723" s="114"/>
      <c r="Z723" s="114"/>
      <c r="AA723" s="114"/>
      <c r="AB723" s="114"/>
      <c r="AC723" s="114"/>
      <c r="AD723" s="114"/>
      <c r="AE723" s="114"/>
      <c r="AF723" s="114"/>
      <c r="AG723" s="114"/>
      <c r="AH723" s="114"/>
      <c r="AI723" s="114"/>
      <c r="AJ723" s="114"/>
      <c r="AK723" s="114"/>
      <c r="AL723" s="114"/>
      <c r="AM723" s="114"/>
      <c r="AN723" s="114"/>
      <c r="AO723" s="114"/>
      <c r="AP723" s="114"/>
      <c r="AQ723" s="114"/>
      <c r="AR723" s="114"/>
      <c r="AS723" s="114"/>
      <c r="AT723" s="114"/>
      <c r="AU723" s="114"/>
    </row>
    <row r="724" spans="1:47" s="140" customFormat="1" ht="34.5" customHeight="1">
      <c r="A724" s="528"/>
      <c r="B724" s="296" t="s">
        <v>460</v>
      </c>
      <c r="C724" s="1063">
        <f>CEILING(80*$Z$1,0.1)</f>
        <v>100</v>
      </c>
      <c r="D724" s="1064"/>
      <c r="E724" s="1063">
        <f>CEILING(80*$Z$1,0.1)</f>
        <v>100</v>
      </c>
      <c r="F724" s="1064"/>
      <c r="G724" s="1063">
        <f>CEILING(80*$Z$1,0.1)</f>
        <v>100</v>
      </c>
      <c r="H724" s="1064"/>
      <c r="I724" s="1061"/>
      <c r="J724" s="1061"/>
      <c r="K724" s="1061"/>
      <c r="L724" s="1061"/>
      <c r="M724" s="124"/>
      <c r="N724" s="103"/>
      <c r="O724" s="114"/>
      <c r="P724" s="114"/>
      <c r="Q724" s="114"/>
      <c r="R724" s="114"/>
      <c r="S724" s="114"/>
      <c r="T724" s="114"/>
      <c r="U724" s="114"/>
      <c r="V724" s="114"/>
      <c r="W724" s="114"/>
      <c r="X724" s="114"/>
      <c r="Y724" s="114"/>
      <c r="Z724" s="114"/>
      <c r="AA724" s="114"/>
      <c r="AB724" s="114"/>
      <c r="AC724" s="114"/>
      <c r="AD724" s="114"/>
      <c r="AE724" s="114"/>
      <c r="AF724" s="114"/>
      <c r="AG724" s="114"/>
      <c r="AH724" s="114"/>
      <c r="AI724" s="114"/>
      <c r="AJ724" s="114"/>
      <c r="AK724" s="114"/>
      <c r="AL724" s="114"/>
      <c r="AM724" s="114"/>
      <c r="AN724" s="114"/>
      <c r="AO724" s="114"/>
      <c r="AP724" s="114"/>
      <c r="AQ724" s="114"/>
      <c r="AR724" s="114"/>
      <c r="AS724" s="114"/>
      <c r="AT724" s="114"/>
      <c r="AU724" s="114"/>
    </row>
    <row r="725" spans="1:47" s="140" customFormat="1" ht="34.5" customHeight="1">
      <c r="A725" s="528"/>
      <c r="B725" s="296" t="s">
        <v>432</v>
      </c>
      <c r="C725" s="1078">
        <f>CEILING((C724*0.5),0.1)</f>
        <v>50</v>
      </c>
      <c r="D725" s="1079"/>
      <c r="E725" s="1078">
        <f>CEILING((E724*0.5),0.1)</f>
        <v>50</v>
      </c>
      <c r="F725" s="1079"/>
      <c r="G725" s="1078">
        <f>CEILING((G724*0.5),0.1)</f>
        <v>50</v>
      </c>
      <c r="H725" s="1079"/>
      <c r="I725" s="1061"/>
      <c r="J725" s="1061"/>
      <c r="K725" s="1061"/>
      <c r="L725" s="1061"/>
      <c r="M725" s="124"/>
      <c r="N725" s="103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  <c r="Z725" s="114"/>
      <c r="AA725" s="114"/>
      <c r="AB725" s="114"/>
      <c r="AC725" s="114"/>
      <c r="AD725" s="114"/>
      <c r="AE725" s="114"/>
      <c r="AF725" s="114"/>
      <c r="AG725" s="114"/>
      <c r="AH725" s="114"/>
      <c r="AI725" s="114"/>
      <c r="AJ725" s="114"/>
      <c r="AK725" s="114"/>
      <c r="AL725" s="114"/>
      <c r="AM725" s="114"/>
      <c r="AN725" s="114"/>
      <c r="AO725" s="114"/>
      <c r="AP725" s="114"/>
      <c r="AQ725" s="114"/>
      <c r="AR725" s="114"/>
      <c r="AS725" s="114"/>
      <c r="AT725" s="114"/>
      <c r="AU725" s="114"/>
    </row>
    <row r="726" spans="1:47" s="140" customFormat="1" ht="34.5" customHeight="1">
      <c r="A726" s="528"/>
      <c r="B726" s="294" t="s">
        <v>519</v>
      </c>
      <c r="C726" s="1063">
        <f>CEILING(78*$Z$1,0.1)</f>
        <v>97.5</v>
      </c>
      <c r="D726" s="1064"/>
      <c r="E726" s="1063">
        <f>CEILING(78*$Z$1,0.1)</f>
        <v>97.5</v>
      </c>
      <c r="F726" s="1064"/>
      <c r="G726" s="1063">
        <f>CEILING(60*$Z$1,0.1)</f>
        <v>75</v>
      </c>
      <c r="H726" s="1064"/>
      <c r="I726" s="1061"/>
      <c r="J726" s="1061"/>
      <c r="K726" s="1061"/>
      <c r="L726" s="1061"/>
      <c r="M726" s="124"/>
      <c r="N726" s="103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  <c r="Z726" s="114"/>
      <c r="AA726" s="114"/>
      <c r="AB726" s="114"/>
      <c r="AC726" s="114"/>
      <c r="AD726" s="114"/>
      <c r="AE726" s="114"/>
      <c r="AF726" s="114"/>
      <c r="AG726" s="114"/>
      <c r="AH726" s="114"/>
      <c r="AI726" s="114"/>
      <c r="AJ726" s="114"/>
      <c r="AK726" s="114"/>
      <c r="AL726" s="114"/>
      <c r="AM726" s="114"/>
      <c r="AN726" s="114"/>
      <c r="AO726" s="114"/>
      <c r="AP726" s="114"/>
      <c r="AQ726" s="114"/>
      <c r="AR726" s="114"/>
      <c r="AS726" s="114"/>
      <c r="AT726" s="114"/>
      <c r="AU726" s="114"/>
    </row>
    <row r="727" spans="1:47" s="140" customFormat="1" ht="34.5" customHeight="1">
      <c r="A727" s="528"/>
      <c r="B727" s="296" t="s">
        <v>520</v>
      </c>
      <c r="C727" s="1065">
        <f>CEILING((C726+62.4*$Z$1),0.1)</f>
        <v>175.5</v>
      </c>
      <c r="D727" s="1066"/>
      <c r="E727" s="1065">
        <f>CEILING((E726+62.4*$Z$1),0.1)</f>
        <v>175.5</v>
      </c>
      <c r="F727" s="1066"/>
      <c r="G727" s="1065">
        <f>CEILING((G726+48*$Z$1),0.1)</f>
        <v>135</v>
      </c>
      <c r="H727" s="1066"/>
      <c r="I727" s="1061"/>
      <c r="J727" s="1061"/>
      <c r="K727" s="1061"/>
      <c r="L727" s="1061"/>
      <c r="M727" s="124"/>
      <c r="N727" s="103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  <c r="Z727" s="114"/>
      <c r="AA727" s="114"/>
      <c r="AB727" s="114"/>
      <c r="AC727" s="114"/>
      <c r="AD727" s="114"/>
      <c r="AE727" s="114"/>
      <c r="AF727" s="114"/>
      <c r="AG727" s="114"/>
      <c r="AH727" s="114"/>
      <c r="AI727" s="114"/>
      <c r="AJ727" s="114"/>
      <c r="AK727" s="114"/>
      <c r="AL727" s="114"/>
      <c r="AM727" s="114"/>
      <c r="AN727" s="114"/>
      <c r="AO727" s="114"/>
      <c r="AP727" s="114"/>
      <c r="AQ727" s="114"/>
      <c r="AR727" s="114"/>
      <c r="AS727" s="114"/>
      <c r="AT727" s="114"/>
      <c r="AU727" s="114"/>
    </row>
    <row r="728" spans="1:47" s="140" customFormat="1" ht="34.5" customHeight="1">
      <c r="A728" s="528"/>
      <c r="B728" s="456" t="s">
        <v>38</v>
      </c>
      <c r="C728" s="1078">
        <f>CEILING((C726*0.75),0.1)</f>
        <v>73.2</v>
      </c>
      <c r="D728" s="1079"/>
      <c r="E728" s="1078">
        <f>CEILING((E726*0.75),0.1)</f>
        <v>73.2</v>
      </c>
      <c r="F728" s="1079"/>
      <c r="G728" s="1078">
        <f>CEILING((G726*0.75),0.1)</f>
        <v>56.300000000000004</v>
      </c>
      <c r="H728" s="1079"/>
      <c r="I728" s="1061"/>
      <c r="J728" s="1061"/>
      <c r="K728" s="1061"/>
      <c r="L728" s="1061"/>
      <c r="M728" s="124"/>
      <c r="N728" s="103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  <c r="Z728" s="114"/>
      <c r="AA728" s="114"/>
      <c r="AB728" s="114"/>
      <c r="AC728" s="114"/>
      <c r="AD728" s="114"/>
      <c r="AE728" s="114"/>
      <c r="AF728" s="114"/>
      <c r="AG728" s="114"/>
      <c r="AH728" s="114"/>
      <c r="AI728" s="114"/>
      <c r="AJ728" s="114"/>
      <c r="AK728" s="114"/>
      <c r="AL728" s="114"/>
      <c r="AM728" s="114"/>
      <c r="AN728" s="114"/>
      <c r="AO728" s="114"/>
      <c r="AP728" s="114"/>
      <c r="AQ728" s="114"/>
      <c r="AR728" s="114"/>
      <c r="AS728" s="114"/>
      <c r="AT728" s="114"/>
      <c r="AU728" s="114"/>
    </row>
    <row r="729" spans="1:47" s="140" customFormat="1" ht="34.5" customHeight="1">
      <c r="A729" s="528"/>
      <c r="B729" s="289" t="s">
        <v>518</v>
      </c>
      <c r="C729" s="1063">
        <f>CEILING(78*$Z$1,0.1)</f>
        <v>97.5</v>
      </c>
      <c r="D729" s="1064"/>
      <c r="E729" s="1063">
        <f>CEILING(78*$Z$1,0.1)</f>
        <v>97.5</v>
      </c>
      <c r="F729" s="1064"/>
      <c r="G729" s="1063">
        <f>CEILING(60*$Z$1,0.1)</f>
        <v>75</v>
      </c>
      <c r="H729" s="1064"/>
      <c r="I729" s="1061"/>
      <c r="J729" s="1061"/>
      <c r="K729" s="1061"/>
      <c r="L729" s="1061"/>
      <c r="M729" s="124"/>
      <c r="N729" s="103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  <c r="Z729" s="114"/>
      <c r="AA729" s="114"/>
      <c r="AB729" s="114"/>
      <c r="AC729" s="114"/>
      <c r="AD729" s="114"/>
      <c r="AE729" s="114"/>
      <c r="AF729" s="114"/>
      <c r="AG729" s="114"/>
      <c r="AH729" s="114"/>
      <c r="AI729" s="114"/>
      <c r="AJ729" s="114"/>
      <c r="AK729" s="114"/>
      <c r="AL729" s="114"/>
      <c r="AM729" s="114"/>
      <c r="AN729" s="114"/>
      <c r="AO729" s="114"/>
      <c r="AP729" s="114"/>
      <c r="AQ729" s="114"/>
      <c r="AR729" s="114"/>
      <c r="AS729" s="114"/>
      <c r="AT729" s="114"/>
      <c r="AU729" s="114"/>
    </row>
    <row r="730" spans="1:47" s="140" customFormat="1" ht="34.5" customHeight="1">
      <c r="A730" s="528"/>
      <c r="B730" s="289" t="s">
        <v>461</v>
      </c>
      <c r="C730" s="1065">
        <f>CEILING((C729+62.4*$Z$1),0.1)</f>
        <v>175.5</v>
      </c>
      <c r="D730" s="1066"/>
      <c r="E730" s="1065">
        <f>CEILING((E729+62.4*$Z$1),0.1)</f>
        <v>175.5</v>
      </c>
      <c r="F730" s="1066"/>
      <c r="G730" s="1065">
        <f>CEILING((G729*0.9),0.1)</f>
        <v>67.5</v>
      </c>
      <c r="H730" s="1066"/>
      <c r="I730" s="1061"/>
      <c r="J730" s="1061"/>
      <c r="K730" s="1061"/>
      <c r="L730" s="1061"/>
      <c r="M730" s="124"/>
      <c r="N730" s="103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  <c r="Z730" s="114"/>
      <c r="AA730" s="114"/>
      <c r="AB730" s="114"/>
      <c r="AC730" s="114"/>
      <c r="AD730" s="114"/>
      <c r="AE730" s="114"/>
      <c r="AF730" s="114"/>
      <c r="AG730" s="114"/>
      <c r="AH730" s="114"/>
      <c r="AI730" s="114"/>
      <c r="AJ730" s="114"/>
      <c r="AK730" s="114"/>
      <c r="AL730" s="114"/>
      <c r="AM730" s="114"/>
      <c r="AN730" s="114"/>
      <c r="AO730" s="114"/>
      <c r="AP730" s="114"/>
      <c r="AQ730" s="114"/>
      <c r="AR730" s="114"/>
      <c r="AS730" s="114"/>
      <c r="AT730" s="114"/>
      <c r="AU730" s="114"/>
    </row>
    <row r="731" spans="1:47" s="473" customFormat="1" ht="34.5" customHeight="1">
      <c r="A731" s="529" t="s">
        <v>320</v>
      </c>
      <c r="B731" s="521" t="s">
        <v>462</v>
      </c>
      <c r="C731" s="1078">
        <f>CEILING((C729*0.75),0.1)</f>
        <v>73.2</v>
      </c>
      <c r="D731" s="1079"/>
      <c r="E731" s="1078">
        <f>CEILING((E729*0.75),0.1)</f>
        <v>73.2</v>
      </c>
      <c r="F731" s="1079"/>
      <c r="G731" s="1078">
        <f>CEILING((G729*0.9),0.1)</f>
        <v>67.5</v>
      </c>
      <c r="H731" s="1079"/>
      <c r="I731" s="1061"/>
      <c r="J731" s="1061"/>
      <c r="K731" s="1061"/>
      <c r="L731" s="1061"/>
      <c r="M731" s="124"/>
      <c r="N731" s="103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  <c r="Z731" s="114"/>
      <c r="AA731" s="114"/>
      <c r="AB731" s="114"/>
      <c r="AC731" s="114"/>
      <c r="AD731" s="114"/>
      <c r="AE731" s="114"/>
      <c r="AF731" s="114"/>
      <c r="AG731" s="114"/>
      <c r="AH731" s="114"/>
      <c r="AI731" s="114"/>
      <c r="AJ731" s="114"/>
      <c r="AK731" s="114"/>
      <c r="AL731" s="114"/>
      <c r="AM731" s="114"/>
      <c r="AN731" s="114"/>
      <c r="AO731" s="114"/>
      <c r="AP731" s="114"/>
      <c r="AQ731" s="114"/>
      <c r="AR731" s="114"/>
      <c r="AS731" s="114"/>
      <c r="AT731" s="114"/>
      <c r="AU731" s="114"/>
    </row>
    <row r="732" spans="1:25" s="107" customFormat="1" ht="34.5" customHeight="1" thickBot="1">
      <c r="A732" s="328" t="s">
        <v>453</v>
      </c>
      <c r="B732" s="329"/>
      <c r="C732" s="329"/>
      <c r="D732" s="329"/>
      <c r="E732" s="329"/>
      <c r="F732" s="329"/>
      <c r="G732" s="329"/>
      <c r="H732" s="329"/>
      <c r="I732" s="329"/>
      <c r="J732" s="162"/>
      <c r="K732" s="157"/>
      <c r="L732" s="157"/>
      <c r="M732" s="11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</row>
    <row r="733" spans="1:25" s="107" customFormat="1" ht="34.5" customHeight="1" thickTop="1">
      <c r="A733" s="386" t="s">
        <v>209</v>
      </c>
      <c r="B733" s="530"/>
      <c r="C733" s="530"/>
      <c r="D733" s="530"/>
      <c r="E733" s="530"/>
      <c r="F733" s="530"/>
      <c r="G733" s="530"/>
      <c r="H733" s="530"/>
      <c r="I733" s="530"/>
      <c r="J733" s="530"/>
      <c r="K733" s="146"/>
      <c r="L733" s="104"/>
      <c r="M733" s="110"/>
      <c r="N733" s="111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</row>
    <row r="734" spans="1:25" s="107" customFormat="1" ht="34.5" customHeight="1">
      <c r="A734" s="1130" t="s">
        <v>463</v>
      </c>
      <c r="B734" s="1130"/>
      <c r="C734" s="1130"/>
      <c r="D734" s="1130"/>
      <c r="E734" s="1130"/>
      <c r="F734" s="1130"/>
      <c r="G734" s="1130"/>
      <c r="H734" s="1130"/>
      <c r="I734" s="1109"/>
      <c r="J734" s="1109"/>
      <c r="K734" s="1131"/>
      <c r="L734" s="1131"/>
      <c r="M734" s="110"/>
      <c r="N734" s="111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</row>
    <row r="735" spans="1:25" s="107" customFormat="1" ht="34.5" customHeight="1">
      <c r="A735" s="1235" t="s">
        <v>569</v>
      </c>
      <c r="B735" s="1235"/>
      <c r="C735" s="1235"/>
      <c r="D735" s="1235"/>
      <c r="E735" s="1235"/>
      <c r="F735" s="1235"/>
      <c r="G735" s="1235"/>
      <c r="H735" s="1235"/>
      <c r="I735" s="1235"/>
      <c r="J735" s="1235"/>
      <c r="K735" s="1235"/>
      <c r="L735" s="146"/>
      <c r="M735" s="110"/>
      <c r="N735" s="111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</row>
    <row r="736" spans="1:25" s="167" customFormat="1" ht="34.5" customHeight="1">
      <c r="A736" s="163" t="s">
        <v>927</v>
      </c>
      <c r="B736" s="164"/>
      <c r="C736" s="164"/>
      <c r="D736" s="164"/>
      <c r="E736" s="164"/>
      <c r="F736" s="164"/>
      <c r="G736" s="164"/>
      <c r="H736" s="164"/>
      <c r="I736" s="164"/>
      <c r="J736" s="164"/>
      <c r="K736" s="165"/>
      <c r="L736" s="165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</row>
    <row r="737" spans="1:25" s="107" customFormat="1" ht="34.5" customHeight="1">
      <c r="A737" s="1120" t="s">
        <v>948</v>
      </c>
      <c r="B737" s="1120"/>
      <c r="C737" s="1120"/>
      <c r="D737" s="1120"/>
      <c r="E737" s="1120"/>
      <c r="F737" s="1120"/>
      <c r="G737" s="1120"/>
      <c r="H737" s="1120"/>
      <c r="I737" s="117"/>
      <c r="J737" s="117"/>
      <c r="K737" s="118"/>
      <c r="L737" s="118"/>
      <c r="M737" s="110"/>
      <c r="N737" s="111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</row>
    <row r="738" spans="1:25" s="107" customFormat="1" ht="34.5" customHeight="1">
      <c r="A738" s="1120" t="s">
        <v>945</v>
      </c>
      <c r="B738" s="1120"/>
      <c r="C738" s="1120"/>
      <c r="D738" s="1120"/>
      <c r="E738" s="1120"/>
      <c r="F738" s="1120"/>
      <c r="G738" s="1120"/>
      <c r="H738" s="1120"/>
      <c r="I738" s="117"/>
      <c r="J738" s="117"/>
      <c r="K738" s="118"/>
      <c r="L738" s="118"/>
      <c r="M738" s="110"/>
      <c r="N738" s="111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</row>
    <row r="739" spans="1:25" s="107" customFormat="1" ht="34.5" customHeight="1">
      <c r="A739" s="1120" t="s">
        <v>946</v>
      </c>
      <c r="B739" s="1120"/>
      <c r="C739" s="1120"/>
      <c r="D739" s="1120"/>
      <c r="E739" s="1120"/>
      <c r="F739" s="1120"/>
      <c r="G739" s="1120"/>
      <c r="H739" s="1120"/>
      <c r="I739" s="1131"/>
      <c r="J739" s="117"/>
      <c r="K739" s="118"/>
      <c r="L739" s="118"/>
      <c r="M739" s="110"/>
      <c r="N739" s="111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</row>
    <row r="740" spans="1:25" s="107" customFormat="1" ht="34.5" customHeight="1">
      <c r="A740" s="1120" t="s">
        <v>947</v>
      </c>
      <c r="B740" s="1120"/>
      <c r="C740" s="1120"/>
      <c r="D740" s="1120"/>
      <c r="E740" s="1120"/>
      <c r="F740" s="1120"/>
      <c r="G740" s="1120"/>
      <c r="H740" s="1120"/>
      <c r="I740" s="119"/>
      <c r="J740" s="119"/>
      <c r="K740" s="118"/>
      <c r="L740" s="118"/>
      <c r="M740" s="110"/>
      <c r="N740" s="111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</row>
    <row r="741" spans="1:25" s="107" customFormat="1" ht="34.5" customHeight="1">
      <c r="A741" s="531"/>
      <c r="B741" s="531"/>
      <c r="C741" s="531"/>
      <c r="D741" s="531"/>
      <c r="E741" s="531"/>
      <c r="F741" s="531"/>
      <c r="G741" s="531"/>
      <c r="H741" s="531"/>
      <c r="I741" s="531"/>
      <c r="J741" s="531"/>
      <c r="K741" s="104"/>
      <c r="L741" s="104"/>
      <c r="M741" s="110"/>
      <c r="N741" s="111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</row>
    <row r="742" spans="1:25" s="107" customFormat="1" ht="34.5" customHeight="1" thickBot="1">
      <c r="A742" s="1147" t="s">
        <v>1021</v>
      </c>
      <c r="B742" s="1147"/>
      <c r="C742" s="1147"/>
      <c r="D742" s="1147"/>
      <c r="E742" s="1147"/>
      <c r="F742" s="1147"/>
      <c r="G742" s="1147"/>
      <c r="H742" s="1147"/>
      <c r="I742" s="1147"/>
      <c r="J742" s="1147"/>
      <c r="K742" s="104"/>
      <c r="L742" s="104"/>
      <c r="M742" s="110"/>
      <c r="N742" s="111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</row>
    <row r="743" spans="1:42" s="214" customFormat="1" ht="34.5" customHeight="1" thickTop="1">
      <c r="A743" s="207" t="s">
        <v>34</v>
      </c>
      <c r="B743" s="208" t="s">
        <v>637</v>
      </c>
      <c r="C743" s="209" t="s">
        <v>921</v>
      </c>
      <c r="D743" s="210"/>
      <c r="E743" s="211" t="s">
        <v>922</v>
      </c>
      <c r="F743" s="212"/>
      <c r="G743" s="211" t="s">
        <v>923</v>
      </c>
      <c r="H743" s="212"/>
      <c r="I743" s="1070"/>
      <c r="J743" s="1071"/>
      <c r="K743" s="1070"/>
      <c r="L743" s="1070"/>
      <c r="M743" s="174"/>
      <c r="N743" s="174"/>
      <c r="O743" s="213"/>
      <c r="P743" s="213"/>
      <c r="Q743" s="213"/>
      <c r="R743" s="213"/>
      <c r="S743" s="213"/>
      <c r="T743" s="213"/>
      <c r="U743" s="213"/>
      <c r="V743" s="213"/>
      <c r="W743" s="213"/>
      <c r="X743" s="213"/>
      <c r="Y743" s="213"/>
      <c r="Z743" s="213"/>
      <c r="AA743" s="213"/>
      <c r="AB743" s="213"/>
      <c r="AC743" s="213"/>
      <c r="AD743" s="213"/>
      <c r="AE743" s="213"/>
      <c r="AF743" s="213"/>
      <c r="AG743" s="213"/>
      <c r="AH743" s="213"/>
      <c r="AI743" s="213"/>
      <c r="AJ743" s="213"/>
      <c r="AK743" s="213"/>
      <c r="AL743" s="213"/>
      <c r="AM743" s="213"/>
      <c r="AN743" s="213"/>
      <c r="AO743" s="213"/>
      <c r="AP743" s="213"/>
    </row>
    <row r="744" spans="1:14" s="158" customFormat="1" ht="34.5" customHeight="1">
      <c r="A744" s="532" t="s">
        <v>489</v>
      </c>
      <c r="B744" s="533" t="s">
        <v>491</v>
      </c>
      <c r="C744" s="1063">
        <f>CEILING(65.5*$Z$1,0.1)</f>
        <v>81.9</v>
      </c>
      <c r="D744" s="1064"/>
      <c r="E744" s="1063">
        <f>CEILING(65.5*$Z$1,0.1)</f>
        <v>81.9</v>
      </c>
      <c r="F744" s="1064"/>
      <c r="G744" s="1063">
        <f>CEILING(65.5*$Z$1,0.1)</f>
        <v>81.9</v>
      </c>
      <c r="H744" s="1064"/>
      <c r="I744" s="1061"/>
      <c r="J744" s="1061"/>
      <c r="K744" s="1061"/>
      <c r="L744" s="1061"/>
      <c r="M744" s="110"/>
      <c r="N744" s="111"/>
    </row>
    <row r="745" spans="1:14" s="158" customFormat="1" ht="34.5" customHeight="1">
      <c r="A745" s="534" t="s">
        <v>36</v>
      </c>
      <c r="B745" s="535" t="s">
        <v>492</v>
      </c>
      <c r="C745" s="1065">
        <f>CEILING((C744+40*$Z$1),0.1)</f>
        <v>131.9</v>
      </c>
      <c r="D745" s="1066"/>
      <c r="E745" s="1065">
        <f>CEILING((E744+31*$Z$1),0.1)</f>
        <v>120.7</v>
      </c>
      <c r="F745" s="1066"/>
      <c r="G745" s="1065">
        <f>CEILING((G744+31*$Z$1),0.1)</f>
        <v>120.7</v>
      </c>
      <c r="H745" s="1066"/>
      <c r="I745" s="1061"/>
      <c r="J745" s="1061"/>
      <c r="K745" s="1061"/>
      <c r="L745" s="1061"/>
      <c r="M745" s="110"/>
      <c r="N745" s="111"/>
    </row>
    <row r="746" spans="1:14" s="158" customFormat="1" ht="34.5" customHeight="1">
      <c r="A746" s="536"/>
      <c r="B746" s="537" t="s">
        <v>38</v>
      </c>
      <c r="C746" s="1065">
        <f>CEILING((C744*0.85),0.1)</f>
        <v>69.7</v>
      </c>
      <c r="D746" s="1066"/>
      <c r="E746" s="1065">
        <f>CEILING((E744*0.85),0.1)</f>
        <v>69.7</v>
      </c>
      <c r="F746" s="1066"/>
      <c r="G746" s="1065">
        <f>CEILING((G744*0.85),0.1)</f>
        <v>69.7</v>
      </c>
      <c r="H746" s="1066"/>
      <c r="I746" s="1061"/>
      <c r="J746" s="1061"/>
      <c r="K746" s="1061"/>
      <c r="L746" s="1061"/>
      <c r="M746" s="110"/>
      <c r="N746" s="111"/>
    </row>
    <row r="747" spans="1:14" s="158" customFormat="1" ht="34.5" customHeight="1">
      <c r="A747" s="538"/>
      <c r="B747" s="289" t="s">
        <v>668</v>
      </c>
      <c r="C747" s="1065">
        <f>CEILING((C744*0.5),0.1)</f>
        <v>41</v>
      </c>
      <c r="D747" s="1066"/>
      <c r="E747" s="1065">
        <f>CEILING((E744*0.5),0.1)</f>
        <v>41</v>
      </c>
      <c r="F747" s="1066"/>
      <c r="G747" s="1065">
        <f>CEILING((G744*0.5),0.1)</f>
        <v>41</v>
      </c>
      <c r="H747" s="1066"/>
      <c r="I747" s="1061"/>
      <c r="J747" s="1061"/>
      <c r="K747" s="1061"/>
      <c r="L747" s="1061"/>
      <c r="M747" s="110"/>
      <c r="N747" s="111"/>
    </row>
    <row r="748" spans="1:14" s="158" customFormat="1" ht="34.5" customHeight="1">
      <c r="A748" s="536"/>
      <c r="B748" s="226" t="s">
        <v>493</v>
      </c>
      <c r="C748" s="1065">
        <f>CEILING(81*$Z$1,0.1)</f>
        <v>101.30000000000001</v>
      </c>
      <c r="D748" s="1066"/>
      <c r="E748" s="1065">
        <f>CEILING(81*$Z$1,0.1)</f>
        <v>101.30000000000001</v>
      </c>
      <c r="F748" s="1066"/>
      <c r="G748" s="1065">
        <f>CEILING(81*$Z$1,0.1)</f>
        <v>101.30000000000001</v>
      </c>
      <c r="H748" s="1066"/>
      <c r="I748" s="1061"/>
      <c r="J748" s="1061"/>
      <c r="K748" s="1061"/>
      <c r="L748" s="1061"/>
      <c r="M748" s="110"/>
      <c r="N748" s="111"/>
    </row>
    <row r="749" spans="1:14" s="158" customFormat="1" ht="34.5" customHeight="1">
      <c r="A749" s="536"/>
      <c r="B749" s="228" t="s">
        <v>494</v>
      </c>
      <c r="C749" s="1078">
        <f>CEILING((C748+40*$Z$1),0.1)</f>
        <v>151.3</v>
      </c>
      <c r="D749" s="1079"/>
      <c r="E749" s="1078">
        <f>CEILING((E748+31*$Z$1),0.1)</f>
        <v>140.1</v>
      </c>
      <c r="F749" s="1079"/>
      <c r="G749" s="1078">
        <f>CEILING((G748+31*$Z$1),0.1)</f>
        <v>140.1</v>
      </c>
      <c r="H749" s="1079"/>
      <c r="I749" s="1061"/>
      <c r="J749" s="1061"/>
      <c r="K749" s="1061"/>
      <c r="L749" s="1061"/>
      <c r="M749" s="110"/>
      <c r="N749" s="111"/>
    </row>
    <row r="750" spans="1:14" s="158" customFormat="1" ht="34.5" customHeight="1">
      <c r="A750" s="552" t="s">
        <v>1053</v>
      </c>
      <c r="B750" s="539" t="s">
        <v>497</v>
      </c>
      <c r="C750" s="1063">
        <f>CEILING(89*$Z$1,0.1)</f>
        <v>111.30000000000001</v>
      </c>
      <c r="D750" s="1064"/>
      <c r="E750" s="1063">
        <f>CEILING(89*$Z$1,0.1)</f>
        <v>111.30000000000001</v>
      </c>
      <c r="F750" s="1064"/>
      <c r="G750" s="1063">
        <f>CEILING(89*$Z$1,0.1)</f>
        <v>111.30000000000001</v>
      </c>
      <c r="H750" s="1064"/>
      <c r="I750" s="1061"/>
      <c r="J750" s="1061"/>
      <c r="K750" s="1061"/>
      <c r="L750" s="1061"/>
      <c r="M750" s="110"/>
      <c r="N750" s="111"/>
    </row>
    <row r="751" spans="1:14" s="158" customFormat="1" ht="34.5" customHeight="1">
      <c r="A751" s="536"/>
      <c r="B751" s="219" t="s">
        <v>495</v>
      </c>
      <c r="C751" s="1065">
        <f>CEILING((C750+50*$Z$1),0.1)</f>
        <v>173.8</v>
      </c>
      <c r="D751" s="1066"/>
      <c r="E751" s="1065">
        <f>CEILING((E750+39*$Z$1),0.1)</f>
        <v>160.10000000000002</v>
      </c>
      <c r="F751" s="1066"/>
      <c r="G751" s="1065">
        <f>CEILING((G750+39*$Z$1),0.1)</f>
        <v>160.10000000000002</v>
      </c>
      <c r="H751" s="1066"/>
      <c r="I751" s="1061"/>
      <c r="J751" s="1061"/>
      <c r="K751" s="1061"/>
      <c r="L751" s="1061"/>
      <c r="M751" s="110"/>
      <c r="N751" s="111"/>
    </row>
    <row r="752" spans="1:14" s="158" customFormat="1" ht="34.5" customHeight="1">
      <c r="A752" s="536"/>
      <c r="B752" s="218" t="s">
        <v>496</v>
      </c>
      <c r="C752" s="1063">
        <f>CEILING(96.3*$Z$1,0.1)</f>
        <v>120.4</v>
      </c>
      <c r="D752" s="1064"/>
      <c r="E752" s="1063">
        <f>CEILING(96.3*$Z$1,0.1)</f>
        <v>120.4</v>
      </c>
      <c r="F752" s="1064"/>
      <c r="G752" s="1063">
        <f>CEILING(96.3*$Z$1,0.1)</f>
        <v>120.4</v>
      </c>
      <c r="H752" s="1064"/>
      <c r="I752" s="1061"/>
      <c r="J752" s="1061"/>
      <c r="K752" s="1061"/>
      <c r="L752" s="1061"/>
      <c r="M752" s="110"/>
      <c r="N752" s="111"/>
    </row>
    <row r="753" spans="1:14" s="158" customFormat="1" ht="34.5" customHeight="1" thickBot="1">
      <c r="A753" s="540" t="s">
        <v>490</v>
      </c>
      <c r="B753" s="231" t="s">
        <v>498</v>
      </c>
      <c r="C753" s="1067">
        <f>CEILING((C752+60*$Z$1),0.1)</f>
        <v>195.4</v>
      </c>
      <c r="D753" s="1068"/>
      <c r="E753" s="1067">
        <f>CEILING((E752+46.2*$Z$1),0.1)</f>
        <v>178.20000000000002</v>
      </c>
      <c r="F753" s="1068"/>
      <c r="G753" s="1067">
        <f>CEILING((G752+46.2*$Z$1),0.1)</f>
        <v>178.20000000000002</v>
      </c>
      <c r="H753" s="1068"/>
      <c r="I753" s="1061"/>
      <c r="J753" s="1061"/>
      <c r="K753" s="1061"/>
      <c r="L753" s="1061"/>
      <c r="M753" s="110"/>
      <c r="N753" s="111"/>
    </row>
    <row r="754" spans="1:25" s="199" customFormat="1" ht="34.5" customHeight="1" thickTop="1">
      <c r="A754" s="161" t="s">
        <v>866</v>
      </c>
      <c r="B754" s="192"/>
      <c r="C754" s="192"/>
      <c r="D754" s="192"/>
      <c r="E754" s="192"/>
      <c r="F754" s="192"/>
      <c r="G754" s="192"/>
      <c r="H754" s="192"/>
      <c r="I754" s="193"/>
      <c r="J754" s="193"/>
      <c r="K754" s="194"/>
      <c r="L754" s="195"/>
      <c r="M754" s="196"/>
      <c r="N754" s="197"/>
      <c r="O754" s="198"/>
      <c r="P754" s="198"/>
      <c r="Q754" s="198"/>
      <c r="R754" s="198"/>
      <c r="S754" s="198"/>
      <c r="T754" s="198"/>
      <c r="U754" s="198"/>
      <c r="V754" s="198"/>
      <c r="W754" s="198"/>
      <c r="X754" s="198"/>
      <c r="Y754" s="198"/>
    </row>
    <row r="755" spans="1:25" s="371" customFormat="1" ht="34.5" customHeight="1" thickBot="1">
      <c r="A755" s="163"/>
      <c r="B755" s="164"/>
      <c r="C755" s="164"/>
      <c r="D755" s="164"/>
      <c r="E755" s="164"/>
      <c r="F755" s="164"/>
      <c r="G755" s="164"/>
      <c r="H755" s="164"/>
      <c r="I755" s="541"/>
      <c r="J755" s="541"/>
      <c r="K755" s="190"/>
      <c r="L755" s="542"/>
      <c r="M755" s="543"/>
      <c r="N755" s="544"/>
      <c r="O755" s="388"/>
      <c r="P755" s="388"/>
      <c r="Q755" s="388"/>
      <c r="R755" s="388"/>
      <c r="S755" s="388"/>
      <c r="T755" s="388"/>
      <c r="U755" s="388"/>
      <c r="V755" s="388"/>
      <c r="W755" s="388"/>
      <c r="X755" s="388"/>
      <c r="Y755" s="388"/>
    </row>
    <row r="756" spans="1:42" s="214" customFormat="1" ht="34.5" customHeight="1" thickTop="1">
      <c r="A756" s="207" t="s">
        <v>34</v>
      </c>
      <c r="B756" s="208" t="s">
        <v>637</v>
      </c>
      <c r="C756" s="209" t="s">
        <v>921</v>
      </c>
      <c r="D756" s="210"/>
      <c r="E756" s="211" t="s">
        <v>922</v>
      </c>
      <c r="F756" s="212"/>
      <c r="G756" s="211" t="s">
        <v>923</v>
      </c>
      <c r="H756" s="212"/>
      <c r="I756" s="1070"/>
      <c r="J756" s="1071"/>
      <c r="K756" s="1070"/>
      <c r="L756" s="1070"/>
      <c r="M756" s="174"/>
      <c r="N756" s="174"/>
      <c r="O756" s="213"/>
      <c r="P756" s="213"/>
      <c r="Q756" s="213"/>
      <c r="R756" s="213"/>
      <c r="S756" s="213"/>
      <c r="T756" s="213"/>
      <c r="U756" s="213"/>
      <c r="V756" s="213"/>
      <c r="W756" s="213"/>
      <c r="X756" s="213"/>
      <c r="Y756" s="213"/>
      <c r="Z756" s="213"/>
      <c r="AA756" s="213"/>
      <c r="AB756" s="213"/>
      <c r="AC756" s="213"/>
      <c r="AD756" s="213"/>
      <c r="AE756" s="213"/>
      <c r="AF756" s="213"/>
      <c r="AG756" s="213"/>
      <c r="AH756" s="213"/>
      <c r="AI756" s="213"/>
      <c r="AJ756" s="213"/>
      <c r="AK756" s="213"/>
      <c r="AL756" s="213"/>
      <c r="AM756" s="213"/>
      <c r="AN756" s="213"/>
      <c r="AO756" s="213"/>
      <c r="AP756" s="213"/>
    </row>
    <row r="757" spans="1:25" s="107" customFormat="1" ht="34.5" customHeight="1">
      <c r="A757" s="300" t="s">
        <v>408</v>
      </c>
      <c r="B757" s="236" t="s">
        <v>373</v>
      </c>
      <c r="C757" s="1063">
        <f>CEILING(76*$Z$1,0.1)</f>
        <v>95</v>
      </c>
      <c r="D757" s="1064"/>
      <c r="E757" s="1063">
        <f>CEILING(76*$Z$1,0.1)</f>
        <v>95</v>
      </c>
      <c r="F757" s="1064"/>
      <c r="G757" s="1063">
        <f>CEILING(76*$Z$1,0.1)</f>
        <v>95</v>
      </c>
      <c r="H757" s="1064"/>
      <c r="I757" s="1061"/>
      <c r="J757" s="1061"/>
      <c r="K757" s="1061"/>
      <c r="L757" s="1061"/>
      <c r="M757" s="124"/>
      <c r="N757" s="111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</row>
    <row r="758" spans="1:25" s="107" customFormat="1" ht="34.5" customHeight="1">
      <c r="A758" s="295" t="s">
        <v>36</v>
      </c>
      <c r="B758" s="238" t="s">
        <v>458</v>
      </c>
      <c r="C758" s="1065">
        <f>CEILING((C757+40*$Z$1),0.1)</f>
        <v>145</v>
      </c>
      <c r="D758" s="1066"/>
      <c r="E758" s="1065">
        <f>CEILING((E757+32*$Z$1),0.1)</f>
        <v>135</v>
      </c>
      <c r="F758" s="1066"/>
      <c r="G758" s="1065">
        <f>CEILING((G757+32*$Z$1),0.1)</f>
        <v>135</v>
      </c>
      <c r="H758" s="1066"/>
      <c r="I758" s="1061"/>
      <c r="J758" s="1061"/>
      <c r="K758" s="1061"/>
      <c r="L758" s="1061"/>
      <c r="M758" s="124"/>
      <c r="N758" s="111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</row>
    <row r="759" spans="1:25" s="107" customFormat="1" ht="34.5" customHeight="1">
      <c r="A759" s="134" t="s">
        <v>852</v>
      </c>
      <c r="B759" s="238" t="s">
        <v>374</v>
      </c>
      <c r="C759" s="1065">
        <f>CEILING(92*$Z$1,0.1)</f>
        <v>115</v>
      </c>
      <c r="D759" s="1066"/>
      <c r="E759" s="1065">
        <f>CEILING(92*$Z$1,0.1)</f>
        <v>115</v>
      </c>
      <c r="F759" s="1066"/>
      <c r="G759" s="1065">
        <f>CEILING(92*$Z$1,0.1)</f>
        <v>115</v>
      </c>
      <c r="H759" s="1066"/>
      <c r="I759" s="1061"/>
      <c r="J759" s="1061"/>
      <c r="K759" s="1061"/>
      <c r="L759" s="1061"/>
      <c r="M759" s="124"/>
      <c r="N759" s="111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</row>
    <row r="760" spans="1:25" s="107" customFormat="1" ht="34.5" customHeight="1">
      <c r="A760" s="238"/>
      <c r="B760" s="238" t="s">
        <v>459</v>
      </c>
      <c r="C760" s="1065">
        <f>CEILING((C759+40*$Z$1),0.1)</f>
        <v>165</v>
      </c>
      <c r="D760" s="1066"/>
      <c r="E760" s="1065">
        <f>CEILING((E759+32*$Z$1),0.1)</f>
        <v>155</v>
      </c>
      <c r="F760" s="1066"/>
      <c r="G760" s="1065">
        <f>CEILING((G759+32*$Z$1),0.1)</f>
        <v>155</v>
      </c>
      <c r="H760" s="1066"/>
      <c r="I760" s="1061"/>
      <c r="J760" s="1061"/>
      <c r="K760" s="1061"/>
      <c r="L760" s="1061"/>
      <c r="M760" s="124"/>
      <c r="N760" s="111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</row>
    <row r="761" spans="1:46" s="158" customFormat="1" ht="34.5" customHeight="1">
      <c r="A761" s="552" t="s">
        <v>1053</v>
      </c>
      <c r="B761" s="289" t="s">
        <v>375</v>
      </c>
      <c r="C761" s="1065">
        <f>CEILING(100*$Z$1,0.1)</f>
        <v>125</v>
      </c>
      <c r="D761" s="1066"/>
      <c r="E761" s="1065">
        <f>CEILING(100*$Z$1,0.1)</f>
        <v>125</v>
      </c>
      <c r="F761" s="1066"/>
      <c r="G761" s="1065">
        <f>CEILING(100*$Z$1,0.1)</f>
        <v>125</v>
      </c>
      <c r="H761" s="1066"/>
      <c r="I761" s="1061"/>
      <c r="J761" s="1061"/>
      <c r="K761" s="1061"/>
      <c r="L761" s="1061"/>
      <c r="M761" s="124"/>
      <c r="N761" s="103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  <c r="Z761" s="114"/>
      <c r="AA761" s="114"/>
      <c r="AB761" s="114"/>
      <c r="AC761" s="114"/>
      <c r="AD761" s="114"/>
      <c r="AE761" s="114"/>
      <c r="AF761" s="114"/>
      <c r="AG761" s="114"/>
      <c r="AH761" s="114"/>
      <c r="AI761" s="114"/>
      <c r="AJ761" s="114"/>
      <c r="AK761" s="114"/>
      <c r="AL761" s="114"/>
      <c r="AM761" s="114"/>
      <c r="AN761" s="114"/>
      <c r="AO761" s="114"/>
      <c r="AP761" s="114"/>
      <c r="AQ761" s="114"/>
      <c r="AR761" s="114"/>
      <c r="AS761" s="114"/>
      <c r="AT761" s="114"/>
    </row>
    <row r="762" spans="1:46" s="107" customFormat="1" ht="34.5" customHeight="1">
      <c r="A762" s="238"/>
      <c r="B762" s="238" t="s">
        <v>273</v>
      </c>
      <c r="C762" s="1065">
        <f>CEILING(108*$Z$1,0.1)</f>
        <v>135</v>
      </c>
      <c r="D762" s="1066"/>
      <c r="E762" s="1065">
        <f>CEILING(108*$Z$1,0.1)</f>
        <v>135</v>
      </c>
      <c r="F762" s="1066"/>
      <c r="G762" s="1065">
        <f>CEILING(108*$Z$1,0.1)</f>
        <v>135</v>
      </c>
      <c r="H762" s="1066"/>
      <c r="I762" s="1061"/>
      <c r="J762" s="1061"/>
      <c r="K762" s="1061"/>
      <c r="L762" s="1061"/>
      <c r="M762" s="124"/>
      <c r="N762" s="103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  <c r="Z762" s="140"/>
      <c r="AA762" s="140"/>
      <c r="AB762" s="140"/>
      <c r="AC762" s="140"/>
      <c r="AD762" s="140"/>
      <c r="AE762" s="140"/>
      <c r="AF762" s="140"/>
      <c r="AG762" s="140"/>
      <c r="AH762" s="140"/>
      <c r="AI762" s="140"/>
      <c r="AJ762" s="140"/>
      <c r="AK762" s="140"/>
      <c r="AL762" s="140"/>
      <c r="AM762" s="140"/>
      <c r="AN762" s="140"/>
      <c r="AO762" s="140"/>
      <c r="AP762" s="140"/>
      <c r="AQ762" s="140"/>
      <c r="AR762" s="140"/>
      <c r="AS762" s="140"/>
      <c r="AT762" s="140"/>
    </row>
    <row r="763" spans="1:46" s="107" customFormat="1" ht="34.5" customHeight="1">
      <c r="A763" s="545" t="s">
        <v>490</v>
      </c>
      <c r="B763" s="238" t="s">
        <v>274</v>
      </c>
      <c r="C763" s="1065">
        <f>CEILING(116*$Z$1,0.1)</f>
        <v>145</v>
      </c>
      <c r="D763" s="1066"/>
      <c r="E763" s="1065">
        <f>CEILING(116*$Z$1,0.1)</f>
        <v>145</v>
      </c>
      <c r="F763" s="1066"/>
      <c r="G763" s="1065">
        <f>CEILING(116*$Z$1,0.1)</f>
        <v>145</v>
      </c>
      <c r="H763" s="1066"/>
      <c r="I763" s="1061"/>
      <c r="J763" s="1061"/>
      <c r="K763" s="1061"/>
      <c r="L763" s="1061"/>
      <c r="M763" s="124"/>
      <c r="N763" s="103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  <c r="Z763" s="140"/>
      <c r="AA763" s="140"/>
      <c r="AB763" s="140"/>
      <c r="AC763" s="140"/>
      <c r="AD763" s="140"/>
      <c r="AE763" s="140"/>
      <c r="AF763" s="140"/>
      <c r="AG763" s="140"/>
      <c r="AH763" s="140"/>
      <c r="AI763" s="140"/>
      <c r="AJ763" s="140"/>
      <c r="AK763" s="140"/>
      <c r="AL763" s="140"/>
      <c r="AM763" s="140"/>
      <c r="AN763" s="140"/>
      <c r="AO763" s="140"/>
      <c r="AP763" s="140"/>
      <c r="AQ763" s="140"/>
      <c r="AR763" s="140"/>
      <c r="AS763" s="140"/>
      <c r="AT763" s="140"/>
    </row>
    <row r="764" spans="1:46" s="200" customFormat="1" ht="34.5" customHeight="1">
      <c r="A764" s="1146" t="s">
        <v>104</v>
      </c>
      <c r="B764" s="1146"/>
      <c r="C764" s="1146"/>
      <c r="D764" s="1146"/>
      <c r="E764" s="1146"/>
      <c r="F764" s="1146"/>
      <c r="G764" s="1146"/>
      <c r="H764" s="1146"/>
      <c r="I764" s="546"/>
      <c r="J764" s="546"/>
      <c r="K764" s="123"/>
      <c r="L764" s="123"/>
      <c r="M764" s="123"/>
      <c r="N764" s="139"/>
      <c r="O764" s="170"/>
      <c r="P764" s="170"/>
      <c r="Q764" s="170"/>
      <c r="R764" s="170"/>
      <c r="S764" s="170"/>
      <c r="T764" s="170"/>
      <c r="U764" s="170"/>
      <c r="V764" s="170"/>
      <c r="W764" s="170"/>
      <c r="X764" s="170"/>
      <c r="Y764" s="170"/>
      <c r="Z764" s="170"/>
      <c r="AA764" s="170"/>
      <c r="AB764" s="170"/>
      <c r="AC764" s="170"/>
      <c r="AD764" s="170"/>
      <c r="AE764" s="170"/>
      <c r="AF764" s="170"/>
      <c r="AG764" s="170"/>
      <c r="AH764" s="170"/>
      <c r="AI764" s="170"/>
      <c r="AJ764" s="170"/>
      <c r="AK764" s="170"/>
      <c r="AL764" s="170"/>
      <c r="AM764" s="170"/>
      <c r="AN764" s="170"/>
      <c r="AO764" s="170"/>
      <c r="AP764" s="170"/>
      <c r="AQ764" s="170"/>
      <c r="AR764" s="170"/>
      <c r="AS764" s="170"/>
      <c r="AT764" s="170"/>
    </row>
    <row r="765" spans="1:25" s="167" customFormat="1" ht="34.5" customHeight="1">
      <c r="A765" s="163"/>
      <c r="B765" s="188"/>
      <c r="C765" s="163"/>
      <c r="D765" s="163"/>
      <c r="E765" s="163"/>
      <c r="F765" s="163"/>
      <c r="G765" s="163"/>
      <c r="H765" s="163"/>
      <c r="I765" s="189"/>
      <c r="J765" s="189"/>
      <c r="K765" s="190"/>
      <c r="L765" s="190"/>
      <c r="M765" s="191"/>
      <c r="N765" s="191"/>
      <c r="O765" s="166"/>
      <c r="P765" s="166"/>
      <c r="Q765" s="166"/>
      <c r="R765" s="166"/>
      <c r="S765" s="166"/>
      <c r="T765" s="166"/>
      <c r="U765" s="166"/>
      <c r="V765" s="166"/>
      <c r="W765" s="166"/>
      <c r="X765" s="166"/>
      <c r="Y765" s="166"/>
    </row>
    <row r="766" spans="1:46" s="145" customFormat="1" ht="34.5" customHeight="1" thickBot="1">
      <c r="A766" s="1145"/>
      <c r="B766" s="1145"/>
      <c r="C766" s="1145"/>
      <c r="D766" s="1145"/>
      <c r="E766" s="1145"/>
      <c r="F766" s="1145"/>
      <c r="G766" s="1145"/>
      <c r="H766" s="1145"/>
      <c r="I766" s="547"/>
      <c r="J766" s="547"/>
      <c r="K766" s="548"/>
      <c r="L766" s="549"/>
      <c r="M766" s="548"/>
      <c r="N766" s="550"/>
      <c r="O766" s="551"/>
      <c r="P766" s="551"/>
      <c r="Q766" s="551"/>
      <c r="R766" s="551"/>
      <c r="S766" s="551"/>
      <c r="T766" s="551"/>
      <c r="U766" s="551"/>
      <c r="V766" s="551"/>
      <c r="W766" s="551"/>
      <c r="X766" s="551"/>
      <c r="Y766" s="551"/>
      <c r="Z766" s="341"/>
      <c r="AA766" s="341"/>
      <c r="AB766" s="341"/>
      <c r="AC766" s="341"/>
      <c r="AD766" s="341"/>
      <c r="AE766" s="341"/>
      <c r="AF766" s="341"/>
      <c r="AG766" s="341"/>
      <c r="AH766" s="341"/>
      <c r="AI766" s="341"/>
      <c r="AJ766" s="341"/>
      <c r="AK766" s="341"/>
      <c r="AL766" s="341"/>
      <c r="AM766" s="341"/>
      <c r="AN766" s="341"/>
      <c r="AO766" s="341"/>
      <c r="AP766" s="341"/>
      <c r="AQ766" s="341"/>
      <c r="AR766" s="341"/>
      <c r="AS766" s="341"/>
      <c r="AT766" s="341"/>
    </row>
    <row r="767" spans="1:42" s="214" customFormat="1" ht="34.5" customHeight="1" thickTop="1">
      <c r="A767" s="207" t="s">
        <v>34</v>
      </c>
      <c r="B767" s="208" t="s">
        <v>637</v>
      </c>
      <c r="C767" s="209" t="s">
        <v>921</v>
      </c>
      <c r="D767" s="210"/>
      <c r="E767" s="211" t="s">
        <v>922</v>
      </c>
      <c r="F767" s="212"/>
      <c r="G767" s="211" t="s">
        <v>923</v>
      </c>
      <c r="H767" s="212"/>
      <c r="I767" s="1070"/>
      <c r="J767" s="1071"/>
      <c r="K767" s="1070"/>
      <c r="L767" s="1070"/>
      <c r="M767" s="174"/>
      <c r="N767" s="174"/>
      <c r="O767" s="213"/>
      <c r="P767" s="213"/>
      <c r="Q767" s="213"/>
      <c r="R767" s="213"/>
      <c r="S767" s="213"/>
      <c r="T767" s="213"/>
      <c r="U767" s="213"/>
      <c r="V767" s="213"/>
      <c r="W767" s="213"/>
      <c r="X767" s="213"/>
      <c r="Y767" s="213"/>
      <c r="Z767" s="213"/>
      <c r="AA767" s="213"/>
      <c r="AB767" s="213"/>
      <c r="AC767" s="213"/>
      <c r="AD767" s="213"/>
      <c r="AE767" s="213"/>
      <c r="AF767" s="213"/>
      <c r="AG767" s="213"/>
      <c r="AH767" s="213"/>
      <c r="AI767" s="213"/>
      <c r="AJ767" s="213"/>
      <c r="AK767" s="213"/>
      <c r="AL767" s="213"/>
      <c r="AM767" s="213"/>
      <c r="AN767" s="213"/>
      <c r="AO767" s="213"/>
      <c r="AP767" s="213"/>
    </row>
    <row r="768" spans="1:14" s="114" customFormat="1" ht="34.5" customHeight="1">
      <c r="A768" s="493" t="s">
        <v>407</v>
      </c>
      <c r="B768" s="294" t="s">
        <v>230</v>
      </c>
      <c r="C768" s="1073"/>
      <c r="D768" s="1074"/>
      <c r="E768" s="1073">
        <f>CEILING(50*$Z$1,0.1)</f>
        <v>62.5</v>
      </c>
      <c r="F768" s="1074"/>
      <c r="G768" s="1073">
        <f>CEILING(50*$Z$1,0.1)</f>
        <v>62.5</v>
      </c>
      <c r="H768" s="1074"/>
      <c r="I768" s="1061"/>
      <c r="J768" s="1061"/>
      <c r="K768" s="1061"/>
      <c r="L768" s="1061"/>
      <c r="M768" s="124"/>
      <c r="N768" s="103"/>
    </row>
    <row r="769" spans="1:14" s="114" customFormat="1" ht="34.5" customHeight="1">
      <c r="A769" s="295" t="s">
        <v>36</v>
      </c>
      <c r="B769" s="296" t="s">
        <v>231</v>
      </c>
      <c r="C769" s="1057"/>
      <c r="D769" s="1058"/>
      <c r="E769" s="1057">
        <f>CEILING((E768+45*$Z$1),0.1)</f>
        <v>118.80000000000001</v>
      </c>
      <c r="F769" s="1058"/>
      <c r="G769" s="1057">
        <f>CEILING((G768+45*$Z$1),0.1)</f>
        <v>118.80000000000001</v>
      </c>
      <c r="H769" s="1058"/>
      <c r="I769" s="1061"/>
      <c r="J769" s="1061"/>
      <c r="K769" s="1061"/>
      <c r="L769" s="1061"/>
      <c r="M769" s="124"/>
      <c r="N769" s="103"/>
    </row>
    <row r="770" spans="1:14" s="114" customFormat="1" ht="34.5" customHeight="1">
      <c r="A770" s="120" t="s">
        <v>949</v>
      </c>
      <c r="B770" s="296" t="s">
        <v>38</v>
      </c>
      <c r="C770" s="1057"/>
      <c r="D770" s="1058"/>
      <c r="E770" s="1057">
        <f>CEILING((E768*0.85),0.1)</f>
        <v>53.2</v>
      </c>
      <c r="F770" s="1058"/>
      <c r="G770" s="1057">
        <f>CEILING((G768*0.85),0.1)</f>
        <v>53.2</v>
      </c>
      <c r="H770" s="1058"/>
      <c r="I770" s="1061"/>
      <c r="J770" s="1061"/>
      <c r="K770" s="1061"/>
      <c r="L770" s="1061"/>
      <c r="M770" s="124"/>
      <c r="N770" s="103"/>
    </row>
    <row r="771" spans="1:14" s="114" customFormat="1" ht="34.5" customHeight="1">
      <c r="A771" s="552"/>
      <c r="B771" s="296" t="s">
        <v>764</v>
      </c>
      <c r="C771" s="1057"/>
      <c r="D771" s="1058"/>
      <c r="E771" s="1057">
        <f>CEILING((E768*0.5),0.1)</f>
        <v>31.3</v>
      </c>
      <c r="F771" s="1058"/>
      <c r="G771" s="1057">
        <f>CEILING((G768*0.5),0.1)</f>
        <v>31.3</v>
      </c>
      <c r="H771" s="1058"/>
      <c r="I771" s="1061"/>
      <c r="J771" s="1061"/>
      <c r="K771" s="1061"/>
      <c r="L771" s="1061"/>
      <c r="M771" s="124"/>
      <c r="N771" s="103"/>
    </row>
    <row r="772" spans="1:14" s="114" customFormat="1" ht="34.5" customHeight="1" thickBot="1">
      <c r="A772" s="540" t="s">
        <v>490</v>
      </c>
      <c r="B772" s="517" t="s">
        <v>235</v>
      </c>
      <c r="C772" s="1076"/>
      <c r="D772" s="1077"/>
      <c r="E772" s="1076">
        <f>CEILING(75*$Z$1,0.1)</f>
        <v>93.80000000000001</v>
      </c>
      <c r="F772" s="1077"/>
      <c r="G772" s="1076">
        <f>CEILING(75*$Z$1,0.1)</f>
        <v>93.80000000000001</v>
      </c>
      <c r="H772" s="1077"/>
      <c r="I772" s="1061"/>
      <c r="J772" s="1061"/>
      <c r="K772" s="1061"/>
      <c r="L772" s="1061"/>
      <c r="M772" s="124"/>
      <c r="N772" s="103"/>
    </row>
    <row r="773" spans="1:25" s="167" customFormat="1" ht="34.5" customHeight="1" thickTop="1">
      <c r="A773" s="163"/>
      <c r="B773" s="188"/>
      <c r="C773" s="163"/>
      <c r="D773" s="163"/>
      <c r="E773" s="163"/>
      <c r="F773" s="163"/>
      <c r="G773" s="163"/>
      <c r="H773" s="163"/>
      <c r="I773" s="189"/>
      <c r="J773" s="189"/>
      <c r="K773" s="190"/>
      <c r="L773" s="190"/>
      <c r="M773" s="191"/>
      <c r="N773" s="191"/>
      <c r="O773" s="166"/>
      <c r="P773" s="166"/>
      <c r="Q773" s="166"/>
      <c r="R773" s="166"/>
      <c r="S773" s="166"/>
      <c r="T773" s="166"/>
      <c r="U773" s="166"/>
      <c r="V773" s="166"/>
      <c r="W773" s="166"/>
      <c r="X773" s="166"/>
      <c r="Y773" s="166"/>
    </row>
    <row r="774" spans="1:25" s="107" customFormat="1" ht="34.5" customHeight="1" thickBot="1">
      <c r="A774" s="553"/>
      <c r="B774" s="553"/>
      <c r="C774" s="553"/>
      <c r="D774" s="553"/>
      <c r="E774" s="553"/>
      <c r="F774" s="553"/>
      <c r="G774" s="553"/>
      <c r="H774" s="553"/>
      <c r="I774" s="299"/>
      <c r="J774" s="299"/>
      <c r="K774" s="113"/>
      <c r="L774" s="104"/>
      <c r="M774" s="110"/>
      <c r="N774" s="111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</row>
    <row r="775" spans="1:42" s="214" customFormat="1" ht="34.5" customHeight="1" thickTop="1">
      <c r="A775" s="207" t="s">
        <v>34</v>
      </c>
      <c r="B775" s="208" t="s">
        <v>637</v>
      </c>
      <c r="C775" s="209" t="s">
        <v>921</v>
      </c>
      <c r="D775" s="210"/>
      <c r="E775" s="211" t="s">
        <v>922</v>
      </c>
      <c r="F775" s="212"/>
      <c r="G775" s="211" t="s">
        <v>923</v>
      </c>
      <c r="H775" s="212"/>
      <c r="I775" s="1070"/>
      <c r="J775" s="1071"/>
      <c r="K775" s="1070"/>
      <c r="L775" s="1070"/>
      <c r="M775" s="174"/>
      <c r="N775" s="174"/>
      <c r="O775" s="213"/>
      <c r="P775" s="213"/>
      <c r="Q775" s="213"/>
      <c r="R775" s="213"/>
      <c r="S775" s="213"/>
      <c r="T775" s="213"/>
      <c r="U775" s="213"/>
      <c r="V775" s="213"/>
      <c r="W775" s="213"/>
      <c r="X775" s="213"/>
      <c r="Y775" s="213"/>
      <c r="Z775" s="213"/>
      <c r="AA775" s="213"/>
      <c r="AB775" s="213"/>
      <c r="AC775" s="213"/>
      <c r="AD775" s="213"/>
      <c r="AE775" s="213"/>
      <c r="AF775" s="213"/>
      <c r="AG775" s="213"/>
      <c r="AH775" s="213"/>
      <c r="AI775" s="213"/>
      <c r="AJ775" s="213"/>
      <c r="AK775" s="213"/>
      <c r="AL775" s="213"/>
      <c r="AM775" s="213"/>
      <c r="AN775" s="213"/>
      <c r="AO775" s="213"/>
      <c r="AP775" s="213"/>
    </row>
    <row r="776" spans="1:25" s="107" customFormat="1" ht="34.5" customHeight="1">
      <c r="A776" s="554" t="s">
        <v>406</v>
      </c>
      <c r="B776" s="264" t="s">
        <v>230</v>
      </c>
      <c r="C776" s="1063">
        <f>CEILING(40.4*$Z$1,0.1)</f>
        <v>50.5</v>
      </c>
      <c r="D776" s="1064"/>
      <c r="E776" s="1063">
        <f>CEILING(40.4*$Z$1,0.1)</f>
        <v>50.5</v>
      </c>
      <c r="F776" s="1064"/>
      <c r="G776" s="1063">
        <f>CEILING(40.4*$Z$1,0.1)</f>
        <v>50.5</v>
      </c>
      <c r="H776" s="1064"/>
      <c r="I776" s="1061"/>
      <c r="J776" s="1061"/>
      <c r="K776" s="1061"/>
      <c r="L776" s="1061"/>
      <c r="M776" s="126"/>
      <c r="N776" s="126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</row>
    <row r="777" spans="1:25" s="107" customFormat="1" ht="34.5" customHeight="1">
      <c r="A777" s="351" t="s">
        <v>36</v>
      </c>
      <c r="B777" s="241" t="s">
        <v>231</v>
      </c>
      <c r="C777" s="1065">
        <f>CEILING((C776+20*$Z$1),0.1)</f>
        <v>75.5</v>
      </c>
      <c r="D777" s="1066"/>
      <c r="E777" s="1065">
        <f>CEILING((E776+17*$Z$1),0.1)</f>
        <v>71.8</v>
      </c>
      <c r="F777" s="1066"/>
      <c r="G777" s="1065">
        <f>CEILING((G776+17*$Z$1),0.1)</f>
        <v>71.8</v>
      </c>
      <c r="H777" s="1066"/>
      <c r="I777" s="1061"/>
      <c r="J777" s="1061"/>
      <c r="K777" s="1061"/>
      <c r="L777" s="1061"/>
      <c r="M777" s="126"/>
      <c r="N777" s="126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</row>
    <row r="778" spans="1:25" s="107" customFormat="1" ht="34.5" customHeight="1">
      <c r="A778" s="351"/>
      <c r="B778" s="241" t="s">
        <v>70</v>
      </c>
      <c r="C778" s="1065">
        <f>CEILING((C776*0.85),0.1)</f>
        <v>43</v>
      </c>
      <c r="D778" s="1066"/>
      <c r="E778" s="1065">
        <f>CEILING((E776*0.85),0.1)</f>
        <v>43</v>
      </c>
      <c r="F778" s="1066"/>
      <c r="G778" s="1065">
        <f>CEILING((G776*0.85),0.1)</f>
        <v>43</v>
      </c>
      <c r="H778" s="1066"/>
      <c r="I778" s="1061"/>
      <c r="J778" s="1061"/>
      <c r="K778" s="1061"/>
      <c r="L778" s="1061"/>
      <c r="M778" s="129"/>
      <c r="N778" s="130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</row>
    <row r="779" spans="1:25" s="107" customFormat="1" ht="34.5" customHeight="1">
      <c r="A779" s="552" t="s">
        <v>1053</v>
      </c>
      <c r="B779" s="219" t="s">
        <v>764</v>
      </c>
      <c r="C779" s="1065">
        <f>CEILING((C776*0.5),0.1)</f>
        <v>25.3</v>
      </c>
      <c r="D779" s="1066"/>
      <c r="E779" s="1065">
        <f>CEILING((E776*0.5),0.1)</f>
        <v>25.3</v>
      </c>
      <c r="F779" s="1066"/>
      <c r="G779" s="1065">
        <f>CEILING((G776*0.5),0.1)</f>
        <v>25.3</v>
      </c>
      <c r="H779" s="1066"/>
      <c r="I779" s="1061"/>
      <c r="J779" s="1061"/>
      <c r="K779" s="1061"/>
      <c r="L779" s="1061"/>
      <c r="M779" s="124"/>
      <c r="N779" s="111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</row>
    <row r="780" spans="1:25" s="107" customFormat="1" ht="34.5" customHeight="1">
      <c r="A780" s="351"/>
      <c r="B780" s="241" t="s">
        <v>235</v>
      </c>
      <c r="C780" s="1065">
        <f>CEILING(61.4*$Z$1,0.1)</f>
        <v>76.80000000000001</v>
      </c>
      <c r="D780" s="1066"/>
      <c r="E780" s="1065">
        <f>CEILING(61.4*$Z$1,0.1)</f>
        <v>76.80000000000001</v>
      </c>
      <c r="F780" s="1066"/>
      <c r="G780" s="1065">
        <f>CEILING(61.4*$Z$1,0.1)</f>
        <v>76.80000000000001</v>
      </c>
      <c r="H780" s="1066"/>
      <c r="I780" s="1061"/>
      <c r="J780" s="1061"/>
      <c r="K780" s="1061"/>
      <c r="L780" s="1061"/>
      <c r="M780" s="124"/>
      <c r="N780" s="111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</row>
    <row r="781" spans="1:25" s="107" customFormat="1" ht="34.5" customHeight="1" thickBot="1">
      <c r="A781" s="540" t="s">
        <v>490</v>
      </c>
      <c r="B781" s="243" t="s">
        <v>236</v>
      </c>
      <c r="C781" s="1067">
        <f>CEILING((C780+20*$Z$1),0.1)</f>
        <v>101.80000000000001</v>
      </c>
      <c r="D781" s="1068"/>
      <c r="E781" s="1067">
        <f>CEILING((E780+17*$Z$1),0.1)</f>
        <v>98.10000000000001</v>
      </c>
      <c r="F781" s="1068"/>
      <c r="G781" s="1067">
        <f>CEILING((G780+17*$Z$1),0.1)</f>
        <v>98.10000000000001</v>
      </c>
      <c r="H781" s="1068"/>
      <c r="I781" s="1061"/>
      <c r="J781" s="1061"/>
      <c r="K781" s="1061"/>
      <c r="L781" s="1061"/>
      <c r="M781" s="124"/>
      <c r="N781" s="111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</row>
    <row r="782" spans="1:25" s="167" customFormat="1" ht="34.5" customHeight="1" thickTop="1">
      <c r="A782" s="163"/>
      <c r="B782" s="188"/>
      <c r="C782" s="163"/>
      <c r="D782" s="163"/>
      <c r="E782" s="163"/>
      <c r="F782" s="163"/>
      <c r="G782" s="163"/>
      <c r="H782" s="163"/>
      <c r="I782" s="189"/>
      <c r="J782" s="189"/>
      <c r="K782" s="190"/>
      <c r="L782" s="190"/>
      <c r="M782" s="191"/>
      <c r="N782" s="191"/>
      <c r="O782" s="166"/>
      <c r="P782" s="166"/>
      <c r="Q782" s="166"/>
      <c r="R782" s="166"/>
      <c r="S782" s="166"/>
      <c r="T782" s="166"/>
      <c r="U782" s="166"/>
      <c r="V782" s="166"/>
      <c r="W782" s="166"/>
      <c r="X782" s="166"/>
      <c r="Y782" s="166"/>
    </row>
    <row r="783" spans="1:25" s="107" customFormat="1" ht="34.5" customHeight="1" thickBot="1">
      <c r="A783" s="555"/>
      <c r="B783" s="428"/>
      <c r="C783" s="405"/>
      <c r="D783" s="405"/>
      <c r="E783" s="405"/>
      <c r="F783" s="405"/>
      <c r="G783" s="405"/>
      <c r="H783" s="405"/>
      <c r="I783" s="148"/>
      <c r="J783" s="148"/>
      <c r="K783" s="113"/>
      <c r="L783" s="104"/>
      <c r="M783" s="126"/>
      <c r="N783" s="126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</row>
    <row r="784" spans="1:42" s="214" customFormat="1" ht="34.5" customHeight="1" thickTop="1">
      <c r="A784" s="207" t="s">
        <v>34</v>
      </c>
      <c r="B784" s="208" t="s">
        <v>637</v>
      </c>
      <c r="C784" s="209" t="s">
        <v>921</v>
      </c>
      <c r="D784" s="210"/>
      <c r="E784" s="211" t="s">
        <v>922</v>
      </c>
      <c r="F784" s="212"/>
      <c r="G784" s="211" t="s">
        <v>923</v>
      </c>
      <c r="H784" s="212"/>
      <c r="I784" s="1070"/>
      <c r="J784" s="1071"/>
      <c r="K784" s="1070"/>
      <c r="L784" s="1070"/>
      <c r="M784" s="174"/>
      <c r="N784" s="174"/>
      <c r="O784" s="213"/>
      <c r="P784" s="213"/>
      <c r="Q784" s="213"/>
      <c r="R784" s="213"/>
      <c r="S784" s="213"/>
      <c r="T784" s="213"/>
      <c r="U784" s="213"/>
      <c r="V784" s="213"/>
      <c r="W784" s="213"/>
      <c r="X784" s="213"/>
      <c r="Y784" s="213"/>
      <c r="Z784" s="213"/>
      <c r="AA784" s="213"/>
      <c r="AB784" s="213"/>
      <c r="AC784" s="213"/>
      <c r="AD784" s="213"/>
      <c r="AE784" s="213"/>
      <c r="AF784" s="213"/>
      <c r="AG784" s="213"/>
      <c r="AH784" s="213"/>
      <c r="AI784" s="213"/>
      <c r="AJ784" s="213"/>
      <c r="AK784" s="213"/>
      <c r="AL784" s="213"/>
      <c r="AM784" s="213"/>
      <c r="AN784" s="213"/>
      <c r="AO784" s="213"/>
      <c r="AP784" s="213"/>
    </row>
    <row r="785" spans="1:14" s="158" customFormat="1" ht="34.5" customHeight="1">
      <c r="A785" s="556" t="s">
        <v>405</v>
      </c>
      <c r="B785" s="343" t="s">
        <v>42</v>
      </c>
      <c r="C785" s="1073">
        <f>CEILING(40*$Z$1,0.1)</f>
        <v>50</v>
      </c>
      <c r="D785" s="1074"/>
      <c r="E785" s="1073">
        <f>CEILING(40*$Z$1,0.1)</f>
        <v>50</v>
      </c>
      <c r="F785" s="1074"/>
      <c r="G785" s="1073">
        <f>CEILING(40*$Z$1,0.1)</f>
        <v>50</v>
      </c>
      <c r="H785" s="1074"/>
      <c r="I785" s="1061"/>
      <c r="J785" s="1061"/>
      <c r="K785" s="1061"/>
      <c r="L785" s="1061"/>
      <c r="M785" s="148"/>
      <c r="N785" s="148"/>
    </row>
    <row r="786" spans="1:14" s="158" customFormat="1" ht="34.5" customHeight="1">
      <c r="A786" s="557" t="s">
        <v>50</v>
      </c>
      <c r="B786" s="289" t="s">
        <v>43</v>
      </c>
      <c r="C786" s="1057">
        <f>CEILING((C785+20*$Z$1),0.1)</f>
        <v>75</v>
      </c>
      <c r="D786" s="1058"/>
      <c r="E786" s="1057">
        <f>CEILING((E785+20*$Z$1),0.1)</f>
        <v>75</v>
      </c>
      <c r="F786" s="1058"/>
      <c r="G786" s="1057">
        <f>CEILING((G785+20*$Z$1),0.1)</f>
        <v>75</v>
      </c>
      <c r="H786" s="1058"/>
      <c r="I786" s="1061"/>
      <c r="J786" s="1061"/>
      <c r="K786" s="1061"/>
      <c r="L786" s="1061"/>
      <c r="M786" s="148"/>
      <c r="N786" s="148"/>
    </row>
    <row r="787" spans="1:14" s="158" customFormat="1" ht="34.5" customHeight="1">
      <c r="A787" s="557"/>
      <c r="B787" s="296" t="s">
        <v>70</v>
      </c>
      <c r="C787" s="1057">
        <f>CEILING((C785*0.85),0.1)</f>
        <v>42.5</v>
      </c>
      <c r="D787" s="1058"/>
      <c r="E787" s="1057">
        <f>CEILING((E785*0.85),0.1)</f>
        <v>42.5</v>
      </c>
      <c r="F787" s="1058"/>
      <c r="G787" s="1057">
        <f>CEILING((G785*0.85),0.1)</f>
        <v>42.5</v>
      </c>
      <c r="H787" s="1058"/>
      <c r="I787" s="1061"/>
      <c r="J787" s="1061"/>
      <c r="K787" s="1061"/>
      <c r="L787" s="1061"/>
      <c r="M787" s="126"/>
      <c r="N787" s="126"/>
    </row>
    <row r="788" spans="1:14" s="158" customFormat="1" ht="34.5" customHeight="1">
      <c r="A788" s="120" t="s">
        <v>1100</v>
      </c>
      <c r="B788" s="219" t="s">
        <v>764</v>
      </c>
      <c r="C788" s="1057">
        <f>CEILING((C785*0.5),0.1)</f>
        <v>25</v>
      </c>
      <c r="D788" s="1058"/>
      <c r="E788" s="1057">
        <f>CEILING((E785*0.5),0.1)</f>
        <v>25</v>
      </c>
      <c r="F788" s="1058"/>
      <c r="G788" s="1057">
        <f>CEILING((G785*0.5),0.1)</f>
        <v>25</v>
      </c>
      <c r="H788" s="1058"/>
      <c r="I788" s="1061"/>
      <c r="J788" s="1061"/>
      <c r="K788" s="1061"/>
      <c r="L788" s="1061"/>
      <c r="M788" s="126"/>
      <c r="N788" s="126"/>
    </row>
    <row r="789" spans="1:14" s="158" customFormat="1" ht="34.5" customHeight="1">
      <c r="A789" s="557"/>
      <c r="B789" s="496" t="s">
        <v>73</v>
      </c>
      <c r="C789" s="1057">
        <f>CEILING(55*$Z$1,0.1)</f>
        <v>68.8</v>
      </c>
      <c r="D789" s="1058"/>
      <c r="E789" s="1057">
        <f>CEILING(55*$Z$1,0.1)</f>
        <v>68.8</v>
      </c>
      <c r="F789" s="1058"/>
      <c r="G789" s="1057">
        <f>CEILING(55*$Z$1,0.1)</f>
        <v>68.8</v>
      </c>
      <c r="H789" s="1058"/>
      <c r="I789" s="1061"/>
      <c r="J789" s="1061"/>
      <c r="K789" s="1061"/>
      <c r="L789" s="1061"/>
      <c r="M789" s="126"/>
      <c r="N789" s="126"/>
    </row>
    <row r="790" spans="1:14" s="158" customFormat="1" ht="34.5" customHeight="1" thickBot="1">
      <c r="A790" s="540" t="s">
        <v>490</v>
      </c>
      <c r="B790" s="524" t="s">
        <v>74</v>
      </c>
      <c r="C790" s="1076">
        <f>CEILING((C789+20*$Z$1),0.1)</f>
        <v>93.80000000000001</v>
      </c>
      <c r="D790" s="1077"/>
      <c r="E790" s="1076">
        <f>CEILING((E789+20*$Z$1),0.1)</f>
        <v>93.80000000000001</v>
      </c>
      <c r="F790" s="1077"/>
      <c r="G790" s="1076">
        <f>CEILING((G789+20*$Z$1),0.1)</f>
        <v>93.80000000000001</v>
      </c>
      <c r="H790" s="1077"/>
      <c r="I790" s="1061"/>
      <c r="J790" s="1061"/>
      <c r="K790" s="1061"/>
      <c r="L790" s="1061"/>
      <c r="M790" s="126"/>
      <c r="N790" s="126"/>
    </row>
    <row r="791" spans="1:25" s="167" customFormat="1" ht="34.5" customHeight="1" thickTop="1">
      <c r="A791" s="163"/>
      <c r="B791" s="188"/>
      <c r="C791" s="163"/>
      <c r="D791" s="163"/>
      <c r="E791" s="163"/>
      <c r="F791" s="163"/>
      <c r="G791" s="163"/>
      <c r="H791" s="163"/>
      <c r="I791" s="189"/>
      <c r="J791" s="189"/>
      <c r="K791" s="190"/>
      <c r="L791" s="190"/>
      <c r="M791" s="191"/>
      <c r="N791" s="191"/>
      <c r="O791" s="166"/>
      <c r="P791" s="166"/>
      <c r="Q791" s="166"/>
      <c r="R791" s="166"/>
      <c r="S791" s="166"/>
      <c r="T791" s="166"/>
      <c r="U791" s="166"/>
      <c r="V791" s="166"/>
      <c r="W791" s="166"/>
      <c r="X791" s="166"/>
      <c r="Y791" s="166"/>
    </row>
    <row r="792" spans="1:25" s="107" customFormat="1" ht="34.5" customHeight="1" thickBot="1">
      <c r="A792" s="555"/>
      <c r="B792" s="558"/>
      <c r="C792" s="405"/>
      <c r="D792" s="405"/>
      <c r="E792" s="405"/>
      <c r="F792" s="405"/>
      <c r="G792" s="405"/>
      <c r="H792" s="405"/>
      <c r="I792" s="148"/>
      <c r="J792" s="148"/>
      <c r="K792" s="113"/>
      <c r="L792" s="104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</row>
    <row r="793" spans="1:42" s="214" customFormat="1" ht="34.5" customHeight="1" thickTop="1">
      <c r="A793" s="207" t="s">
        <v>34</v>
      </c>
      <c r="B793" s="208" t="s">
        <v>637</v>
      </c>
      <c r="C793" s="209" t="s">
        <v>921</v>
      </c>
      <c r="D793" s="210"/>
      <c r="E793" s="211" t="s">
        <v>922</v>
      </c>
      <c r="F793" s="212"/>
      <c r="G793" s="211" t="s">
        <v>923</v>
      </c>
      <c r="H793" s="212"/>
      <c r="I793" s="1070"/>
      <c r="J793" s="1071"/>
      <c r="K793" s="1070"/>
      <c r="L793" s="1070"/>
      <c r="M793" s="174"/>
      <c r="N793" s="174"/>
      <c r="O793" s="213"/>
      <c r="P793" s="213"/>
      <c r="Q793" s="213"/>
      <c r="R793" s="213"/>
      <c r="S793" s="213"/>
      <c r="T793" s="213"/>
      <c r="U793" s="213"/>
      <c r="V793" s="213"/>
      <c r="W793" s="213"/>
      <c r="X793" s="213"/>
      <c r="Y793" s="213"/>
      <c r="Z793" s="213"/>
      <c r="AA793" s="213"/>
      <c r="AB793" s="213"/>
      <c r="AC793" s="213"/>
      <c r="AD793" s="213"/>
      <c r="AE793" s="213"/>
      <c r="AF793" s="213"/>
      <c r="AG793" s="213"/>
      <c r="AH793" s="213"/>
      <c r="AI793" s="213"/>
      <c r="AJ793" s="213"/>
      <c r="AK793" s="213"/>
      <c r="AL793" s="213"/>
      <c r="AM793" s="213"/>
      <c r="AN793" s="213"/>
      <c r="AO793" s="213"/>
      <c r="AP793" s="213"/>
    </row>
    <row r="794" spans="1:25" s="107" customFormat="1" ht="34.5" customHeight="1">
      <c r="A794" s="559" t="s">
        <v>404</v>
      </c>
      <c r="B794" s="236" t="s">
        <v>42</v>
      </c>
      <c r="C794" s="1073">
        <f>CEILING(65*$Z$1,0.1)</f>
        <v>81.30000000000001</v>
      </c>
      <c r="D794" s="1074"/>
      <c r="E794" s="1073">
        <f>CEILING(65*$Z$1,0.1)</f>
        <v>81.30000000000001</v>
      </c>
      <c r="F794" s="1074"/>
      <c r="G794" s="1073">
        <f>CEILING(65*$Z$1,0.1)</f>
        <v>81.30000000000001</v>
      </c>
      <c r="H794" s="1074"/>
      <c r="I794" s="1061"/>
      <c r="J794" s="1061"/>
      <c r="K794" s="113"/>
      <c r="L794" s="104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</row>
    <row r="795" spans="1:23" s="107" customFormat="1" ht="34.5" customHeight="1">
      <c r="A795" s="351" t="s">
        <v>36</v>
      </c>
      <c r="B795" s="238" t="s">
        <v>43</v>
      </c>
      <c r="C795" s="1057">
        <f>CEILING((C794+30*$Z$1),0.1)</f>
        <v>118.80000000000001</v>
      </c>
      <c r="D795" s="1058"/>
      <c r="E795" s="1057">
        <f>CEILING((E794+30*$Z$1),0.1)</f>
        <v>118.80000000000001</v>
      </c>
      <c r="F795" s="1058"/>
      <c r="G795" s="1057">
        <f>CEILING((G794+30*$Z$1),0.1)</f>
        <v>118.80000000000001</v>
      </c>
      <c r="H795" s="1058"/>
      <c r="I795" s="1061"/>
      <c r="J795" s="1061"/>
      <c r="K795" s="113"/>
      <c r="L795" s="113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</row>
    <row r="796" spans="1:21" s="107" customFormat="1" ht="34.5" customHeight="1">
      <c r="A796" s="351"/>
      <c r="B796" s="241" t="s">
        <v>70</v>
      </c>
      <c r="C796" s="1057">
        <f>CEILING(67*$Z$1,0.1)</f>
        <v>83.80000000000001</v>
      </c>
      <c r="D796" s="1058"/>
      <c r="E796" s="1057">
        <f>CEILING(67*$Z$1,0.1)</f>
        <v>83.80000000000001</v>
      </c>
      <c r="F796" s="1058"/>
      <c r="G796" s="1057">
        <f>CEILING(67*$Z$1,0.1)</f>
        <v>83.80000000000001</v>
      </c>
      <c r="H796" s="1058"/>
      <c r="I796" s="1061"/>
      <c r="J796" s="1061"/>
      <c r="K796" s="113"/>
      <c r="L796" s="113"/>
      <c r="M796" s="105"/>
      <c r="N796" s="105"/>
      <c r="O796" s="105"/>
      <c r="P796" s="105"/>
      <c r="Q796" s="105"/>
      <c r="R796" s="105"/>
      <c r="S796" s="105"/>
      <c r="T796" s="105"/>
      <c r="U796" s="105"/>
    </row>
    <row r="797" spans="1:21" s="107" customFormat="1" ht="34.5" customHeight="1">
      <c r="A797" s="560"/>
      <c r="B797" s="219" t="s">
        <v>69</v>
      </c>
      <c r="C797" s="1057">
        <f>CEILING(40*$Z$1,0.1)</f>
        <v>50</v>
      </c>
      <c r="D797" s="1058"/>
      <c r="E797" s="1057">
        <f>CEILING(40*$Z$1,0.1)</f>
        <v>50</v>
      </c>
      <c r="F797" s="1058"/>
      <c r="G797" s="1057">
        <f>CEILING(40*$Z$1,0.1)</f>
        <v>50</v>
      </c>
      <c r="H797" s="1058"/>
      <c r="I797" s="1061"/>
      <c r="J797" s="1061"/>
      <c r="K797" s="157"/>
      <c r="L797" s="157"/>
      <c r="M797" s="105"/>
      <c r="N797" s="105"/>
      <c r="O797" s="105"/>
      <c r="P797" s="105"/>
      <c r="Q797" s="105"/>
      <c r="R797" s="105"/>
      <c r="S797" s="105"/>
      <c r="T797" s="105"/>
      <c r="U797" s="105"/>
    </row>
    <row r="798" spans="1:23" s="107" customFormat="1" ht="34.5" customHeight="1" thickBot="1">
      <c r="A798" s="459" t="s">
        <v>1022</v>
      </c>
      <c r="B798" s="297" t="s">
        <v>105</v>
      </c>
      <c r="C798" s="1076">
        <f>CEILING(85*$Z$1,0.1)</f>
        <v>106.30000000000001</v>
      </c>
      <c r="D798" s="1077"/>
      <c r="E798" s="1076">
        <f>CEILING(85*$Z$1,0.1)</f>
        <v>106.30000000000001</v>
      </c>
      <c r="F798" s="1077"/>
      <c r="G798" s="1076">
        <f>CEILING(85*$Z$1,0.1)</f>
        <v>106.30000000000001</v>
      </c>
      <c r="H798" s="1077"/>
      <c r="I798" s="1061"/>
      <c r="J798" s="1061"/>
      <c r="K798" s="157"/>
      <c r="L798" s="157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</row>
    <row r="799" spans="1:23" s="135" customFormat="1" ht="34.5" customHeight="1" thickTop="1">
      <c r="A799" s="561" t="s">
        <v>950</v>
      </c>
      <c r="B799" s="181"/>
      <c r="C799" s="562"/>
      <c r="D799" s="562"/>
      <c r="E799" s="562"/>
      <c r="F799" s="562"/>
      <c r="G799" s="562"/>
      <c r="H799" s="562"/>
      <c r="I799" s="562"/>
      <c r="J799" s="562"/>
      <c r="K799" s="563"/>
      <c r="L799" s="563"/>
      <c r="M799" s="136"/>
      <c r="N799" s="136"/>
      <c r="O799" s="136"/>
      <c r="P799" s="136"/>
      <c r="Q799" s="136"/>
      <c r="R799" s="136"/>
      <c r="S799" s="136"/>
      <c r="T799" s="136"/>
      <c r="U799" s="136"/>
      <c r="V799" s="136"/>
      <c r="W799" s="136"/>
    </row>
    <row r="800" spans="1:25" s="107" customFormat="1" ht="34.5" customHeight="1" thickBot="1">
      <c r="A800" s="447"/>
      <c r="B800" s="255"/>
      <c r="C800" s="148"/>
      <c r="D800" s="148"/>
      <c r="E800" s="148"/>
      <c r="F800" s="148"/>
      <c r="G800" s="148"/>
      <c r="H800" s="148"/>
      <c r="I800" s="148"/>
      <c r="J800" s="148"/>
      <c r="K800" s="157"/>
      <c r="L800" s="157"/>
      <c r="M800" s="126"/>
      <c r="N800" s="126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</row>
    <row r="801" spans="1:42" s="214" customFormat="1" ht="34.5" customHeight="1" thickTop="1">
      <c r="A801" s="207" t="s">
        <v>34</v>
      </c>
      <c r="B801" s="208" t="s">
        <v>637</v>
      </c>
      <c r="C801" s="209" t="s">
        <v>921</v>
      </c>
      <c r="D801" s="210"/>
      <c r="E801" s="211" t="s">
        <v>922</v>
      </c>
      <c r="F801" s="212"/>
      <c r="G801" s="211" t="s">
        <v>923</v>
      </c>
      <c r="H801" s="212"/>
      <c r="I801" s="1070"/>
      <c r="J801" s="1071"/>
      <c r="K801" s="1070"/>
      <c r="L801" s="1070"/>
      <c r="M801" s="174"/>
      <c r="N801" s="174"/>
      <c r="O801" s="213"/>
      <c r="P801" s="213"/>
      <c r="Q801" s="213"/>
      <c r="R801" s="213"/>
      <c r="S801" s="213"/>
      <c r="T801" s="213"/>
      <c r="U801" s="213"/>
      <c r="V801" s="213"/>
      <c r="W801" s="213"/>
      <c r="X801" s="213"/>
      <c r="Y801" s="213"/>
      <c r="Z801" s="213"/>
      <c r="AA801" s="213"/>
      <c r="AB801" s="213"/>
      <c r="AC801" s="213"/>
      <c r="AD801" s="213"/>
      <c r="AE801" s="213"/>
      <c r="AF801" s="213"/>
      <c r="AG801" s="213"/>
      <c r="AH801" s="213"/>
      <c r="AI801" s="213"/>
      <c r="AJ801" s="213"/>
      <c r="AK801" s="213"/>
      <c r="AL801" s="213"/>
      <c r="AM801" s="213"/>
      <c r="AN801" s="213"/>
      <c r="AO801" s="213"/>
      <c r="AP801" s="213"/>
    </row>
    <row r="802" spans="1:25" s="107" customFormat="1" ht="34.5" customHeight="1">
      <c r="A802" s="293" t="s">
        <v>153</v>
      </c>
      <c r="B802" s="564" t="s">
        <v>35</v>
      </c>
      <c r="C802" s="1073">
        <f>CEILING(90*$Z$1,0.1)</f>
        <v>112.5</v>
      </c>
      <c r="D802" s="1074"/>
      <c r="E802" s="1073">
        <f>CEILING(90*$Z$1,0.1)</f>
        <v>112.5</v>
      </c>
      <c r="F802" s="1074"/>
      <c r="G802" s="1073">
        <f>CEILING(90*$Z$1,0.1)</f>
        <v>112.5</v>
      </c>
      <c r="H802" s="1074"/>
      <c r="I802" s="1061"/>
      <c r="J802" s="1061"/>
      <c r="K802" s="1061"/>
      <c r="L802" s="1061"/>
      <c r="M802" s="126"/>
      <c r="N802" s="126"/>
      <c r="O802" s="148"/>
      <c r="P802" s="565"/>
      <c r="Q802" s="105"/>
      <c r="R802" s="105"/>
      <c r="S802" s="105"/>
      <c r="T802" s="105"/>
      <c r="U802" s="105"/>
      <c r="V802" s="105"/>
      <c r="W802" s="105"/>
      <c r="X802" s="105"/>
      <c r="Y802" s="105"/>
    </row>
    <row r="803" spans="1:25" s="107" customFormat="1" ht="34.5" customHeight="1">
      <c r="A803" s="566"/>
      <c r="B803" s="321" t="s">
        <v>37</v>
      </c>
      <c r="C803" s="1057">
        <f>CEILING((C802+60*$Z$1),0.1)</f>
        <v>187.5</v>
      </c>
      <c r="D803" s="1058"/>
      <c r="E803" s="1057">
        <f>CEILING((E802+60*$Z$1),0.1)</f>
        <v>187.5</v>
      </c>
      <c r="F803" s="1058"/>
      <c r="G803" s="1057">
        <f>CEILING((G802+60*$Z$1),0.1)</f>
        <v>187.5</v>
      </c>
      <c r="H803" s="1058"/>
      <c r="I803" s="1061"/>
      <c r="J803" s="1061"/>
      <c r="K803" s="1061"/>
      <c r="L803" s="1061"/>
      <c r="M803" s="126"/>
      <c r="N803" s="126"/>
      <c r="O803" s="148"/>
      <c r="P803" s="565"/>
      <c r="Q803" s="105"/>
      <c r="R803" s="105"/>
      <c r="S803" s="105"/>
      <c r="T803" s="105"/>
      <c r="U803" s="105"/>
      <c r="V803" s="105"/>
      <c r="W803" s="105"/>
      <c r="X803" s="105"/>
      <c r="Y803" s="105"/>
    </row>
    <row r="804" spans="1:25" s="107" customFormat="1" ht="34.5" customHeight="1">
      <c r="A804" s="567"/>
      <c r="B804" s="321" t="s">
        <v>259</v>
      </c>
      <c r="C804" s="1057">
        <f>CEILING(100*$Z$1,0.1)</f>
        <v>125</v>
      </c>
      <c r="D804" s="1058"/>
      <c r="E804" s="1057">
        <f>CEILING(100*$Z$1,0.1)</f>
        <v>125</v>
      </c>
      <c r="F804" s="1058"/>
      <c r="G804" s="1057">
        <f>CEILING(100*$Z$1,0.1)</f>
        <v>125</v>
      </c>
      <c r="H804" s="1058"/>
      <c r="I804" s="1061"/>
      <c r="J804" s="1061"/>
      <c r="K804" s="1061"/>
      <c r="L804" s="1061"/>
      <c r="M804" s="126"/>
      <c r="N804" s="126"/>
      <c r="O804" s="148"/>
      <c r="P804" s="565"/>
      <c r="Q804" s="105"/>
      <c r="R804" s="105"/>
      <c r="S804" s="105"/>
      <c r="T804" s="105"/>
      <c r="U804" s="105"/>
      <c r="V804" s="105"/>
      <c r="W804" s="105"/>
      <c r="X804" s="105"/>
      <c r="Y804" s="105"/>
    </row>
    <row r="805" spans="1:25" s="107" customFormat="1" ht="34.5" customHeight="1">
      <c r="A805" s="566"/>
      <c r="B805" s="568" t="s">
        <v>260</v>
      </c>
      <c r="C805" s="1057">
        <f>CEILING(110*$Z$1,0.1)</f>
        <v>137.5</v>
      </c>
      <c r="D805" s="1058"/>
      <c r="E805" s="1057">
        <f>CEILING(110*$Z$1,0.1)</f>
        <v>137.5</v>
      </c>
      <c r="F805" s="1058"/>
      <c r="G805" s="1057">
        <f>CEILING(110*$Z$1,0.1)</f>
        <v>137.5</v>
      </c>
      <c r="H805" s="1058"/>
      <c r="I805" s="1061"/>
      <c r="J805" s="1061"/>
      <c r="K805" s="1061"/>
      <c r="L805" s="1061"/>
      <c r="M805" s="126"/>
      <c r="N805" s="126"/>
      <c r="O805" s="148"/>
      <c r="P805" s="565"/>
      <c r="Q805" s="105"/>
      <c r="R805" s="105"/>
      <c r="S805" s="105"/>
      <c r="T805" s="105"/>
      <c r="U805" s="105"/>
      <c r="V805" s="105"/>
      <c r="W805" s="105"/>
      <c r="X805" s="105"/>
      <c r="Y805" s="105"/>
    </row>
    <row r="806" spans="1:25" s="107" customFormat="1" ht="34.5" customHeight="1" thickBot="1">
      <c r="A806" s="569" t="s">
        <v>324</v>
      </c>
      <c r="B806" s="243" t="s">
        <v>154</v>
      </c>
      <c r="C806" s="1076">
        <f>CEILING(210*$Z$1,0.1)</f>
        <v>262.5</v>
      </c>
      <c r="D806" s="1077"/>
      <c r="E806" s="1076">
        <f>CEILING(210*$Z$1,0.1)</f>
        <v>262.5</v>
      </c>
      <c r="F806" s="1077"/>
      <c r="G806" s="1076">
        <f>CEILING(210*$Z$1,0.1)</f>
        <v>262.5</v>
      </c>
      <c r="H806" s="1077"/>
      <c r="I806" s="1061"/>
      <c r="J806" s="1061"/>
      <c r="K806" s="1061"/>
      <c r="L806" s="1061"/>
      <c r="M806" s="126"/>
      <c r="N806" s="126"/>
      <c r="O806" s="148"/>
      <c r="P806" s="565"/>
      <c r="Q806" s="105"/>
      <c r="R806" s="105"/>
      <c r="S806" s="105"/>
      <c r="T806" s="105"/>
      <c r="U806" s="105"/>
      <c r="V806" s="105"/>
      <c r="W806" s="105"/>
      <c r="X806" s="105"/>
      <c r="Y806" s="105"/>
    </row>
    <row r="807" spans="1:25" s="107" customFormat="1" ht="34.5" customHeight="1" thickTop="1">
      <c r="A807" s="1123" t="s">
        <v>169</v>
      </c>
      <c r="B807" s="1123"/>
      <c r="C807" s="1123"/>
      <c r="D807" s="1123"/>
      <c r="E807" s="1123"/>
      <c r="F807" s="1123"/>
      <c r="G807" s="1123"/>
      <c r="H807" s="1123"/>
      <c r="I807" s="1123"/>
      <c r="J807" s="1123"/>
      <c r="K807" s="138"/>
      <c r="L807" s="138"/>
      <c r="M807" s="126"/>
      <c r="N807" s="126"/>
      <c r="O807" s="148"/>
      <c r="P807" s="565"/>
      <c r="Q807" s="105"/>
      <c r="R807" s="105"/>
      <c r="S807" s="105"/>
      <c r="T807" s="105"/>
      <c r="U807" s="105"/>
      <c r="V807" s="105"/>
      <c r="W807" s="105"/>
      <c r="X807" s="105"/>
      <c r="Y807" s="105"/>
    </row>
    <row r="808" spans="1:25" s="107" customFormat="1" ht="34.5" customHeight="1" thickBot="1">
      <c r="A808" s="555"/>
      <c r="B808" s="329"/>
      <c r="C808" s="329"/>
      <c r="D808" s="329"/>
      <c r="E808" s="329"/>
      <c r="F808" s="329"/>
      <c r="G808" s="329"/>
      <c r="H808" s="329"/>
      <c r="I808" s="162"/>
      <c r="J808" s="162"/>
      <c r="K808" s="138"/>
      <c r="L808" s="138"/>
      <c r="M808" s="126"/>
      <c r="N808" s="126"/>
      <c r="O808" s="148"/>
      <c r="P808" s="565"/>
      <c r="Q808" s="105"/>
      <c r="R808" s="105"/>
      <c r="S808" s="105"/>
      <c r="T808" s="105"/>
      <c r="U808" s="105"/>
      <c r="V808" s="105"/>
      <c r="W808" s="105"/>
      <c r="X808" s="105"/>
      <c r="Y808" s="105"/>
    </row>
    <row r="809" spans="1:42" s="214" customFormat="1" ht="34.5" customHeight="1" thickTop="1">
      <c r="A809" s="207" t="s">
        <v>34</v>
      </c>
      <c r="B809" s="208" t="s">
        <v>637</v>
      </c>
      <c r="C809" s="209" t="s">
        <v>921</v>
      </c>
      <c r="D809" s="210"/>
      <c r="E809" s="211" t="s">
        <v>922</v>
      </c>
      <c r="F809" s="212"/>
      <c r="G809" s="211" t="s">
        <v>923</v>
      </c>
      <c r="H809" s="212"/>
      <c r="I809" s="1070"/>
      <c r="J809" s="1071"/>
      <c r="K809" s="1070"/>
      <c r="L809" s="1070"/>
      <c r="M809" s="174"/>
      <c r="N809" s="174"/>
      <c r="O809" s="213"/>
      <c r="P809" s="213"/>
      <c r="Q809" s="213"/>
      <c r="R809" s="213"/>
      <c r="S809" s="213"/>
      <c r="T809" s="213"/>
      <c r="U809" s="213"/>
      <c r="V809" s="213"/>
      <c r="W809" s="213"/>
      <c r="X809" s="213"/>
      <c r="Y809" s="213"/>
      <c r="Z809" s="213"/>
      <c r="AA809" s="213"/>
      <c r="AB809" s="213"/>
      <c r="AC809" s="213"/>
      <c r="AD809" s="213"/>
      <c r="AE809" s="213"/>
      <c r="AF809" s="213"/>
      <c r="AG809" s="213"/>
      <c r="AH809" s="213"/>
      <c r="AI809" s="213"/>
      <c r="AJ809" s="213"/>
      <c r="AK809" s="213"/>
      <c r="AL809" s="213"/>
      <c r="AM809" s="213"/>
      <c r="AN809" s="213"/>
      <c r="AO809" s="213"/>
      <c r="AP809" s="213"/>
    </row>
    <row r="810" spans="1:25" s="107" customFormat="1" ht="34.5" customHeight="1">
      <c r="A810" s="570" t="s">
        <v>410</v>
      </c>
      <c r="B810" s="564" t="s">
        <v>35</v>
      </c>
      <c r="C810" s="1073">
        <f>CEILING(44*$Z$1,0.1)</f>
        <v>55</v>
      </c>
      <c r="D810" s="1074"/>
      <c r="E810" s="1073">
        <f>CEILING(44*$Z$1,0.1)</f>
        <v>55</v>
      </c>
      <c r="F810" s="1074"/>
      <c r="G810" s="1073">
        <f>CEILING(44*$Z$1,0.1)</f>
        <v>55</v>
      </c>
      <c r="H810" s="1074"/>
      <c r="I810" s="1061"/>
      <c r="J810" s="1061"/>
      <c r="K810" s="1061"/>
      <c r="L810" s="1061"/>
      <c r="M810" s="126"/>
      <c r="N810" s="126"/>
      <c r="O810" s="148"/>
      <c r="P810" s="565"/>
      <c r="Q810" s="105"/>
      <c r="R810" s="105"/>
      <c r="S810" s="105"/>
      <c r="T810" s="105"/>
      <c r="U810" s="105"/>
      <c r="V810" s="105"/>
      <c r="W810" s="105"/>
      <c r="X810" s="105"/>
      <c r="Y810" s="105"/>
    </row>
    <row r="811" spans="1:25" s="107" customFormat="1" ht="34.5" customHeight="1">
      <c r="A811" s="295" t="s">
        <v>36</v>
      </c>
      <c r="B811" s="321" t="s">
        <v>37</v>
      </c>
      <c r="C811" s="1057">
        <f>CEILING((C810+25*$Z$1),0.1)</f>
        <v>86.30000000000001</v>
      </c>
      <c r="D811" s="1058"/>
      <c r="E811" s="1057">
        <f>CEILING((E810+25*$Z$1),0.1)</f>
        <v>86.30000000000001</v>
      </c>
      <c r="F811" s="1058"/>
      <c r="G811" s="1057">
        <f>CEILING((G810+25*$Z$1),0.1)</f>
        <v>86.30000000000001</v>
      </c>
      <c r="H811" s="1058"/>
      <c r="I811" s="1061"/>
      <c r="J811" s="1061"/>
      <c r="K811" s="1061"/>
      <c r="L811" s="1061"/>
      <c r="M811" s="126"/>
      <c r="N811" s="126"/>
      <c r="O811" s="148"/>
      <c r="P811" s="565"/>
      <c r="Q811" s="105"/>
      <c r="R811" s="105"/>
      <c r="S811" s="105"/>
      <c r="T811" s="105"/>
      <c r="U811" s="105"/>
      <c r="V811" s="105"/>
      <c r="W811" s="105"/>
      <c r="X811" s="105"/>
      <c r="Y811" s="105"/>
    </row>
    <row r="812" spans="1:25" s="107" customFormat="1" ht="34.5" customHeight="1">
      <c r="A812" s="295"/>
      <c r="B812" s="238" t="s">
        <v>70</v>
      </c>
      <c r="C812" s="1057">
        <f>CEILING((C810*0.85),0.1)</f>
        <v>46.800000000000004</v>
      </c>
      <c r="D812" s="1058"/>
      <c r="E812" s="1057">
        <f>CEILING((E810*0.85),0.1)</f>
        <v>46.800000000000004</v>
      </c>
      <c r="F812" s="1058"/>
      <c r="G812" s="1057">
        <f>CEILING((G810*0.85),0.1)</f>
        <v>46.800000000000004</v>
      </c>
      <c r="H812" s="1058"/>
      <c r="I812" s="1061"/>
      <c r="J812" s="1061"/>
      <c r="K812" s="1061"/>
      <c r="L812" s="1061"/>
      <c r="M812" s="126"/>
      <c r="N812" s="126"/>
      <c r="O812" s="148"/>
      <c r="P812" s="565"/>
      <c r="Q812" s="105"/>
      <c r="R812" s="105"/>
      <c r="S812" s="105"/>
      <c r="T812" s="105"/>
      <c r="U812" s="105"/>
      <c r="V812" s="105"/>
      <c r="W812" s="105"/>
      <c r="X812" s="105"/>
      <c r="Y812" s="105"/>
    </row>
    <row r="813" spans="1:25" s="107" customFormat="1" ht="34.5" customHeight="1">
      <c r="A813" s="134" t="s">
        <v>1099</v>
      </c>
      <c r="B813" s="398" t="s">
        <v>69</v>
      </c>
      <c r="C813" s="1057">
        <f>CEILING((C810*0),0.1)</f>
        <v>0</v>
      </c>
      <c r="D813" s="1058"/>
      <c r="E813" s="1057">
        <f>CEILING((E810*0),0.1)</f>
        <v>0</v>
      </c>
      <c r="F813" s="1058"/>
      <c r="G813" s="1057">
        <f>CEILING((G810*0),0.1)</f>
        <v>0</v>
      </c>
      <c r="H813" s="1058"/>
      <c r="I813" s="1061"/>
      <c r="J813" s="1061"/>
      <c r="K813" s="1061"/>
      <c r="L813" s="1061"/>
      <c r="M813" s="126"/>
      <c r="N813" s="126"/>
      <c r="O813" s="148"/>
      <c r="P813" s="565"/>
      <c r="Q813" s="105"/>
      <c r="R813" s="105"/>
      <c r="S813" s="105"/>
      <c r="T813" s="105"/>
      <c r="U813" s="105"/>
      <c r="V813" s="105"/>
      <c r="W813" s="105"/>
      <c r="X813" s="105"/>
      <c r="Y813" s="105"/>
    </row>
    <row r="814" spans="1:25" s="107" customFormat="1" ht="34.5" customHeight="1">
      <c r="A814" s="295"/>
      <c r="B814" s="330" t="s">
        <v>411</v>
      </c>
      <c r="C814" s="1057">
        <f>CEILING(52*$Z$1,0.1)</f>
        <v>65</v>
      </c>
      <c r="D814" s="1058"/>
      <c r="E814" s="1057">
        <f>CEILING(52*$Z$1,0.1)</f>
        <v>65</v>
      </c>
      <c r="F814" s="1058"/>
      <c r="G814" s="1057">
        <f>CEILING(52*$Z$1,0.1)</f>
        <v>65</v>
      </c>
      <c r="H814" s="1058"/>
      <c r="I814" s="1061"/>
      <c r="J814" s="1061"/>
      <c r="K814" s="1061"/>
      <c r="L814" s="1061"/>
      <c r="M814" s="126"/>
      <c r="N814" s="126"/>
      <c r="O814" s="148"/>
      <c r="P814" s="565"/>
      <c r="Q814" s="105"/>
      <c r="R814" s="105"/>
      <c r="S814" s="105"/>
      <c r="T814" s="105"/>
      <c r="U814" s="105"/>
      <c r="V814" s="105"/>
      <c r="W814" s="105"/>
      <c r="X814" s="105"/>
      <c r="Y814" s="105"/>
    </row>
    <row r="815" spans="1:25" s="107" customFormat="1" ht="34.5" customHeight="1">
      <c r="A815" s="295"/>
      <c r="B815" s="330" t="s">
        <v>660</v>
      </c>
      <c r="C815" s="1057">
        <f>CEILING(69*$Z$1,0.1)</f>
        <v>86.30000000000001</v>
      </c>
      <c r="D815" s="1058"/>
      <c r="E815" s="1057">
        <f>CEILING(69*$Z$1,0.1)</f>
        <v>86.30000000000001</v>
      </c>
      <c r="F815" s="1058"/>
      <c r="G815" s="1057">
        <f>CEILING(69*$Z$1,0.1)</f>
        <v>86.30000000000001</v>
      </c>
      <c r="H815" s="1058"/>
      <c r="I815" s="1061"/>
      <c r="J815" s="1061"/>
      <c r="K815" s="1061"/>
      <c r="L815" s="1061"/>
      <c r="M815" s="126"/>
      <c r="N815" s="126"/>
      <c r="O815" s="148"/>
      <c r="P815" s="565"/>
      <c r="Q815" s="105"/>
      <c r="R815" s="105"/>
      <c r="S815" s="105"/>
      <c r="T815" s="105"/>
      <c r="U815" s="105"/>
      <c r="V815" s="105"/>
      <c r="W815" s="105"/>
      <c r="X815" s="105"/>
      <c r="Y815" s="105"/>
    </row>
    <row r="816" spans="1:25" s="107" customFormat="1" ht="34.5" customHeight="1" thickBot="1">
      <c r="A816" s="363" t="s">
        <v>323</v>
      </c>
      <c r="B816" s="571" t="s">
        <v>661</v>
      </c>
      <c r="C816" s="1076">
        <f>CEILING(54*$Z$1,0.1)</f>
        <v>67.5</v>
      </c>
      <c r="D816" s="1077"/>
      <c r="E816" s="1076">
        <f>CEILING(54*$Z$1,0.1)</f>
        <v>67.5</v>
      </c>
      <c r="F816" s="1077"/>
      <c r="G816" s="1076">
        <f>CEILING(54*$Z$1,0.1)</f>
        <v>67.5</v>
      </c>
      <c r="H816" s="1077"/>
      <c r="I816" s="1061"/>
      <c r="J816" s="1061"/>
      <c r="K816" s="1061"/>
      <c r="L816" s="1061"/>
      <c r="M816" s="126"/>
      <c r="N816" s="126"/>
      <c r="O816" s="148"/>
      <c r="P816" s="565"/>
      <c r="Q816" s="105"/>
      <c r="R816" s="105"/>
      <c r="S816" s="105"/>
      <c r="T816" s="105"/>
      <c r="U816" s="105"/>
      <c r="V816" s="105"/>
      <c r="W816" s="105"/>
      <c r="X816" s="105"/>
      <c r="Y816" s="105"/>
    </row>
    <row r="817" spans="1:25" s="135" customFormat="1" ht="34.5" customHeight="1" thickTop="1">
      <c r="A817" s="201" t="s">
        <v>412</v>
      </c>
      <c r="B817" s="202"/>
      <c r="C817" s="182"/>
      <c r="D817" s="182"/>
      <c r="E817" s="182"/>
      <c r="F817" s="182"/>
      <c r="G817" s="182"/>
      <c r="H817" s="182"/>
      <c r="I817" s="182"/>
      <c r="J817" s="182"/>
      <c r="K817" s="203"/>
      <c r="L817" s="203"/>
      <c r="M817" s="204"/>
      <c r="N817" s="204"/>
      <c r="O817" s="182"/>
      <c r="P817" s="205"/>
      <c r="Q817" s="136"/>
      <c r="R817" s="136"/>
      <c r="S817" s="136"/>
      <c r="T817" s="136"/>
      <c r="U817" s="136"/>
      <c r="V817" s="136"/>
      <c r="W817" s="136"/>
      <c r="X817" s="136"/>
      <c r="Y817" s="136"/>
    </row>
    <row r="818" spans="1:25" s="107" customFormat="1" ht="34.5" customHeight="1" thickBot="1">
      <c r="A818" s="285"/>
      <c r="B818" s="255"/>
      <c r="C818" s="148"/>
      <c r="D818" s="148"/>
      <c r="E818" s="148"/>
      <c r="F818" s="148"/>
      <c r="G818" s="148"/>
      <c r="H818" s="148"/>
      <c r="I818" s="148"/>
      <c r="J818" s="148"/>
      <c r="K818" s="157"/>
      <c r="L818" s="157"/>
      <c r="M818" s="110"/>
      <c r="N818" s="111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</row>
    <row r="819" spans="1:42" s="214" customFormat="1" ht="34.5" customHeight="1" thickTop="1">
      <c r="A819" s="207" t="s">
        <v>34</v>
      </c>
      <c r="B819" s="208" t="s">
        <v>637</v>
      </c>
      <c r="C819" s="209" t="s">
        <v>921</v>
      </c>
      <c r="D819" s="210"/>
      <c r="E819" s="211" t="s">
        <v>922</v>
      </c>
      <c r="F819" s="212"/>
      <c r="G819" s="211" t="s">
        <v>923</v>
      </c>
      <c r="H819" s="212"/>
      <c r="I819" s="1070"/>
      <c r="J819" s="1071"/>
      <c r="K819" s="1070"/>
      <c r="L819" s="1070"/>
      <c r="M819" s="174"/>
      <c r="N819" s="174"/>
      <c r="O819" s="213"/>
      <c r="P819" s="213"/>
      <c r="Q819" s="213"/>
      <c r="R819" s="213"/>
      <c r="S819" s="213"/>
      <c r="T819" s="213"/>
      <c r="U819" s="213"/>
      <c r="V819" s="213"/>
      <c r="W819" s="213"/>
      <c r="X819" s="213"/>
      <c r="Y819" s="213"/>
      <c r="Z819" s="213"/>
      <c r="AA819" s="213"/>
      <c r="AB819" s="213"/>
      <c r="AC819" s="213"/>
      <c r="AD819" s="213"/>
      <c r="AE819" s="213"/>
      <c r="AF819" s="213"/>
      <c r="AG819" s="213"/>
      <c r="AH819" s="213"/>
      <c r="AI819" s="213"/>
      <c r="AJ819" s="213"/>
      <c r="AK819" s="213"/>
      <c r="AL819" s="213"/>
      <c r="AM819" s="213"/>
      <c r="AN819" s="213"/>
      <c r="AO819" s="213"/>
      <c r="AP819" s="213"/>
    </row>
    <row r="820" spans="1:25" s="107" customFormat="1" ht="34.5" customHeight="1">
      <c r="A820" s="254" t="s">
        <v>335</v>
      </c>
      <c r="B820" s="572" t="s">
        <v>35</v>
      </c>
      <c r="C820" s="1073">
        <f>CEILING(40*$Z$1,0.1)</f>
        <v>50</v>
      </c>
      <c r="D820" s="1074"/>
      <c r="E820" s="1073">
        <f>CEILING(40*$Z$1,0.1)</f>
        <v>50</v>
      </c>
      <c r="F820" s="1074"/>
      <c r="G820" s="1073">
        <f>CEILING(40*$Z$1,0.1)</f>
        <v>50</v>
      </c>
      <c r="H820" s="1074"/>
      <c r="I820" s="1061"/>
      <c r="J820" s="1061"/>
      <c r="K820" s="1061"/>
      <c r="L820" s="1061"/>
      <c r="M820" s="110"/>
      <c r="N820" s="111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</row>
    <row r="821" spans="1:25" s="107" customFormat="1" ht="34.5" customHeight="1">
      <c r="A821" s="351" t="s">
        <v>36</v>
      </c>
      <c r="B821" s="548" t="s">
        <v>37</v>
      </c>
      <c r="C821" s="1057">
        <f>CEILING((C820+20*$Z$1),0.1)</f>
        <v>75</v>
      </c>
      <c r="D821" s="1058"/>
      <c r="E821" s="1057">
        <f>CEILING((E820+20*$Z$1),0.1)</f>
        <v>75</v>
      </c>
      <c r="F821" s="1058"/>
      <c r="G821" s="1057">
        <f>CEILING((G820+20*$Z$1),0.1)</f>
        <v>75</v>
      </c>
      <c r="H821" s="1058"/>
      <c r="I821" s="1061"/>
      <c r="J821" s="1061"/>
      <c r="K821" s="1061"/>
      <c r="L821" s="1061"/>
      <c r="M821" s="110"/>
      <c r="N821" s="111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</row>
    <row r="822" spans="1:25" s="107" customFormat="1" ht="34.5" customHeight="1">
      <c r="A822" s="355" t="s">
        <v>1099</v>
      </c>
      <c r="B822" s="124" t="s">
        <v>70</v>
      </c>
      <c r="C822" s="1057">
        <f>CEILING((C820*0.85),0.1)</f>
        <v>42.5</v>
      </c>
      <c r="D822" s="1058"/>
      <c r="E822" s="1057">
        <f>CEILING((E820*0.85),0.1)</f>
        <v>42.5</v>
      </c>
      <c r="F822" s="1058"/>
      <c r="G822" s="1057">
        <f>CEILING((G820*0.85),0.1)</f>
        <v>42.5</v>
      </c>
      <c r="H822" s="1058"/>
      <c r="I822" s="1061"/>
      <c r="J822" s="1061"/>
      <c r="K822" s="1061"/>
      <c r="L822" s="1061"/>
      <c r="M822" s="110"/>
      <c r="N822" s="111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</row>
    <row r="823" spans="1:25" s="107" customFormat="1" ht="34.5" customHeight="1">
      <c r="A823" s="133"/>
      <c r="B823" s="103" t="s">
        <v>69</v>
      </c>
      <c r="C823" s="1057">
        <f>CEILING((C820*0.5),0.1)</f>
        <v>25</v>
      </c>
      <c r="D823" s="1058"/>
      <c r="E823" s="1057">
        <f>CEILING((E820*0.5),0.1)</f>
        <v>25</v>
      </c>
      <c r="F823" s="1058"/>
      <c r="G823" s="1057">
        <f>CEILING((G820*0.5),0.1)</f>
        <v>25</v>
      </c>
      <c r="H823" s="1058"/>
      <c r="I823" s="1061"/>
      <c r="J823" s="1061"/>
      <c r="K823" s="1061"/>
      <c r="L823" s="1061"/>
      <c r="M823" s="110"/>
      <c r="N823" s="111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</row>
    <row r="824" spans="1:25" s="107" customFormat="1" ht="34.5" customHeight="1" thickBot="1">
      <c r="A824" s="363" t="s">
        <v>323</v>
      </c>
      <c r="B824" s="404" t="s">
        <v>168</v>
      </c>
      <c r="C824" s="1076">
        <f>CEILING(50*$Z$1,0.1)</f>
        <v>62.5</v>
      </c>
      <c r="D824" s="1077"/>
      <c r="E824" s="1076">
        <f>CEILING(50*$Z$1,0.1)</f>
        <v>62.5</v>
      </c>
      <c r="F824" s="1077"/>
      <c r="G824" s="1076">
        <f>CEILING(50*$Z$1,0.1)</f>
        <v>62.5</v>
      </c>
      <c r="H824" s="1077"/>
      <c r="I824" s="1061"/>
      <c r="J824" s="1061"/>
      <c r="K824" s="1061"/>
      <c r="L824" s="1061"/>
      <c r="M824" s="110"/>
      <c r="N824" s="111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</row>
    <row r="825" spans="1:25" s="107" customFormat="1" ht="34.5" customHeight="1" thickTop="1">
      <c r="A825" s="573"/>
      <c r="B825" s="103"/>
      <c r="C825" s="239"/>
      <c r="D825" s="239"/>
      <c r="E825" s="239"/>
      <c r="F825" s="239"/>
      <c r="G825" s="239"/>
      <c r="H825" s="239"/>
      <c r="I825" s="239"/>
      <c r="J825" s="239"/>
      <c r="K825" s="239"/>
      <c r="L825" s="239"/>
      <c r="M825" s="110"/>
      <c r="N825" s="111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</row>
    <row r="826" spans="1:25" s="107" customFormat="1" ht="34.5" customHeight="1" thickBot="1">
      <c r="A826" s="285"/>
      <c r="B826" s="103"/>
      <c r="C826" s="1122"/>
      <c r="D826" s="1122"/>
      <c r="E826" s="1148"/>
      <c r="F826" s="1148"/>
      <c r="G826" s="1148"/>
      <c r="H826" s="1148"/>
      <c r="I826" s="1148"/>
      <c r="J826" s="1148"/>
      <c r="K826" s="104"/>
      <c r="L826" s="104"/>
      <c r="M826" s="110"/>
      <c r="N826" s="111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</row>
    <row r="827" spans="1:42" s="214" customFormat="1" ht="34.5" customHeight="1" thickTop="1">
      <c r="A827" s="207" t="s">
        <v>34</v>
      </c>
      <c r="B827" s="208" t="s">
        <v>637</v>
      </c>
      <c r="C827" s="209" t="s">
        <v>921</v>
      </c>
      <c r="D827" s="210"/>
      <c r="E827" s="211" t="s">
        <v>922</v>
      </c>
      <c r="F827" s="212"/>
      <c r="G827" s="211" t="s">
        <v>923</v>
      </c>
      <c r="H827" s="212"/>
      <c r="I827" s="1070"/>
      <c r="J827" s="1071"/>
      <c r="K827" s="1070"/>
      <c r="L827" s="1070"/>
      <c r="M827" s="174"/>
      <c r="N827" s="174"/>
      <c r="O827" s="213"/>
      <c r="P827" s="213"/>
      <c r="Q827" s="213"/>
      <c r="R827" s="213"/>
      <c r="S827" s="213"/>
      <c r="T827" s="213"/>
      <c r="U827" s="213"/>
      <c r="V827" s="213"/>
      <c r="W827" s="213"/>
      <c r="X827" s="213"/>
      <c r="Y827" s="213"/>
      <c r="Z827" s="213"/>
      <c r="AA827" s="213"/>
      <c r="AB827" s="213"/>
      <c r="AC827" s="213"/>
      <c r="AD827" s="213"/>
      <c r="AE827" s="213"/>
      <c r="AF827" s="213"/>
      <c r="AG827" s="213"/>
      <c r="AH827" s="213"/>
      <c r="AI827" s="213"/>
      <c r="AJ827" s="213"/>
      <c r="AK827" s="213"/>
      <c r="AL827" s="213"/>
      <c r="AM827" s="213"/>
      <c r="AN827" s="213"/>
      <c r="AO827" s="213"/>
      <c r="AP827" s="213"/>
    </row>
    <row r="828" spans="1:25" s="107" customFormat="1" ht="34.5" customHeight="1">
      <c r="A828" s="574" t="s">
        <v>0</v>
      </c>
      <c r="B828" s="564" t="s">
        <v>623</v>
      </c>
      <c r="C828" s="1073">
        <f>CEILING(37*$Z$1,0.1)</f>
        <v>46.300000000000004</v>
      </c>
      <c r="D828" s="1074"/>
      <c r="E828" s="1073">
        <f>CEILING(37*$Z$1,0.1)</f>
        <v>46.300000000000004</v>
      </c>
      <c r="F828" s="1074"/>
      <c r="G828" s="1073">
        <f>CEILING(37*$Z$1,0.1)</f>
        <v>46.300000000000004</v>
      </c>
      <c r="H828" s="1074"/>
      <c r="I828" s="1061"/>
      <c r="J828" s="1061"/>
      <c r="K828" s="1061"/>
      <c r="L828" s="1061"/>
      <c r="M828" s="126"/>
      <c r="N828" s="126"/>
      <c r="O828" s="148"/>
      <c r="P828" s="565"/>
      <c r="Q828" s="105"/>
      <c r="R828" s="105"/>
      <c r="S828" s="105"/>
      <c r="T828" s="105"/>
      <c r="U828" s="105"/>
      <c r="V828" s="105"/>
      <c r="W828" s="105"/>
      <c r="X828" s="105"/>
      <c r="Y828" s="105"/>
    </row>
    <row r="829" spans="1:25" s="107" customFormat="1" ht="34.5" customHeight="1">
      <c r="A829" s="295" t="s">
        <v>50</v>
      </c>
      <c r="B829" s="321" t="s">
        <v>624</v>
      </c>
      <c r="C829" s="1057">
        <f>CEILING((C828+18*$Z$1),0.1)</f>
        <v>68.8</v>
      </c>
      <c r="D829" s="1058"/>
      <c r="E829" s="1057">
        <f>CEILING((E828+18*$Z$1),0.1)</f>
        <v>68.8</v>
      </c>
      <c r="F829" s="1058"/>
      <c r="G829" s="1057">
        <f>CEILING((G828+18*$Z$1),0.1)</f>
        <v>68.8</v>
      </c>
      <c r="H829" s="1058"/>
      <c r="I829" s="1061"/>
      <c r="J829" s="1061"/>
      <c r="K829" s="1061"/>
      <c r="L829" s="1061"/>
      <c r="M829" s="126"/>
      <c r="N829" s="126"/>
      <c r="O829" s="148"/>
      <c r="P829" s="565"/>
      <c r="Q829" s="105"/>
      <c r="R829" s="105"/>
      <c r="S829" s="105"/>
      <c r="T829" s="105"/>
      <c r="U829" s="105"/>
      <c r="V829" s="105"/>
      <c r="W829" s="105"/>
      <c r="X829" s="105"/>
      <c r="Y829" s="105"/>
    </row>
    <row r="830" spans="1:25" s="107" customFormat="1" ht="34.5" customHeight="1">
      <c r="A830" s="295"/>
      <c r="B830" s="238" t="s">
        <v>70</v>
      </c>
      <c r="C830" s="1057">
        <f>CEILING((C828*0.85),0.1)</f>
        <v>39.400000000000006</v>
      </c>
      <c r="D830" s="1058"/>
      <c r="E830" s="1057">
        <f>CEILING((E828*0.85),0.1)</f>
        <v>39.400000000000006</v>
      </c>
      <c r="F830" s="1058"/>
      <c r="G830" s="1057">
        <f>CEILING((G828*0.85),0.1)</f>
        <v>39.400000000000006</v>
      </c>
      <c r="H830" s="1058"/>
      <c r="I830" s="1061"/>
      <c r="J830" s="1061"/>
      <c r="K830" s="1061"/>
      <c r="L830" s="1061"/>
      <c r="M830" s="126"/>
      <c r="N830" s="126"/>
      <c r="O830" s="148"/>
      <c r="P830" s="565"/>
      <c r="Q830" s="105"/>
      <c r="R830" s="105"/>
      <c r="S830" s="105"/>
      <c r="T830" s="105"/>
      <c r="U830" s="105"/>
      <c r="V830" s="105"/>
      <c r="W830" s="105"/>
      <c r="X830" s="105"/>
      <c r="Y830" s="105"/>
    </row>
    <row r="831" spans="1:25" s="107" customFormat="1" ht="34.5" customHeight="1">
      <c r="A831" s="134"/>
      <c r="B831" s="398" t="s">
        <v>69</v>
      </c>
      <c r="C831" s="1057">
        <f>CEILING((C828*0),0.1)</f>
        <v>0</v>
      </c>
      <c r="D831" s="1058"/>
      <c r="E831" s="1057">
        <f>CEILING((E828*0),0.1)</f>
        <v>0</v>
      </c>
      <c r="F831" s="1058"/>
      <c r="G831" s="1057">
        <f>CEILING((G828*0),0.1)</f>
        <v>0</v>
      </c>
      <c r="H831" s="1058"/>
      <c r="I831" s="1061"/>
      <c r="J831" s="1061"/>
      <c r="K831" s="1061"/>
      <c r="L831" s="1061"/>
      <c r="M831" s="126"/>
      <c r="N831" s="126"/>
      <c r="O831" s="148"/>
      <c r="P831" s="565"/>
      <c r="Q831" s="105"/>
      <c r="R831" s="105"/>
      <c r="S831" s="105"/>
      <c r="T831" s="105"/>
      <c r="U831" s="105"/>
      <c r="V831" s="105"/>
      <c r="W831" s="105"/>
      <c r="X831" s="105"/>
      <c r="Y831" s="105"/>
    </row>
    <row r="832" spans="1:25" s="107" customFormat="1" ht="34.5" customHeight="1">
      <c r="A832" s="116" t="s">
        <v>1099</v>
      </c>
      <c r="B832" s="330" t="s">
        <v>662</v>
      </c>
      <c r="C832" s="1057">
        <f>CEILING(45*$Z$1,0.1)</f>
        <v>56.300000000000004</v>
      </c>
      <c r="D832" s="1058"/>
      <c r="E832" s="1057">
        <f>CEILING(45*$Z$1,0.1)</f>
        <v>56.300000000000004</v>
      </c>
      <c r="F832" s="1058"/>
      <c r="G832" s="1057">
        <f>CEILING(45*$Z$1,0.1)</f>
        <v>56.300000000000004</v>
      </c>
      <c r="H832" s="1058"/>
      <c r="I832" s="1061"/>
      <c r="J832" s="1061"/>
      <c r="K832" s="1061"/>
      <c r="L832" s="1061"/>
      <c r="M832" s="126"/>
      <c r="N832" s="126"/>
      <c r="O832" s="148"/>
      <c r="P832" s="565"/>
      <c r="Q832" s="105"/>
      <c r="R832" s="105"/>
      <c r="S832" s="105"/>
      <c r="T832" s="105"/>
      <c r="U832" s="105"/>
      <c r="V832" s="105"/>
      <c r="W832" s="105"/>
      <c r="X832" s="105"/>
      <c r="Y832" s="105"/>
    </row>
    <row r="833" spans="1:25" s="107" customFormat="1" ht="34.5" customHeight="1">
      <c r="A833" s="295"/>
      <c r="B833" s="330" t="s">
        <v>660</v>
      </c>
      <c r="C833" s="1057">
        <f>CEILING(57*$Z$1,0.1)</f>
        <v>71.3</v>
      </c>
      <c r="D833" s="1058"/>
      <c r="E833" s="1057">
        <f>CEILING(57*$Z$1,0.1)</f>
        <v>71.3</v>
      </c>
      <c r="F833" s="1058"/>
      <c r="G833" s="1057">
        <f>CEILING(57*$Z$1,0.1)</f>
        <v>71.3</v>
      </c>
      <c r="H833" s="1058"/>
      <c r="I833" s="1061"/>
      <c r="J833" s="1061"/>
      <c r="K833" s="1061"/>
      <c r="L833" s="1061"/>
      <c r="M833" s="126"/>
      <c r="N833" s="126"/>
      <c r="O833" s="148"/>
      <c r="P833" s="565"/>
      <c r="Q833" s="105"/>
      <c r="R833" s="105"/>
      <c r="S833" s="105"/>
      <c r="T833" s="105"/>
      <c r="U833" s="105"/>
      <c r="V833" s="105"/>
      <c r="W833" s="105"/>
      <c r="X833" s="105"/>
      <c r="Y833" s="105"/>
    </row>
    <row r="834" spans="1:25" s="107" customFormat="1" ht="34.5" customHeight="1" thickBot="1">
      <c r="A834" s="363" t="s">
        <v>323</v>
      </c>
      <c r="B834" s="571" t="s">
        <v>663</v>
      </c>
      <c r="C834" s="1076">
        <f>CEILING(62*$Z$1,0.1)</f>
        <v>77.5</v>
      </c>
      <c r="D834" s="1077"/>
      <c r="E834" s="1076">
        <f>CEILING(62*$Z$1,0.1)</f>
        <v>77.5</v>
      </c>
      <c r="F834" s="1077"/>
      <c r="G834" s="1076">
        <f>CEILING(62*$Z$1,0.1)</f>
        <v>77.5</v>
      </c>
      <c r="H834" s="1077"/>
      <c r="I834" s="1061"/>
      <c r="J834" s="1061"/>
      <c r="K834" s="1061"/>
      <c r="L834" s="1061"/>
      <c r="M834" s="126"/>
      <c r="N834" s="126"/>
      <c r="O834" s="148"/>
      <c r="P834" s="565"/>
      <c r="Q834" s="105"/>
      <c r="R834" s="105"/>
      <c r="S834" s="105"/>
      <c r="T834" s="105"/>
      <c r="U834" s="105"/>
      <c r="V834" s="105"/>
      <c r="W834" s="105"/>
      <c r="X834" s="105"/>
      <c r="Y834" s="105"/>
    </row>
    <row r="835" spans="1:34" s="140" customFormat="1" ht="34.5" customHeight="1" thickBot="1" thickTop="1">
      <c r="A835" s="575"/>
      <c r="B835" s="576"/>
      <c r="C835" s="577"/>
      <c r="D835" s="577"/>
      <c r="E835" s="577"/>
      <c r="F835" s="577"/>
      <c r="G835" s="577"/>
      <c r="H835" s="577"/>
      <c r="I835" s="577"/>
      <c r="J835" s="577"/>
      <c r="K835" s="113"/>
      <c r="L835" s="113"/>
      <c r="M835" s="124"/>
      <c r="N835" s="103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  <c r="Z835" s="114"/>
      <c r="AA835" s="114"/>
      <c r="AB835" s="114"/>
      <c r="AC835" s="114"/>
      <c r="AD835" s="114"/>
      <c r="AE835" s="114"/>
      <c r="AF835" s="114"/>
      <c r="AG835" s="114"/>
      <c r="AH835" s="114"/>
    </row>
    <row r="836" spans="1:42" s="214" customFormat="1" ht="34.5" customHeight="1" thickTop="1">
      <c r="A836" s="207" t="s">
        <v>34</v>
      </c>
      <c r="B836" s="208" t="s">
        <v>637</v>
      </c>
      <c r="C836" s="209" t="s">
        <v>921</v>
      </c>
      <c r="D836" s="210"/>
      <c r="E836" s="211" t="s">
        <v>1075</v>
      </c>
      <c r="F836" s="212"/>
      <c r="G836" s="211" t="s">
        <v>996</v>
      </c>
      <c r="H836" s="212"/>
      <c r="I836" s="1070"/>
      <c r="J836" s="1071"/>
      <c r="K836" s="1070"/>
      <c r="L836" s="1070"/>
      <c r="M836" s="174"/>
      <c r="N836" s="174"/>
      <c r="O836" s="213"/>
      <c r="P836" s="213"/>
      <c r="Q836" s="213"/>
      <c r="R836" s="213"/>
      <c r="S836" s="213"/>
      <c r="T836" s="213"/>
      <c r="U836" s="213"/>
      <c r="V836" s="213"/>
      <c r="W836" s="213"/>
      <c r="X836" s="213"/>
      <c r="Y836" s="213"/>
      <c r="Z836" s="213"/>
      <c r="AA836" s="213"/>
      <c r="AB836" s="213"/>
      <c r="AC836" s="213"/>
      <c r="AD836" s="213"/>
      <c r="AE836" s="213"/>
      <c r="AF836" s="213"/>
      <c r="AG836" s="213"/>
      <c r="AH836" s="213"/>
      <c r="AI836" s="213"/>
      <c r="AJ836" s="213"/>
      <c r="AK836" s="213"/>
      <c r="AL836" s="213"/>
      <c r="AM836" s="213"/>
      <c r="AN836" s="213"/>
      <c r="AO836" s="213"/>
      <c r="AP836" s="213"/>
    </row>
    <row r="837" spans="1:63" s="107" customFormat="1" ht="34.5" customHeight="1">
      <c r="A837" s="358" t="s">
        <v>541</v>
      </c>
      <c r="B837" s="407" t="s">
        <v>543</v>
      </c>
      <c r="C837" s="1063">
        <f>CEILING(45*$Z$1,0.1)</f>
        <v>56.300000000000004</v>
      </c>
      <c r="D837" s="1064"/>
      <c r="E837" s="1063">
        <f>CEILING(45*$Z$1,0.1)</f>
        <v>56.300000000000004</v>
      </c>
      <c r="F837" s="1064"/>
      <c r="G837" s="1063">
        <f>CEILING(43*$Z$1,0.1)</f>
        <v>53.800000000000004</v>
      </c>
      <c r="H837" s="1064"/>
      <c r="I837" s="1061"/>
      <c r="J837" s="1061"/>
      <c r="K837" s="1061"/>
      <c r="L837" s="1061"/>
      <c r="M837" s="124"/>
      <c r="N837" s="103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  <c r="Z837" s="114"/>
      <c r="AA837" s="114"/>
      <c r="AB837" s="114"/>
      <c r="AC837" s="114"/>
      <c r="AD837" s="114"/>
      <c r="AE837" s="114"/>
      <c r="AF837" s="114"/>
      <c r="AG837" s="114"/>
      <c r="AH837" s="114"/>
      <c r="AI837" s="114"/>
      <c r="AJ837" s="114"/>
      <c r="AK837" s="114"/>
      <c r="AL837" s="114"/>
      <c r="AM837" s="114"/>
      <c r="AN837" s="114"/>
      <c r="AO837" s="114"/>
      <c r="AP837" s="114"/>
      <c r="AQ837" s="114"/>
      <c r="AR837" s="114"/>
      <c r="AS837" s="114"/>
      <c r="AT837" s="114"/>
      <c r="AU837" s="114"/>
      <c r="AV837" s="114"/>
      <c r="AW837" s="114"/>
      <c r="AX837" s="114"/>
      <c r="AY837" s="114"/>
      <c r="AZ837" s="114"/>
      <c r="BA837" s="114"/>
      <c r="BB837" s="114"/>
      <c r="BC837" s="114"/>
      <c r="BD837" s="114"/>
      <c r="BE837" s="114"/>
      <c r="BF837" s="114"/>
      <c r="BG837" s="114"/>
      <c r="BH837" s="114"/>
      <c r="BI837" s="114"/>
      <c r="BJ837" s="114"/>
      <c r="BK837" s="114"/>
    </row>
    <row r="838" spans="1:34" s="107" customFormat="1" ht="34.5" customHeight="1">
      <c r="A838" s="359" t="s">
        <v>697</v>
      </c>
      <c r="B838" s="219" t="s">
        <v>544</v>
      </c>
      <c r="C838" s="1065">
        <f>CEILING((C837+20*$Z$1),0.1)</f>
        <v>81.30000000000001</v>
      </c>
      <c r="D838" s="1066"/>
      <c r="E838" s="1065">
        <f>CEILING((E837+20*$Z$1),0.1)</f>
        <v>81.30000000000001</v>
      </c>
      <c r="F838" s="1066"/>
      <c r="G838" s="1065">
        <f>CEILING((G837+20*$Z$1),0.1)</f>
        <v>78.80000000000001</v>
      </c>
      <c r="H838" s="1066"/>
      <c r="I838" s="1061"/>
      <c r="J838" s="1061"/>
      <c r="K838" s="1061"/>
      <c r="L838" s="1061"/>
      <c r="M838" s="124"/>
      <c r="N838" s="111"/>
      <c r="O838" s="158"/>
      <c r="P838" s="158"/>
      <c r="Q838" s="158"/>
      <c r="R838" s="158"/>
      <c r="S838" s="158"/>
      <c r="T838" s="158"/>
      <c r="U838" s="158"/>
      <c r="V838" s="158"/>
      <c r="W838" s="158"/>
      <c r="X838" s="158"/>
      <c r="Y838" s="158"/>
      <c r="Z838" s="158"/>
      <c r="AA838" s="158"/>
      <c r="AB838" s="158"/>
      <c r="AC838" s="158"/>
      <c r="AD838" s="158"/>
      <c r="AE838" s="158"/>
      <c r="AF838" s="158"/>
      <c r="AG838" s="158"/>
      <c r="AH838" s="158"/>
    </row>
    <row r="839" spans="1:34" s="107" customFormat="1" ht="34.5" customHeight="1">
      <c r="A839" s="360"/>
      <c r="B839" s="218" t="s">
        <v>545</v>
      </c>
      <c r="C839" s="1065">
        <f>CEILING(55*$Z$1,0.1)</f>
        <v>68.8</v>
      </c>
      <c r="D839" s="1066"/>
      <c r="E839" s="1065">
        <f>CEILING(55*$Z$1,0.1)</f>
        <v>68.8</v>
      </c>
      <c r="F839" s="1066"/>
      <c r="G839" s="1065">
        <f>CEILING(53*$Z$1,0.1)</f>
        <v>66.3</v>
      </c>
      <c r="H839" s="1066"/>
      <c r="I839" s="1061"/>
      <c r="J839" s="1061"/>
      <c r="K839" s="1061"/>
      <c r="L839" s="1061"/>
      <c r="M839" s="124"/>
      <c r="N839" s="111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  <c r="AA839" s="158"/>
      <c r="AB839" s="158"/>
      <c r="AC839" s="158"/>
      <c r="AD839" s="158"/>
      <c r="AE839" s="158"/>
      <c r="AF839" s="158"/>
      <c r="AG839" s="158"/>
      <c r="AH839" s="158"/>
    </row>
    <row r="840" spans="1:34" s="107" customFormat="1" ht="34.5" customHeight="1">
      <c r="A840" s="399"/>
      <c r="B840" s="218" t="s">
        <v>305</v>
      </c>
      <c r="C840" s="1065">
        <f>CEILING((C839+20*$Z$1),0.1)</f>
        <v>93.80000000000001</v>
      </c>
      <c r="D840" s="1066"/>
      <c r="E840" s="1065">
        <f>CEILING((E839+20*$Z$1),0.1)</f>
        <v>93.80000000000001</v>
      </c>
      <c r="F840" s="1066"/>
      <c r="G840" s="1065">
        <f>CEILING((G839+20*$Z$1),0.1)</f>
        <v>91.30000000000001</v>
      </c>
      <c r="H840" s="1066"/>
      <c r="I840" s="1061"/>
      <c r="J840" s="1061"/>
      <c r="K840" s="1061"/>
      <c r="L840" s="1061"/>
      <c r="M840" s="124"/>
      <c r="N840" s="111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  <c r="Z840" s="158"/>
      <c r="AA840" s="158"/>
      <c r="AB840" s="158"/>
      <c r="AC840" s="158"/>
      <c r="AD840" s="158"/>
      <c r="AE840" s="158"/>
      <c r="AF840" s="158"/>
      <c r="AG840" s="158"/>
      <c r="AH840" s="158"/>
    </row>
    <row r="841" spans="1:34" s="107" customFormat="1" ht="34.5" customHeight="1">
      <c r="A841" s="399"/>
      <c r="B841" s="218" t="s">
        <v>698</v>
      </c>
      <c r="C841" s="1065">
        <f>CEILING(60*$Z$1,0.1)</f>
        <v>75</v>
      </c>
      <c r="D841" s="1066"/>
      <c r="E841" s="1065">
        <f>CEILING(60*$Z$1,0.1)</f>
        <v>75</v>
      </c>
      <c r="F841" s="1066"/>
      <c r="G841" s="1065">
        <f>CEILING(58*$Z$1,0.1)</f>
        <v>72.5</v>
      </c>
      <c r="H841" s="1066"/>
      <c r="I841" s="1061"/>
      <c r="J841" s="1061"/>
      <c r="K841" s="1061"/>
      <c r="L841" s="1061"/>
      <c r="M841" s="124"/>
      <c r="N841" s="111"/>
      <c r="O841" s="158"/>
      <c r="P841" s="158"/>
      <c r="Q841" s="158"/>
      <c r="R841" s="158"/>
      <c r="S841" s="158"/>
      <c r="T841" s="158"/>
      <c r="U841" s="158"/>
      <c r="V841" s="158"/>
      <c r="W841" s="158"/>
      <c r="X841" s="158"/>
      <c r="Y841" s="158"/>
      <c r="Z841" s="158"/>
      <c r="AA841" s="158"/>
      <c r="AB841" s="158"/>
      <c r="AC841" s="158"/>
      <c r="AD841" s="158"/>
      <c r="AE841" s="158"/>
      <c r="AF841" s="158"/>
      <c r="AG841" s="158"/>
      <c r="AH841" s="158"/>
    </row>
    <row r="842" spans="1:34" s="107" customFormat="1" ht="34.5" customHeight="1">
      <c r="A842" s="360"/>
      <c r="B842" s="218" t="s">
        <v>699</v>
      </c>
      <c r="C842" s="1065">
        <f>CEILING((C841+20*$Z$1),0.1)</f>
        <v>100</v>
      </c>
      <c r="D842" s="1066"/>
      <c r="E842" s="1065">
        <f>CEILING((E841+20*$Z$1),0.1)</f>
        <v>100</v>
      </c>
      <c r="F842" s="1066"/>
      <c r="G842" s="1065">
        <f>CEILING((G841+20*$Z$1),0.1)</f>
        <v>97.5</v>
      </c>
      <c r="H842" s="1066"/>
      <c r="I842" s="1061"/>
      <c r="J842" s="1061"/>
      <c r="K842" s="1061"/>
      <c r="L842" s="1061"/>
      <c r="M842" s="124"/>
      <c r="N842" s="111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  <c r="Z842" s="158"/>
      <c r="AA842" s="158"/>
      <c r="AB842" s="158"/>
      <c r="AC842" s="158"/>
      <c r="AD842" s="158"/>
      <c r="AE842" s="158"/>
      <c r="AF842" s="158"/>
      <c r="AG842" s="158"/>
      <c r="AH842" s="158"/>
    </row>
    <row r="843" spans="1:34" s="107" customFormat="1" ht="34.5" customHeight="1">
      <c r="A843" s="360"/>
      <c r="B843" s="218" t="s">
        <v>701</v>
      </c>
      <c r="C843" s="1065">
        <f>CEILING(65*$Z$1,0.1)</f>
        <v>81.30000000000001</v>
      </c>
      <c r="D843" s="1066"/>
      <c r="E843" s="1065">
        <f>CEILING(65*$Z$1,0.1)</f>
        <v>81.30000000000001</v>
      </c>
      <c r="F843" s="1066"/>
      <c r="G843" s="1065">
        <f>CEILING(63*$Z$1,0.1)</f>
        <v>78.80000000000001</v>
      </c>
      <c r="H843" s="1066"/>
      <c r="I843" s="1061"/>
      <c r="J843" s="1061"/>
      <c r="K843" s="1061"/>
      <c r="L843" s="1061"/>
      <c r="M843" s="124"/>
      <c r="N843" s="111"/>
      <c r="O843" s="158"/>
      <c r="P843" s="158"/>
      <c r="Q843" s="158"/>
      <c r="R843" s="158"/>
      <c r="S843" s="158"/>
      <c r="T843" s="158"/>
      <c r="U843" s="158"/>
      <c r="V843" s="158"/>
      <c r="W843" s="158"/>
      <c r="X843" s="158"/>
      <c r="Y843" s="158"/>
      <c r="Z843" s="158"/>
      <c r="AA843" s="158"/>
      <c r="AB843" s="158"/>
      <c r="AC843" s="158"/>
      <c r="AD843" s="158"/>
      <c r="AE843" s="158"/>
      <c r="AF843" s="158"/>
      <c r="AG843" s="158"/>
      <c r="AH843" s="158"/>
    </row>
    <row r="844" spans="1:34" s="107" customFormat="1" ht="34.5" customHeight="1">
      <c r="A844" s="399"/>
      <c r="B844" s="218" t="s">
        <v>700</v>
      </c>
      <c r="C844" s="1065">
        <f>CEILING((C843+20*$Z$1),0.1)</f>
        <v>106.30000000000001</v>
      </c>
      <c r="D844" s="1066"/>
      <c r="E844" s="1065">
        <f>CEILING((E843+20*$Z$1),0.1)</f>
        <v>106.30000000000001</v>
      </c>
      <c r="F844" s="1066"/>
      <c r="G844" s="1065">
        <f>CEILING((G843+20*$Z$1),0.1)</f>
        <v>103.80000000000001</v>
      </c>
      <c r="H844" s="1066"/>
      <c r="I844" s="1061"/>
      <c r="J844" s="1061"/>
      <c r="K844" s="1061"/>
      <c r="L844" s="1061"/>
      <c r="M844" s="124"/>
      <c r="N844" s="111"/>
      <c r="O844" s="158"/>
      <c r="P844" s="158"/>
      <c r="Q844" s="158"/>
      <c r="R844" s="158"/>
      <c r="S844" s="158"/>
      <c r="T844" s="158"/>
      <c r="U844" s="158"/>
      <c r="V844" s="158"/>
      <c r="W844" s="158"/>
      <c r="X844" s="158"/>
      <c r="Y844" s="158"/>
      <c r="Z844" s="158"/>
      <c r="AA844" s="158"/>
      <c r="AB844" s="158"/>
      <c r="AC844" s="158"/>
      <c r="AD844" s="158"/>
      <c r="AE844" s="158"/>
      <c r="AF844" s="158"/>
      <c r="AG844" s="158"/>
      <c r="AH844" s="158"/>
    </row>
    <row r="845" spans="1:34" s="107" customFormat="1" ht="34.5" customHeight="1">
      <c r="A845" s="399" t="s">
        <v>1076</v>
      </c>
      <c r="B845" s="218" t="s">
        <v>702</v>
      </c>
      <c r="C845" s="1065">
        <f>CEILING(70*$Z$1,0.1)</f>
        <v>87.5</v>
      </c>
      <c r="D845" s="1066"/>
      <c r="E845" s="1065">
        <f>CEILING(70*$Z$1,0.1)</f>
        <v>87.5</v>
      </c>
      <c r="F845" s="1066"/>
      <c r="G845" s="1065">
        <f>CEILING(68*$Z$1,0.1)</f>
        <v>85</v>
      </c>
      <c r="H845" s="1066"/>
      <c r="I845" s="1061"/>
      <c r="J845" s="1061"/>
      <c r="K845" s="1061"/>
      <c r="L845" s="1061"/>
      <c r="M845" s="124"/>
      <c r="N845" s="111"/>
      <c r="O845" s="158"/>
      <c r="P845" s="158"/>
      <c r="Q845" s="158"/>
      <c r="R845" s="158"/>
      <c r="S845" s="158"/>
      <c r="T845" s="158"/>
      <c r="U845" s="158"/>
      <c r="V845" s="158"/>
      <c r="W845" s="158"/>
      <c r="X845" s="158"/>
      <c r="Y845" s="158"/>
      <c r="Z845" s="158"/>
      <c r="AA845" s="158"/>
      <c r="AB845" s="158"/>
      <c r="AC845" s="158"/>
      <c r="AD845" s="158"/>
      <c r="AE845" s="158"/>
      <c r="AF845" s="158"/>
      <c r="AG845" s="158"/>
      <c r="AH845" s="158"/>
    </row>
    <row r="846" spans="1:34" s="107" customFormat="1" ht="34.5" customHeight="1">
      <c r="A846" s="399" t="s">
        <v>897</v>
      </c>
      <c r="B846" s="218" t="s">
        <v>703</v>
      </c>
      <c r="C846" s="1065">
        <f>CEILING((C845+20*$Z$1),0.1)</f>
        <v>112.5</v>
      </c>
      <c r="D846" s="1066"/>
      <c r="E846" s="1065">
        <f>CEILING((E845+20*$Z$1),0.1)</f>
        <v>112.5</v>
      </c>
      <c r="F846" s="1066"/>
      <c r="G846" s="1065">
        <f>CEILING((G845+20*$Z$1),0.1)</f>
        <v>110</v>
      </c>
      <c r="H846" s="1066"/>
      <c r="I846" s="1061"/>
      <c r="J846" s="1061"/>
      <c r="K846" s="1061"/>
      <c r="L846" s="1061"/>
      <c r="M846" s="124"/>
      <c r="N846" s="111"/>
      <c r="O846" s="158"/>
      <c r="P846" s="158"/>
      <c r="Q846" s="158"/>
      <c r="R846" s="158"/>
      <c r="S846" s="158"/>
      <c r="T846" s="158"/>
      <c r="U846" s="158"/>
      <c r="V846" s="158"/>
      <c r="W846" s="158"/>
      <c r="X846" s="158"/>
      <c r="Y846" s="158"/>
      <c r="Z846" s="158"/>
      <c r="AA846" s="158"/>
      <c r="AB846" s="158"/>
      <c r="AC846" s="158"/>
      <c r="AD846" s="158"/>
      <c r="AE846" s="158"/>
      <c r="AF846" s="158"/>
      <c r="AG846" s="158"/>
      <c r="AH846" s="158"/>
    </row>
    <row r="847" spans="1:34" s="107" customFormat="1" ht="34.5" customHeight="1">
      <c r="A847" s="399" t="s">
        <v>1077</v>
      </c>
      <c r="B847" s="218" t="s">
        <v>704</v>
      </c>
      <c r="C847" s="1065">
        <f>CEILING(75*$Z$1,0.1)</f>
        <v>93.80000000000001</v>
      </c>
      <c r="D847" s="1066"/>
      <c r="E847" s="1065">
        <f>CEILING(75*$Z$1,0.1)</f>
        <v>93.80000000000001</v>
      </c>
      <c r="F847" s="1066"/>
      <c r="G847" s="1065">
        <f>CEILING(73*$Z$1,0.1)</f>
        <v>91.30000000000001</v>
      </c>
      <c r="H847" s="1066"/>
      <c r="I847" s="1061"/>
      <c r="J847" s="1061"/>
      <c r="K847" s="1061"/>
      <c r="L847" s="1061"/>
      <c r="M847" s="124"/>
      <c r="N847" s="111"/>
      <c r="O847" s="158"/>
      <c r="P847" s="158"/>
      <c r="Q847" s="158"/>
      <c r="R847" s="158"/>
      <c r="S847" s="158"/>
      <c r="T847" s="158"/>
      <c r="U847" s="158"/>
      <c r="V847" s="158"/>
      <c r="W847" s="158"/>
      <c r="X847" s="158"/>
      <c r="Y847" s="158"/>
      <c r="Z847" s="158"/>
      <c r="AA847" s="158"/>
      <c r="AB847" s="158"/>
      <c r="AC847" s="158"/>
      <c r="AD847" s="158"/>
      <c r="AE847" s="158"/>
      <c r="AF847" s="158"/>
      <c r="AG847" s="158"/>
      <c r="AH847" s="158"/>
    </row>
    <row r="848" spans="1:34" s="107" customFormat="1" ht="34.5" customHeight="1">
      <c r="A848" s="399"/>
      <c r="B848" s="218" t="s">
        <v>705</v>
      </c>
      <c r="C848" s="1065">
        <f>CEILING((C847+20*$Z$1),0.1)</f>
        <v>118.80000000000001</v>
      </c>
      <c r="D848" s="1066"/>
      <c r="E848" s="1065">
        <f>CEILING((E847+20*$Z$1),0.1)</f>
        <v>118.80000000000001</v>
      </c>
      <c r="F848" s="1066"/>
      <c r="G848" s="1065">
        <f>CEILING((G847+20*$Z$1),0.1)</f>
        <v>116.30000000000001</v>
      </c>
      <c r="H848" s="1066"/>
      <c r="I848" s="1061"/>
      <c r="J848" s="1061"/>
      <c r="K848" s="1061"/>
      <c r="L848" s="1061"/>
      <c r="M848" s="124"/>
      <c r="N848" s="111"/>
      <c r="O848" s="158"/>
      <c r="P848" s="158"/>
      <c r="Q848" s="158"/>
      <c r="R848" s="158"/>
      <c r="S848" s="158"/>
      <c r="T848" s="158"/>
      <c r="U848" s="158"/>
      <c r="V848" s="158"/>
      <c r="W848" s="158"/>
      <c r="X848" s="158"/>
      <c r="Y848" s="158"/>
      <c r="Z848" s="158"/>
      <c r="AA848" s="158"/>
      <c r="AB848" s="158"/>
      <c r="AC848" s="158"/>
      <c r="AD848" s="158"/>
      <c r="AE848" s="158"/>
      <c r="AF848" s="158"/>
      <c r="AG848" s="158"/>
      <c r="AH848" s="158"/>
    </row>
    <row r="849" spans="1:14" s="158" customFormat="1" ht="34.5" customHeight="1" thickBot="1">
      <c r="A849" s="578" t="s">
        <v>542</v>
      </c>
      <c r="B849" s="231" t="s">
        <v>706</v>
      </c>
      <c r="C849" s="1076">
        <v>57</v>
      </c>
      <c r="D849" s="1077"/>
      <c r="E849" s="1076">
        <v>55</v>
      </c>
      <c r="F849" s="1077"/>
      <c r="G849" s="1076">
        <v>55</v>
      </c>
      <c r="H849" s="1077"/>
      <c r="I849" s="1061"/>
      <c r="J849" s="1061"/>
      <c r="K849" s="1061"/>
      <c r="L849" s="1061"/>
      <c r="M849" s="110"/>
      <c r="N849" s="111"/>
    </row>
    <row r="850" spans="1:34" s="369" customFormat="1" ht="34.5" customHeight="1" thickTop="1">
      <c r="A850" s="579"/>
      <c r="B850" s="580"/>
      <c r="C850" s="579"/>
      <c r="D850" s="579"/>
      <c r="E850" s="579"/>
      <c r="F850" s="579"/>
      <c r="G850" s="579"/>
      <c r="H850" s="579"/>
      <c r="I850" s="579"/>
      <c r="J850" s="579"/>
      <c r="K850" s="581"/>
      <c r="L850" s="581"/>
      <c r="M850" s="582"/>
      <c r="N850" s="582"/>
      <c r="O850" s="368"/>
      <c r="P850" s="368"/>
      <c r="Q850" s="368"/>
      <c r="R850" s="368"/>
      <c r="S850" s="368"/>
      <c r="T850" s="368"/>
      <c r="U850" s="368"/>
      <c r="V850" s="368"/>
      <c r="W850" s="368"/>
      <c r="X850" s="368"/>
      <c r="Y850" s="368"/>
      <c r="Z850" s="368"/>
      <c r="AA850" s="368"/>
      <c r="AB850" s="368"/>
      <c r="AC850" s="368"/>
      <c r="AD850" s="368"/>
      <c r="AE850" s="368"/>
      <c r="AF850" s="368"/>
      <c r="AG850" s="368"/>
      <c r="AH850" s="368"/>
    </row>
    <row r="851" spans="1:34" s="369" customFormat="1" ht="34.5" customHeight="1">
      <c r="A851" s="579"/>
      <c r="B851" s="580"/>
      <c r="C851" s="579"/>
      <c r="D851" s="579"/>
      <c r="E851" s="579"/>
      <c r="F851" s="579"/>
      <c r="G851" s="579"/>
      <c r="H851" s="579"/>
      <c r="I851" s="579"/>
      <c r="J851" s="579"/>
      <c r="K851" s="581"/>
      <c r="L851" s="581"/>
      <c r="M851" s="582"/>
      <c r="N851" s="582"/>
      <c r="O851" s="368"/>
      <c r="P851" s="368"/>
      <c r="Q851" s="368"/>
      <c r="R851" s="368"/>
      <c r="S851" s="368"/>
      <c r="T851" s="368"/>
      <c r="U851" s="368"/>
      <c r="V851" s="368"/>
      <c r="W851" s="368"/>
      <c r="X851" s="368"/>
      <c r="Y851" s="368"/>
      <c r="Z851" s="368"/>
      <c r="AA851" s="368"/>
      <c r="AB851" s="368"/>
      <c r="AC851" s="368"/>
      <c r="AD851" s="368"/>
      <c r="AE851" s="368"/>
      <c r="AF851" s="368"/>
      <c r="AG851" s="368"/>
      <c r="AH851" s="368"/>
    </row>
    <row r="852" spans="1:34" s="107" customFormat="1" ht="34.5" customHeight="1" thickBot="1">
      <c r="A852" s="575"/>
      <c r="B852" s="576"/>
      <c r="C852" s="577"/>
      <c r="D852" s="577"/>
      <c r="E852" s="577"/>
      <c r="F852" s="577"/>
      <c r="G852" s="577"/>
      <c r="H852" s="577"/>
      <c r="I852" s="577"/>
      <c r="J852" s="577"/>
      <c r="K852" s="113"/>
      <c r="L852" s="113"/>
      <c r="M852" s="110"/>
      <c r="N852" s="111"/>
      <c r="O852" s="158"/>
      <c r="P852" s="158"/>
      <c r="Q852" s="158"/>
      <c r="R852" s="158"/>
      <c r="S852" s="158"/>
      <c r="T852" s="158"/>
      <c r="U852" s="158"/>
      <c r="V852" s="158"/>
      <c r="W852" s="158"/>
      <c r="X852" s="158"/>
      <c r="Y852" s="158"/>
      <c r="Z852" s="158"/>
      <c r="AA852" s="158"/>
      <c r="AB852" s="158"/>
      <c r="AC852" s="158"/>
      <c r="AD852" s="158"/>
      <c r="AE852" s="158"/>
      <c r="AF852" s="158"/>
      <c r="AG852" s="158"/>
      <c r="AH852" s="158"/>
    </row>
    <row r="853" spans="1:42" s="214" customFormat="1" ht="34.5" customHeight="1" thickTop="1">
      <c r="A853" s="207" t="s">
        <v>34</v>
      </c>
      <c r="B853" s="208" t="s">
        <v>637</v>
      </c>
      <c r="C853" s="209" t="s">
        <v>951</v>
      </c>
      <c r="D853" s="210"/>
      <c r="E853" s="211" t="s">
        <v>952</v>
      </c>
      <c r="F853" s="212"/>
      <c r="G853" s="211" t="s">
        <v>953</v>
      </c>
      <c r="H853" s="212"/>
      <c r="I853" s="1070"/>
      <c r="J853" s="1071"/>
      <c r="K853" s="1070"/>
      <c r="L853" s="1070"/>
      <c r="M853" s="174"/>
      <c r="N853" s="174"/>
      <c r="O853" s="213"/>
      <c r="P853" s="213"/>
      <c r="Q853" s="213"/>
      <c r="R853" s="213"/>
      <c r="S853" s="213"/>
      <c r="T853" s="213"/>
      <c r="U853" s="213"/>
      <c r="V853" s="213"/>
      <c r="W853" s="213"/>
      <c r="X853" s="213"/>
      <c r="Y853" s="213"/>
      <c r="Z853" s="213"/>
      <c r="AA853" s="213"/>
      <c r="AB853" s="213"/>
      <c r="AC853" s="213"/>
      <c r="AD853" s="213"/>
      <c r="AE853" s="213"/>
      <c r="AF853" s="213"/>
      <c r="AG853" s="213"/>
      <c r="AH853" s="213"/>
      <c r="AI853" s="213"/>
      <c r="AJ853" s="213"/>
      <c r="AK853" s="213"/>
      <c r="AL853" s="213"/>
      <c r="AM853" s="213"/>
      <c r="AN853" s="213"/>
      <c r="AO853" s="213"/>
      <c r="AP853" s="213"/>
    </row>
    <row r="854" spans="1:34" s="107" customFormat="1" ht="34.5" customHeight="1">
      <c r="A854" s="358" t="s">
        <v>414</v>
      </c>
      <c r="B854" s="219" t="s">
        <v>67</v>
      </c>
      <c r="C854" s="1073">
        <f>CEILING(60*$Z$1,0.1)</f>
        <v>75</v>
      </c>
      <c r="D854" s="1074"/>
      <c r="E854" s="1057">
        <f>CEILING(65*$Z$1,0.1)</f>
        <v>81.30000000000001</v>
      </c>
      <c r="F854" s="1061"/>
      <c r="G854" s="1073">
        <f>CEILING(55*$Z$1,0.1)</f>
        <v>68.8</v>
      </c>
      <c r="H854" s="1074"/>
      <c r="I854" s="1061"/>
      <c r="J854" s="1061"/>
      <c r="K854" s="1061"/>
      <c r="L854" s="1061"/>
      <c r="M854" s="124"/>
      <c r="N854" s="111"/>
      <c r="O854" s="158"/>
      <c r="P854" s="158"/>
      <c r="Q854" s="158"/>
      <c r="R854" s="158"/>
      <c r="S854" s="158"/>
      <c r="T854" s="158"/>
      <c r="U854" s="158"/>
      <c r="V854" s="158"/>
      <c r="W854" s="158"/>
      <c r="X854" s="158"/>
      <c r="Y854" s="158"/>
      <c r="Z854" s="158"/>
      <c r="AA854" s="158"/>
      <c r="AB854" s="158"/>
      <c r="AC854" s="158"/>
      <c r="AD854" s="158"/>
      <c r="AE854" s="158"/>
      <c r="AF854" s="158"/>
      <c r="AG854" s="158"/>
      <c r="AH854" s="158"/>
    </row>
    <row r="855" spans="1:34" s="107" customFormat="1" ht="34.5" customHeight="1">
      <c r="A855" s="359" t="s">
        <v>36</v>
      </c>
      <c r="B855" s="219" t="s">
        <v>68</v>
      </c>
      <c r="C855" s="1057">
        <f>CEILING((C854+35*$Z$1),0.1)</f>
        <v>118.80000000000001</v>
      </c>
      <c r="D855" s="1058"/>
      <c r="E855" s="1057">
        <f>CEILING((E854+35*$Z$1),0.1)</f>
        <v>125.10000000000001</v>
      </c>
      <c r="F855" s="1058"/>
      <c r="G855" s="1057">
        <f>CEILING((G854+20*$Z$1),0.1)</f>
        <v>93.80000000000001</v>
      </c>
      <c r="H855" s="1058"/>
      <c r="I855" s="1061"/>
      <c r="J855" s="1061"/>
      <c r="K855" s="1061"/>
      <c r="L855" s="1061"/>
      <c r="M855" s="124"/>
      <c r="N855" s="111"/>
      <c r="O855" s="158"/>
      <c r="P855" s="158"/>
      <c r="Q855" s="158"/>
      <c r="R855" s="158"/>
      <c r="S855" s="158"/>
      <c r="T855" s="158"/>
      <c r="U855" s="158"/>
      <c r="V855" s="158"/>
      <c r="W855" s="158"/>
      <c r="X855" s="158"/>
      <c r="Y855" s="158"/>
      <c r="Z855" s="158"/>
      <c r="AA855" s="158"/>
      <c r="AB855" s="158"/>
      <c r="AC855" s="158"/>
      <c r="AD855" s="158"/>
      <c r="AE855" s="158"/>
      <c r="AF855" s="158"/>
      <c r="AG855" s="158"/>
      <c r="AH855" s="158"/>
    </row>
    <row r="856" spans="1:34" s="107" customFormat="1" ht="34.5" customHeight="1">
      <c r="A856" s="583"/>
      <c r="B856" s="241" t="s">
        <v>95</v>
      </c>
      <c r="C856" s="1057">
        <f>CEILING((C854*0),0.1)</f>
        <v>0</v>
      </c>
      <c r="D856" s="1058"/>
      <c r="E856" s="1057">
        <f>CEILING((E854*0),0.1)</f>
        <v>0</v>
      </c>
      <c r="F856" s="1058"/>
      <c r="G856" s="1057">
        <f>CEILING((G854*0),0.1)</f>
        <v>0</v>
      </c>
      <c r="H856" s="1058"/>
      <c r="I856" s="1061"/>
      <c r="J856" s="1061"/>
      <c r="K856" s="1061"/>
      <c r="L856" s="1061"/>
      <c r="M856" s="124"/>
      <c r="N856" s="111"/>
      <c r="O856" s="158"/>
      <c r="P856" s="158"/>
      <c r="Q856" s="158"/>
      <c r="R856" s="158"/>
      <c r="S856" s="158"/>
      <c r="T856" s="158"/>
      <c r="U856" s="158"/>
      <c r="V856" s="158"/>
      <c r="W856" s="158"/>
      <c r="X856" s="158"/>
      <c r="Y856" s="158"/>
      <c r="Z856" s="158"/>
      <c r="AA856" s="158"/>
      <c r="AB856" s="158"/>
      <c r="AC856" s="158"/>
      <c r="AD856" s="158"/>
      <c r="AE856" s="158"/>
      <c r="AF856" s="158"/>
      <c r="AG856" s="158"/>
      <c r="AH856" s="158"/>
    </row>
    <row r="857" spans="1:25" s="107" customFormat="1" ht="34.5" customHeight="1">
      <c r="A857" s="360"/>
      <c r="B857" s="218" t="s">
        <v>547</v>
      </c>
      <c r="C857" s="1057">
        <f>CEILING(72.5*$Z$1,0.1)</f>
        <v>90.7</v>
      </c>
      <c r="D857" s="1058"/>
      <c r="E857" s="1057">
        <f>CEILING(90*$Z$1,0.1)</f>
        <v>112.5</v>
      </c>
      <c r="F857" s="1058"/>
      <c r="G857" s="1057">
        <f>CEILING(65*$Z$1,0.1)</f>
        <v>81.30000000000001</v>
      </c>
      <c r="H857" s="1058"/>
      <c r="I857" s="1061"/>
      <c r="J857" s="1061"/>
      <c r="K857" s="1061"/>
      <c r="L857" s="1061"/>
      <c r="M857" s="124"/>
      <c r="N857" s="111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</row>
    <row r="858" spans="1:25" s="107" customFormat="1" ht="34.5" customHeight="1" thickBot="1">
      <c r="A858" s="569" t="s">
        <v>542</v>
      </c>
      <c r="B858" s="231" t="s">
        <v>548</v>
      </c>
      <c r="C858" s="1076">
        <f>CEILING((C857+35*$Z$1),0.1)</f>
        <v>134.5</v>
      </c>
      <c r="D858" s="1077"/>
      <c r="E858" s="1076">
        <f>CEILING((E857+20*$Z$1),0.1)</f>
        <v>137.5</v>
      </c>
      <c r="F858" s="1077"/>
      <c r="G858" s="1076">
        <f>CEILING((G857+20*$Z$1),0.1)</f>
        <v>106.30000000000001</v>
      </c>
      <c r="H858" s="1077"/>
      <c r="I858" s="1061"/>
      <c r="J858" s="1061"/>
      <c r="K858" s="1061"/>
      <c r="L858" s="1061"/>
      <c r="M858" s="110"/>
      <c r="N858" s="111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</row>
    <row r="859" spans="1:34" s="369" customFormat="1" ht="34.5" customHeight="1" thickTop="1">
      <c r="A859" s="579" t="s">
        <v>707</v>
      </c>
      <c r="B859" s="580"/>
      <c r="C859" s="579"/>
      <c r="D859" s="579"/>
      <c r="E859" s="579"/>
      <c r="F859" s="579"/>
      <c r="G859" s="579"/>
      <c r="H859" s="579"/>
      <c r="I859" s="579"/>
      <c r="J859" s="579"/>
      <c r="K859" s="581"/>
      <c r="L859" s="581"/>
      <c r="M859" s="582"/>
      <c r="N859" s="582"/>
      <c r="O859" s="368"/>
      <c r="P859" s="368"/>
      <c r="Q859" s="368"/>
      <c r="R859" s="368"/>
      <c r="S859" s="368"/>
      <c r="T859" s="368"/>
      <c r="U859" s="368"/>
      <c r="V859" s="368"/>
      <c r="W859" s="368"/>
      <c r="X859" s="368"/>
      <c r="Y859" s="368"/>
      <c r="Z859" s="368"/>
      <c r="AA859" s="368"/>
      <c r="AB859" s="368"/>
      <c r="AC859" s="368"/>
      <c r="AD859" s="368"/>
      <c r="AE859" s="368"/>
      <c r="AF859" s="368"/>
      <c r="AG859" s="368"/>
      <c r="AH859" s="368"/>
    </row>
    <row r="860" spans="1:12" s="114" customFormat="1" ht="34.5" customHeight="1">
      <c r="A860" s="164"/>
      <c r="B860" s="162"/>
      <c r="C860" s="162"/>
      <c r="D860" s="162"/>
      <c r="E860" s="162"/>
      <c r="F860" s="162"/>
      <c r="G860" s="162"/>
      <c r="H860" s="162"/>
      <c r="I860" s="162"/>
      <c r="J860" s="162"/>
      <c r="K860" s="157"/>
      <c r="L860" s="157"/>
    </row>
    <row r="861" spans="1:34" s="107" customFormat="1" ht="34.5" customHeight="1" thickBot="1">
      <c r="A861" s="584"/>
      <c r="B861" s="103"/>
      <c r="C861" s="577"/>
      <c r="D861" s="577"/>
      <c r="E861" s="577"/>
      <c r="F861" s="577"/>
      <c r="G861" s="577"/>
      <c r="H861" s="577"/>
      <c r="I861" s="577"/>
      <c r="J861" s="577"/>
      <c r="K861" s="104"/>
      <c r="L861" s="104"/>
      <c r="M861" s="124"/>
      <c r="N861" s="103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  <c r="Y861" s="114"/>
      <c r="Z861" s="114"/>
      <c r="AA861" s="114"/>
      <c r="AB861" s="114"/>
      <c r="AC861" s="114"/>
      <c r="AD861" s="114"/>
      <c r="AE861" s="114"/>
      <c r="AF861" s="114"/>
      <c r="AG861" s="114"/>
      <c r="AH861" s="114"/>
    </row>
    <row r="862" spans="1:42" s="214" customFormat="1" ht="34.5" customHeight="1" thickTop="1">
      <c r="A862" s="207" t="s">
        <v>34</v>
      </c>
      <c r="B862" s="208" t="s">
        <v>637</v>
      </c>
      <c r="C862" s="209" t="s">
        <v>921</v>
      </c>
      <c r="D862" s="210"/>
      <c r="E862" s="211" t="s">
        <v>922</v>
      </c>
      <c r="F862" s="212"/>
      <c r="G862" s="211" t="s">
        <v>923</v>
      </c>
      <c r="H862" s="212"/>
      <c r="I862" s="1070"/>
      <c r="J862" s="1071"/>
      <c r="K862" s="1070"/>
      <c r="L862" s="1070"/>
      <c r="M862" s="174"/>
      <c r="N862" s="174"/>
      <c r="O862" s="213"/>
      <c r="P862" s="213"/>
      <c r="Q862" s="213"/>
      <c r="R862" s="213"/>
      <c r="S862" s="213"/>
      <c r="T862" s="213"/>
      <c r="U862" s="213"/>
      <c r="V862" s="213"/>
      <c r="W862" s="213"/>
      <c r="X862" s="213"/>
      <c r="Y862" s="213"/>
      <c r="Z862" s="213"/>
      <c r="AA862" s="213"/>
      <c r="AB862" s="213"/>
      <c r="AC862" s="213"/>
      <c r="AD862" s="213"/>
      <c r="AE862" s="213"/>
      <c r="AF862" s="213"/>
      <c r="AG862" s="213"/>
      <c r="AH862" s="213"/>
      <c r="AI862" s="213"/>
      <c r="AJ862" s="213"/>
      <c r="AK862" s="213"/>
      <c r="AL862" s="213"/>
      <c r="AM862" s="213"/>
      <c r="AN862" s="213"/>
      <c r="AO862" s="213"/>
      <c r="AP862" s="213"/>
    </row>
    <row r="863" spans="1:34" s="158" customFormat="1" ht="34.5" customHeight="1">
      <c r="A863" s="585" t="s">
        <v>959</v>
      </c>
      <c r="B863" s="539" t="s">
        <v>174</v>
      </c>
      <c r="C863" s="1073">
        <f>CEILING(65*$Z$1,0.1)</f>
        <v>81.30000000000001</v>
      </c>
      <c r="D863" s="1074"/>
      <c r="E863" s="1073">
        <f>CEILING(80*$Z$1,0.1)</f>
        <v>100</v>
      </c>
      <c r="F863" s="1074"/>
      <c r="G863" s="1073">
        <f>CEILING(65*$Z$1,0.1)</f>
        <v>81.30000000000001</v>
      </c>
      <c r="H863" s="1074"/>
      <c r="I863" s="1061"/>
      <c r="J863" s="1061"/>
      <c r="K863" s="1061"/>
      <c r="L863" s="1061"/>
      <c r="M863" s="124"/>
      <c r="N863" s="103"/>
      <c r="O863" s="114"/>
      <c r="P863" s="114"/>
      <c r="Q863" s="114"/>
      <c r="R863" s="114"/>
      <c r="S863" s="114"/>
      <c r="T863" s="114"/>
      <c r="U863" s="114"/>
      <c r="V863" s="114"/>
      <c r="W863" s="114"/>
      <c r="X863" s="114"/>
      <c r="Y863" s="114"/>
      <c r="Z863" s="114"/>
      <c r="AA863" s="114"/>
      <c r="AB863" s="114"/>
      <c r="AC863" s="114"/>
      <c r="AD863" s="114"/>
      <c r="AE863" s="114"/>
      <c r="AF863" s="114"/>
      <c r="AG863" s="114"/>
      <c r="AH863" s="114"/>
    </row>
    <row r="864" spans="1:34" s="158" customFormat="1" ht="34.5" customHeight="1">
      <c r="A864" s="586" t="s">
        <v>36</v>
      </c>
      <c r="B864" s="219" t="s">
        <v>68</v>
      </c>
      <c r="C864" s="1057">
        <f>CEILING((C863+35*$Z$1),0.1)</f>
        <v>125.10000000000001</v>
      </c>
      <c r="D864" s="1058"/>
      <c r="E864" s="1057">
        <f>CEILING((E863+40*$Z$1),0.1)</f>
        <v>150</v>
      </c>
      <c r="F864" s="1058"/>
      <c r="G864" s="1057">
        <f>CEILING((G863+35*$Z$1),0.1)</f>
        <v>125.10000000000001</v>
      </c>
      <c r="H864" s="1058"/>
      <c r="I864" s="1061"/>
      <c r="J864" s="1061"/>
      <c r="K864" s="1061"/>
      <c r="L864" s="1061"/>
      <c r="M864" s="124"/>
      <c r="N864" s="103"/>
      <c r="O864" s="114"/>
      <c r="P864" s="114"/>
      <c r="Q864" s="114"/>
      <c r="R864" s="114"/>
      <c r="S864" s="114"/>
      <c r="T864" s="114"/>
      <c r="U864" s="114"/>
      <c r="V864" s="114"/>
      <c r="W864" s="114"/>
      <c r="X864" s="114"/>
      <c r="Y864" s="114"/>
      <c r="Z864" s="114"/>
      <c r="AA864" s="114"/>
      <c r="AB864" s="114"/>
      <c r="AC864" s="114"/>
      <c r="AD864" s="114"/>
      <c r="AE864" s="114"/>
      <c r="AF864" s="114"/>
      <c r="AG864" s="114"/>
      <c r="AH864" s="114"/>
    </row>
    <row r="865" spans="1:34" s="158" customFormat="1" ht="34.5" customHeight="1">
      <c r="A865" s="587" t="s">
        <v>960</v>
      </c>
      <c r="B865" s="588" t="s">
        <v>38</v>
      </c>
      <c r="C865" s="1057">
        <f>CEILING((C863*0.85),0.1)</f>
        <v>69.2</v>
      </c>
      <c r="D865" s="1058"/>
      <c r="E865" s="1057">
        <f>CEILING((E863*0.85),0.1)</f>
        <v>85</v>
      </c>
      <c r="F865" s="1058"/>
      <c r="G865" s="1057">
        <f>CEILING((G863*0.85),0.1)</f>
        <v>69.2</v>
      </c>
      <c r="H865" s="1058"/>
      <c r="I865" s="1061"/>
      <c r="J865" s="1061"/>
      <c r="K865" s="1061"/>
      <c r="L865" s="1061"/>
      <c r="M865" s="124"/>
      <c r="N865" s="103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  <c r="Z865" s="114"/>
      <c r="AA865" s="114"/>
      <c r="AB865" s="114"/>
      <c r="AC865" s="114"/>
      <c r="AD865" s="114"/>
      <c r="AE865" s="114"/>
      <c r="AF865" s="114"/>
      <c r="AG865" s="114"/>
      <c r="AH865" s="114"/>
    </row>
    <row r="866" spans="1:34" s="158" customFormat="1" ht="34.5" customHeight="1">
      <c r="A866" s="589"/>
      <c r="B866" s="296" t="s">
        <v>546</v>
      </c>
      <c r="C866" s="1057">
        <f>CEILING((C863*0),0.1)</f>
        <v>0</v>
      </c>
      <c r="D866" s="1058"/>
      <c r="E866" s="1057">
        <f>CEILING((E863*0),0.1)</f>
        <v>0</v>
      </c>
      <c r="F866" s="1058"/>
      <c r="G866" s="1057">
        <f>CEILING((G863*0),0.1)</f>
        <v>0</v>
      </c>
      <c r="H866" s="1058"/>
      <c r="I866" s="1061"/>
      <c r="J866" s="1061"/>
      <c r="K866" s="1061"/>
      <c r="L866" s="1061"/>
      <c r="M866" s="124"/>
      <c r="N866" s="103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4"/>
      <c r="Z866" s="114"/>
      <c r="AA866" s="114"/>
      <c r="AB866" s="114"/>
      <c r="AC866" s="114"/>
      <c r="AD866" s="114"/>
      <c r="AE866" s="114"/>
      <c r="AF866" s="114"/>
      <c r="AG866" s="114"/>
      <c r="AH866" s="114"/>
    </row>
    <row r="867" spans="1:34" s="158" customFormat="1" ht="34.5" customHeight="1">
      <c r="A867" s="590"/>
      <c r="B867" s="218" t="s">
        <v>961</v>
      </c>
      <c r="C867" s="1057">
        <f>CEILING(75*$Z$1,0.1)</f>
        <v>93.80000000000001</v>
      </c>
      <c r="D867" s="1058"/>
      <c r="E867" s="1057">
        <f>CEILING(90*$Z$1,0.1)</f>
        <v>112.5</v>
      </c>
      <c r="F867" s="1058"/>
      <c r="G867" s="1057">
        <f>CEILING(75*$Z$1,0.1)</f>
        <v>93.80000000000001</v>
      </c>
      <c r="H867" s="1058"/>
      <c r="I867" s="1061"/>
      <c r="J867" s="1061"/>
      <c r="K867" s="1061"/>
      <c r="L867" s="1061"/>
      <c r="M867" s="124"/>
      <c r="N867" s="103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  <c r="Y867" s="114"/>
      <c r="Z867" s="114"/>
      <c r="AA867" s="114"/>
      <c r="AB867" s="114"/>
      <c r="AC867" s="114"/>
      <c r="AD867" s="114"/>
      <c r="AE867" s="114"/>
      <c r="AF867" s="114"/>
      <c r="AG867" s="114"/>
      <c r="AH867" s="114"/>
    </row>
    <row r="868" spans="1:34" s="158" customFormat="1" ht="34.5" customHeight="1" thickBot="1">
      <c r="A868" s="578" t="s">
        <v>959</v>
      </c>
      <c r="B868" s="231" t="s">
        <v>962</v>
      </c>
      <c r="C868" s="1076">
        <f>CEILING((C867+35*$Z$1),0.1)</f>
        <v>137.6</v>
      </c>
      <c r="D868" s="1077"/>
      <c r="E868" s="1076">
        <f>CEILING((E867+40*$Z$1),0.1)</f>
        <v>162.5</v>
      </c>
      <c r="F868" s="1077"/>
      <c r="G868" s="1076">
        <f>CEILING((G867+35*$Z$1),0.1)</f>
        <v>137.6</v>
      </c>
      <c r="H868" s="1077"/>
      <c r="I868" s="1061"/>
      <c r="J868" s="1061"/>
      <c r="K868" s="1061"/>
      <c r="L868" s="1061"/>
      <c r="M868" s="124"/>
      <c r="N868" s="103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  <c r="Z868" s="114"/>
      <c r="AA868" s="114"/>
      <c r="AB868" s="114"/>
      <c r="AC868" s="114"/>
      <c r="AD868" s="114"/>
      <c r="AE868" s="114"/>
      <c r="AF868" s="114"/>
      <c r="AG868" s="114"/>
      <c r="AH868" s="114"/>
    </row>
    <row r="869" spans="1:34" s="369" customFormat="1" ht="34.5" customHeight="1" thickTop="1">
      <c r="A869" s="579" t="s">
        <v>963</v>
      </c>
      <c r="B869" s="580"/>
      <c r="C869" s="579"/>
      <c r="D869" s="579"/>
      <c r="E869" s="579"/>
      <c r="F869" s="579"/>
      <c r="G869" s="579"/>
      <c r="H869" s="579"/>
      <c r="I869" s="579"/>
      <c r="J869" s="579"/>
      <c r="K869" s="581"/>
      <c r="L869" s="581"/>
      <c r="M869" s="582"/>
      <c r="N869" s="582"/>
      <c r="O869" s="368"/>
      <c r="P869" s="368"/>
      <c r="Q869" s="368"/>
      <c r="R869" s="368"/>
      <c r="S869" s="368"/>
      <c r="T869" s="368"/>
      <c r="U869" s="368"/>
      <c r="V869" s="368"/>
      <c r="W869" s="368"/>
      <c r="X869" s="368"/>
      <c r="Y869" s="368"/>
      <c r="Z869" s="368"/>
      <c r="AA869" s="368"/>
      <c r="AB869" s="368"/>
      <c r="AC869" s="368"/>
      <c r="AD869" s="368"/>
      <c r="AE869" s="368"/>
      <c r="AF869" s="368"/>
      <c r="AG869" s="368"/>
      <c r="AH869" s="368"/>
    </row>
    <row r="870" spans="1:34" s="155" customFormat="1" ht="34.5" customHeight="1">
      <c r="A870" s="397" t="s">
        <v>638</v>
      </c>
      <c r="B870" s="451"/>
      <c r="C870" s="397"/>
      <c r="D870" s="397"/>
      <c r="E870" s="397"/>
      <c r="F870" s="397"/>
      <c r="G870" s="397"/>
      <c r="H870" s="397"/>
      <c r="I870" s="397"/>
      <c r="J870" s="397"/>
      <c r="K870" s="591"/>
      <c r="L870" s="591"/>
      <c r="M870" s="148"/>
      <c r="N870" s="148"/>
      <c r="O870" s="154"/>
      <c r="P870" s="154"/>
      <c r="Q870" s="154"/>
      <c r="R870" s="154"/>
      <c r="S870" s="154"/>
      <c r="T870" s="154"/>
      <c r="U870" s="154"/>
      <c r="V870" s="154"/>
      <c r="W870" s="154"/>
      <c r="X870" s="154"/>
      <c r="Y870" s="154"/>
      <c r="Z870" s="154"/>
      <c r="AA870" s="154"/>
      <c r="AB870" s="154"/>
      <c r="AC870" s="154"/>
      <c r="AD870" s="154"/>
      <c r="AE870" s="154"/>
      <c r="AF870" s="154"/>
      <c r="AG870" s="154"/>
      <c r="AH870" s="154"/>
    </row>
    <row r="871" spans="1:34" s="155" customFormat="1" ht="34.5" customHeight="1">
      <c r="A871" s="397" t="s">
        <v>964</v>
      </c>
      <c r="B871" s="451"/>
      <c r="C871" s="397"/>
      <c r="D871" s="397"/>
      <c r="E871" s="397"/>
      <c r="F871" s="397"/>
      <c r="G871" s="397"/>
      <c r="H871" s="397"/>
      <c r="I871" s="397"/>
      <c r="J871" s="397"/>
      <c r="K871" s="591"/>
      <c r="L871" s="591"/>
      <c r="M871" s="148"/>
      <c r="N871" s="148"/>
      <c r="O871" s="154"/>
      <c r="P871" s="154"/>
      <c r="Q871" s="154"/>
      <c r="R871" s="154"/>
      <c r="S871" s="154"/>
      <c r="T871" s="154"/>
      <c r="U871" s="154"/>
      <c r="V871" s="154"/>
      <c r="W871" s="154"/>
      <c r="X871" s="154"/>
      <c r="Y871" s="154"/>
      <c r="Z871" s="154"/>
      <c r="AA871" s="154"/>
      <c r="AB871" s="154"/>
      <c r="AC871" s="154"/>
      <c r="AD871" s="154"/>
      <c r="AE871" s="154"/>
      <c r="AF871" s="154"/>
      <c r="AG871" s="154"/>
      <c r="AH871" s="154"/>
    </row>
    <row r="872" spans="1:12" s="114" customFormat="1" ht="34.5" customHeight="1">
      <c r="A872" s="164"/>
      <c r="B872" s="162"/>
      <c r="C872" s="162"/>
      <c r="D872" s="162"/>
      <c r="E872" s="162"/>
      <c r="F872" s="162"/>
      <c r="G872" s="162"/>
      <c r="H872" s="162"/>
      <c r="I872" s="162"/>
      <c r="J872" s="162"/>
      <c r="K872" s="157"/>
      <c r="L872" s="157"/>
    </row>
    <row r="873" spans="1:34" s="369" customFormat="1" ht="34.5" customHeight="1" thickBot="1">
      <c r="A873" s="579"/>
      <c r="B873" s="580"/>
      <c r="C873" s="579"/>
      <c r="D873" s="579"/>
      <c r="E873" s="579"/>
      <c r="F873" s="579"/>
      <c r="G873" s="579"/>
      <c r="H873" s="579"/>
      <c r="I873" s="579"/>
      <c r="J873" s="579"/>
      <c r="K873" s="581"/>
      <c r="L873" s="581"/>
      <c r="M873" s="582"/>
      <c r="N873" s="582"/>
      <c r="O873" s="368"/>
      <c r="P873" s="368"/>
      <c r="Q873" s="368"/>
      <c r="R873" s="368"/>
      <c r="S873" s="368"/>
      <c r="T873" s="368"/>
      <c r="U873" s="368"/>
      <c r="V873" s="368"/>
      <c r="W873" s="368"/>
      <c r="X873" s="368"/>
      <c r="Y873" s="368"/>
      <c r="Z873" s="368"/>
      <c r="AA873" s="368"/>
      <c r="AB873" s="368"/>
      <c r="AC873" s="368"/>
      <c r="AD873" s="368"/>
      <c r="AE873" s="368"/>
      <c r="AF873" s="368"/>
      <c r="AG873" s="368"/>
      <c r="AH873" s="368"/>
    </row>
    <row r="874" spans="1:42" s="214" customFormat="1" ht="34.5" customHeight="1" thickTop="1">
      <c r="A874" s="207" t="s">
        <v>34</v>
      </c>
      <c r="B874" s="208" t="s">
        <v>637</v>
      </c>
      <c r="C874" s="209" t="s">
        <v>921</v>
      </c>
      <c r="D874" s="210"/>
      <c r="E874" s="211" t="s">
        <v>922</v>
      </c>
      <c r="F874" s="212"/>
      <c r="G874" s="211" t="s">
        <v>923</v>
      </c>
      <c r="H874" s="212"/>
      <c r="I874" s="1070"/>
      <c r="J874" s="1071"/>
      <c r="K874" s="1070"/>
      <c r="L874" s="1070"/>
      <c r="M874" s="174"/>
      <c r="N874" s="174"/>
      <c r="O874" s="213"/>
      <c r="P874" s="213"/>
      <c r="Q874" s="213"/>
      <c r="R874" s="213"/>
      <c r="S874" s="213"/>
      <c r="T874" s="213"/>
      <c r="U874" s="213"/>
      <c r="V874" s="213"/>
      <c r="W874" s="213"/>
      <c r="X874" s="213"/>
      <c r="Y874" s="213"/>
      <c r="Z874" s="213"/>
      <c r="AA874" s="213"/>
      <c r="AB874" s="213"/>
      <c r="AC874" s="213"/>
      <c r="AD874" s="213"/>
      <c r="AE874" s="213"/>
      <c r="AF874" s="213"/>
      <c r="AG874" s="213"/>
      <c r="AH874" s="213"/>
      <c r="AI874" s="213"/>
      <c r="AJ874" s="213"/>
      <c r="AK874" s="213"/>
      <c r="AL874" s="213"/>
      <c r="AM874" s="213"/>
      <c r="AN874" s="213"/>
      <c r="AO874" s="213"/>
      <c r="AP874" s="213"/>
    </row>
    <row r="875" spans="1:71" s="140" customFormat="1" ht="34.5" customHeight="1">
      <c r="A875" s="532" t="s">
        <v>664</v>
      </c>
      <c r="B875" s="592" t="s">
        <v>666</v>
      </c>
      <c r="C875" s="1073">
        <f>CEILING(53*$Z$1,0.1)</f>
        <v>66.3</v>
      </c>
      <c r="D875" s="1074"/>
      <c r="E875" s="1057">
        <f>CEILING(56*$Z$1,0.1)</f>
        <v>70</v>
      </c>
      <c r="F875" s="1061"/>
      <c r="G875" s="1073">
        <f>CEILING(53*$Z$1,0.1)</f>
        <v>66.3</v>
      </c>
      <c r="H875" s="1074"/>
      <c r="I875" s="1061"/>
      <c r="J875" s="1061"/>
      <c r="K875" s="1061"/>
      <c r="L875" s="1061"/>
      <c r="M875" s="124"/>
      <c r="N875" s="103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  <c r="Y875" s="114"/>
      <c r="Z875" s="114"/>
      <c r="AA875" s="114"/>
      <c r="AB875" s="114"/>
      <c r="AC875" s="114"/>
      <c r="AD875" s="114"/>
      <c r="AE875" s="114"/>
      <c r="AF875" s="114"/>
      <c r="AG875" s="114"/>
      <c r="AH875" s="114"/>
      <c r="AI875" s="114"/>
      <c r="AJ875" s="114"/>
      <c r="AK875" s="114"/>
      <c r="AL875" s="114"/>
      <c r="AM875" s="114"/>
      <c r="AN875" s="114"/>
      <c r="AO875" s="114"/>
      <c r="AP875" s="114"/>
      <c r="AQ875" s="114"/>
      <c r="AR875" s="114"/>
      <c r="AS875" s="114"/>
      <c r="AT875" s="114"/>
      <c r="AU875" s="114"/>
      <c r="AV875" s="114"/>
      <c r="AW875" s="114"/>
      <c r="AX875" s="114"/>
      <c r="AY875" s="114"/>
      <c r="AZ875" s="114"/>
      <c r="BA875" s="114"/>
      <c r="BB875" s="114"/>
      <c r="BC875" s="114"/>
      <c r="BD875" s="114"/>
      <c r="BE875" s="114"/>
      <c r="BF875" s="114"/>
      <c r="BG875" s="114"/>
      <c r="BH875" s="114"/>
      <c r="BI875" s="114"/>
      <c r="BJ875" s="114"/>
      <c r="BK875" s="114"/>
      <c r="BL875" s="114"/>
      <c r="BM875" s="114"/>
      <c r="BN875" s="114"/>
      <c r="BO875" s="114"/>
      <c r="BP875" s="114"/>
      <c r="BQ875" s="114"/>
      <c r="BR875" s="114"/>
      <c r="BS875" s="114"/>
    </row>
    <row r="876" spans="1:71" s="140" customFormat="1" ht="34.5" customHeight="1">
      <c r="A876" s="534" t="s">
        <v>682</v>
      </c>
      <c r="B876" s="593" t="s">
        <v>667</v>
      </c>
      <c r="C876" s="1057">
        <f>CEILING((C875+20*$Z$1),0.1)</f>
        <v>91.30000000000001</v>
      </c>
      <c r="D876" s="1058"/>
      <c r="E876" s="1057">
        <f>CEILING((E875+20*$Z$1),0.1)</f>
        <v>95</v>
      </c>
      <c r="F876" s="1058"/>
      <c r="G876" s="1057">
        <f>CEILING((G875+20*$Z$1),0.1)</f>
        <v>91.30000000000001</v>
      </c>
      <c r="H876" s="1058"/>
      <c r="I876" s="1061"/>
      <c r="J876" s="1061"/>
      <c r="K876" s="1061"/>
      <c r="L876" s="1061"/>
      <c r="M876" s="124"/>
      <c r="N876" s="103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  <c r="Y876" s="114"/>
      <c r="Z876" s="114"/>
      <c r="AA876" s="114"/>
      <c r="AB876" s="114"/>
      <c r="AC876" s="114"/>
      <c r="AD876" s="114"/>
      <c r="AE876" s="114"/>
      <c r="AF876" s="114"/>
      <c r="AG876" s="114"/>
      <c r="AH876" s="114"/>
      <c r="AI876" s="114"/>
      <c r="AJ876" s="114"/>
      <c r="AK876" s="114"/>
      <c r="AL876" s="114"/>
      <c r="AM876" s="114"/>
      <c r="AN876" s="114"/>
      <c r="AO876" s="114"/>
      <c r="AP876" s="114"/>
      <c r="AQ876" s="114"/>
      <c r="AR876" s="114"/>
      <c r="AS876" s="114"/>
      <c r="AT876" s="114"/>
      <c r="AU876" s="114"/>
      <c r="AV876" s="114"/>
      <c r="AW876" s="114"/>
      <c r="AX876" s="114"/>
      <c r="AY876" s="114"/>
      <c r="AZ876" s="114"/>
      <c r="BA876" s="114"/>
      <c r="BB876" s="114"/>
      <c r="BC876" s="114"/>
      <c r="BD876" s="114"/>
      <c r="BE876" s="114"/>
      <c r="BF876" s="114"/>
      <c r="BG876" s="114"/>
      <c r="BH876" s="114"/>
      <c r="BI876" s="114"/>
      <c r="BJ876" s="114"/>
      <c r="BK876" s="114"/>
      <c r="BL876" s="114"/>
      <c r="BM876" s="114"/>
      <c r="BN876" s="114"/>
      <c r="BO876" s="114"/>
      <c r="BP876" s="114"/>
      <c r="BQ876" s="114"/>
      <c r="BR876" s="114"/>
      <c r="BS876" s="114"/>
    </row>
    <row r="877" spans="1:71" s="140" customFormat="1" ht="34.5" customHeight="1">
      <c r="A877" s="594" t="s">
        <v>36</v>
      </c>
      <c r="B877" s="595" t="s">
        <v>38</v>
      </c>
      <c r="C877" s="1057">
        <f>CEILING((C875*0.85),0.1)</f>
        <v>56.400000000000006</v>
      </c>
      <c r="D877" s="1058"/>
      <c r="E877" s="1057">
        <f>CEILING((E875*0.85),0.1)</f>
        <v>59.5</v>
      </c>
      <c r="F877" s="1058"/>
      <c r="G877" s="1057">
        <f>CEILING((G875*0.85),0.1)</f>
        <v>56.400000000000006</v>
      </c>
      <c r="H877" s="1058"/>
      <c r="I877" s="1061"/>
      <c r="J877" s="1061"/>
      <c r="K877" s="1061"/>
      <c r="L877" s="1061"/>
      <c r="M877" s="124"/>
      <c r="N877" s="103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  <c r="Y877" s="114"/>
      <c r="Z877" s="114"/>
      <c r="AA877" s="114"/>
      <c r="AB877" s="114"/>
      <c r="AC877" s="114"/>
      <c r="AD877" s="114"/>
      <c r="AE877" s="114"/>
      <c r="AF877" s="114"/>
      <c r="AG877" s="114"/>
      <c r="AH877" s="114"/>
      <c r="AI877" s="114"/>
      <c r="AJ877" s="114"/>
      <c r="AK877" s="114"/>
      <c r="AL877" s="114"/>
      <c r="AM877" s="114"/>
      <c r="AN877" s="114"/>
      <c r="AO877" s="114"/>
      <c r="AP877" s="114"/>
      <c r="AQ877" s="114"/>
      <c r="AR877" s="114"/>
      <c r="AS877" s="114"/>
      <c r="AT877" s="114"/>
      <c r="AU877" s="114"/>
      <c r="AV877" s="114"/>
      <c r="AW877" s="114"/>
      <c r="AX877" s="114"/>
      <c r="AY877" s="114"/>
      <c r="AZ877" s="114"/>
      <c r="BA877" s="114"/>
      <c r="BB877" s="114"/>
      <c r="BC877" s="114"/>
      <c r="BD877" s="114"/>
      <c r="BE877" s="114"/>
      <c r="BF877" s="114"/>
      <c r="BG877" s="114"/>
      <c r="BH877" s="114"/>
      <c r="BI877" s="114"/>
      <c r="BJ877" s="114"/>
      <c r="BK877" s="114"/>
      <c r="BL877" s="114"/>
      <c r="BM877" s="114"/>
      <c r="BN877" s="114"/>
      <c r="BO877" s="114"/>
      <c r="BP877" s="114"/>
      <c r="BQ877" s="114"/>
      <c r="BR877" s="114"/>
      <c r="BS877" s="114"/>
    </row>
    <row r="878" spans="1:71" s="140" customFormat="1" ht="34.5" customHeight="1">
      <c r="A878" s="538" t="s">
        <v>684</v>
      </c>
      <c r="B878" s="596" t="s">
        <v>668</v>
      </c>
      <c r="C878" s="1057">
        <f>CEILING((C875*0),0.1)</f>
        <v>0</v>
      </c>
      <c r="D878" s="1058"/>
      <c r="E878" s="1057">
        <f>CEILING((E875*0),0.1)</f>
        <v>0</v>
      </c>
      <c r="F878" s="1058"/>
      <c r="G878" s="1057">
        <f>CEILING((G875*0),0.1)</f>
        <v>0</v>
      </c>
      <c r="H878" s="1058"/>
      <c r="I878" s="1061"/>
      <c r="J878" s="1061"/>
      <c r="K878" s="1061"/>
      <c r="L878" s="1061"/>
      <c r="M878" s="124"/>
      <c r="N878" s="103"/>
      <c r="O878" s="114"/>
      <c r="P878" s="114"/>
      <c r="Q878" s="114"/>
      <c r="R878" s="114"/>
      <c r="S878" s="114"/>
      <c r="T878" s="114"/>
      <c r="U878" s="114"/>
      <c r="V878" s="114"/>
      <c r="W878" s="114"/>
      <c r="X878" s="114"/>
      <c r="Y878" s="114"/>
      <c r="Z878" s="114"/>
      <c r="AA878" s="114"/>
      <c r="AB878" s="114"/>
      <c r="AC878" s="114"/>
      <c r="AD878" s="114"/>
      <c r="AE878" s="114"/>
      <c r="AF878" s="114"/>
      <c r="AG878" s="114"/>
      <c r="AH878" s="114"/>
      <c r="AI878" s="114"/>
      <c r="AJ878" s="114"/>
      <c r="AK878" s="114"/>
      <c r="AL878" s="114"/>
      <c r="AM878" s="114"/>
      <c r="AN878" s="114"/>
      <c r="AO878" s="114"/>
      <c r="AP878" s="114"/>
      <c r="AQ878" s="114"/>
      <c r="AR878" s="114"/>
      <c r="AS878" s="114"/>
      <c r="AT878" s="114"/>
      <c r="AU878" s="114"/>
      <c r="AV878" s="114"/>
      <c r="AW878" s="114"/>
      <c r="AX878" s="114"/>
      <c r="AY878" s="114"/>
      <c r="AZ878" s="114"/>
      <c r="BA878" s="114"/>
      <c r="BB878" s="114"/>
      <c r="BC878" s="114"/>
      <c r="BD878" s="114"/>
      <c r="BE878" s="114"/>
      <c r="BF878" s="114"/>
      <c r="BG878" s="114"/>
      <c r="BH878" s="114"/>
      <c r="BI878" s="114"/>
      <c r="BJ878" s="114"/>
      <c r="BK878" s="114"/>
      <c r="BL878" s="114"/>
      <c r="BM878" s="114"/>
      <c r="BN878" s="114"/>
      <c r="BO878" s="114"/>
      <c r="BP878" s="114"/>
      <c r="BQ878" s="114"/>
      <c r="BR878" s="114"/>
      <c r="BS878" s="114"/>
    </row>
    <row r="879" spans="1:71" s="140" customFormat="1" ht="34.5" customHeight="1">
      <c r="A879" s="597"/>
      <c r="B879" s="598" t="s">
        <v>669</v>
      </c>
      <c r="C879" s="1057">
        <f>CEILING(68*$Z$1,0.1)</f>
        <v>85</v>
      </c>
      <c r="D879" s="1058"/>
      <c r="E879" s="1057">
        <f>CEILING(71*$Z$1,0.1)</f>
        <v>88.80000000000001</v>
      </c>
      <c r="F879" s="1058"/>
      <c r="G879" s="1057">
        <f>CEILING(68*$Z$1,0.1)</f>
        <v>85</v>
      </c>
      <c r="H879" s="1058"/>
      <c r="I879" s="1061"/>
      <c r="J879" s="1061"/>
      <c r="K879" s="1061"/>
      <c r="L879" s="1061"/>
      <c r="M879" s="124"/>
      <c r="N879" s="103"/>
      <c r="O879" s="114"/>
      <c r="P879" s="114"/>
      <c r="Q879" s="114"/>
      <c r="R879" s="114"/>
      <c r="S879" s="114"/>
      <c r="T879" s="114"/>
      <c r="U879" s="114"/>
      <c r="V879" s="114"/>
      <c r="W879" s="114"/>
      <c r="X879" s="114"/>
      <c r="Y879" s="114"/>
      <c r="Z879" s="114"/>
      <c r="AA879" s="114"/>
      <c r="AB879" s="114"/>
      <c r="AC879" s="114"/>
      <c r="AD879" s="114"/>
      <c r="AE879" s="114"/>
      <c r="AF879" s="114"/>
      <c r="AG879" s="114"/>
      <c r="AH879" s="114"/>
      <c r="AI879" s="114"/>
      <c r="AJ879" s="114"/>
      <c r="AK879" s="114"/>
      <c r="AL879" s="114"/>
      <c r="AM879" s="114"/>
      <c r="AN879" s="114"/>
      <c r="AO879" s="114"/>
      <c r="AP879" s="114"/>
      <c r="AQ879" s="114"/>
      <c r="AR879" s="114"/>
      <c r="AS879" s="114"/>
      <c r="AT879" s="114"/>
      <c r="AU879" s="114"/>
      <c r="AV879" s="114"/>
      <c r="AW879" s="114"/>
      <c r="AX879" s="114"/>
      <c r="AY879" s="114"/>
      <c r="AZ879" s="114"/>
      <c r="BA879" s="114"/>
      <c r="BB879" s="114"/>
      <c r="BC879" s="114"/>
      <c r="BD879" s="114"/>
      <c r="BE879" s="114"/>
      <c r="BF879" s="114"/>
      <c r="BG879" s="114"/>
      <c r="BH879" s="114"/>
      <c r="BI879" s="114"/>
      <c r="BJ879" s="114"/>
      <c r="BK879" s="114"/>
      <c r="BL879" s="114"/>
      <c r="BM879" s="114"/>
      <c r="BN879" s="114"/>
      <c r="BO879" s="114"/>
      <c r="BP879" s="114"/>
      <c r="BQ879" s="114"/>
      <c r="BR879" s="114"/>
      <c r="BS879" s="114"/>
    </row>
    <row r="880" spans="1:71" s="140" customFormat="1" ht="34.5" customHeight="1">
      <c r="A880" s="599"/>
      <c r="B880" s="226" t="s">
        <v>670</v>
      </c>
      <c r="C880" s="1057">
        <f>CEILING((C879+20*$Z$1),0.1)</f>
        <v>110</v>
      </c>
      <c r="D880" s="1058"/>
      <c r="E880" s="1057">
        <f>CEILING((E879+20*$Z$1),0.1)</f>
        <v>113.80000000000001</v>
      </c>
      <c r="F880" s="1202"/>
      <c r="G880" s="1057">
        <f>CEILING((G879+20*$Z$1),0.1)</f>
        <v>110</v>
      </c>
      <c r="H880" s="1058"/>
      <c r="I880" s="1061"/>
      <c r="J880" s="1061"/>
      <c r="K880" s="1061"/>
      <c r="L880" s="1061"/>
      <c r="M880" s="124"/>
      <c r="N880" s="103"/>
      <c r="O880" s="114"/>
      <c r="P880" s="114"/>
      <c r="Q880" s="114"/>
      <c r="R880" s="114"/>
      <c r="S880" s="114"/>
      <c r="T880" s="114"/>
      <c r="U880" s="114"/>
      <c r="V880" s="114"/>
      <c r="W880" s="114"/>
      <c r="X880" s="114"/>
      <c r="Y880" s="114"/>
      <c r="Z880" s="114"/>
      <c r="AA880" s="114"/>
      <c r="AB880" s="114"/>
      <c r="AC880" s="114"/>
      <c r="AD880" s="114"/>
      <c r="AE880" s="114"/>
      <c r="AF880" s="114"/>
      <c r="AG880" s="114"/>
      <c r="AH880" s="114"/>
      <c r="AI880" s="114"/>
      <c r="AJ880" s="114"/>
      <c r="AK880" s="114"/>
      <c r="AL880" s="114"/>
      <c r="AM880" s="114"/>
      <c r="AN880" s="114"/>
      <c r="AO880" s="114"/>
      <c r="AP880" s="114"/>
      <c r="AQ880" s="114"/>
      <c r="AR880" s="114"/>
      <c r="AS880" s="114"/>
      <c r="AT880" s="114"/>
      <c r="AU880" s="114"/>
      <c r="AV880" s="114"/>
      <c r="AW880" s="114"/>
      <c r="AX880" s="114"/>
      <c r="AY880" s="114"/>
      <c r="AZ880" s="114"/>
      <c r="BA880" s="114"/>
      <c r="BB880" s="114"/>
      <c r="BC880" s="114"/>
      <c r="BD880" s="114"/>
      <c r="BE880" s="114"/>
      <c r="BF880" s="114"/>
      <c r="BG880" s="114"/>
      <c r="BH880" s="114"/>
      <c r="BI880" s="114"/>
      <c r="BJ880" s="114"/>
      <c r="BK880" s="114"/>
      <c r="BL880" s="114"/>
      <c r="BM880" s="114"/>
      <c r="BN880" s="114"/>
      <c r="BO880" s="114"/>
      <c r="BP880" s="114"/>
      <c r="BQ880" s="114"/>
      <c r="BR880" s="114"/>
      <c r="BS880" s="114"/>
    </row>
    <row r="881" spans="1:71" s="140" customFormat="1" ht="34.5" customHeight="1">
      <c r="A881" s="599"/>
      <c r="B881" s="398" t="s">
        <v>671</v>
      </c>
      <c r="C881" s="1057">
        <f>CEILING(103*$Z$1,0.1)</f>
        <v>128.8</v>
      </c>
      <c r="D881" s="1058"/>
      <c r="E881" s="1057">
        <f>CEILING(106*$Z$1,0.1)</f>
        <v>132.5</v>
      </c>
      <c r="F881" s="1058"/>
      <c r="G881" s="1057">
        <f>CEILING(103*$Z$1,0.1)</f>
        <v>128.8</v>
      </c>
      <c r="H881" s="1058"/>
      <c r="I881" s="1061"/>
      <c r="J881" s="1061"/>
      <c r="K881" s="1061"/>
      <c r="L881" s="1061"/>
      <c r="M881" s="124"/>
      <c r="N881" s="103"/>
      <c r="O881" s="114"/>
      <c r="P881" s="114"/>
      <c r="Q881" s="114"/>
      <c r="R881" s="114"/>
      <c r="S881" s="114"/>
      <c r="T881" s="114"/>
      <c r="U881" s="114"/>
      <c r="V881" s="114"/>
      <c r="W881" s="114"/>
      <c r="X881" s="114"/>
      <c r="Y881" s="114"/>
      <c r="Z881" s="114"/>
      <c r="AA881" s="114"/>
      <c r="AB881" s="114"/>
      <c r="AC881" s="114"/>
      <c r="AD881" s="114"/>
      <c r="AE881" s="114"/>
      <c r="AF881" s="114"/>
      <c r="AG881" s="114"/>
      <c r="AH881" s="114"/>
      <c r="AI881" s="114"/>
      <c r="AJ881" s="114"/>
      <c r="AK881" s="114"/>
      <c r="AL881" s="114"/>
      <c r="AM881" s="114"/>
      <c r="AN881" s="114"/>
      <c r="AO881" s="114"/>
      <c r="AP881" s="114"/>
      <c r="AQ881" s="114"/>
      <c r="AR881" s="114"/>
      <c r="AS881" s="114"/>
      <c r="AT881" s="114"/>
      <c r="AU881" s="114"/>
      <c r="AV881" s="114"/>
      <c r="AW881" s="114"/>
      <c r="AX881" s="114"/>
      <c r="AY881" s="114"/>
      <c r="AZ881" s="114"/>
      <c r="BA881" s="114"/>
      <c r="BB881" s="114"/>
      <c r="BC881" s="114"/>
      <c r="BD881" s="114"/>
      <c r="BE881" s="114"/>
      <c r="BF881" s="114"/>
      <c r="BG881" s="114"/>
      <c r="BH881" s="114"/>
      <c r="BI881" s="114"/>
      <c r="BJ881" s="114"/>
      <c r="BK881" s="114"/>
      <c r="BL881" s="114"/>
      <c r="BM881" s="114"/>
      <c r="BN881" s="114"/>
      <c r="BO881" s="114"/>
      <c r="BP881" s="114"/>
      <c r="BQ881" s="114"/>
      <c r="BR881" s="114"/>
      <c r="BS881" s="114"/>
    </row>
    <row r="882" spans="1:71" s="140" customFormat="1" ht="34.5" customHeight="1">
      <c r="A882" s="597"/>
      <c r="B882" s="103" t="s">
        <v>672</v>
      </c>
      <c r="C882" s="1057">
        <f>CEILING((C881+20*$Z$1),0.1)</f>
        <v>153.8</v>
      </c>
      <c r="D882" s="1058"/>
      <c r="E882" s="1057">
        <f>CEILING((E881+20*$Z$1),0.1)</f>
        <v>157.5</v>
      </c>
      <c r="F882" s="1058"/>
      <c r="G882" s="1057">
        <f>CEILING((G881+20*$Z$1),0.1)</f>
        <v>153.8</v>
      </c>
      <c r="H882" s="1058"/>
      <c r="I882" s="1061"/>
      <c r="J882" s="1061"/>
      <c r="K882" s="1061"/>
      <c r="L882" s="1061"/>
      <c r="M882" s="124"/>
      <c r="N882" s="103"/>
      <c r="O882" s="114"/>
      <c r="P882" s="114"/>
      <c r="Q882" s="114"/>
      <c r="R882" s="114"/>
      <c r="S882" s="114"/>
      <c r="T882" s="114"/>
      <c r="U882" s="114"/>
      <c r="V882" s="114"/>
      <c r="W882" s="114"/>
      <c r="X882" s="114"/>
      <c r="Y882" s="114"/>
      <c r="Z882" s="114"/>
      <c r="AA882" s="114"/>
      <c r="AB882" s="114"/>
      <c r="AC882" s="114"/>
      <c r="AD882" s="114"/>
      <c r="AE882" s="114"/>
      <c r="AF882" s="114"/>
      <c r="AG882" s="114"/>
      <c r="AH882" s="114"/>
      <c r="AI882" s="114"/>
      <c r="AJ882" s="114"/>
      <c r="AK882" s="114"/>
      <c r="AL882" s="114"/>
      <c r="AM882" s="114"/>
      <c r="AN882" s="114"/>
      <c r="AO882" s="114"/>
      <c r="AP882" s="114"/>
      <c r="AQ882" s="114"/>
      <c r="AR882" s="114"/>
      <c r="AS882" s="114"/>
      <c r="AT882" s="114"/>
      <c r="AU882" s="114"/>
      <c r="AV882" s="114"/>
      <c r="AW882" s="114"/>
      <c r="AX882" s="114"/>
      <c r="AY882" s="114"/>
      <c r="AZ882" s="114"/>
      <c r="BA882" s="114"/>
      <c r="BB882" s="114"/>
      <c r="BC882" s="114"/>
      <c r="BD882" s="114"/>
      <c r="BE882" s="114"/>
      <c r="BF882" s="114"/>
      <c r="BG882" s="114"/>
      <c r="BH882" s="114"/>
      <c r="BI882" s="114"/>
      <c r="BJ882" s="114"/>
      <c r="BK882" s="114"/>
      <c r="BL882" s="114"/>
      <c r="BM882" s="114"/>
      <c r="BN882" s="114"/>
      <c r="BO882" s="114"/>
      <c r="BP882" s="114"/>
      <c r="BQ882" s="114"/>
      <c r="BR882" s="114"/>
      <c r="BS882" s="114"/>
    </row>
    <row r="883" spans="1:71" s="473" customFormat="1" ht="34.5" customHeight="1">
      <c r="A883" s="600"/>
      <c r="B883" s="601" t="s">
        <v>673</v>
      </c>
      <c r="C883" s="1059">
        <f>CEILING(175*$Z$1,0.1)</f>
        <v>218.8</v>
      </c>
      <c r="D883" s="1060"/>
      <c r="E883" s="1057">
        <f>CEILING(180*$Z$1,0.1)</f>
        <v>225</v>
      </c>
      <c r="F883" s="1058"/>
      <c r="G883" s="1059">
        <f>CEILING(175*$Z$1,0.1)</f>
        <v>218.8</v>
      </c>
      <c r="H883" s="1060"/>
      <c r="I883" s="1061"/>
      <c r="J883" s="1061"/>
      <c r="K883" s="1061"/>
      <c r="L883" s="1061"/>
      <c r="M883" s="124"/>
      <c r="N883" s="103"/>
      <c r="O883" s="114"/>
      <c r="P883" s="114"/>
      <c r="Q883" s="114"/>
      <c r="R883" s="114"/>
      <c r="S883" s="114"/>
      <c r="T883" s="114"/>
      <c r="U883" s="114"/>
      <c r="V883" s="114"/>
      <c r="W883" s="114"/>
      <c r="X883" s="114"/>
      <c r="Y883" s="114"/>
      <c r="Z883" s="114"/>
      <c r="AA883" s="114"/>
      <c r="AB883" s="114"/>
      <c r="AC883" s="114"/>
      <c r="AD883" s="114"/>
      <c r="AE883" s="114"/>
      <c r="AF883" s="114"/>
      <c r="AG883" s="114"/>
      <c r="AH883" s="114"/>
      <c r="AI883" s="114"/>
      <c r="AJ883" s="114"/>
      <c r="AK883" s="114"/>
      <c r="AL883" s="114"/>
      <c r="AM883" s="114"/>
      <c r="AN883" s="114"/>
      <c r="AO883" s="114"/>
      <c r="AP883" s="114"/>
      <c r="AQ883" s="114"/>
      <c r="AR883" s="114"/>
      <c r="AS883" s="114"/>
      <c r="AT883" s="114"/>
      <c r="AU883" s="114"/>
      <c r="AV883" s="114"/>
      <c r="AW883" s="114"/>
      <c r="AX883" s="114"/>
      <c r="AY883" s="114"/>
      <c r="AZ883" s="114"/>
      <c r="BA883" s="114"/>
      <c r="BB883" s="114"/>
      <c r="BC883" s="114"/>
      <c r="BD883" s="114"/>
      <c r="BE883" s="114"/>
      <c r="BF883" s="114"/>
      <c r="BG883" s="114"/>
      <c r="BH883" s="114"/>
      <c r="BI883" s="114"/>
      <c r="BJ883" s="114"/>
      <c r="BK883" s="114"/>
      <c r="BL883" s="114"/>
      <c r="BM883" s="114"/>
      <c r="BN883" s="114"/>
      <c r="BO883" s="114"/>
      <c r="BP883" s="114"/>
      <c r="BQ883" s="114"/>
      <c r="BR883" s="114"/>
      <c r="BS883" s="114"/>
    </row>
    <row r="884" spans="1:71" s="140" customFormat="1" ht="34.5" customHeight="1">
      <c r="A884" s="602"/>
      <c r="B884" s="407" t="s">
        <v>666</v>
      </c>
      <c r="C884" s="1073">
        <f>CEILING(61*$Z$1,0.1)</f>
        <v>76.3</v>
      </c>
      <c r="D884" s="1074"/>
      <c r="E884" s="1117">
        <f>CEILING(64*$Z$1,0.1)</f>
        <v>80</v>
      </c>
      <c r="F884" s="1074"/>
      <c r="G884" s="1073">
        <f>CEILING(61*$Z$1,0.1)</f>
        <v>76.3</v>
      </c>
      <c r="H884" s="1074"/>
      <c r="I884" s="1061"/>
      <c r="J884" s="1061"/>
      <c r="K884" s="1061"/>
      <c r="L884" s="1061"/>
      <c r="M884" s="124"/>
      <c r="N884" s="103"/>
      <c r="O884" s="114"/>
      <c r="P884" s="114"/>
      <c r="Q884" s="114"/>
      <c r="R884" s="114"/>
      <c r="S884" s="114"/>
      <c r="T884" s="114"/>
      <c r="U884" s="114"/>
      <c r="V884" s="114"/>
      <c r="W884" s="114"/>
      <c r="X884" s="114"/>
      <c r="Y884" s="114"/>
      <c r="Z884" s="114"/>
      <c r="AA884" s="114"/>
      <c r="AB884" s="114"/>
      <c r="AC884" s="114"/>
      <c r="AD884" s="114"/>
      <c r="AE884" s="114"/>
      <c r="AF884" s="114"/>
      <c r="AG884" s="114"/>
      <c r="AH884" s="114"/>
      <c r="AI884" s="114"/>
      <c r="AJ884" s="114"/>
      <c r="AK884" s="114"/>
      <c r="AL884" s="114"/>
      <c r="AM884" s="114"/>
      <c r="AN884" s="114"/>
      <c r="AO884" s="114"/>
      <c r="AP884" s="114"/>
      <c r="AQ884" s="114"/>
      <c r="AR884" s="114"/>
      <c r="AS884" s="114"/>
      <c r="AT884" s="114"/>
      <c r="AU884" s="114"/>
      <c r="AV884" s="114"/>
      <c r="AW884" s="114"/>
      <c r="AX884" s="114"/>
      <c r="AY884" s="114"/>
      <c r="AZ884" s="114"/>
      <c r="BA884" s="114"/>
      <c r="BB884" s="114"/>
      <c r="BC884" s="114"/>
      <c r="BD884" s="114"/>
      <c r="BE884" s="114"/>
      <c r="BF884" s="114"/>
      <c r="BG884" s="114"/>
      <c r="BH884" s="114"/>
      <c r="BI884" s="114"/>
      <c r="BJ884" s="114"/>
      <c r="BK884" s="114"/>
      <c r="BL884" s="114"/>
      <c r="BM884" s="114"/>
      <c r="BN884" s="114"/>
      <c r="BO884" s="114"/>
      <c r="BP884" s="114"/>
      <c r="BQ884" s="114"/>
      <c r="BR884" s="114"/>
      <c r="BS884" s="114"/>
    </row>
    <row r="885" spans="1:71" s="140" customFormat="1" ht="34.5" customHeight="1">
      <c r="A885" s="603"/>
      <c r="B885" s="219" t="s">
        <v>667</v>
      </c>
      <c r="C885" s="1057">
        <f>CEILING((C884+20*$Z$1),0.1)</f>
        <v>101.30000000000001</v>
      </c>
      <c r="D885" s="1058"/>
      <c r="E885" s="1061">
        <f>CEILING((E884+20*$Z$1),0.1)</f>
        <v>105</v>
      </c>
      <c r="F885" s="1058"/>
      <c r="G885" s="1057">
        <f>CEILING((G884+20*$Z$1),0.1)</f>
        <v>101.30000000000001</v>
      </c>
      <c r="H885" s="1058"/>
      <c r="I885" s="1061"/>
      <c r="J885" s="1061"/>
      <c r="K885" s="1061"/>
      <c r="L885" s="1061"/>
      <c r="M885" s="124"/>
      <c r="N885" s="103"/>
      <c r="O885" s="114"/>
      <c r="P885" s="114"/>
      <c r="Q885" s="114"/>
      <c r="R885" s="114"/>
      <c r="S885" s="114"/>
      <c r="T885" s="114"/>
      <c r="U885" s="114"/>
      <c r="V885" s="114"/>
      <c r="W885" s="114"/>
      <c r="X885" s="114"/>
      <c r="Y885" s="114"/>
      <c r="Z885" s="114"/>
      <c r="AA885" s="114"/>
      <c r="AB885" s="114"/>
      <c r="AC885" s="114"/>
      <c r="AD885" s="114"/>
      <c r="AE885" s="114"/>
      <c r="AF885" s="114"/>
      <c r="AG885" s="114"/>
      <c r="AH885" s="114"/>
      <c r="AI885" s="114"/>
      <c r="AJ885" s="114"/>
      <c r="AK885" s="114"/>
      <c r="AL885" s="114"/>
      <c r="AM885" s="114"/>
      <c r="AN885" s="114"/>
      <c r="AO885" s="114"/>
      <c r="AP885" s="114"/>
      <c r="AQ885" s="114"/>
      <c r="AR885" s="114"/>
      <c r="AS885" s="114"/>
      <c r="AT885" s="114"/>
      <c r="AU885" s="114"/>
      <c r="AV885" s="114"/>
      <c r="AW885" s="114"/>
      <c r="AX885" s="114"/>
      <c r="AY885" s="114"/>
      <c r="AZ885" s="114"/>
      <c r="BA885" s="114"/>
      <c r="BB885" s="114"/>
      <c r="BC885" s="114"/>
      <c r="BD885" s="114"/>
      <c r="BE885" s="114"/>
      <c r="BF885" s="114"/>
      <c r="BG885" s="114"/>
      <c r="BH885" s="114"/>
      <c r="BI885" s="114"/>
      <c r="BJ885" s="114"/>
      <c r="BK885" s="114"/>
      <c r="BL885" s="114"/>
      <c r="BM885" s="114"/>
      <c r="BN885" s="114"/>
      <c r="BO885" s="114"/>
      <c r="BP885" s="114"/>
      <c r="BQ885" s="114"/>
      <c r="BR885" s="114"/>
      <c r="BS885" s="114"/>
    </row>
    <row r="886" spans="1:71" s="140" customFormat="1" ht="34.5" customHeight="1">
      <c r="A886" s="604" t="s">
        <v>685</v>
      </c>
      <c r="B886" s="361" t="s">
        <v>38</v>
      </c>
      <c r="C886" s="1057">
        <f>CEILING((C884*0.85),0.1)</f>
        <v>64.9</v>
      </c>
      <c r="D886" s="1058"/>
      <c r="E886" s="1061">
        <f>CEILING((E884*0.85),0.1)</f>
        <v>68</v>
      </c>
      <c r="F886" s="1058"/>
      <c r="G886" s="1057">
        <f>CEILING((G884*0.85),0.1)</f>
        <v>64.9</v>
      </c>
      <c r="H886" s="1058"/>
      <c r="I886" s="1061"/>
      <c r="J886" s="1061"/>
      <c r="K886" s="1061"/>
      <c r="L886" s="1061"/>
      <c r="M886" s="124"/>
      <c r="N886" s="103"/>
      <c r="O886" s="114"/>
      <c r="P886" s="114"/>
      <c r="Q886" s="114"/>
      <c r="R886" s="114"/>
      <c r="S886" s="114"/>
      <c r="T886" s="114"/>
      <c r="U886" s="114"/>
      <c r="V886" s="114"/>
      <c r="W886" s="114"/>
      <c r="X886" s="114"/>
      <c r="Y886" s="114"/>
      <c r="Z886" s="114"/>
      <c r="AA886" s="114"/>
      <c r="AB886" s="114"/>
      <c r="AC886" s="114"/>
      <c r="AD886" s="114"/>
      <c r="AE886" s="114"/>
      <c r="AF886" s="114"/>
      <c r="AG886" s="114"/>
      <c r="AH886" s="114"/>
      <c r="AI886" s="114"/>
      <c r="AJ886" s="114"/>
      <c r="AK886" s="114"/>
      <c r="AL886" s="114"/>
      <c r="AM886" s="114"/>
      <c r="AN886" s="114"/>
      <c r="AO886" s="114"/>
      <c r="AP886" s="114"/>
      <c r="AQ886" s="114"/>
      <c r="AR886" s="114"/>
      <c r="AS886" s="114"/>
      <c r="AT886" s="114"/>
      <c r="AU886" s="114"/>
      <c r="AV886" s="114"/>
      <c r="AW886" s="114"/>
      <c r="AX886" s="114"/>
      <c r="AY886" s="114"/>
      <c r="AZ886" s="114"/>
      <c r="BA886" s="114"/>
      <c r="BB886" s="114"/>
      <c r="BC886" s="114"/>
      <c r="BD886" s="114"/>
      <c r="BE886" s="114"/>
      <c r="BF886" s="114"/>
      <c r="BG886" s="114"/>
      <c r="BH886" s="114"/>
      <c r="BI886" s="114"/>
      <c r="BJ886" s="114"/>
      <c r="BK886" s="114"/>
      <c r="BL886" s="114"/>
      <c r="BM886" s="114"/>
      <c r="BN886" s="114"/>
      <c r="BO886" s="114"/>
      <c r="BP886" s="114"/>
      <c r="BQ886" s="114"/>
      <c r="BR886" s="114"/>
      <c r="BS886" s="114"/>
    </row>
    <row r="887" spans="1:71" s="140" customFormat="1" ht="34.5" customHeight="1">
      <c r="A887" s="599"/>
      <c r="B887" s="218" t="s">
        <v>669</v>
      </c>
      <c r="C887" s="1057">
        <f>CEILING(76*$Z$1,0.1)</f>
        <v>95</v>
      </c>
      <c r="D887" s="1058"/>
      <c r="E887" s="1061">
        <f>CEILING(79*$Z$1,0.1)</f>
        <v>98.80000000000001</v>
      </c>
      <c r="F887" s="1058"/>
      <c r="G887" s="1057">
        <f>CEILING(76*$Z$1,0.1)</f>
        <v>95</v>
      </c>
      <c r="H887" s="1058"/>
      <c r="I887" s="1061"/>
      <c r="J887" s="1061"/>
      <c r="K887" s="1061"/>
      <c r="L887" s="1061"/>
      <c r="M887" s="124"/>
      <c r="N887" s="103"/>
      <c r="O887" s="114"/>
      <c r="P887" s="114"/>
      <c r="Q887" s="114"/>
      <c r="R887" s="114"/>
      <c r="S887" s="114"/>
      <c r="T887" s="114"/>
      <c r="U887" s="114"/>
      <c r="V887" s="114"/>
      <c r="W887" s="114"/>
      <c r="X887" s="114"/>
      <c r="Y887" s="114"/>
      <c r="Z887" s="114"/>
      <c r="AA887" s="114"/>
      <c r="AB887" s="114"/>
      <c r="AC887" s="114"/>
      <c r="AD887" s="114"/>
      <c r="AE887" s="114"/>
      <c r="AF887" s="114"/>
      <c r="AG887" s="114"/>
      <c r="AH887" s="114"/>
      <c r="AI887" s="114"/>
      <c r="AJ887" s="114"/>
      <c r="AK887" s="114"/>
      <c r="AL887" s="114"/>
      <c r="AM887" s="114"/>
      <c r="AN887" s="114"/>
      <c r="AO887" s="114"/>
      <c r="AP887" s="114"/>
      <c r="AQ887" s="114"/>
      <c r="AR887" s="114"/>
      <c r="AS887" s="114"/>
      <c r="AT887" s="114"/>
      <c r="AU887" s="114"/>
      <c r="AV887" s="114"/>
      <c r="AW887" s="114"/>
      <c r="AX887" s="114"/>
      <c r="AY887" s="114"/>
      <c r="AZ887" s="114"/>
      <c r="BA887" s="114"/>
      <c r="BB887" s="114"/>
      <c r="BC887" s="114"/>
      <c r="BD887" s="114"/>
      <c r="BE887" s="114"/>
      <c r="BF887" s="114"/>
      <c r="BG887" s="114"/>
      <c r="BH887" s="114"/>
      <c r="BI887" s="114"/>
      <c r="BJ887" s="114"/>
      <c r="BK887" s="114"/>
      <c r="BL887" s="114"/>
      <c r="BM887" s="114"/>
      <c r="BN887" s="114"/>
      <c r="BO887" s="114"/>
      <c r="BP887" s="114"/>
      <c r="BQ887" s="114"/>
      <c r="BR887" s="114"/>
      <c r="BS887" s="114"/>
    </row>
    <row r="888" spans="1:71" s="140" customFormat="1" ht="34.5" customHeight="1">
      <c r="A888" s="599"/>
      <c r="B888" s="218" t="s">
        <v>670</v>
      </c>
      <c r="C888" s="1057">
        <f>CEILING((C887+20*$Z$1),0.1)</f>
        <v>120</v>
      </c>
      <c r="D888" s="1058"/>
      <c r="E888" s="1061">
        <f>CEILING((E887+20*$Z$1),0.1)</f>
        <v>123.80000000000001</v>
      </c>
      <c r="F888" s="1202"/>
      <c r="G888" s="1057">
        <f>CEILING((G887+20*$Z$1),0.1)</f>
        <v>120</v>
      </c>
      <c r="H888" s="1058"/>
      <c r="I888" s="1061"/>
      <c r="J888" s="1061"/>
      <c r="K888" s="1061"/>
      <c r="L888" s="1061"/>
      <c r="M888" s="124"/>
      <c r="N888" s="103"/>
      <c r="O888" s="114"/>
      <c r="P888" s="114"/>
      <c r="Q888" s="114"/>
      <c r="R888" s="114"/>
      <c r="S888" s="114"/>
      <c r="T888" s="114"/>
      <c r="U888" s="114"/>
      <c r="V888" s="114"/>
      <c r="W888" s="114"/>
      <c r="X888" s="114"/>
      <c r="Y888" s="114"/>
      <c r="Z888" s="114"/>
      <c r="AA888" s="114"/>
      <c r="AB888" s="114"/>
      <c r="AC888" s="114"/>
      <c r="AD888" s="114"/>
      <c r="AE888" s="114"/>
      <c r="AF888" s="114"/>
      <c r="AG888" s="114"/>
      <c r="AH888" s="114"/>
      <c r="AI888" s="114"/>
      <c r="AJ888" s="114"/>
      <c r="AK888" s="114"/>
      <c r="AL888" s="114"/>
      <c r="AM888" s="114"/>
      <c r="AN888" s="114"/>
      <c r="AO888" s="114"/>
      <c r="AP888" s="114"/>
      <c r="AQ888" s="114"/>
      <c r="AR888" s="114"/>
      <c r="AS888" s="114"/>
      <c r="AT888" s="114"/>
      <c r="AU888" s="114"/>
      <c r="AV888" s="114"/>
      <c r="AW888" s="114"/>
      <c r="AX888" s="114"/>
      <c r="AY888" s="114"/>
      <c r="AZ888" s="114"/>
      <c r="BA888" s="114"/>
      <c r="BB888" s="114"/>
      <c r="BC888" s="114"/>
      <c r="BD888" s="114"/>
      <c r="BE888" s="114"/>
      <c r="BF888" s="114"/>
      <c r="BG888" s="114"/>
      <c r="BH888" s="114"/>
      <c r="BI888" s="114"/>
      <c r="BJ888" s="114"/>
      <c r="BK888" s="114"/>
      <c r="BL888" s="114"/>
      <c r="BM888" s="114"/>
      <c r="BN888" s="114"/>
      <c r="BO888" s="114"/>
      <c r="BP888" s="114"/>
      <c r="BQ888" s="114"/>
      <c r="BR888" s="114"/>
      <c r="BS888" s="114"/>
    </row>
    <row r="889" spans="1:71" s="140" customFormat="1" ht="34.5" customHeight="1">
      <c r="A889" s="599"/>
      <c r="B889" s="219" t="s">
        <v>671</v>
      </c>
      <c r="C889" s="1057">
        <f>CEILING(111*$Z$1,0.1)</f>
        <v>138.8</v>
      </c>
      <c r="D889" s="1058"/>
      <c r="E889" s="1061">
        <f>CEILING(114*$Z$1,0.1)</f>
        <v>142.5</v>
      </c>
      <c r="F889" s="1058"/>
      <c r="G889" s="1057">
        <f>CEILING(111*$Z$1,0.1)</f>
        <v>138.8</v>
      </c>
      <c r="H889" s="1058"/>
      <c r="I889" s="1061"/>
      <c r="J889" s="1061"/>
      <c r="K889" s="1061"/>
      <c r="L889" s="1061"/>
      <c r="M889" s="124"/>
      <c r="N889" s="103"/>
      <c r="O889" s="114"/>
      <c r="P889" s="114"/>
      <c r="Q889" s="114"/>
      <c r="R889" s="114"/>
      <c r="S889" s="114"/>
      <c r="T889" s="114"/>
      <c r="U889" s="114"/>
      <c r="V889" s="114"/>
      <c r="W889" s="114"/>
      <c r="X889" s="114"/>
      <c r="Y889" s="114"/>
      <c r="Z889" s="114"/>
      <c r="AA889" s="114"/>
      <c r="AB889" s="114"/>
      <c r="AC889" s="114"/>
      <c r="AD889" s="114"/>
      <c r="AE889" s="114"/>
      <c r="AF889" s="114"/>
      <c r="AG889" s="114"/>
      <c r="AH889" s="114"/>
      <c r="AI889" s="114"/>
      <c r="AJ889" s="114"/>
      <c r="AK889" s="114"/>
      <c r="AL889" s="114"/>
      <c r="AM889" s="114"/>
      <c r="AN889" s="114"/>
      <c r="AO889" s="114"/>
      <c r="AP889" s="114"/>
      <c r="AQ889" s="114"/>
      <c r="AR889" s="114"/>
      <c r="AS889" s="114"/>
      <c r="AT889" s="114"/>
      <c r="AU889" s="114"/>
      <c r="AV889" s="114"/>
      <c r="AW889" s="114"/>
      <c r="AX889" s="114"/>
      <c r="AY889" s="114"/>
      <c r="AZ889" s="114"/>
      <c r="BA889" s="114"/>
      <c r="BB889" s="114"/>
      <c r="BC889" s="114"/>
      <c r="BD889" s="114"/>
      <c r="BE889" s="114"/>
      <c r="BF889" s="114"/>
      <c r="BG889" s="114"/>
      <c r="BH889" s="114"/>
      <c r="BI889" s="114"/>
      <c r="BJ889" s="114"/>
      <c r="BK889" s="114"/>
      <c r="BL889" s="114"/>
      <c r="BM889" s="114"/>
      <c r="BN889" s="114"/>
      <c r="BO889" s="114"/>
      <c r="BP889" s="114"/>
      <c r="BQ889" s="114"/>
      <c r="BR889" s="114"/>
      <c r="BS889" s="114"/>
    </row>
    <row r="890" spans="1:71" s="140" customFormat="1" ht="34.5" customHeight="1">
      <c r="A890" s="599"/>
      <c r="B890" s="219" t="s">
        <v>672</v>
      </c>
      <c r="C890" s="1057">
        <f>CEILING((C889+20*$Z$1),0.1)</f>
        <v>163.8</v>
      </c>
      <c r="D890" s="1058"/>
      <c r="E890" s="1061">
        <f>CEILING((E889+20*$Z$1),0.1)</f>
        <v>167.5</v>
      </c>
      <c r="F890" s="1058"/>
      <c r="G890" s="1057">
        <f>CEILING((G889+20*$Z$1),0.1)</f>
        <v>163.8</v>
      </c>
      <c r="H890" s="1058"/>
      <c r="I890" s="1061"/>
      <c r="J890" s="1061"/>
      <c r="K890" s="1061"/>
      <c r="L890" s="1061"/>
      <c r="M890" s="124"/>
      <c r="N890" s="103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  <c r="Z890" s="114"/>
      <c r="AA890" s="114"/>
      <c r="AB890" s="114"/>
      <c r="AC890" s="114"/>
      <c r="AD890" s="114"/>
      <c r="AE890" s="114"/>
      <c r="AF890" s="114"/>
      <c r="AG890" s="114"/>
      <c r="AH890" s="114"/>
      <c r="AI890" s="114"/>
      <c r="AJ890" s="114"/>
      <c r="AK890" s="114"/>
      <c r="AL890" s="114"/>
      <c r="AM890" s="114"/>
      <c r="AN890" s="114"/>
      <c r="AO890" s="114"/>
      <c r="AP890" s="114"/>
      <c r="AQ890" s="114"/>
      <c r="AR890" s="114"/>
      <c r="AS890" s="114"/>
      <c r="AT890" s="114"/>
      <c r="AU890" s="114"/>
      <c r="AV890" s="114"/>
      <c r="AW890" s="114"/>
      <c r="AX890" s="114"/>
      <c r="AY890" s="114"/>
      <c r="AZ890" s="114"/>
      <c r="BA890" s="114"/>
      <c r="BB890" s="114"/>
      <c r="BC890" s="114"/>
      <c r="BD890" s="114"/>
      <c r="BE890" s="114"/>
      <c r="BF890" s="114"/>
      <c r="BG890" s="114"/>
      <c r="BH890" s="114"/>
      <c r="BI890" s="114"/>
      <c r="BJ890" s="114"/>
      <c r="BK890" s="114"/>
      <c r="BL890" s="114"/>
      <c r="BM890" s="114"/>
      <c r="BN890" s="114"/>
      <c r="BO890" s="114"/>
      <c r="BP890" s="114"/>
      <c r="BQ890" s="114"/>
      <c r="BR890" s="114"/>
      <c r="BS890" s="114"/>
    </row>
    <row r="891" spans="1:71" s="473" customFormat="1" ht="34.5" customHeight="1">
      <c r="A891" s="605"/>
      <c r="B891" s="218" t="s">
        <v>675</v>
      </c>
      <c r="C891" s="1059">
        <f>CEILING(189*$Z$1,0.1)</f>
        <v>236.3</v>
      </c>
      <c r="D891" s="1060"/>
      <c r="E891" s="1061">
        <f>CEILING(194*$Z$1,0.1)</f>
        <v>242.5</v>
      </c>
      <c r="F891" s="1058"/>
      <c r="G891" s="1059">
        <f>CEILING(189*$Z$1,0.1)</f>
        <v>236.3</v>
      </c>
      <c r="H891" s="1060"/>
      <c r="I891" s="1061"/>
      <c r="J891" s="1061"/>
      <c r="K891" s="1061"/>
      <c r="L891" s="1061"/>
      <c r="M891" s="124"/>
      <c r="N891" s="103"/>
      <c r="O891" s="114"/>
      <c r="P891" s="114"/>
      <c r="Q891" s="114"/>
      <c r="R891" s="114"/>
      <c r="S891" s="114"/>
      <c r="T891" s="114"/>
      <c r="U891" s="114"/>
      <c r="V891" s="114"/>
      <c r="W891" s="114"/>
      <c r="X891" s="114"/>
      <c r="Y891" s="114"/>
      <c r="Z891" s="114"/>
      <c r="AA891" s="114"/>
      <c r="AB891" s="114"/>
      <c r="AC891" s="114"/>
      <c r="AD891" s="114"/>
      <c r="AE891" s="114"/>
      <c r="AF891" s="114"/>
      <c r="AG891" s="114"/>
      <c r="AH891" s="114"/>
      <c r="AI891" s="114"/>
      <c r="AJ891" s="114"/>
      <c r="AK891" s="114"/>
      <c r="AL891" s="114"/>
      <c r="AM891" s="114"/>
      <c r="AN891" s="114"/>
      <c r="AO891" s="114"/>
      <c r="AP891" s="114"/>
      <c r="AQ891" s="114"/>
      <c r="AR891" s="114"/>
      <c r="AS891" s="114"/>
      <c r="AT891" s="114"/>
      <c r="AU891" s="114"/>
      <c r="AV891" s="114"/>
      <c r="AW891" s="114"/>
      <c r="AX891" s="114"/>
      <c r="AY891" s="114"/>
      <c r="AZ891" s="114"/>
      <c r="BA891" s="114"/>
      <c r="BB891" s="114"/>
      <c r="BC891" s="114"/>
      <c r="BD891" s="114"/>
      <c r="BE891" s="114"/>
      <c r="BF891" s="114"/>
      <c r="BG891" s="114"/>
      <c r="BH891" s="114"/>
      <c r="BI891" s="114"/>
      <c r="BJ891" s="114"/>
      <c r="BK891" s="114"/>
      <c r="BL891" s="114"/>
      <c r="BM891" s="114"/>
      <c r="BN891" s="114"/>
      <c r="BO891" s="114"/>
      <c r="BP891" s="114"/>
      <c r="BQ891" s="114"/>
      <c r="BR891" s="114"/>
      <c r="BS891" s="114"/>
    </row>
    <row r="892" spans="1:71" s="140" customFormat="1" ht="34.5" customHeight="1">
      <c r="A892" s="602"/>
      <c r="B892" s="466" t="s">
        <v>676</v>
      </c>
      <c r="C892" s="1073">
        <f>CEILING(76*$Z$1,0.1)</f>
        <v>95</v>
      </c>
      <c r="D892" s="1074"/>
      <c r="E892" s="1073">
        <f>CEILING(79*$Z$1,0.1)</f>
        <v>98.80000000000001</v>
      </c>
      <c r="F892" s="1074"/>
      <c r="G892" s="1073">
        <f>CEILING(76*$Z$1,0.1)</f>
        <v>95</v>
      </c>
      <c r="H892" s="1074"/>
      <c r="I892" s="1061"/>
      <c r="J892" s="1061"/>
      <c r="K892" s="1061"/>
      <c r="L892" s="1061"/>
      <c r="M892" s="124"/>
      <c r="N892" s="103"/>
      <c r="O892" s="114"/>
      <c r="P892" s="114"/>
      <c r="Q892" s="114"/>
      <c r="R892" s="114"/>
      <c r="S892" s="114"/>
      <c r="T892" s="114"/>
      <c r="U892" s="114"/>
      <c r="V892" s="114"/>
      <c r="W892" s="114"/>
      <c r="X892" s="114"/>
      <c r="Y892" s="114"/>
      <c r="Z892" s="114"/>
      <c r="AA892" s="114"/>
      <c r="AB892" s="114"/>
      <c r="AC892" s="114"/>
      <c r="AD892" s="114"/>
      <c r="AE892" s="114"/>
      <c r="AF892" s="114"/>
      <c r="AG892" s="114"/>
      <c r="AH892" s="114"/>
      <c r="AI892" s="114"/>
      <c r="AJ892" s="114"/>
      <c r="AK892" s="114"/>
      <c r="AL892" s="114"/>
      <c r="AM892" s="114"/>
      <c r="AN892" s="114"/>
      <c r="AO892" s="114"/>
      <c r="AP892" s="114"/>
      <c r="AQ892" s="114"/>
      <c r="AR892" s="114"/>
      <c r="AS892" s="114"/>
      <c r="AT892" s="114"/>
      <c r="AU892" s="114"/>
      <c r="AV892" s="114"/>
      <c r="AW892" s="114"/>
      <c r="AX892" s="114"/>
      <c r="AY892" s="114"/>
      <c r="AZ892" s="114"/>
      <c r="BA892" s="114"/>
      <c r="BB892" s="114"/>
      <c r="BC892" s="114"/>
      <c r="BD892" s="114"/>
      <c r="BE892" s="114"/>
      <c r="BF892" s="114"/>
      <c r="BG892" s="114"/>
      <c r="BH892" s="114"/>
      <c r="BI892" s="114"/>
      <c r="BJ892" s="114"/>
      <c r="BK892" s="114"/>
      <c r="BL892" s="114"/>
      <c r="BM892" s="114"/>
      <c r="BN892" s="114"/>
      <c r="BO892" s="114"/>
      <c r="BP892" s="114"/>
      <c r="BQ892" s="114"/>
      <c r="BR892" s="114"/>
      <c r="BS892" s="114"/>
    </row>
    <row r="893" spans="1:71" s="140" customFormat="1" ht="34.5" customHeight="1">
      <c r="A893" s="603"/>
      <c r="B893" s="398" t="s">
        <v>677</v>
      </c>
      <c r="C893" s="1057">
        <f>CEILING((C892+38*$Z$1),0.1)</f>
        <v>142.5</v>
      </c>
      <c r="D893" s="1058"/>
      <c r="E893" s="1057">
        <f>CEILING((E892+40*$Z$1),0.1)</f>
        <v>148.8</v>
      </c>
      <c r="F893" s="1058"/>
      <c r="G893" s="1057">
        <f>CEILING((G892+38*$Z$1),0.1)</f>
        <v>142.5</v>
      </c>
      <c r="H893" s="1058"/>
      <c r="I893" s="1061"/>
      <c r="J893" s="1061"/>
      <c r="K893" s="1061"/>
      <c r="L893" s="1061"/>
      <c r="M893" s="124"/>
      <c r="N893" s="103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  <c r="Z893" s="114"/>
      <c r="AA893" s="114"/>
      <c r="AB893" s="114"/>
      <c r="AC893" s="114"/>
      <c r="AD893" s="114"/>
      <c r="AE893" s="114"/>
      <c r="AF893" s="114"/>
      <c r="AG893" s="114"/>
      <c r="AH893" s="114"/>
      <c r="AI893" s="114"/>
      <c r="AJ893" s="114"/>
      <c r="AK893" s="114"/>
      <c r="AL893" s="114"/>
      <c r="AM893" s="114"/>
      <c r="AN893" s="114"/>
      <c r="AO893" s="114"/>
      <c r="AP893" s="114"/>
      <c r="AQ893" s="114"/>
      <c r="AR893" s="114"/>
      <c r="AS893" s="114"/>
      <c r="AT893" s="114"/>
      <c r="AU893" s="114"/>
      <c r="AV893" s="114"/>
      <c r="AW893" s="114"/>
      <c r="AX893" s="114"/>
      <c r="AY893" s="114"/>
      <c r="AZ893" s="114"/>
      <c r="BA893" s="114"/>
      <c r="BB893" s="114"/>
      <c r="BC893" s="114"/>
      <c r="BD893" s="114"/>
      <c r="BE893" s="114"/>
      <c r="BF893" s="114"/>
      <c r="BG893" s="114"/>
      <c r="BH893" s="114"/>
      <c r="BI893" s="114"/>
      <c r="BJ893" s="114"/>
      <c r="BK893" s="114"/>
      <c r="BL893" s="114"/>
      <c r="BM893" s="114"/>
      <c r="BN893" s="114"/>
      <c r="BO893" s="114"/>
      <c r="BP893" s="114"/>
      <c r="BQ893" s="114"/>
      <c r="BR893" s="114"/>
      <c r="BS893" s="114"/>
    </row>
    <row r="894" spans="1:71" s="140" customFormat="1" ht="34.5" customHeight="1">
      <c r="A894" s="604" t="s">
        <v>674</v>
      </c>
      <c r="B894" s="226" t="s">
        <v>678</v>
      </c>
      <c r="C894" s="1057">
        <f>CEILING(105*$Z$1,0.1)</f>
        <v>131.3</v>
      </c>
      <c r="D894" s="1058"/>
      <c r="E894" s="1057">
        <f>CEILING(108*$Z$1,0.1)</f>
        <v>135</v>
      </c>
      <c r="F894" s="1058"/>
      <c r="G894" s="1057">
        <f>CEILING(105*$Z$1,0.1)</f>
        <v>131.3</v>
      </c>
      <c r="H894" s="1058"/>
      <c r="I894" s="1061"/>
      <c r="J894" s="1061"/>
      <c r="K894" s="1061"/>
      <c r="L894" s="1061"/>
      <c r="M894" s="124"/>
      <c r="N894" s="103"/>
      <c r="O894" s="114"/>
      <c r="P894" s="114"/>
      <c r="Q894" s="114"/>
      <c r="R894" s="114"/>
      <c r="S894" s="114"/>
      <c r="T894" s="114"/>
      <c r="U894" s="114"/>
      <c r="V894" s="114"/>
      <c r="W894" s="114"/>
      <c r="X894" s="114"/>
      <c r="Y894" s="114"/>
      <c r="Z894" s="114"/>
      <c r="AA894" s="114"/>
      <c r="AB894" s="114"/>
      <c r="AC894" s="114"/>
      <c r="AD894" s="114"/>
      <c r="AE894" s="114"/>
      <c r="AF894" s="114"/>
      <c r="AG894" s="114"/>
      <c r="AH894" s="114"/>
      <c r="AI894" s="114"/>
      <c r="AJ894" s="114"/>
      <c r="AK894" s="114"/>
      <c r="AL894" s="114"/>
      <c r="AM894" s="114"/>
      <c r="AN894" s="114"/>
      <c r="AO894" s="114"/>
      <c r="AP894" s="114"/>
      <c r="AQ894" s="114"/>
      <c r="AR894" s="114"/>
      <c r="AS894" s="114"/>
      <c r="AT894" s="114"/>
      <c r="AU894" s="114"/>
      <c r="AV894" s="114"/>
      <c r="AW894" s="114"/>
      <c r="AX894" s="114"/>
      <c r="AY894" s="114"/>
      <c r="AZ894" s="114"/>
      <c r="BA894" s="114"/>
      <c r="BB894" s="114"/>
      <c r="BC894" s="114"/>
      <c r="BD894" s="114"/>
      <c r="BE894" s="114"/>
      <c r="BF894" s="114"/>
      <c r="BG894" s="114"/>
      <c r="BH894" s="114"/>
      <c r="BI894" s="114"/>
      <c r="BJ894" s="114"/>
      <c r="BK894" s="114"/>
      <c r="BL894" s="114"/>
      <c r="BM894" s="114"/>
      <c r="BN894" s="114"/>
      <c r="BO894" s="114"/>
      <c r="BP894" s="114"/>
      <c r="BQ894" s="114"/>
      <c r="BR894" s="114"/>
      <c r="BS894" s="114"/>
    </row>
    <row r="895" spans="1:71" s="140" customFormat="1" ht="34.5" customHeight="1">
      <c r="A895" s="599"/>
      <c r="B895" s="226" t="s">
        <v>679</v>
      </c>
      <c r="C895" s="1057">
        <f>CEILING((C894+50*$Z$1),0.1)</f>
        <v>193.8</v>
      </c>
      <c r="D895" s="1058"/>
      <c r="E895" s="1057">
        <f>CEILING((E894+54*$Z$1),0.1)</f>
        <v>202.5</v>
      </c>
      <c r="F895" s="1202"/>
      <c r="G895" s="1057">
        <f>CEILING((G894+50*$Z$1),0.1)</f>
        <v>193.8</v>
      </c>
      <c r="H895" s="1058"/>
      <c r="I895" s="1061"/>
      <c r="J895" s="1061"/>
      <c r="K895" s="1061"/>
      <c r="L895" s="1061"/>
      <c r="M895" s="124"/>
      <c r="N895" s="103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  <c r="Y895" s="114"/>
      <c r="Z895" s="114"/>
      <c r="AA895" s="114"/>
      <c r="AB895" s="114"/>
      <c r="AC895" s="114"/>
      <c r="AD895" s="114"/>
      <c r="AE895" s="114"/>
      <c r="AF895" s="114"/>
      <c r="AG895" s="114"/>
      <c r="AH895" s="114"/>
      <c r="AI895" s="114"/>
      <c r="AJ895" s="114"/>
      <c r="AK895" s="114"/>
      <c r="AL895" s="114"/>
      <c r="AM895" s="114"/>
      <c r="AN895" s="114"/>
      <c r="AO895" s="114"/>
      <c r="AP895" s="114"/>
      <c r="AQ895" s="114"/>
      <c r="AR895" s="114"/>
      <c r="AS895" s="114"/>
      <c r="AT895" s="114"/>
      <c r="AU895" s="114"/>
      <c r="AV895" s="114"/>
      <c r="AW895" s="114"/>
      <c r="AX895" s="114"/>
      <c r="AY895" s="114"/>
      <c r="AZ895" s="114"/>
      <c r="BA895" s="114"/>
      <c r="BB895" s="114"/>
      <c r="BC895" s="114"/>
      <c r="BD895" s="114"/>
      <c r="BE895" s="114"/>
      <c r="BF895" s="114"/>
      <c r="BG895" s="114"/>
      <c r="BH895" s="114"/>
      <c r="BI895" s="114"/>
      <c r="BJ895" s="114"/>
      <c r="BK895" s="114"/>
      <c r="BL895" s="114"/>
      <c r="BM895" s="114"/>
      <c r="BN895" s="114"/>
      <c r="BO895" s="114"/>
      <c r="BP895" s="114"/>
      <c r="BQ895" s="114"/>
      <c r="BR895" s="114"/>
      <c r="BS895" s="114"/>
    </row>
    <row r="896" spans="1:71" s="140" customFormat="1" ht="34.5" customHeight="1">
      <c r="A896" s="599"/>
      <c r="B896" s="398" t="s">
        <v>680</v>
      </c>
      <c r="C896" s="1057">
        <f>CEILING(127*$Z$1,0.1)</f>
        <v>158.8</v>
      </c>
      <c r="D896" s="1058"/>
      <c r="E896" s="1057">
        <f>CEILING(130*$Z$1,0.1)</f>
        <v>162.5</v>
      </c>
      <c r="F896" s="1058"/>
      <c r="G896" s="1057">
        <f>CEILING(127*$Z$1,0.1)</f>
        <v>158.8</v>
      </c>
      <c r="H896" s="1058"/>
      <c r="I896" s="1061"/>
      <c r="J896" s="1061"/>
      <c r="K896" s="1061"/>
      <c r="L896" s="1061"/>
      <c r="M896" s="124"/>
      <c r="N896" s="103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  <c r="Z896" s="114"/>
      <c r="AA896" s="114"/>
      <c r="AB896" s="114"/>
      <c r="AC896" s="114"/>
      <c r="AD896" s="114"/>
      <c r="AE896" s="114"/>
      <c r="AF896" s="114"/>
      <c r="AG896" s="114"/>
      <c r="AH896" s="114"/>
      <c r="AI896" s="114"/>
      <c r="AJ896" s="114"/>
      <c r="AK896" s="114"/>
      <c r="AL896" s="114"/>
      <c r="AM896" s="114"/>
      <c r="AN896" s="114"/>
      <c r="AO896" s="114"/>
      <c r="AP896" s="114"/>
      <c r="AQ896" s="114"/>
      <c r="AR896" s="114"/>
      <c r="AS896" s="114"/>
      <c r="AT896" s="114"/>
      <c r="AU896" s="114"/>
      <c r="AV896" s="114"/>
      <c r="AW896" s="114"/>
      <c r="AX896" s="114"/>
      <c r="AY896" s="114"/>
      <c r="AZ896" s="114"/>
      <c r="BA896" s="114"/>
      <c r="BB896" s="114"/>
      <c r="BC896" s="114"/>
      <c r="BD896" s="114"/>
      <c r="BE896" s="114"/>
      <c r="BF896" s="114"/>
      <c r="BG896" s="114"/>
      <c r="BH896" s="114"/>
      <c r="BI896" s="114"/>
      <c r="BJ896" s="114"/>
      <c r="BK896" s="114"/>
      <c r="BL896" s="114"/>
      <c r="BM896" s="114"/>
      <c r="BN896" s="114"/>
      <c r="BO896" s="114"/>
      <c r="BP896" s="114"/>
      <c r="BQ896" s="114"/>
      <c r="BR896" s="114"/>
      <c r="BS896" s="114"/>
    </row>
    <row r="897" spans="1:71" s="473" customFormat="1" ht="34.5" customHeight="1" thickBot="1">
      <c r="A897" s="606" t="s">
        <v>665</v>
      </c>
      <c r="B897" s="469" t="s">
        <v>681</v>
      </c>
      <c r="C897" s="1076">
        <f>CEILING((C896+63*$Z$1),0.1)</f>
        <v>237.60000000000002</v>
      </c>
      <c r="D897" s="1077"/>
      <c r="E897" s="1076">
        <f>CEILING((E896+65*$Z$1),0.1)</f>
        <v>243.8</v>
      </c>
      <c r="F897" s="1077"/>
      <c r="G897" s="1076">
        <f>CEILING((G896+63*$Z$1),0.1)</f>
        <v>237.60000000000002</v>
      </c>
      <c r="H897" s="1077"/>
      <c r="I897" s="1061"/>
      <c r="J897" s="1061"/>
      <c r="K897" s="1061"/>
      <c r="L897" s="1061"/>
      <c r="M897" s="124"/>
      <c r="N897" s="103"/>
      <c r="O897" s="114"/>
      <c r="P897" s="114"/>
      <c r="Q897" s="114"/>
      <c r="R897" s="114"/>
      <c r="S897" s="114"/>
      <c r="T897" s="114"/>
      <c r="U897" s="114"/>
      <c r="V897" s="114"/>
      <c r="W897" s="114"/>
      <c r="X897" s="114"/>
      <c r="Y897" s="114"/>
      <c r="Z897" s="114"/>
      <c r="AA897" s="114"/>
      <c r="AB897" s="114"/>
      <c r="AC897" s="114"/>
      <c r="AD897" s="114"/>
      <c r="AE897" s="114"/>
      <c r="AF897" s="114"/>
      <c r="AG897" s="114"/>
      <c r="AH897" s="114"/>
      <c r="AI897" s="114"/>
      <c r="AJ897" s="114"/>
      <c r="AK897" s="114"/>
      <c r="AL897" s="114"/>
      <c r="AM897" s="114"/>
      <c r="AN897" s="114"/>
      <c r="AO897" s="114"/>
      <c r="AP897" s="114"/>
      <c r="AQ897" s="114"/>
      <c r="AR897" s="114"/>
      <c r="AS897" s="114"/>
      <c r="AT897" s="114"/>
      <c r="AU897" s="114"/>
      <c r="AV897" s="114"/>
      <c r="AW897" s="114"/>
      <c r="AX897" s="114"/>
      <c r="AY897" s="114"/>
      <c r="AZ897" s="114"/>
      <c r="BA897" s="114"/>
      <c r="BB897" s="114"/>
      <c r="BC897" s="114"/>
      <c r="BD897" s="114"/>
      <c r="BE897" s="114"/>
      <c r="BF897" s="114"/>
      <c r="BG897" s="114"/>
      <c r="BH897" s="114"/>
      <c r="BI897" s="114"/>
      <c r="BJ897" s="114"/>
      <c r="BK897" s="607"/>
      <c r="BL897" s="607"/>
      <c r="BM897" s="607"/>
      <c r="BN897" s="607"/>
      <c r="BO897" s="607"/>
      <c r="BP897" s="607"/>
      <c r="BQ897" s="607"/>
      <c r="BR897" s="607"/>
      <c r="BS897" s="607"/>
    </row>
    <row r="898" spans="1:25" s="140" customFormat="1" ht="34.5" customHeight="1" thickTop="1">
      <c r="A898" s="502" t="s">
        <v>683</v>
      </c>
      <c r="B898" s="502"/>
      <c r="C898" s="502"/>
      <c r="D898" s="502"/>
      <c r="E898" s="502"/>
      <c r="F898" s="502"/>
      <c r="G898" s="502"/>
      <c r="H898" s="502"/>
      <c r="I898" s="513"/>
      <c r="J898" s="513"/>
      <c r="K898" s="139"/>
      <c r="L898" s="139"/>
      <c r="M898" s="115"/>
      <c r="N898" s="115"/>
      <c r="O898" s="115"/>
      <c r="P898" s="115"/>
      <c r="Q898" s="115"/>
      <c r="R898" s="115"/>
      <c r="S898" s="115"/>
      <c r="T898" s="115"/>
      <c r="U898" s="115"/>
      <c r="V898" s="115"/>
      <c r="W898" s="115"/>
      <c r="X898" s="115"/>
      <c r="Y898" s="115"/>
    </row>
    <row r="899" spans="1:25" s="107" customFormat="1" ht="34.5" customHeight="1">
      <c r="A899" s="502" t="s">
        <v>686</v>
      </c>
      <c r="B899" s="502"/>
      <c r="C899" s="502"/>
      <c r="D899" s="502"/>
      <c r="E899" s="502"/>
      <c r="F899" s="502"/>
      <c r="G899" s="502"/>
      <c r="H899" s="502"/>
      <c r="I899" s="513"/>
      <c r="J899" s="513"/>
      <c r="K899" s="514"/>
      <c r="L899" s="514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</row>
    <row r="900" spans="1:25" s="34" customFormat="1" ht="34.5" customHeight="1">
      <c r="A900" s="48"/>
      <c r="B900" s="48"/>
      <c r="C900" s="48"/>
      <c r="D900" s="48"/>
      <c r="E900" s="48"/>
      <c r="F900" s="48"/>
      <c r="G900" s="48"/>
      <c r="H900" s="48"/>
      <c r="I900" s="4"/>
      <c r="J900" s="4"/>
      <c r="K900" s="37"/>
      <c r="L900" s="37"/>
      <c r="M900" s="35"/>
      <c r="N900" s="40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</row>
    <row r="901" spans="1:25" s="107" customFormat="1" ht="34.5" customHeight="1">
      <c r="A901" s="1120" t="s">
        <v>954</v>
      </c>
      <c r="B901" s="1120"/>
      <c r="C901" s="1120"/>
      <c r="D901" s="1120"/>
      <c r="E901" s="1120"/>
      <c r="F901" s="1120"/>
      <c r="G901" s="1120"/>
      <c r="H901" s="1120"/>
      <c r="I901" s="122"/>
      <c r="J901" s="103"/>
      <c r="K901" s="113"/>
      <c r="L901" s="123"/>
      <c r="M901" s="124"/>
      <c r="N901" s="111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</row>
    <row r="902" spans="1:25" s="107" customFormat="1" ht="34.5" customHeight="1">
      <c r="A902" s="1120" t="s">
        <v>955</v>
      </c>
      <c r="B902" s="1120"/>
      <c r="C902" s="1120"/>
      <c r="D902" s="1120"/>
      <c r="E902" s="1120"/>
      <c r="F902" s="1120"/>
      <c r="G902" s="1120"/>
      <c r="H902" s="1120"/>
      <c r="I902" s="117"/>
      <c r="J902" s="111"/>
      <c r="K902" s="104"/>
      <c r="L902" s="123"/>
      <c r="M902" s="124"/>
      <c r="N902" s="111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</row>
    <row r="903" spans="1:25" s="107" customFormat="1" ht="34.5" customHeight="1">
      <c r="A903" s="1120" t="s">
        <v>956</v>
      </c>
      <c r="B903" s="1120"/>
      <c r="C903" s="1120"/>
      <c r="D903" s="1120"/>
      <c r="E903" s="1120"/>
      <c r="F903" s="1120"/>
      <c r="G903" s="1120"/>
      <c r="H903" s="1120"/>
      <c r="I903" s="117"/>
      <c r="J903" s="111"/>
      <c r="K903" s="104"/>
      <c r="L903" s="123"/>
      <c r="M903" s="124"/>
      <c r="N903" s="111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</row>
    <row r="904" spans="1:25" s="107" customFormat="1" ht="34.5" customHeight="1">
      <c r="A904" s="1120" t="s">
        <v>957</v>
      </c>
      <c r="B904" s="1120"/>
      <c r="C904" s="1120"/>
      <c r="D904" s="1120"/>
      <c r="E904" s="1120"/>
      <c r="F904" s="1120"/>
      <c r="G904" s="1120"/>
      <c r="H904" s="1120"/>
      <c r="I904" s="1120"/>
      <c r="J904" s="125"/>
      <c r="K904" s="104"/>
      <c r="L904" s="123"/>
      <c r="M904" s="124"/>
      <c r="N904" s="111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</row>
    <row r="905" spans="1:25" s="107" customFormat="1" ht="34.5" customHeight="1">
      <c r="A905" s="1120" t="s">
        <v>958</v>
      </c>
      <c r="B905" s="1120"/>
      <c r="C905" s="1120"/>
      <c r="D905" s="1120"/>
      <c r="E905" s="1120"/>
      <c r="F905" s="1120"/>
      <c r="G905" s="1120"/>
      <c r="H905" s="1120"/>
      <c r="I905" s="119"/>
      <c r="J905" s="125"/>
      <c r="K905" s="104"/>
      <c r="L905" s="123"/>
      <c r="M905" s="124"/>
      <c r="N905" s="111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</row>
    <row r="906" spans="1:25" s="15" customFormat="1" ht="34.5" customHeight="1">
      <c r="A906" s="77"/>
      <c r="B906" s="77"/>
      <c r="C906" s="77"/>
      <c r="D906" s="77"/>
      <c r="E906" s="77"/>
      <c r="F906" s="77"/>
      <c r="G906" s="77"/>
      <c r="H906" s="77"/>
      <c r="I906" s="78"/>
      <c r="J906" s="78"/>
      <c r="K906" s="13"/>
      <c r="L906" s="76"/>
      <c r="M906" s="35"/>
      <c r="N906" s="8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1:25" s="15" customFormat="1" ht="34.5" customHeight="1">
      <c r="A907" s="1107" t="s">
        <v>914</v>
      </c>
      <c r="B907" s="1107"/>
      <c r="C907" s="1107"/>
      <c r="D907" s="1107"/>
      <c r="E907" s="1107"/>
      <c r="F907" s="1107"/>
      <c r="G907" s="1107"/>
      <c r="H907" s="1107"/>
      <c r="I907" s="79"/>
      <c r="J907" s="79"/>
      <c r="K907" s="13"/>
      <c r="L907" s="13"/>
      <c r="M907" s="35"/>
      <c r="N907" s="8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1:25" s="15" customFormat="1" ht="34.5" customHeight="1" thickBot="1">
      <c r="A908" s="70"/>
      <c r="B908" s="70"/>
      <c r="C908" s="70"/>
      <c r="D908" s="70"/>
      <c r="E908" s="70"/>
      <c r="F908" s="70"/>
      <c r="G908" s="70"/>
      <c r="H908" s="70"/>
      <c r="I908" s="69"/>
      <c r="J908" s="69"/>
      <c r="K908" s="13"/>
      <c r="L908" s="13"/>
      <c r="M908" s="7"/>
      <c r="N908" s="8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1:42" s="214" customFormat="1" ht="34.5" customHeight="1" thickTop="1">
      <c r="A909" s="207" t="s">
        <v>34</v>
      </c>
      <c r="B909" s="208" t="s">
        <v>637</v>
      </c>
      <c r="C909" s="209" t="s">
        <v>921</v>
      </c>
      <c r="D909" s="210"/>
      <c r="E909" s="211" t="s">
        <v>922</v>
      </c>
      <c r="F909" s="212"/>
      <c r="G909" s="211" t="s">
        <v>923</v>
      </c>
      <c r="H909" s="212"/>
      <c r="I909" s="1070"/>
      <c r="J909" s="1071"/>
      <c r="K909" s="1070"/>
      <c r="L909" s="1070"/>
      <c r="M909" s="174"/>
      <c r="N909" s="174"/>
      <c r="O909" s="213"/>
      <c r="P909" s="213"/>
      <c r="Q909" s="213"/>
      <c r="R909" s="213"/>
      <c r="S909" s="213"/>
      <c r="T909" s="213"/>
      <c r="U909" s="213"/>
      <c r="V909" s="213"/>
      <c r="W909" s="213"/>
      <c r="X909" s="213"/>
      <c r="Y909" s="213"/>
      <c r="Z909" s="213"/>
      <c r="AA909" s="213"/>
      <c r="AB909" s="213"/>
      <c r="AC909" s="213"/>
      <c r="AD909" s="213"/>
      <c r="AE909" s="213"/>
      <c r="AF909" s="213"/>
      <c r="AG909" s="213"/>
      <c r="AH909" s="213"/>
      <c r="AI909" s="213"/>
      <c r="AJ909" s="213"/>
      <c r="AK909" s="213"/>
      <c r="AL909" s="213"/>
      <c r="AM909" s="213"/>
      <c r="AN909" s="213"/>
      <c r="AO909" s="213"/>
      <c r="AP909" s="213"/>
    </row>
    <row r="910" spans="1:25" s="107" customFormat="1" ht="34.5" customHeight="1">
      <c r="A910" s="504" t="s">
        <v>106</v>
      </c>
      <c r="B910" s="236" t="s">
        <v>230</v>
      </c>
      <c r="C910" s="1063">
        <f>CEILING(66.3*$Z$1,0.1)</f>
        <v>82.9</v>
      </c>
      <c r="D910" s="1064"/>
      <c r="E910" s="1063">
        <f>CEILING(66.3*$Z$1,0.1)</f>
        <v>82.9</v>
      </c>
      <c r="F910" s="1064"/>
      <c r="G910" s="1063">
        <f>CEILING(66.3*$Z$1,0.1)</f>
        <v>82.9</v>
      </c>
      <c r="H910" s="1064"/>
      <c r="I910" s="1061"/>
      <c r="J910" s="1061"/>
      <c r="K910" s="1061"/>
      <c r="L910" s="1061"/>
      <c r="M910" s="148"/>
      <c r="N910" s="148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</row>
    <row r="911" spans="1:25" s="107" customFormat="1" ht="34.5" customHeight="1">
      <c r="A911" s="265" t="s">
        <v>36</v>
      </c>
      <c r="B911" s="238" t="s">
        <v>231</v>
      </c>
      <c r="C911" s="1065">
        <f>CEILING((C910+40*$Z$1),0.1)</f>
        <v>132.9</v>
      </c>
      <c r="D911" s="1066"/>
      <c r="E911" s="1065">
        <f>CEILING((E910+31.2*$Z$1),0.1)</f>
        <v>121.9</v>
      </c>
      <c r="F911" s="1066"/>
      <c r="G911" s="1065">
        <f>CEILING((G910+31.2*$Z$1),0.1)</f>
        <v>121.9</v>
      </c>
      <c r="H911" s="1066"/>
      <c r="I911" s="1061"/>
      <c r="J911" s="1061"/>
      <c r="K911" s="1061"/>
      <c r="L911" s="1061"/>
      <c r="M911" s="148"/>
      <c r="N911" s="148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</row>
    <row r="912" spans="1:25" s="107" customFormat="1" ht="34.5" customHeight="1">
      <c r="A912" s="432"/>
      <c r="B912" s="238" t="s">
        <v>70</v>
      </c>
      <c r="C912" s="1065">
        <f>CEILING((C910*0.85),0.1)</f>
        <v>70.5</v>
      </c>
      <c r="D912" s="1066"/>
      <c r="E912" s="1065">
        <f>CEILING((E910*0.85),0.1)</f>
        <v>70.5</v>
      </c>
      <c r="F912" s="1066"/>
      <c r="G912" s="1065">
        <f>CEILING((G910*0.85),0.1)</f>
        <v>70.5</v>
      </c>
      <c r="H912" s="1066"/>
      <c r="I912" s="1061"/>
      <c r="J912" s="1061"/>
      <c r="K912" s="1061"/>
      <c r="L912" s="1061"/>
      <c r="M912" s="124"/>
      <c r="N912" s="111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</row>
    <row r="913" spans="1:25" s="107" customFormat="1" ht="34.5" customHeight="1">
      <c r="A913" s="132" t="s">
        <v>852</v>
      </c>
      <c r="B913" s="321" t="s">
        <v>1</v>
      </c>
      <c r="C913" s="1065">
        <f>CEILING(86*$Z$1,0.1)</f>
        <v>107.5</v>
      </c>
      <c r="D913" s="1066"/>
      <c r="E913" s="1065">
        <f>CEILING(86*$Z$1,0.1)</f>
        <v>107.5</v>
      </c>
      <c r="F913" s="1066"/>
      <c r="G913" s="1065">
        <f>CEILING(86*$Z$1,0.1)</f>
        <v>107.5</v>
      </c>
      <c r="H913" s="1066"/>
      <c r="I913" s="1061"/>
      <c r="J913" s="1061"/>
      <c r="K913" s="1061"/>
      <c r="L913" s="1061"/>
      <c r="M913" s="124"/>
      <c r="N913" s="111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</row>
    <row r="914" spans="1:25" s="107" customFormat="1" ht="34.5" customHeight="1">
      <c r="A914" s="608" t="s">
        <v>1050</v>
      </c>
      <c r="B914" s="321" t="s">
        <v>2</v>
      </c>
      <c r="C914" s="1065">
        <f>CEILING((C913+45*$Z$1),0.1)</f>
        <v>163.8</v>
      </c>
      <c r="D914" s="1066"/>
      <c r="E914" s="1065">
        <f>CEILING((E913+35.1*$Z$1),0.1)</f>
        <v>151.4</v>
      </c>
      <c r="F914" s="1066"/>
      <c r="G914" s="1065">
        <f>CEILING((G913+35.1*$Z$1),0.1)</f>
        <v>151.4</v>
      </c>
      <c r="H914" s="1066"/>
      <c r="I914" s="1061"/>
      <c r="J914" s="1061"/>
      <c r="K914" s="1061"/>
      <c r="L914" s="1061"/>
      <c r="M914" s="124"/>
      <c r="N914" s="111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</row>
    <row r="915" spans="1:25" s="107" customFormat="1" ht="34.5" customHeight="1">
      <c r="A915" s="132"/>
      <c r="B915" s="321" t="s">
        <v>870</v>
      </c>
      <c r="C915" s="1065">
        <f>CEILING(90*$Z$1,0.1)</f>
        <v>112.5</v>
      </c>
      <c r="D915" s="1066"/>
      <c r="E915" s="1065">
        <f>CEILING(90*$Z$1,0.1)</f>
        <v>112.5</v>
      </c>
      <c r="F915" s="1066"/>
      <c r="G915" s="1065">
        <f>CEILING(90*$Z$1,0.1)</f>
        <v>112.5</v>
      </c>
      <c r="H915" s="1066"/>
      <c r="I915" s="1061"/>
      <c r="J915" s="1061"/>
      <c r="K915" s="1061"/>
      <c r="L915" s="1061"/>
      <c r="M915" s="124"/>
      <c r="N915" s="111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</row>
    <row r="916" spans="1:25" s="107" customFormat="1" ht="34.5" customHeight="1">
      <c r="A916" s="134"/>
      <c r="B916" s="321" t="s">
        <v>871</v>
      </c>
      <c r="C916" s="1065">
        <f>CEILING((C915+60*$Z$1),0.1)</f>
        <v>187.5</v>
      </c>
      <c r="D916" s="1066"/>
      <c r="E916" s="1065">
        <f>CEILING((E915+47*$Z$1),0.1)</f>
        <v>171.3</v>
      </c>
      <c r="F916" s="1066"/>
      <c r="G916" s="1065">
        <f>CEILING((G915+47*$Z$1),0.1)</f>
        <v>171.3</v>
      </c>
      <c r="H916" s="1066"/>
      <c r="I916" s="1061"/>
      <c r="J916" s="1061"/>
      <c r="K916" s="1061"/>
      <c r="L916" s="1061"/>
      <c r="M916" s="124"/>
      <c r="N916" s="111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</row>
    <row r="917" spans="1:25" s="107" customFormat="1" ht="34.5" customHeight="1">
      <c r="A917" s="432"/>
      <c r="B917" s="353" t="s">
        <v>872</v>
      </c>
      <c r="C917" s="1065">
        <f>CEILING(105.2*$Z$1,0.1)</f>
        <v>131.5</v>
      </c>
      <c r="D917" s="1066"/>
      <c r="E917" s="1065">
        <f>CEILING(105.2*$Z$1,0.1)</f>
        <v>131.5</v>
      </c>
      <c r="F917" s="1066"/>
      <c r="G917" s="1065">
        <f>CEILING(105.2*$Z$1,0.1)</f>
        <v>131.5</v>
      </c>
      <c r="H917" s="1066"/>
      <c r="I917" s="1061"/>
      <c r="J917" s="1061"/>
      <c r="K917" s="1061"/>
      <c r="L917" s="1061"/>
      <c r="M917" s="126"/>
      <c r="N917" s="126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</row>
    <row r="918" spans="1:25" s="107" customFormat="1" ht="34.5" customHeight="1" thickBot="1">
      <c r="A918" s="303" t="s">
        <v>1023</v>
      </c>
      <c r="B918" s="476" t="s">
        <v>873</v>
      </c>
      <c r="C918" s="1067">
        <f>CEILING((C917+60*$Z$1),0.1)</f>
        <v>206.5</v>
      </c>
      <c r="D918" s="1068"/>
      <c r="E918" s="1067">
        <f>CEILING((E917+47*$Z$1),0.1)</f>
        <v>190.3</v>
      </c>
      <c r="F918" s="1068"/>
      <c r="G918" s="1067">
        <f>CEILING((G917+47*$Z$1),0.1)</f>
        <v>190.3</v>
      </c>
      <c r="H918" s="1068"/>
      <c r="I918" s="1061"/>
      <c r="J918" s="1061"/>
      <c r="K918" s="1061"/>
      <c r="L918" s="1061"/>
      <c r="M918" s="148"/>
      <c r="N918" s="148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</row>
    <row r="919" spans="1:25" s="167" customFormat="1" ht="34.5" customHeight="1" thickTop="1">
      <c r="A919" s="163"/>
      <c r="B919" s="188"/>
      <c r="C919" s="163"/>
      <c r="D919" s="163"/>
      <c r="E919" s="163"/>
      <c r="F919" s="163"/>
      <c r="G919" s="163"/>
      <c r="H919" s="163"/>
      <c r="I919" s="189"/>
      <c r="J919" s="189"/>
      <c r="K919" s="190"/>
      <c r="L919" s="190"/>
      <c r="M919" s="191"/>
      <c r="N919" s="191"/>
      <c r="O919" s="166"/>
      <c r="P919" s="166"/>
      <c r="Q919" s="166"/>
      <c r="R919" s="166"/>
      <c r="S919" s="166"/>
      <c r="T919" s="166"/>
      <c r="U919" s="166"/>
      <c r="V919" s="166"/>
      <c r="W919" s="166"/>
      <c r="X919" s="166"/>
      <c r="Y919" s="166"/>
    </row>
    <row r="920" spans="1:25" s="107" customFormat="1" ht="34.5" customHeight="1" thickBot="1">
      <c r="A920" s="372"/>
      <c r="B920" s="162"/>
      <c r="C920" s="329"/>
      <c r="D920" s="162"/>
      <c r="E920" s="162"/>
      <c r="F920" s="162"/>
      <c r="G920" s="162"/>
      <c r="H920" s="162"/>
      <c r="I920" s="162"/>
      <c r="J920" s="162"/>
      <c r="K920" s="104"/>
      <c r="L920" s="113"/>
      <c r="M920" s="148"/>
      <c r="N920" s="148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</row>
    <row r="921" spans="1:42" s="214" customFormat="1" ht="34.5" customHeight="1" thickTop="1">
      <c r="A921" s="207" t="s">
        <v>34</v>
      </c>
      <c r="B921" s="208" t="s">
        <v>637</v>
      </c>
      <c r="C921" s="209" t="s">
        <v>921</v>
      </c>
      <c r="D921" s="210"/>
      <c r="E921" s="211" t="s">
        <v>922</v>
      </c>
      <c r="F921" s="212"/>
      <c r="G921" s="211" t="s">
        <v>923</v>
      </c>
      <c r="H921" s="212"/>
      <c r="I921" s="1070"/>
      <c r="J921" s="1071"/>
      <c r="K921" s="1070"/>
      <c r="L921" s="1070"/>
      <c r="M921" s="174"/>
      <c r="N921" s="174"/>
      <c r="O921" s="213"/>
      <c r="P921" s="213"/>
      <c r="Q921" s="213"/>
      <c r="R921" s="213"/>
      <c r="S921" s="213"/>
      <c r="T921" s="213"/>
      <c r="U921" s="213"/>
      <c r="V921" s="213"/>
      <c r="W921" s="213"/>
      <c r="X921" s="213"/>
      <c r="Y921" s="213"/>
      <c r="Z921" s="213"/>
      <c r="AA921" s="213"/>
      <c r="AB921" s="213"/>
      <c r="AC921" s="213"/>
      <c r="AD921" s="213"/>
      <c r="AE921" s="213"/>
      <c r="AF921" s="213"/>
      <c r="AG921" s="213"/>
      <c r="AH921" s="213"/>
      <c r="AI921" s="213"/>
      <c r="AJ921" s="213"/>
      <c r="AK921" s="213"/>
      <c r="AL921" s="213"/>
      <c r="AM921" s="213"/>
      <c r="AN921" s="213"/>
      <c r="AO921" s="213"/>
      <c r="AP921" s="213"/>
    </row>
    <row r="922" spans="1:14" s="158" customFormat="1" ht="34.5" customHeight="1">
      <c r="A922" s="609" t="s">
        <v>167</v>
      </c>
      <c r="B922" s="289" t="s">
        <v>230</v>
      </c>
      <c r="C922" s="1073">
        <f>CEILING(48*$Z$1,0.1)</f>
        <v>60</v>
      </c>
      <c r="D922" s="1074"/>
      <c r="E922" s="1073">
        <f>CEILING(48*$Z$1,0.1)</f>
        <v>60</v>
      </c>
      <c r="F922" s="1074"/>
      <c r="G922" s="1073">
        <f>CEILING(48*$Z$1,0.1)</f>
        <v>60</v>
      </c>
      <c r="H922" s="1074"/>
      <c r="I922" s="1061"/>
      <c r="J922" s="1061"/>
      <c r="K922" s="1061"/>
      <c r="L922" s="1061"/>
      <c r="M922" s="126"/>
      <c r="N922" s="126"/>
    </row>
    <row r="923" spans="1:14" s="158" customFormat="1" ht="34.5" customHeight="1">
      <c r="A923" s="295" t="s">
        <v>36</v>
      </c>
      <c r="B923" s="296" t="s">
        <v>231</v>
      </c>
      <c r="C923" s="1057">
        <f>CEILING((C922+20*$Z$1),0.1)</f>
        <v>85</v>
      </c>
      <c r="D923" s="1058"/>
      <c r="E923" s="1057">
        <f>CEILING((E922+20*$Z$1),0.1)</f>
        <v>85</v>
      </c>
      <c r="F923" s="1058"/>
      <c r="G923" s="1057">
        <f>CEILING((G922+20*$Z$1),0.1)</f>
        <v>85</v>
      </c>
      <c r="H923" s="1058"/>
      <c r="I923" s="1061"/>
      <c r="J923" s="1061"/>
      <c r="K923" s="1061"/>
      <c r="L923" s="1061"/>
      <c r="M923" s="126"/>
      <c r="N923" s="126"/>
    </row>
    <row r="924" spans="1:14" s="158" customFormat="1" ht="34.5" customHeight="1">
      <c r="A924" s="295"/>
      <c r="B924" s="296" t="s">
        <v>70</v>
      </c>
      <c r="C924" s="1057">
        <f>CEILING((C922*0.85),0.1)</f>
        <v>51</v>
      </c>
      <c r="D924" s="1058"/>
      <c r="E924" s="1057">
        <f>CEILING((E922*0.85),0.1)</f>
        <v>51</v>
      </c>
      <c r="F924" s="1058"/>
      <c r="G924" s="1057">
        <f>CEILING((G922*0.85),0.1)</f>
        <v>51</v>
      </c>
      <c r="H924" s="1058"/>
      <c r="I924" s="1061"/>
      <c r="J924" s="1061"/>
      <c r="K924" s="1061"/>
      <c r="L924" s="1061"/>
      <c r="M924" s="126"/>
      <c r="N924" s="126"/>
    </row>
    <row r="925" spans="1:14" s="158" customFormat="1" ht="34.5" customHeight="1">
      <c r="A925" s="610"/>
      <c r="B925" s="535" t="s">
        <v>764</v>
      </c>
      <c r="C925" s="1057">
        <f>CEILING((C922*0.5),0.1)</f>
        <v>30</v>
      </c>
      <c r="D925" s="1058"/>
      <c r="E925" s="1057">
        <f>CEILING((E922*0.5),0.1)</f>
        <v>30</v>
      </c>
      <c r="F925" s="1058"/>
      <c r="G925" s="1057">
        <f>CEILING((G922*0.5),0.1)</f>
        <v>30</v>
      </c>
      <c r="H925" s="1058"/>
      <c r="I925" s="1061"/>
      <c r="J925" s="1061"/>
      <c r="K925" s="1061"/>
      <c r="L925" s="1061"/>
      <c r="M925" s="126"/>
      <c r="N925" s="126"/>
    </row>
    <row r="926" spans="1:14" s="158" customFormat="1" ht="34.5" customHeight="1">
      <c r="A926" s="295"/>
      <c r="B926" s="611" t="s">
        <v>371</v>
      </c>
      <c r="C926" s="1057">
        <f>CEILING(78*$Z$1,0.1)</f>
        <v>97.5</v>
      </c>
      <c r="D926" s="1058"/>
      <c r="E926" s="1057">
        <f>CEILING(78*$Z$1,0.1)</f>
        <v>97.5</v>
      </c>
      <c r="F926" s="1058"/>
      <c r="G926" s="1057">
        <f>CEILING(78*$Z$1,0.1)</f>
        <v>97.5</v>
      </c>
      <c r="H926" s="1058"/>
      <c r="I926" s="1061"/>
      <c r="J926" s="1061"/>
      <c r="K926" s="1061"/>
      <c r="L926" s="1061"/>
      <c r="M926" s="126"/>
      <c r="N926" s="126"/>
    </row>
    <row r="927" spans="1:12" s="158" customFormat="1" ht="34.5" customHeight="1" thickBot="1">
      <c r="A927" s="612" t="s">
        <v>1024</v>
      </c>
      <c r="B927" s="524" t="s">
        <v>372</v>
      </c>
      <c r="C927" s="1076">
        <f>CEILING((C926+35*$Z$1),0.1)</f>
        <v>141.3</v>
      </c>
      <c r="D927" s="1077"/>
      <c r="E927" s="1076">
        <f>CEILING((E926+35*$Z$1),0.1)</f>
        <v>141.3</v>
      </c>
      <c r="F927" s="1077"/>
      <c r="G927" s="1076">
        <f>CEILING((G926+35*$Z$1),0.1)</f>
        <v>141.3</v>
      </c>
      <c r="H927" s="1077"/>
      <c r="I927" s="1061"/>
      <c r="J927" s="1061"/>
      <c r="K927" s="1061"/>
      <c r="L927" s="1061"/>
    </row>
    <row r="928" spans="1:25" s="107" customFormat="1" ht="34.5" customHeight="1" thickTop="1">
      <c r="A928" s="1113" t="s">
        <v>178</v>
      </c>
      <c r="B928" s="1113"/>
      <c r="C928" s="1113"/>
      <c r="D928" s="1113"/>
      <c r="E928" s="1113"/>
      <c r="F928" s="1113"/>
      <c r="G928" s="1113"/>
      <c r="H928" s="1113"/>
      <c r="I928" s="1075"/>
      <c r="J928" s="1075"/>
      <c r="K928" s="108"/>
      <c r="L928" s="108"/>
      <c r="M928" s="124"/>
      <c r="N928" s="124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</row>
    <row r="929" spans="1:25" s="167" customFormat="1" ht="34.5" customHeight="1">
      <c r="A929" s="163" t="s">
        <v>940</v>
      </c>
      <c r="B929" s="188"/>
      <c r="C929" s="163"/>
      <c r="D929" s="163"/>
      <c r="E929" s="163"/>
      <c r="F929" s="163"/>
      <c r="G929" s="163"/>
      <c r="H929" s="163"/>
      <c r="I929" s="189"/>
      <c r="J929" s="189"/>
      <c r="K929" s="190"/>
      <c r="L929" s="190"/>
      <c r="M929" s="191"/>
      <c r="N929" s="191"/>
      <c r="O929" s="166"/>
      <c r="P929" s="166"/>
      <c r="Q929" s="166"/>
      <c r="R929" s="166"/>
      <c r="S929" s="166"/>
      <c r="T929" s="166"/>
      <c r="U929" s="166"/>
      <c r="V929" s="166"/>
      <c r="W929" s="166"/>
      <c r="X929" s="166"/>
      <c r="Y929" s="166"/>
    </row>
    <row r="930" spans="1:25" s="107" customFormat="1" ht="34.5" customHeight="1" thickBot="1">
      <c r="A930" s="1121"/>
      <c r="B930" s="1121"/>
      <c r="C930" s="1121"/>
      <c r="D930" s="1121"/>
      <c r="E930" s="1121"/>
      <c r="F930" s="1121"/>
      <c r="G930" s="1121"/>
      <c r="H930" s="1121"/>
      <c r="I930" s="1075"/>
      <c r="J930" s="1075"/>
      <c r="K930" s="108"/>
      <c r="L930" s="108"/>
      <c r="M930" s="127"/>
      <c r="N930" s="127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</row>
    <row r="931" spans="1:42" s="214" customFormat="1" ht="34.5" customHeight="1" thickTop="1">
      <c r="A931" s="207" t="s">
        <v>34</v>
      </c>
      <c r="B931" s="208" t="s">
        <v>637</v>
      </c>
      <c r="C931" s="209" t="s">
        <v>921</v>
      </c>
      <c r="D931" s="210"/>
      <c r="E931" s="211" t="s">
        <v>922</v>
      </c>
      <c r="F931" s="212"/>
      <c r="G931" s="211" t="s">
        <v>923</v>
      </c>
      <c r="H931" s="212"/>
      <c r="I931" s="1070"/>
      <c r="J931" s="1071"/>
      <c r="K931" s="1070"/>
      <c r="L931" s="1070"/>
      <c r="M931" s="174"/>
      <c r="N931" s="174"/>
      <c r="O931" s="213"/>
      <c r="P931" s="213"/>
      <c r="Q931" s="213"/>
      <c r="R931" s="213"/>
      <c r="S931" s="213"/>
      <c r="T931" s="213"/>
      <c r="U931" s="213"/>
      <c r="V931" s="213"/>
      <c r="W931" s="213"/>
      <c r="X931" s="213"/>
      <c r="Y931" s="213"/>
      <c r="Z931" s="213"/>
      <c r="AA931" s="213"/>
      <c r="AB931" s="213"/>
      <c r="AC931" s="213"/>
      <c r="AD931" s="213"/>
      <c r="AE931" s="213"/>
      <c r="AF931" s="213"/>
      <c r="AG931" s="213"/>
      <c r="AH931" s="213"/>
      <c r="AI931" s="213"/>
      <c r="AJ931" s="213"/>
      <c r="AK931" s="213"/>
      <c r="AL931" s="213"/>
      <c r="AM931" s="213"/>
      <c r="AN931" s="213"/>
      <c r="AO931" s="213"/>
      <c r="AP931" s="213"/>
    </row>
    <row r="932" spans="1:25" s="107" customFormat="1" ht="34.5" customHeight="1">
      <c r="A932" s="300" t="s">
        <v>107</v>
      </c>
      <c r="B932" s="264" t="s">
        <v>708</v>
      </c>
      <c r="C932" s="1073">
        <f>CEILING(40*$Z$1,0.1)</f>
        <v>50</v>
      </c>
      <c r="D932" s="1074"/>
      <c r="E932" s="1073">
        <f>CEILING(40*$Z$1,0.1)</f>
        <v>50</v>
      </c>
      <c r="F932" s="1074"/>
      <c r="G932" s="1073">
        <f>CEILING(40*$Z$1,0.1)</f>
        <v>50</v>
      </c>
      <c r="H932" s="1074"/>
      <c r="I932" s="1061"/>
      <c r="J932" s="1061"/>
      <c r="K932" s="1061"/>
      <c r="L932" s="1061"/>
      <c r="M932" s="127"/>
      <c r="N932" s="127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</row>
    <row r="933" spans="1:25" s="107" customFormat="1" ht="34.5" customHeight="1">
      <c r="A933" s="295" t="s">
        <v>50</v>
      </c>
      <c r="B933" s="241" t="s">
        <v>709</v>
      </c>
      <c r="C933" s="1057">
        <f>CEILING((C932+20*$Z$1),0.1)</f>
        <v>75</v>
      </c>
      <c r="D933" s="1058"/>
      <c r="E933" s="1057">
        <f>CEILING((E932+20*$Z$1),0.1)</f>
        <v>75</v>
      </c>
      <c r="F933" s="1058"/>
      <c r="G933" s="1057">
        <f>CEILING((G932+20*$Z$1),0.1)</f>
        <v>75</v>
      </c>
      <c r="H933" s="1058"/>
      <c r="I933" s="1061"/>
      <c r="J933" s="1061"/>
      <c r="K933" s="1061"/>
      <c r="L933" s="1061"/>
      <c r="M933" s="127"/>
      <c r="N933" s="127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</row>
    <row r="934" spans="1:25" s="107" customFormat="1" ht="34.5" customHeight="1">
      <c r="A934" s="132"/>
      <c r="B934" s="241" t="s">
        <v>70</v>
      </c>
      <c r="C934" s="1057">
        <f>CEILING((C932*0.85),0.1)</f>
        <v>42.5</v>
      </c>
      <c r="D934" s="1058"/>
      <c r="E934" s="1057">
        <f>CEILING((E932*0.85),0.1)</f>
        <v>42.5</v>
      </c>
      <c r="F934" s="1058"/>
      <c r="G934" s="1057">
        <f>CEILING((G932*0.85),0.1)</f>
        <v>42.5</v>
      </c>
      <c r="H934" s="1058"/>
      <c r="I934" s="1061"/>
      <c r="J934" s="1061"/>
      <c r="K934" s="1061"/>
      <c r="L934" s="1061"/>
      <c r="M934" s="127"/>
      <c r="N934" s="127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</row>
    <row r="935" spans="1:25" s="107" customFormat="1" ht="34.5" customHeight="1">
      <c r="A935" s="134"/>
      <c r="B935" s="219" t="s">
        <v>764</v>
      </c>
      <c r="C935" s="1057">
        <f>CEILING((C932*0.5),0.1)</f>
        <v>25</v>
      </c>
      <c r="D935" s="1058"/>
      <c r="E935" s="1057">
        <f>CEILING((E932*0.5),0.1)</f>
        <v>25</v>
      </c>
      <c r="F935" s="1058"/>
      <c r="G935" s="1057">
        <f>CEILING((G932*0.5),0.1)</f>
        <v>25</v>
      </c>
      <c r="H935" s="1058"/>
      <c r="I935" s="1061"/>
      <c r="J935" s="1061"/>
      <c r="K935" s="1061"/>
      <c r="L935" s="1061"/>
      <c r="M935" s="127"/>
      <c r="N935" s="127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</row>
    <row r="936" spans="1:25" s="107" customFormat="1" ht="34.5" customHeight="1">
      <c r="A936" s="614"/>
      <c r="B936" s="330" t="s">
        <v>710</v>
      </c>
      <c r="C936" s="1057">
        <f>CEILING(50*$Z$1,0.1)</f>
        <v>62.5</v>
      </c>
      <c r="D936" s="1058"/>
      <c r="E936" s="1057">
        <f>CEILING(50*$Z$1,0.1)</f>
        <v>62.5</v>
      </c>
      <c r="F936" s="1058"/>
      <c r="G936" s="1057">
        <f>CEILING(50*$Z$1,0.1)</f>
        <v>62.5</v>
      </c>
      <c r="H936" s="1058"/>
      <c r="I936" s="1061"/>
      <c r="J936" s="1061"/>
      <c r="K936" s="1061"/>
      <c r="L936" s="1061"/>
      <c r="M936" s="127"/>
      <c r="N936" s="127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</row>
    <row r="937" spans="1:25" s="107" customFormat="1" ht="34.5" customHeight="1">
      <c r="A937" s="134"/>
      <c r="B937" s="330" t="s">
        <v>711</v>
      </c>
      <c r="C937" s="1057">
        <f>CEILING((C936+20*$Z$1),0.1)</f>
        <v>87.5</v>
      </c>
      <c r="D937" s="1058"/>
      <c r="E937" s="1057">
        <f>CEILING((E936+20*$Z$1),0.1)</f>
        <v>87.5</v>
      </c>
      <c r="F937" s="1058"/>
      <c r="G937" s="1057">
        <f>CEILING((G936+20*$Z$1),0.1)</f>
        <v>87.5</v>
      </c>
      <c r="H937" s="1058"/>
      <c r="I937" s="1061"/>
      <c r="J937" s="1061"/>
      <c r="K937" s="1061"/>
      <c r="L937" s="1061"/>
      <c r="M937" s="127"/>
      <c r="N937" s="127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</row>
    <row r="938" spans="1:25" s="107" customFormat="1" ht="34.5" customHeight="1">
      <c r="A938" s="295"/>
      <c r="B938" s="266" t="s">
        <v>3</v>
      </c>
      <c r="C938" s="1057">
        <f>CEILING(60*$Z$1,0.1)</f>
        <v>75</v>
      </c>
      <c r="D938" s="1058"/>
      <c r="E938" s="1057">
        <f>CEILING(60*$Z$1,0.1)</f>
        <v>75</v>
      </c>
      <c r="F938" s="1058"/>
      <c r="G938" s="1057">
        <f>CEILING(60*$Z$1,0.1)</f>
        <v>75</v>
      </c>
      <c r="H938" s="1058"/>
      <c r="I938" s="1061"/>
      <c r="J938" s="1061"/>
      <c r="K938" s="1061"/>
      <c r="L938" s="1061"/>
      <c r="M938" s="127"/>
      <c r="N938" s="127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</row>
    <row r="939" spans="1:25" s="107" customFormat="1" ht="34.5" customHeight="1" thickBot="1">
      <c r="A939" s="303" t="s">
        <v>1025</v>
      </c>
      <c r="B939" s="524" t="s">
        <v>4</v>
      </c>
      <c r="C939" s="1076">
        <f>CEILING((C938+20*$Z$1),0.1)</f>
        <v>100</v>
      </c>
      <c r="D939" s="1077"/>
      <c r="E939" s="1076">
        <f>CEILING((E938+20*$Z$1),0.1)</f>
        <v>100</v>
      </c>
      <c r="F939" s="1077"/>
      <c r="G939" s="1076">
        <f>CEILING((G938+20*$Z$1),0.1)</f>
        <v>100</v>
      </c>
      <c r="H939" s="1077"/>
      <c r="I939" s="1061"/>
      <c r="J939" s="1061"/>
      <c r="K939" s="1061"/>
      <c r="L939" s="1061"/>
      <c r="M939" s="127"/>
      <c r="N939" s="127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</row>
    <row r="940" spans="1:25" s="167" customFormat="1" ht="34.5" customHeight="1" thickTop="1">
      <c r="A940" s="163" t="s">
        <v>940</v>
      </c>
      <c r="B940" s="188"/>
      <c r="C940" s="163"/>
      <c r="D940" s="163"/>
      <c r="E940" s="163"/>
      <c r="F940" s="163"/>
      <c r="G940" s="163"/>
      <c r="H940" s="163"/>
      <c r="I940" s="189"/>
      <c r="J940" s="189"/>
      <c r="K940" s="190"/>
      <c r="L940" s="190"/>
      <c r="M940" s="191"/>
      <c r="N940" s="191"/>
      <c r="O940" s="166"/>
      <c r="P940" s="166"/>
      <c r="Q940" s="166"/>
      <c r="R940" s="166"/>
      <c r="S940" s="166"/>
      <c r="T940" s="166"/>
      <c r="U940" s="166"/>
      <c r="V940" s="166"/>
      <c r="W940" s="166"/>
      <c r="X940" s="166"/>
      <c r="Y940" s="166"/>
    </row>
    <row r="941" spans="1:25" s="107" customFormat="1" ht="34.5" customHeight="1" thickBot="1">
      <c r="A941" s="285"/>
      <c r="B941" s="451"/>
      <c r="C941" s="451"/>
      <c r="D941" s="451"/>
      <c r="E941" s="451"/>
      <c r="F941" s="451"/>
      <c r="G941" s="451"/>
      <c r="H941" s="451"/>
      <c r="I941" s="451"/>
      <c r="J941" s="451"/>
      <c r="K941" s="138"/>
      <c r="L941" s="138"/>
      <c r="M941" s="110"/>
      <c r="N941" s="111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</row>
    <row r="942" spans="1:42" s="214" customFormat="1" ht="34.5" customHeight="1" thickTop="1">
      <c r="A942" s="207" t="s">
        <v>34</v>
      </c>
      <c r="B942" s="208" t="s">
        <v>637</v>
      </c>
      <c r="C942" s="209" t="s">
        <v>921</v>
      </c>
      <c r="D942" s="210"/>
      <c r="E942" s="211" t="s">
        <v>922</v>
      </c>
      <c r="F942" s="212"/>
      <c r="G942" s="211" t="s">
        <v>923</v>
      </c>
      <c r="H942" s="212"/>
      <c r="I942" s="1070"/>
      <c r="J942" s="1071"/>
      <c r="K942" s="1070"/>
      <c r="L942" s="1070"/>
      <c r="M942" s="174"/>
      <c r="N942" s="174"/>
      <c r="O942" s="213"/>
      <c r="P942" s="213"/>
      <c r="Q942" s="213"/>
      <c r="R942" s="213"/>
      <c r="S942" s="213"/>
      <c r="T942" s="213"/>
      <c r="U942" s="213"/>
      <c r="V942" s="213"/>
      <c r="W942" s="213"/>
      <c r="X942" s="213"/>
      <c r="Y942" s="213"/>
      <c r="Z942" s="213"/>
      <c r="AA942" s="213"/>
      <c r="AB942" s="213"/>
      <c r="AC942" s="213"/>
      <c r="AD942" s="213"/>
      <c r="AE942" s="213"/>
      <c r="AF942" s="213"/>
      <c r="AG942" s="213"/>
      <c r="AH942" s="213"/>
      <c r="AI942" s="213"/>
      <c r="AJ942" s="213"/>
      <c r="AK942" s="213"/>
      <c r="AL942" s="213"/>
      <c r="AM942" s="213"/>
      <c r="AN942" s="213"/>
      <c r="AO942" s="213"/>
      <c r="AP942" s="213"/>
    </row>
    <row r="943" spans="1:25" s="107" customFormat="1" ht="34.5" customHeight="1">
      <c r="A943" s="615" t="s">
        <v>9</v>
      </c>
      <c r="B943" s="616" t="s">
        <v>10</v>
      </c>
      <c r="C943" s="1073">
        <f>CEILING(65*$Z$1,0.1)</f>
        <v>81.30000000000001</v>
      </c>
      <c r="D943" s="1074"/>
      <c r="E943" s="1057">
        <f>CEILING(70*$Z$1,0.1)</f>
        <v>87.5</v>
      </c>
      <c r="F943" s="1058"/>
      <c r="G943" s="1073">
        <f>CEILING(65*$Z$1,0.1)</f>
        <v>81.30000000000001</v>
      </c>
      <c r="H943" s="1074"/>
      <c r="I943" s="1061"/>
      <c r="J943" s="1061"/>
      <c r="K943" s="1061"/>
      <c r="L943" s="1061"/>
      <c r="M943" s="617"/>
      <c r="N943" s="617"/>
      <c r="O943" s="617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</row>
    <row r="944" spans="1:25" s="107" customFormat="1" ht="34.5" customHeight="1">
      <c r="A944" s="618" t="s">
        <v>36</v>
      </c>
      <c r="B944" s="619" t="s">
        <v>746</v>
      </c>
      <c r="C944" s="1057">
        <f>CEILING((C943+30*$Z$1),0.1)</f>
        <v>118.80000000000001</v>
      </c>
      <c r="D944" s="1058"/>
      <c r="E944" s="1057">
        <f>CEILING((E943+30*$Z$1),0.1)</f>
        <v>125</v>
      </c>
      <c r="F944" s="1058"/>
      <c r="G944" s="1057">
        <f>CEILING((G943+30*$Z$1),0.1)</f>
        <v>118.80000000000001</v>
      </c>
      <c r="H944" s="1058"/>
      <c r="I944" s="1061"/>
      <c r="J944" s="1061"/>
      <c r="K944" s="1061"/>
      <c r="L944" s="1061"/>
      <c r="M944" s="617"/>
      <c r="N944" s="617"/>
      <c r="O944" s="617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</row>
    <row r="945" spans="1:25" s="107" customFormat="1" ht="34.5" customHeight="1">
      <c r="A945" s="620"/>
      <c r="B945" s="621" t="s">
        <v>816</v>
      </c>
      <c r="C945" s="1057">
        <f>CEILING((C943*0.85),0.1)</f>
        <v>69.2</v>
      </c>
      <c r="D945" s="1058"/>
      <c r="E945" s="1057">
        <f>CEILING((E943*0.85),0.1)</f>
        <v>74.4</v>
      </c>
      <c r="F945" s="1058"/>
      <c r="G945" s="1057">
        <f>CEILING((G943*0.85),0.1)</f>
        <v>69.2</v>
      </c>
      <c r="H945" s="1058"/>
      <c r="I945" s="1061"/>
      <c r="J945" s="1061"/>
      <c r="K945" s="1061"/>
      <c r="L945" s="1061"/>
      <c r="M945" s="617"/>
      <c r="N945" s="617"/>
      <c r="O945" s="617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</row>
    <row r="946" spans="1:25" s="107" customFormat="1" ht="34.5" customHeight="1">
      <c r="A946" s="622"/>
      <c r="B946" s="623" t="s">
        <v>744</v>
      </c>
      <c r="C946" s="1057">
        <f>CEILING((C943*0),0.1)</f>
        <v>0</v>
      </c>
      <c r="D946" s="1058"/>
      <c r="E946" s="1057">
        <f>CEILING((E943*0),0.1)</f>
        <v>0</v>
      </c>
      <c r="F946" s="1058"/>
      <c r="G946" s="1057">
        <f>CEILING((G943*0),0.1)</f>
        <v>0</v>
      </c>
      <c r="H946" s="1058"/>
      <c r="I946" s="1061"/>
      <c r="J946" s="1061"/>
      <c r="K946" s="1061"/>
      <c r="L946" s="1061"/>
      <c r="M946" s="617"/>
      <c r="N946" s="617"/>
      <c r="O946" s="617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</row>
    <row r="947" spans="1:25" s="107" customFormat="1" ht="34.5" customHeight="1">
      <c r="A947" s="622"/>
      <c r="B947" s="623" t="s">
        <v>745</v>
      </c>
      <c r="C947" s="1057">
        <f>CEILING((C943*0.5),0.1)</f>
        <v>40.7</v>
      </c>
      <c r="D947" s="1058"/>
      <c r="E947" s="1057">
        <f>CEILING((E943*0.5),0.1)</f>
        <v>43.800000000000004</v>
      </c>
      <c r="F947" s="1058"/>
      <c r="G947" s="1057">
        <f>CEILING((G943*0.5),0.1)</f>
        <v>40.7</v>
      </c>
      <c r="H947" s="1058"/>
      <c r="I947" s="1061"/>
      <c r="J947" s="1061"/>
      <c r="K947" s="1061"/>
      <c r="L947" s="1061"/>
      <c r="M947" s="617"/>
      <c r="N947" s="617"/>
      <c r="O947" s="617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</row>
    <row r="948" spans="1:25" s="107" customFormat="1" ht="34.5" customHeight="1">
      <c r="A948" s="624"/>
      <c r="B948" s="625" t="s">
        <v>748</v>
      </c>
      <c r="C948" s="1057">
        <f>CEILING(85*$Z$1,0.1)</f>
        <v>106.30000000000001</v>
      </c>
      <c r="D948" s="1058"/>
      <c r="E948" s="1057">
        <f>CEILING(90*$Z$1,0.1)</f>
        <v>112.5</v>
      </c>
      <c r="F948" s="1058"/>
      <c r="G948" s="1057">
        <f>CEILING(85*$Z$1,0.1)</f>
        <v>106.30000000000001</v>
      </c>
      <c r="H948" s="1058"/>
      <c r="I948" s="1061"/>
      <c r="J948" s="1061"/>
      <c r="K948" s="1061"/>
      <c r="L948" s="1061"/>
      <c r="M948" s="617"/>
      <c r="N948" s="617"/>
      <c r="O948" s="617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</row>
    <row r="949" spans="1:25" s="107" customFormat="1" ht="34.5" customHeight="1">
      <c r="A949" s="624"/>
      <c r="B949" s="625" t="s">
        <v>749</v>
      </c>
      <c r="C949" s="1057">
        <f>CEILING((C948+60*$Z$1),0.1)</f>
        <v>181.3</v>
      </c>
      <c r="D949" s="1058"/>
      <c r="E949" s="1057">
        <f>CEILING((E948+60*$Z$1),0.1)</f>
        <v>187.5</v>
      </c>
      <c r="F949" s="1058"/>
      <c r="G949" s="1057">
        <f>CEILING((G948+60*$Z$1),0.1)</f>
        <v>181.3</v>
      </c>
      <c r="H949" s="1058"/>
      <c r="I949" s="1061"/>
      <c r="J949" s="1061"/>
      <c r="K949" s="1061"/>
      <c r="L949" s="1061"/>
      <c r="M949" s="617"/>
      <c r="N949" s="617"/>
      <c r="O949" s="617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</row>
    <row r="950" spans="1:25" s="107" customFormat="1" ht="34.5" customHeight="1" thickBot="1">
      <c r="A950" s="626" t="s">
        <v>747</v>
      </c>
      <c r="B950" s="627" t="s">
        <v>1026</v>
      </c>
      <c r="C950" s="1059">
        <f>CEILING(870*$Z$1,0.1)</f>
        <v>1087.5</v>
      </c>
      <c r="D950" s="1060"/>
      <c r="E950" s="1059">
        <f>CEILING(1266*$Z$1,0.1)</f>
        <v>1582.5</v>
      </c>
      <c r="F950" s="1060"/>
      <c r="G950" s="1059">
        <f>CEILING(900*$Z$1,0.1)</f>
        <v>1125</v>
      </c>
      <c r="H950" s="1060"/>
      <c r="I950" s="1061"/>
      <c r="J950" s="1061"/>
      <c r="K950" s="1061"/>
      <c r="L950" s="1061"/>
      <c r="M950" s="617"/>
      <c r="N950" s="617"/>
      <c r="O950" s="617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</row>
    <row r="951" spans="1:12" s="114" customFormat="1" ht="34.5" customHeight="1" thickTop="1">
      <c r="A951" s="164"/>
      <c r="B951" s="162"/>
      <c r="C951" s="162"/>
      <c r="D951" s="162"/>
      <c r="E951" s="162"/>
      <c r="F951" s="162"/>
      <c r="G951" s="162"/>
      <c r="H951" s="162"/>
      <c r="I951" s="162"/>
      <c r="J951" s="162"/>
      <c r="K951" s="157"/>
      <c r="L951" s="157"/>
    </row>
    <row r="952" spans="1:25" s="107" customFormat="1" ht="34.5" customHeight="1" thickBot="1">
      <c r="A952" s="613"/>
      <c r="B952" s="501"/>
      <c r="C952" s="501"/>
      <c r="D952" s="501"/>
      <c r="E952" s="501"/>
      <c r="F952" s="501"/>
      <c r="G952" s="501"/>
      <c r="H952" s="501"/>
      <c r="I952" s="1242"/>
      <c r="J952" s="1242"/>
      <c r="K952" s="402"/>
      <c r="L952" s="402"/>
      <c r="M952" s="110"/>
      <c r="N952" s="111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</row>
    <row r="953" spans="1:42" s="214" customFormat="1" ht="34.5" customHeight="1" thickTop="1">
      <c r="A953" s="207" t="s">
        <v>34</v>
      </c>
      <c r="B953" s="208" t="s">
        <v>637</v>
      </c>
      <c r="C953" s="209" t="s">
        <v>921</v>
      </c>
      <c r="D953" s="210"/>
      <c r="E953" s="211" t="s">
        <v>922</v>
      </c>
      <c r="F953" s="212"/>
      <c r="G953" s="211" t="s">
        <v>923</v>
      </c>
      <c r="H953" s="212"/>
      <c r="I953" s="1070"/>
      <c r="J953" s="1071"/>
      <c r="K953" s="1070"/>
      <c r="L953" s="1070"/>
      <c r="M953" s="174"/>
      <c r="N953" s="174"/>
      <c r="O953" s="213"/>
      <c r="P953" s="213"/>
      <c r="Q953" s="213"/>
      <c r="R953" s="213"/>
      <c r="S953" s="213"/>
      <c r="T953" s="213"/>
      <c r="U953" s="213"/>
      <c r="V953" s="213"/>
      <c r="W953" s="213"/>
      <c r="X953" s="213"/>
      <c r="Y953" s="213"/>
      <c r="Z953" s="213"/>
      <c r="AA953" s="213"/>
      <c r="AB953" s="213"/>
      <c r="AC953" s="213"/>
      <c r="AD953" s="213"/>
      <c r="AE953" s="213"/>
      <c r="AF953" s="213"/>
      <c r="AG953" s="213"/>
      <c r="AH953" s="213"/>
      <c r="AI953" s="213"/>
      <c r="AJ953" s="213"/>
      <c r="AK953" s="213"/>
      <c r="AL953" s="213"/>
      <c r="AM953" s="213"/>
      <c r="AN953" s="213"/>
      <c r="AO953" s="213"/>
      <c r="AP953" s="213"/>
    </row>
    <row r="954" spans="1:25" s="107" customFormat="1" ht="34.5" customHeight="1">
      <c r="A954" s="628" t="s">
        <v>109</v>
      </c>
      <c r="B954" s="343" t="s">
        <v>303</v>
      </c>
      <c r="C954" s="1073">
        <f>CEILING(40*$Z$1,0.1)</f>
        <v>50</v>
      </c>
      <c r="D954" s="1074"/>
      <c r="E954" s="1073">
        <f>CEILING(40*$Z$1,0.1)</f>
        <v>50</v>
      </c>
      <c r="F954" s="1074"/>
      <c r="G954" s="1073">
        <f>CEILING(40*$Z$1,0.1)</f>
        <v>50</v>
      </c>
      <c r="H954" s="1074"/>
      <c r="I954" s="1061"/>
      <c r="J954" s="1061"/>
      <c r="K954" s="1061"/>
      <c r="L954" s="1061"/>
      <c r="M954" s="110"/>
      <c r="N954" s="111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</row>
    <row r="955" spans="1:25" s="107" customFormat="1" ht="34.5" customHeight="1">
      <c r="A955" s="629" t="s">
        <v>50</v>
      </c>
      <c r="B955" s="289" t="s">
        <v>304</v>
      </c>
      <c r="C955" s="1057">
        <f>CEILING((C954+25*$Z$1),0.1)</f>
        <v>81.30000000000001</v>
      </c>
      <c r="D955" s="1058"/>
      <c r="E955" s="1057">
        <f>CEILING((E954+25*$Z$1),0.1)</f>
        <v>81.30000000000001</v>
      </c>
      <c r="F955" s="1058"/>
      <c r="G955" s="1057">
        <f>CEILING((G954+25*$Z$1),0.1)</f>
        <v>81.30000000000001</v>
      </c>
      <c r="H955" s="1058"/>
      <c r="I955" s="1061"/>
      <c r="J955" s="1061"/>
      <c r="K955" s="1061"/>
      <c r="L955" s="1061"/>
      <c r="M955" s="110"/>
      <c r="N955" s="111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</row>
    <row r="956" spans="1:25" s="107" customFormat="1" ht="34.5" customHeight="1">
      <c r="A956" s="630" t="s">
        <v>421</v>
      </c>
      <c r="B956" s="296" t="s">
        <v>70</v>
      </c>
      <c r="C956" s="1057">
        <f>CEILING((C954*0.85),0.1)</f>
        <v>42.5</v>
      </c>
      <c r="D956" s="1058"/>
      <c r="E956" s="1057">
        <f>CEILING((E954*0.85),0.1)</f>
        <v>42.5</v>
      </c>
      <c r="F956" s="1058"/>
      <c r="G956" s="1057">
        <f>CEILING((G954*0.85),0.1)</f>
        <v>42.5</v>
      </c>
      <c r="H956" s="1058"/>
      <c r="I956" s="1061"/>
      <c r="J956" s="1061"/>
      <c r="K956" s="1061"/>
      <c r="L956" s="1061"/>
      <c r="M956" s="110"/>
      <c r="N956" s="111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</row>
    <row r="957" spans="1:25" s="107" customFormat="1" ht="34.5" customHeight="1">
      <c r="A957" s="630"/>
      <c r="B957" s="296" t="s">
        <v>170</v>
      </c>
      <c r="C957" s="1057">
        <f>CEILING(50*$Z$1,0.1)</f>
        <v>62.5</v>
      </c>
      <c r="D957" s="1058"/>
      <c r="E957" s="1057">
        <f>CEILING(50*$Z$1,0.1)</f>
        <v>62.5</v>
      </c>
      <c r="F957" s="1058"/>
      <c r="G957" s="1057">
        <f>CEILING(50*$Z$1,0.1)</f>
        <v>62.5</v>
      </c>
      <c r="H957" s="1058"/>
      <c r="I957" s="1061"/>
      <c r="J957" s="1061"/>
      <c r="K957" s="1061"/>
      <c r="L957" s="1061"/>
      <c r="M957" s="110"/>
      <c r="N957" s="111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</row>
    <row r="958" spans="1:25" s="107" customFormat="1" ht="34.5" customHeight="1" thickBot="1">
      <c r="A958" s="631" t="s">
        <v>571</v>
      </c>
      <c r="B958" s="517" t="s">
        <v>171</v>
      </c>
      <c r="C958" s="1076">
        <f>CEILING((C957+40*$Z$1),0.1)</f>
        <v>112.5</v>
      </c>
      <c r="D958" s="1077"/>
      <c r="E958" s="1076">
        <f>CEILING((E957+40*$Z$1),0.1)</f>
        <v>112.5</v>
      </c>
      <c r="F958" s="1077"/>
      <c r="G958" s="1076">
        <f>CEILING((G957+40*$Z$1),0.1)</f>
        <v>112.5</v>
      </c>
      <c r="H958" s="1077"/>
      <c r="I958" s="1061"/>
      <c r="J958" s="1061"/>
      <c r="K958" s="1061"/>
      <c r="L958" s="1061"/>
      <c r="M958" s="110"/>
      <c r="N958" s="111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</row>
    <row r="959" spans="1:25" s="107" customFormat="1" ht="34.5" customHeight="1" thickTop="1">
      <c r="A959" s="1075" t="s">
        <v>713</v>
      </c>
      <c r="B959" s="1075"/>
      <c r="C959" s="1075"/>
      <c r="D959" s="1075"/>
      <c r="E959" s="1075"/>
      <c r="F959" s="1075"/>
      <c r="G959" s="1075"/>
      <c r="H959" s="1075"/>
      <c r="I959" s="1075"/>
      <c r="J959" s="1075"/>
      <c r="K959" s="138"/>
      <c r="L959" s="138"/>
      <c r="M959" s="127"/>
      <c r="N959" s="127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</row>
    <row r="960" spans="1:14" s="114" customFormat="1" ht="34.5" customHeight="1" thickBot="1">
      <c r="A960" s="1136"/>
      <c r="B960" s="1136"/>
      <c r="C960" s="1136"/>
      <c r="D960" s="1136"/>
      <c r="E960" s="1136"/>
      <c r="F960" s="1136"/>
      <c r="G960" s="1136"/>
      <c r="H960" s="1136"/>
      <c r="I960" s="1136"/>
      <c r="J960" s="1136"/>
      <c r="K960" s="1136"/>
      <c r="L960" s="1136"/>
      <c r="M960" s="124"/>
      <c r="N960" s="124"/>
    </row>
    <row r="961" spans="1:42" s="214" customFormat="1" ht="34.5" customHeight="1" thickTop="1">
      <c r="A961" s="207" t="s">
        <v>34</v>
      </c>
      <c r="B961" s="208" t="s">
        <v>637</v>
      </c>
      <c r="C961" s="209" t="s">
        <v>921</v>
      </c>
      <c r="D961" s="210"/>
      <c r="E961" s="211" t="s">
        <v>922</v>
      </c>
      <c r="F961" s="212"/>
      <c r="G961" s="211" t="s">
        <v>923</v>
      </c>
      <c r="H961" s="212"/>
      <c r="I961" s="1070"/>
      <c r="J961" s="1071"/>
      <c r="K961" s="1070"/>
      <c r="L961" s="1070"/>
      <c r="M961" s="174"/>
      <c r="N961" s="174"/>
      <c r="O961" s="213"/>
      <c r="P961" s="213"/>
      <c r="Q961" s="213"/>
      <c r="R961" s="213"/>
      <c r="S961" s="213"/>
      <c r="T961" s="213"/>
      <c r="U961" s="213"/>
      <c r="V961" s="213"/>
      <c r="W961" s="213"/>
      <c r="X961" s="213"/>
      <c r="Y961" s="213"/>
      <c r="Z961" s="213"/>
      <c r="AA961" s="213"/>
      <c r="AB961" s="213"/>
      <c r="AC961" s="213"/>
      <c r="AD961" s="213"/>
      <c r="AE961" s="213"/>
      <c r="AF961" s="213"/>
      <c r="AG961" s="213"/>
      <c r="AH961" s="213"/>
      <c r="AI961" s="213"/>
      <c r="AJ961" s="213"/>
      <c r="AK961" s="213"/>
      <c r="AL961" s="213"/>
      <c r="AM961" s="213"/>
      <c r="AN961" s="213"/>
      <c r="AO961" s="213"/>
      <c r="AP961" s="213"/>
    </row>
    <row r="962" spans="1:25" s="107" customFormat="1" ht="34.5" customHeight="1">
      <c r="A962" s="293" t="s">
        <v>108</v>
      </c>
      <c r="B962" s="564" t="s">
        <v>35</v>
      </c>
      <c r="C962" s="1073">
        <f>CEILING(46*$Z$1,0.1)</f>
        <v>57.5</v>
      </c>
      <c r="D962" s="1074"/>
      <c r="E962" s="1073">
        <f>CEILING(46*$Z$1,0.1)</f>
        <v>57.5</v>
      </c>
      <c r="F962" s="1074"/>
      <c r="G962" s="1073">
        <f>CEILING(46*$Z$1,0.1)</f>
        <v>57.5</v>
      </c>
      <c r="H962" s="1074"/>
      <c r="I962" s="1061"/>
      <c r="J962" s="1061"/>
      <c r="K962" s="1061"/>
      <c r="L962" s="1061"/>
      <c r="M962" s="124"/>
      <c r="N962" s="111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</row>
    <row r="963" spans="1:25" s="107" customFormat="1" ht="34.5" customHeight="1">
      <c r="A963" s="295" t="s">
        <v>36</v>
      </c>
      <c r="B963" s="321" t="s">
        <v>37</v>
      </c>
      <c r="C963" s="1057">
        <f>CEILING((C962+25*$Z$1),0.1)</f>
        <v>88.80000000000001</v>
      </c>
      <c r="D963" s="1058"/>
      <c r="E963" s="1057">
        <f>CEILING((E962+25*$Z$1),0.1)</f>
        <v>88.80000000000001</v>
      </c>
      <c r="F963" s="1058"/>
      <c r="G963" s="1057">
        <f>CEILING((G962+25*$Z$1),0.1)</f>
        <v>88.80000000000001</v>
      </c>
      <c r="H963" s="1058"/>
      <c r="I963" s="1061"/>
      <c r="J963" s="1061"/>
      <c r="K963" s="1061"/>
      <c r="L963" s="1061"/>
      <c r="M963" s="124"/>
      <c r="N963" s="111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</row>
    <row r="964" spans="1:25" s="107" customFormat="1" ht="34.5" customHeight="1">
      <c r="A964" s="566"/>
      <c r="B964" s="241" t="s">
        <v>70</v>
      </c>
      <c r="C964" s="1057">
        <f>CEILING((C962*0.85),0.1)</f>
        <v>48.900000000000006</v>
      </c>
      <c r="D964" s="1058"/>
      <c r="E964" s="1057">
        <f>CEILING((E962*0.85),0.1)</f>
        <v>48.900000000000006</v>
      </c>
      <c r="F964" s="1058"/>
      <c r="G964" s="1057">
        <f>CEILING((G962*0.85),0.1)</f>
        <v>48.900000000000006</v>
      </c>
      <c r="H964" s="1058"/>
      <c r="I964" s="1061"/>
      <c r="J964" s="1061"/>
      <c r="K964" s="1061"/>
      <c r="L964" s="1061"/>
      <c r="M964" s="124"/>
      <c r="N964" s="111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</row>
    <row r="965" spans="1:25" s="107" customFormat="1" ht="34.5" customHeight="1">
      <c r="A965" s="630"/>
      <c r="B965" s="219" t="s">
        <v>69</v>
      </c>
      <c r="C965" s="1057">
        <f>CEILING((C962*0),0.1)</f>
        <v>0</v>
      </c>
      <c r="D965" s="1058"/>
      <c r="E965" s="1057">
        <f>CEILING((E962*0),0.1)</f>
        <v>0</v>
      </c>
      <c r="F965" s="1058"/>
      <c r="G965" s="1057">
        <f>CEILING((G962*0),0.1)</f>
        <v>0</v>
      </c>
      <c r="H965" s="1058"/>
      <c r="I965" s="1061"/>
      <c r="J965" s="1061"/>
      <c r="K965" s="1061"/>
      <c r="L965" s="1061"/>
      <c r="M965" s="124"/>
      <c r="N965" s="111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</row>
    <row r="966" spans="1:25" s="107" customFormat="1" ht="34.5" customHeight="1">
      <c r="A966" s="632"/>
      <c r="B966" s="219" t="s">
        <v>712</v>
      </c>
      <c r="C966" s="1057">
        <f>CEILING(54*$Z$1,0.1)</f>
        <v>67.5</v>
      </c>
      <c r="D966" s="1058"/>
      <c r="E966" s="1057">
        <f>CEILING(54*$Z$1,0.1)</f>
        <v>67.5</v>
      </c>
      <c r="F966" s="1058"/>
      <c r="G966" s="1057">
        <f>CEILING(54*$Z$1,0.1)</f>
        <v>67.5</v>
      </c>
      <c r="H966" s="1058"/>
      <c r="I966" s="1061"/>
      <c r="J966" s="1061"/>
      <c r="K966" s="1061"/>
      <c r="L966" s="1061"/>
      <c r="M966" s="124"/>
      <c r="N966" s="111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</row>
    <row r="967" spans="1:25" s="107" customFormat="1" ht="34.5" customHeight="1" thickBot="1">
      <c r="A967" s="569" t="s">
        <v>322</v>
      </c>
      <c r="B967" s="401" t="s">
        <v>47</v>
      </c>
      <c r="C967" s="1076">
        <f>CEILING(76*$Z$1,0.1)</f>
        <v>95</v>
      </c>
      <c r="D967" s="1077"/>
      <c r="E967" s="1076">
        <f>CEILING(76*$Z$1,0.1)</f>
        <v>95</v>
      </c>
      <c r="F967" s="1077"/>
      <c r="G967" s="1076">
        <f>CEILING(76*$Z$1,0.1)</f>
        <v>95</v>
      </c>
      <c r="H967" s="1077"/>
      <c r="I967" s="1061"/>
      <c r="J967" s="1061"/>
      <c r="K967" s="633"/>
      <c r="L967" s="633"/>
      <c r="M967" s="124"/>
      <c r="N967" s="111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</row>
    <row r="968" spans="1:25" s="107" customFormat="1" ht="34.5" customHeight="1" thickTop="1">
      <c r="A968" s="397" t="s">
        <v>413</v>
      </c>
      <c r="B968" s="103"/>
      <c r="C968" s="239"/>
      <c r="D968" s="239"/>
      <c r="E968" s="239"/>
      <c r="F968" s="239"/>
      <c r="G968" s="239"/>
      <c r="H968" s="239"/>
      <c r="I968" s="239"/>
      <c r="J968" s="239"/>
      <c r="K968" s="633"/>
      <c r="L968" s="633"/>
      <c r="M968" s="124"/>
      <c r="N968" s="111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</row>
    <row r="969" spans="1:25" s="107" customFormat="1" ht="34.5" customHeight="1">
      <c r="A969" s="285"/>
      <c r="B969" s="103"/>
      <c r="C969" s="233"/>
      <c r="D969" s="233"/>
      <c r="E969" s="233"/>
      <c r="F969" s="233"/>
      <c r="G969" s="233"/>
      <c r="H969" s="233"/>
      <c r="I969" s="233"/>
      <c r="J969" s="233"/>
      <c r="K969" s="633"/>
      <c r="L969" s="633"/>
      <c r="M969" s="124"/>
      <c r="N969" s="111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</row>
    <row r="970" spans="1:14" s="158" customFormat="1" ht="34.5" customHeight="1" thickBot="1">
      <c r="A970" s="164"/>
      <c r="B970" s="164"/>
      <c r="C970" s="164"/>
      <c r="D970" s="164"/>
      <c r="E970" s="164"/>
      <c r="F970" s="164"/>
      <c r="G970" s="164"/>
      <c r="H970" s="164"/>
      <c r="I970" s="164"/>
      <c r="J970" s="164"/>
      <c r="K970" s="164"/>
      <c r="L970" s="164"/>
      <c r="M970" s="124"/>
      <c r="N970" s="124"/>
    </row>
    <row r="971" spans="1:42" s="214" customFormat="1" ht="34.5" customHeight="1" thickTop="1">
      <c r="A971" s="207" t="s">
        <v>34</v>
      </c>
      <c r="B971" s="208" t="s">
        <v>637</v>
      </c>
      <c r="C971" s="209" t="s">
        <v>921</v>
      </c>
      <c r="D971" s="210"/>
      <c r="E971" s="211" t="s">
        <v>922</v>
      </c>
      <c r="F971" s="212"/>
      <c r="G971" s="211" t="s">
        <v>923</v>
      </c>
      <c r="H971" s="212"/>
      <c r="I971" s="1070"/>
      <c r="J971" s="1071"/>
      <c r="K971" s="1070"/>
      <c r="L971" s="1070"/>
      <c r="M971" s="174"/>
      <c r="N971" s="174"/>
      <c r="O971" s="213"/>
      <c r="P971" s="213"/>
      <c r="Q971" s="213"/>
      <c r="R971" s="213"/>
      <c r="S971" s="213"/>
      <c r="T971" s="213"/>
      <c r="U971" s="213"/>
      <c r="V971" s="213"/>
      <c r="W971" s="213"/>
      <c r="X971" s="213"/>
      <c r="Y971" s="213"/>
      <c r="Z971" s="213"/>
      <c r="AA971" s="213"/>
      <c r="AB971" s="213"/>
      <c r="AC971" s="213"/>
      <c r="AD971" s="213"/>
      <c r="AE971" s="213"/>
      <c r="AF971" s="213"/>
      <c r="AG971" s="213"/>
      <c r="AH971" s="213"/>
      <c r="AI971" s="213"/>
      <c r="AJ971" s="213"/>
      <c r="AK971" s="213"/>
      <c r="AL971" s="213"/>
      <c r="AM971" s="213"/>
      <c r="AN971" s="213"/>
      <c r="AO971" s="213"/>
      <c r="AP971" s="213"/>
    </row>
    <row r="972" spans="1:71" s="140" customFormat="1" ht="34.5" customHeight="1">
      <c r="A972" s="300" t="s">
        <v>729</v>
      </c>
      <c r="B972" s="264" t="s">
        <v>723</v>
      </c>
      <c r="C972" s="1073">
        <f>CEILING(55*$Z$1,0.1)</f>
        <v>68.8</v>
      </c>
      <c r="D972" s="1074"/>
      <c r="E972" s="1073">
        <f>CEILING(55*$Z$1,0.1)</f>
        <v>68.8</v>
      </c>
      <c r="F972" s="1074"/>
      <c r="G972" s="1073">
        <f>CEILING(55*$Z$1,0.1)</f>
        <v>68.8</v>
      </c>
      <c r="H972" s="1074"/>
      <c r="I972" s="1061"/>
      <c r="J972" s="1061"/>
      <c r="K972" s="1061"/>
      <c r="L972" s="1061"/>
      <c r="M972" s="124"/>
      <c r="N972" s="103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  <c r="Z972" s="114"/>
      <c r="AA972" s="114"/>
      <c r="AB972" s="114"/>
      <c r="AC972" s="114"/>
      <c r="AD972" s="114"/>
      <c r="AE972" s="114"/>
      <c r="AF972" s="114"/>
      <c r="AG972" s="114"/>
      <c r="AH972" s="114"/>
      <c r="AI972" s="114"/>
      <c r="AJ972" s="114"/>
      <c r="AK972" s="114"/>
      <c r="AL972" s="114"/>
      <c r="AM972" s="114"/>
      <c r="AN972" s="114"/>
      <c r="AO972" s="114"/>
      <c r="AP972" s="114"/>
      <c r="AQ972" s="114"/>
      <c r="AR972" s="114"/>
      <c r="AS972" s="114"/>
      <c r="AT972" s="114"/>
      <c r="AU972" s="114"/>
      <c r="AV972" s="114"/>
      <c r="AW972" s="114"/>
      <c r="AX972" s="114"/>
      <c r="AY972" s="114"/>
      <c r="AZ972" s="114"/>
      <c r="BA972" s="114"/>
      <c r="BB972" s="114"/>
      <c r="BC972" s="114"/>
      <c r="BD972" s="114"/>
      <c r="BE972" s="114"/>
      <c r="BF972" s="114"/>
      <c r="BG972" s="114"/>
      <c r="BH972" s="114"/>
      <c r="BI972" s="114"/>
      <c r="BJ972" s="114"/>
      <c r="BK972" s="114"/>
      <c r="BL972" s="114"/>
      <c r="BM972" s="114"/>
      <c r="BN972" s="114"/>
      <c r="BO972" s="114"/>
      <c r="BP972" s="114"/>
      <c r="BQ972" s="114"/>
      <c r="BR972" s="114"/>
      <c r="BS972" s="114"/>
    </row>
    <row r="973" spans="1:71" s="140" customFormat="1" ht="34.5" customHeight="1">
      <c r="A973" s="317" t="s">
        <v>730</v>
      </c>
      <c r="B973" s="321" t="s">
        <v>724</v>
      </c>
      <c r="C973" s="1057">
        <f>CEILING((C972+20*$Z$1),0.1)</f>
        <v>93.80000000000001</v>
      </c>
      <c r="D973" s="1058"/>
      <c r="E973" s="1057">
        <f>CEILING((E972+20*$Z$1),0.1)</f>
        <v>93.80000000000001</v>
      </c>
      <c r="F973" s="1058"/>
      <c r="G973" s="1057">
        <f>CEILING((G972+20*$Z$1),0.1)</f>
        <v>93.80000000000001</v>
      </c>
      <c r="H973" s="1058"/>
      <c r="I973" s="1061"/>
      <c r="J973" s="1061"/>
      <c r="K973" s="1061"/>
      <c r="L973" s="1061"/>
      <c r="M973" s="124"/>
      <c r="N973" s="103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  <c r="Z973" s="114"/>
      <c r="AA973" s="114"/>
      <c r="AB973" s="114"/>
      <c r="AC973" s="114"/>
      <c r="AD973" s="114"/>
      <c r="AE973" s="114"/>
      <c r="AF973" s="114"/>
      <c r="AG973" s="114"/>
      <c r="AH973" s="114"/>
      <c r="AI973" s="114"/>
      <c r="AJ973" s="114"/>
      <c r="AK973" s="114"/>
      <c r="AL973" s="114"/>
      <c r="AM973" s="114"/>
      <c r="AN973" s="114"/>
      <c r="AO973" s="114"/>
      <c r="AP973" s="114"/>
      <c r="AQ973" s="114"/>
      <c r="AR973" s="114"/>
      <c r="AS973" s="114"/>
      <c r="AT973" s="114"/>
      <c r="AU973" s="114"/>
      <c r="AV973" s="114"/>
      <c r="AW973" s="114"/>
      <c r="AX973" s="114"/>
      <c r="AY973" s="114"/>
      <c r="AZ973" s="114"/>
      <c r="BA973" s="114"/>
      <c r="BB973" s="114"/>
      <c r="BC973" s="114"/>
      <c r="BD973" s="114"/>
      <c r="BE973" s="114"/>
      <c r="BF973" s="114"/>
      <c r="BG973" s="114"/>
      <c r="BH973" s="114"/>
      <c r="BI973" s="114"/>
      <c r="BJ973" s="114"/>
      <c r="BK973" s="114"/>
      <c r="BL973" s="114"/>
      <c r="BM973" s="114"/>
      <c r="BN973" s="114"/>
      <c r="BO973" s="114"/>
      <c r="BP973" s="114"/>
      <c r="BQ973" s="114"/>
      <c r="BR973" s="114"/>
      <c r="BS973" s="114"/>
    </row>
    <row r="974" spans="1:71" s="140" customFormat="1" ht="34.5" customHeight="1">
      <c r="A974" s="238"/>
      <c r="B974" s="241" t="s">
        <v>38</v>
      </c>
      <c r="C974" s="1057">
        <f>CEILING((C972*0.85),0.1)</f>
        <v>58.5</v>
      </c>
      <c r="D974" s="1058"/>
      <c r="E974" s="1057">
        <f>CEILING((E972*0.85),0.1)</f>
        <v>58.5</v>
      </c>
      <c r="F974" s="1058"/>
      <c r="G974" s="1057">
        <f>CEILING((G972*0.85),0.1)</f>
        <v>58.5</v>
      </c>
      <c r="H974" s="1058"/>
      <c r="I974" s="1061"/>
      <c r="J974" s="1061"/>
      <c r="K974" s="1061"/>
      <c r="L974" s="1061"/>
      <c r="M974" s="124"/>
      <c r="N974" s="103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  <c r="Y974" s="114"/>
      <c r="Z974" s="114"/>
      <c r="AA974" s="114"/>
      <c r="AB974" s="114"/>
      <c r="AC974" s="114"/>
      <c r="AD974" s="114"/>
      <c r="AE974" s="114"/>
      <c r="AF974" s="114"/>
      <c r="AG974" s="114"/>
      <c r="AH974" s="114"/>
      <c r="AI974" s="114"/>
      <c r="AJ974" s="114"/>
      <c r="AK974" s="114"/>
      <c r="AL974" s="114"/>
      <c r="AM974" s="114"/>
      <c r="AN974" s="114"/>
      <c r="AO974" s="114"/>
      <c r="AP974" s="114"/>
      <c r="AQ974" s="114"/>
      <c r="AR974" s="114"/>
      <c r="AS974" s="114"/>
      <c r="AT974" s="114"/>
      <c r="AU974" s="114"/>
      <c r="AV974" s="114"/>
      <c r="AW974" s="114"/>
      <c r="AX974" s="114"/>
      <c r="AY974" s="114"/>
      <c r="AZ974" s="114"/>
      <c r="BA974" s="114"/>
      <c r="BB974" s="114"/>
      <c r="BC974" s="114"/>
      <c r="BD974" s="114"/>
      <c r="BE974" s="114"/>
      <c r="BF974" s="114"/>
      <c r="BG974" s="114"/>
      <c r="BH974" s="114"/>
      <c r="BI974" s="114"/>
      <c r="BJ974" s="114"/>
      <c r="BK974" s="114"/>
      <c r="BL974" s="114"/>
      <c r="BM974" s="114"/>
      <c r="BN974" s="114"/>
      <c r="BO974" s="114"/>
      <c r="BP974" s="114"/>
      <c r="BQ974" s="114"/>
      <c r="BR974" s="114"/>
      <c r="BS974" s="114"/>
    </row>
    <row r="975" spans="1:71" s="140" customFormat="1" ht="34.5" customHeight="1">
      <c r="A975" s="238"/>
      <c r="B975" s="241" t="s">
        <v>725</v>
      </c>
      <c r="C975" s="1057">
        <f>CEILING((C972*0.5),0.1)</f>
        <v>34.4</v>
      </c>
      <c r="D975" s="1058"/>
      <c r="E975" s="1057">
        <f>CEILING((E972*0.5),0.1)</f>
        <v>34.4</v>
      </c>
      <c r="F975" s="1058"/>
      <c r="G975" s="1057">
        <f>CEILING((G972*0.5),0.1)</f>
        <v>34.4</v>
      </c>
      <c r="H975" s="1058"/>
      <c r="I975" s="1061"/>
      <c r="J975" s="1061"/>
      <c r="K975" s="1061"/>
      <c r="L975" s="1061"/>
      <c r="M975" s="124"/>
      <c r="N975" s="103"/>
      <c r="O975" s="114"/>
      <c r="P975" s="114"/>
      <c r="Q975" s="114"/>
      <c r="R975" s="114"/>
      <c r="S975" s="114"/>
      <c r="T975" s="114"/>
      <c r="U975" s="114"/>
      <c r="V975" s="114"/>
      <c r="W975" s="114"/>
      <c r="X975" s="114"/>
      <c r="Y975" s="114"/>
      <c r="Z975" s="114"/>
      <c r="AA975" s="114"/>
      <c r="AB975" s="114"/>
      <c r="AC975" s="114"/>
      <c r="AD975" s="114"/>
      <c r="AE975" s="114"/>
      <c r="AF975" s="114"/>
      <c r="AG975" s="114"/>
      <c r="AH975" s="114"/>
      <c r="AI975" s="114"/>
      <c r="AJ975" s="114"/>
      <c r="AK975" s="114"/>
      <c r="AL975" s="114"/>
      <c r="AM975" s="114"/>
      <c r="AN975" s="114"/>
      <c r="AO975" s="114"/>
      <c r="AP975" s="114"/>
      <c r="AQ975" s="114"/>
      <c r="AR975" s="114"/>
      <c r="AS975" s="114"/>
      <c r="AT975" s="114"/>
      <c r="AU975" s="114"/>
      <c r="AV975" s="114"/>
      <c r="AW975" s="114"/>
      <c r="AX975" s="114"/>
      <c r="AY975" s="114"/>
      <c r="AZ975" s="114"/>
      <c r="BA975" s="114"/>
      <c r="BB975" s="114"/>
      <c r="BC975" s="114"/>
      <c r="BD975" s="114"/>
      <c r="BE975" s="114"/>
      <c r="BF975" s="114"/>
      <c r="BG975" s="114"/>
      <c r="BH975" s="114"/>
      <c r="BI975" s="114"/>
      <c r="BJ975" s="114"/>
      <c r="BK975" s="114"/>
      <c r="BL975" s="114"/>
      <c r="BM975" s="114"/>
      <c r="BN975" s="114"/>
      <c r="BO975" s="114"/>
      <c r="BP975" s="114"/>
      <c r="BQ975" s="114"/>
      <c r="BR975" s="114"/>
      <c r="BS975" s="114"/>
    </row>
    <row r="976" spans="1:71" s="140" customFormat="1" ht="34.5" customHeight="1">
      <c r="A976" s="634"/>
      <c r="B976" s="241" t="s">
        <v>726</v>
      </c>
      <c r="C976" s="1057">
        <f>CEILING(65*$Z$1,0.1)</f>
        <v>81.30000000000001</v>
      </c>
      <c r="D976" s="1058"/>
      <c r="E976" s="1057">
        <f>CEILING(65*$Z$1,0.1)</f>
        <v>81.30000000000001</v>
      </c>
      <c r="F976" s="1058"/>
      <c r="G976" s="1057">
        <f>CEILING(65*$Z$1,0.1)</f>
        <v>81.30000000000001</v>
      </c>
      <c r="H976" s="1058"/>
      <c r="I976" s="1061"/>
      <c r="J976" s="1061"/>
      <c r="K976" s="1061"/>
      <c r="L976" s="1061"/>
      <c r="M976" s="124"/>
      <c r="N976" s="103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  <c r="Z976" s="114"/>
      <c r="AA976" s="114"/>
      <c r="AB976" s="114"/>
      <c r="AC976" s="114"/>
      <c r="AD976" s="114"/>
      <c r="AE976" s="114"/>
      <c r="AF976" s="114"/>
      <c r="AG976" s="114"/>
      <c r="AH976" s="114"/>
      <c r="AI976" s="114"/>
      <c r="AJ976" s="114"/>
      <c r="AK976" s="114"/>
      <c r="AL976" s="114"/>
      <c r="AM976" s="114"/>
      <c r="AN976" s="114"/>
      <c r="AO976" s="114"/>
      <c r="AP976" s="114"/>
      <c r="AQ976" s="114"/>
      <c r="AR976" s="114"/>
      <c r="AS976" s="114"/>
      <c r="AT976" s="114"/>
      <c r="AU976" s="114"/>
      <c r="AV976" s="114"/>
      <c r="AW976" s="114"/>
      <c r="AX976" s="114"/>
      <c r="AY976" s="114"/>
      <c r="AZ976" s="114"/>
      <c r="BA976" s="114"/>
      <c r="BB976" s="114"/>
      <c r="BC976" s="114"/>
      <c r="BD976" s="114"/>
      <c r="BE976" s="114"/>
      <c r="BF976" s="114"/>
      <c r="BG976" s="114"/>
      <c r="BH976" s="114"/>
      <c r="BI976" s="114"/>
      <c r="BJ976" s="114"/>
      <c r="BK976" s="114"/>
      <c r="BL976" s="114"/>
      <c r="BM976" s="114"/>
      <c r="BN976" s="114"/>
      <c r="BO976" s="114"/>
      <c r="BP976" s="114"/>
      <c r="BQ976" s="114"/>
      <c r="BR976" s="114"/>
      <c r="BS976" s="114"/>
    </row>
    <row r="977" spans="1:71" s="140" customFormat="1" ht="34.5" customHeight="1">
      <c r="A977" s="238"/>
      <c r="B977" s="238" t="s">
        <v>727</v>
      </c>
      <c r="C977" s="1057">
        <f>CEILING((C976+20*$Z$1),0.1)</f>
        <v>106.30000000000001</v>
      </c>
      <c r="D977" s="1058"/>
      <c r="E977" s="1057">
        <f>CEILING((E976+20*$Z$1),0.1)</f>
        <v>106.30000000000001</v>
      </c>
      <c r="F977" s="1058"/>
      <c r="G977" s="1057">
        <f>CEILING((G976+20*$Z$1),0.1)</f>
        <v>106.30000000000001</v>
      </c>
      <c r="H977" s="1058"/>
      <c r="I977" s="1061"/>
      <c r="J977" s="1061"/>
      <c r="K977" s="1061"/>
      <c r="L977" s="1061"/>
      <c r="M977" s="124"/>
      <c r="N977" s="103"/>
      <c r="O977" s="114"/>
      <c r="P977" s="114"/>
      <c r="Q977" s="114"/>
      <c r="R977" s="114"/>
      <c r="S977" s="114"/>
      <c r="T977" s="114"/>
      <c r="U977" s="114"/>
      <c r="V977" s="114"/>
      <c r="W977" s="114"/>
      <c r="X977" s="114"/>
      <c r="Y977" s="114"/>
      <c r="Z977" s="114"/>
      <c r="AA977" s="114"/>
      <c r="AB977" s="114"/>
      <c r="AC977" s="114"/>
      <c r="AD977" s="114"/>
      <c r="AE977" s="114"/>
      <c r="AF977" s="114"/>
      <c r="AG977" s="114"/>
      <c r="AH977" s="114"/>
      <c r="AI977" s="114"/>
      <c r="AJ977" s="114"/>
      <c r="AK977" s="114"/>
      <c r="AL977" s="114"/>
      <c r="AM977" s="114"/>
      <c r="AN977" s="114"/>
      <c r="AO977" s="114"/>
      <c r="AP977" s="114"/>
      <c r="AQ977" s="114"/>
      <c r="AR977" s="114"/>
      <c r="AS977" s="114"/>
      <c r="AT977" s="114"/>
      <c r="AU977" s="114"/>
      <c r="AV977" s="114"/>
      <c r="AW977" s="114"/>
      <c r="AX977" s="114"/>
      <c r="AY977" s="114"/>
      <c r="AZ977" s="114"/>
      <c r="BA977" s="114"/>
      <c r="BB977" s="114"/>
      <c r="BC977" s="114"/>
      <c r="BD977" s="114"/>
      <c r="BE977" s="114"/>
      <c r="BF977" s="114"/>
      <c r="BG977" s="114"/>
      <c r="BH977" s="114"/>
      <c r="BI977" s="114"/>
      <c r="BJ977" s="114"/>
      <c r="BK977" s="114"/>
      <c r="BL977" s="114"/>
      <c r="BM977" s="114"/>
      <c r="BN977" s="114"/>
      <c r="BO977" s="114"/>
      <c r="BP977" s="114"/>
      <c r="BQ977" s="114"/>
      <c r="BR977" s="114"/>
      <c r="BS977" s="114"/>
    </row>
    <row r="978" spans="1:71" s="140" customFormat="1" ht="34.5" customHeight="1" thickBot="1">
      <c r="A978" s="569" t="s">
        <v>688</v>
      </c>
      <c r="B978" s="635" t="s">
        <v>47</v>
      </c>
      <c r="C978" s="1111">
        <f>CEILING(75*$Z$1,0.1)</f>
        <v>93.80000000000001</v>
      </c>
      <c r="D978" s="1112"/>
      <c r="E978" s="1111">
        <f>CEILING(75*$Z$1,0.1)</f>
        <v>93.80000000000001</v>
      </c>
      <c r="F978" s="1112"/>
      <c r="G978" s="1111">
        <f>CEILING(75*$Z$1,0.1)</f>
        <v>93.80000000000001</v>
      </c>
      <c r="H978" s="1112"/>
      <c r="I978" s="1061"/>
      <c r="J978" s="1061"/>
      <c r="K978" s="1061"/>
      <c r="L978" s="1061"/>
      <c r="M978" s="124"/>
      <c r="N978" s="103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  <c r="Y978" s="114"/>
      <c r="Z978" s="114"/>
      <c r="AA978" s="114"/>
      <c r="AB978" s="114"/>
      <c r="AC978" s="114"/>
      <c r="AD978" s="114"/>
      <c r="AE978" s="114"/>
      <c r="AF978" s="114"/>
      <c r="AG978" s="114"/>
      <c r="AH978" s="114"/>
      <c r="AI978" s="114"/>
      <c r="AJ978" s="114"/>
      <c r="AK978" s="114"/>
      <c r="AL978" s="114"/>
      <c r="AM978" s="114"/>
      <c r="AN978" s="114"/>
      <c r="AO978" s="114"/>
      <c r="AP978" s="114"/>
      <c r="AQ978" s="114"/>
      <c r="AR978" s="114"/>
      <c r="AS978" s="114"/>
      <c r="AT978" s="114"/>
      <c r="AU978" s="114"/>
      <c r="AV978" s="114"/>
      <c r="AW978" s="114"/>
      <c r="AX978" s="114"/>
      <c r="AY978" s="114"/>
      <c r="AZ978" s="114"/>
      <c r="BA978" s="114"/>
      <c r="BB978" s="114"/>
      <c r="BC978" s="114"/>
      <c r="BD978" s="114"/>
      <c r="BE978" s="114"/>
      <c r="BF978" s="114"/>
      <c r="BG978" s="114"/>
      <c r="BH978" s="114"/>
      <c r="BI978" s="114"/>
      <c r="BJ978" s="114"/>
      <c r="BK978" s="114"/>
      <c r="BL978" s="114"/>
      <c r="BM978" s="114"/>
      <c r="BN978" s="114"/>
      <c r="BO978" s="114"/>
      <c r="BP978" s="114"/>
      <c r="BQ978" s="114"/>
      <c r="BR978" s="114"/>
      <c r="BS978" s="114"/>
    </row>
    <row r="979" spans="1:84" s="107" customFormat="1" ht="34.5" customHeight="1" thickTop="1">
      <c r="A979" s="1075" t="s">
        <v>728</v>
      </c>
      <c r="B979" s="1075"/>
      <c r="C979" s="1075"/>
      <c r="D979" s="1075"/>
      <c r="E979" s="1075"/>
      <c r="F979" s="1075"/>
      <c r="G979" s="1075"/>
      <c r="H979" s="1075"/>
      <c r="I979" s="1075"/>
      <c r="J979" s="1075"/>
      <c r="K979" s="138"/>
      <c r="L979" s="138"/>
      <c r="M979" s="124"/>
      <c r="N979" s="124"/>
      <c r="O979" s="158"/>
      <c r="P979" s="158"/>
      <c r="Q979" s="158"/>
      <c r="R979" s="158"/>
      <c r="S979" s="158"/>
      <c r="T979" s="158"/>
      <c r="U979" s="158"/>
      <c r="V979" s="158"/>
      <c r="W979" s="158"/>
      <c r="X979" s="158"/>
      <c r="Y979" s="158"/>
      <c r="Z979" s="158"/>
      <c r="AA979" s="158"/>
      <c r="AB979" s="158"/>
      <c r="AC979" s="158"/>
      <c r="AD979" s="158"/>
      <c r="AE979" s="158"/>
      <c r="AF979" s="158"/>
      <c r="AG979" s="158"/>
      <c r="AH979" s="158"/>
      <c r="AI979" s="158"/>
      <c r="AJ979" s="158"/>
      <c r="AK979" s="158"/>
      <c r="AL979" s="158"/>
      <c r="AM979" s="158"/>
      <c r="AN979" s="158"/>
      <c r="AO979" s="158"/>
      <c r="AP979" s="158"/>
      <c r="AQ979" s="158"/>
      <c r="AR979" s="158"/>
      <c r="AS979" s="158"/>
      <c r="AT979" s="158"/>
      <c r="AU979" s="158"/>
      <c r="AV979" s="158"/>
      <c r="AW979" s="158"/>
      <c r="AX979" s="158"/>
      <c r="AY979" s="158"/>
      <c r="AZ979" s="158"/>
      <c r="BA979" s="158"/>
      <c r="BB979" s="158"/>
      <c r="BC979" s="158"/>
      <c r="BD979" s="158"/>
      <c r="BE979" s="158"/>
      <c r="BF979" s="158"/>
      <c r="BG979" s="158"/>
      <c r="BH979" s="158"/>
      <c r="BI979" s="158"/>
      <c r="BJ979" s="158"/>
      <c r="BK979" s="158"/>
      <c r="BL979" s="158"/>
      <c r="BM979" s="158"/>
      <c r="BN979" s="158"/>
      <c r="BO979" s="158"/>
      <c r="BP979" s="158"/>
      <c r="BQ979" s="158"/>
      <c r="BR979" s="158"/>
      <c r="BS979" s="158"/>
      <c r="BT979" s="158"/>
      <c r="BU979" s="158"/>
      <c r="BV979" s="158"/>
      <c r="BW979" s="158"/>
      <c r="BX979" s="158"/>
      <c r="BY979" s="158"/>
      <c r="BZ979" s="158"/>
      <c r="CA979" s="158"/>
      <c r="CB979" s="158"/>
      <c r="CC979" s="158"/>
      <c r="CD979" s="158"/>
      <c r="CE979" s="158"/>
      <c r="CF979" s="158"/>
    </row>
    <row r="980" spans="1:56" s="371" customFormat="1" ht="34.5" customHeight="1">
      <c r="A980" s="163" t="s">
        <v>965</v>
      </c>
      <c r="B980" s="191"/>
      <c r="C980" s="173"/>
      <c r="D980" s="173"/>
      <c r="E980" s="173"/>
      <c r="F980" s="173"/>
      <c r="G980" s="173"/>
      <c r="H980" s="173"/>
      <c r="I980" s="173"/>
      <c r="J980" s="173"/>
      <c r="K980" s="173"/>
      <c r="L980" s="173"/>
      <c r="M980" s="636"/>
      <c r="N980" s="636"/>
      <c r="O980" s="179"/>
      <c r="P980" s="179"/>
      <c r="Q980" s="179"/>
      <c r="R980" s="179"/>
      <c r="S980" s="179"/>
      <c r="T980" s="179"/>
      <c r="U980" s="179"/>
      <c r="V980" s="179"/>
      <c r="W980" s="179"/>
      <c r="X980" s="179"/>
      <c r="Y980" s="179"/>
      <c r="Z980" s="179"/>
      <c r="AA980" s="179"/>
      <c r="AB980" s="179"/>
      <c r="AC980" s="179"/>
      <c r="AD980" s="179"/>
      <c r="AE980" s="179"/>
      <c r="AF980" s="179"/>
      <c r="AG980" s="179"/>
      <c r="AH980" s="179"/>
      <c r="AI980" s="179"/>
      <c r="AJ980" s="179"/>
      <c r="AK980" s="179"/>
      <c r="AL980" s="179"/>
      <c r="AM980" s="179"/>
      <c r="AN980" s="179"/>
      <c r="AO980" s="179"/>
      <c r="AP980" s="179"/>
      <c r="AQ980" s="179"/>
      <c r="AR980" s="179"/>
      <c r="AS980" s="179"/>
      <c r="AT980" s="179"/>
      <c r="AU980" s="179"/>
      <c r="AV980" s="179"/>
      <c r="AW980" s="179"/>
      <c r="AX980" s="179"/>
      <c r="AY980" s="179"/>
      <c r="AZ980" s="179"/>
      <c r="BA980" s="179"/>
      <c r="BB980" s="179"/>
      <c r="BC980" s="179"/>
      <c r="BD980" s="179"/>
    </row>
    <row r="981" spans="1:25" s="107" customFormat="1" ht="34.5" customHeight="1" thickBot="1">
      <c r="A981" s="285"/>
      <c r="B981" s="255"/>
      <c r="C981" s="239"/>
      <c r="D981" s="239"/>
      <c r="E981" s="239"/>
      <c r="F981" s="239"/>
      <c r="G981" s="239"/>
      <c r="H981" s="239"/>
      <c r="I981" s="239"/>
      <c r="J981" s="239"/>
      <c r="K981" s="239"/>
      <c r="L981" s="239"/>
      <c r="M981" s="126"/>
      <c r="N981" s="126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</row>
    <row r="982" spans="1:42" s="214" customFormat="1" ht="34.5" customHeight="1" thickTop="1">
      <c r="A982" s="207" t="s">
        <v>34</v>
      </c>
      <c r="B982" s="208" t="s">
        <v>637</v>
      </c>
      <c r="C982" s="209" t="s">
        <v>921</v>
      </c>
      <c r="D982" s="210"/>
      <c r="E982" s="211" t="s">
        <v>922</v>
      </c>
      <c r="F982" s="212"/>
      <c r="G982" s="211" t="s">
        <v>923</v>
      </c>
      <c r="H982" s="212"/>
      <c r="I982" s="1070"/>
      <c r="J982" s="1071"/>
      <c r="K982" s="1070"/>
      <c r="L982" s="1070"/>
      <c r="M982" s="174"/>
      <c r="N982" s="174"/>
      <c r="O982" s="213"/>
      <c r="P982" s="213"/>
      <c r="Q982" s="213"/>
      <c r="R982" s="213"/>
      <c r="S982" s="213"/>
      <c r="T982" s="213"/>
      <c r="U982" s="213"/>
      <c r="V982" s="213"/>
      <c r="W982" s="213"/>
      <c r="X982" s="213"/>
      <c r="Y982" s="213"/>
      <c r="Z982" s="213"/>
      <c r="AA982" s="213"/>
      <c r="AB982" s="213"/>
      <c r="AC982" s="213"/>
      <c r="AD982" s="213"/>
      <c r="AE982" s="213"/>
      <c r="AF982" s="213"/>
      <c r="AG982" s="213"/>
      <c r="AH982" s="213"/>
      <c r="AI982" s="213"/>
      <c r="AJ982" s="213"/>
      <c r="AK982" s="213"/>
      <c r="AL982" s="213"/>
      <c r="AM982" s="213"/>
      <c r="AN982" s="213"/>
      <c r="AO982" s="213"/>
      <c r="AP982" s="213"/>
    </row>
    <row r="983" spans="1:25" s="107" customFormat="1" ht="34.5" customHeight="1">
      <c r="A983" s="300" t="s">
        <v>731</v>
      </c>
      <c r="B983" s="264" t="s">
        <v>723</v>
      </c>
      <c r="C983" s="1073">
        <f>CEILING(56*$Z$1,0.1)</f>
        <v>70</v>
      </c>
      <c r="D983" s="1074"/>
      <c r="E983" s="1073">
        <f>CEILING(56*$Z$1,0.1)</f>
        <v>70</v>
      </c>
      <c r="F983" s="1074"/>
      <c r="G983" s="1073">
        <f>CEILING(56*$Z$1,0.1)</f>
        <v>70</v>
      </c>
      <c r="H983" s="1074"/>
      <c r="I983" s="1061"/>
      <c r="J983" s="1061"/>
      <c r="K983" s="1061"/>
      <c r="L983" s="1061"/>
      <c r="M983" s="126"/>
      <c r="N983" s="126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</row>
    <row r="984" spans="1:25" s="107" customFormat="1" ht="34.5" customHeight="1">
      <c r="A984" s="317" t="s">
        <v>730</v>
      </c>
      <c r="B984" s="321" t="s">
        <v>724</v>
      </c>
      <c r="C984" s="1057">
        <f>CEILING((C983+29*$Z$1),0.1)</f>
        <v>106.30000000000001</v>
      </c>
      <c r="D984" s="1058"/>
      <c r="E984" s="1057">
        <f>CEILING((E983+29*$Z$1),0.1)</f>
        <v>106.30000000000001</v>
      </c>
      <c r="F984" s="1058"/>
      <c r="G984" s="1057">
        <f>CEILING((G983+29*$Z$1),0.1)</f>
        <v>106.30000000000001</v>
      </c>
      <c r="H984" s="1058"/>
      <c r="I984" s="1061"/>
      <c r="J984" s="1061"/>
      <c r="K984" s="1061"/>
      <c r="L984" s="1061"/>
      <c r="M984" s="126"/>
      <c r="N984" s="126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</row>
    <row r="985" spans="1:25" s="107" customFormat="1" ht="34.5" customHeight="1">
      <c r="A985" s="238"/>
      <c r="B985" s="241" t="s">
        <v>38</v>
      </c>
      <c r="C985" s="1057">
        <f>CEILING((C983*0.85),0.1)</f>
        <v>59.5</v>
      </c>
      <c r="D985" s="1058"/>
      <c r="E985" s="1057">
        <f>CEILING((E983*0.85),0.1)</f>
        <v>59.5</v>
      </c>
      <c r="F985" s="1058"/>
      <c r="G985" s="1057">
        <f>CEILING((G983*0.85),0.1)</f>
        <v>59.5</v>
      </c>
      <c r="H985" s="1058"/>
      <c r="I985" s="1061"/>
      <c r="J985" s="1061"/>
      <c r="K985" s="1061"/>
      <c r="L985" s="1061"/>
      <c r="M985" s="126"/>
      <c r="N985" s="126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</row>
    <row r="986" spans="1:25" s="107" customFormat="1" ht="34.5" customHeight="1">
      <c r="A986" s="238"/>
      <c r="B986" s="241" t="s">
        <v>725</v>
      </c>
      <c r="C986" s="1057">
        <f>CEILING((C983*0.5),0.1)</f>
        <v>35</v>
      </c>
      <c r="D986" s="1058"/>
      <c r="E986" s="1057">
        <f>CEILING((E983*0.5),0.1)</f>
        <v>35</v>
      </c>
      <c r="F986" s="1058"/>
      <c r="G986" s="1057">
        <f>CEILING((G983*0.5),0.1)</f>
        <v>35</v>
      </c>
      <c r="H986" s="1058"/>
      <c r="I986" s="1061"/>
      <c r="J986" s="1061"/>
      <c r="K986" s="1061"/>
      <c r="L986" s="1061"/>
      <c r="M986" s="126"/>
      <c r="N986" s="126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</row>
    <row r="987" spans="1:25" s="107" customFormat="1" ht="34.5" customHeight="1">
      <c r="A987" s="634"/>
      <c r="B987" s="241" t="s">
        <v>726</v>
      </c>
      <c r="C987" s="1057">
        <f>CEILING(75*$Z$1,0.1)</f>
        <v>93.80000000000001</v>
      </c>
      <c r="D987" s="1058"/>
      <c r="E987" s="1057">
        <f>CEILING(75*$Z$1,0.1)</f>
        <v>93.80000000000001</v>
      </c>
      <c r="F987" s="1058"/>
      <c r="G987" s="1057">
        <f>CEILING(75*$Z$1,0.1)</f>
        <v>93.80000000000001</v>
      </c>
      <c r="H987" s="1058"/>
      <c r="I987" s="1061"/>
      <c r="J987" s="1061"/>
      <c r="K987" s="1061"/>
      <c r="L987" s="1061"/>
      <c r="M987" s="126"/>
      <c r="N987" s="126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</row>
    <row r="988" spans="1:25" s="107" customFormat="1" ht="34.5" customHeight="1">
      <c r="A988" s="238"/>
      <c r="B988" s="238" t="s">
        <v>727</v>
      </c>
      <c r="C988" s="1057">
        <f>CEILING((C987+20*$Z$1),0.1)</f>
        <v>118.80000000000001</v>
      </c>
      <c r="D988" s="1058"/>
      <c r="E988" s="1057">
        <f>CEILING((E987+20*$Z$1),0.1)</f>
        <v>118.80000000000001</v>
      </c>
      <c r="F988" s="1058"/>
      <c r="G988" s="1057">
        <f>CEILING((G987+20*$Z$1),0.1)</f>
        <v>118.80000000000001</v>
      </c>
      <c r="H988" s="1058"/>
      <c r="I988" s="1061"/>
      <c r="J988" s="1061"/>
      <c r="K988" s="1061"/>
      <c r="L988" s="1061"/>
      <c r="M988" s="126"/>
      <c r="N988" s="126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</row>
    <row r="989" spans="1:25" s="107" customFormat="1" ht="34.5" customHeight="1" thickBot="1">
      <c r="A989" s="569" t="s">
        <v>688</v>
      </c>
      <c r="B989" s="635" t="s">
        <v>47</v>
      </c>
      <c r="C989" s="1111">
        <f>CEILING(85*$Z$1,0.1)</f>
        <v>106.30000000000001</v>
      </c>
      <c r="D989" s="1112"/>
      <c r="E989" s="1111">
        <f>CEILING(85*$Z$1,0.1)</f>
        <v>106.30000000000001</v>
      </c>
      <c r="F989" s="1112"/>
      <c r="G989" s="1111">
        <f>CEILING(85*$Z$1,0.1)</f>
        <v>106.30000000000001</v>
      </c>
      <c r="H989" s="1112"/>
      <c r="I989" s="1061"/>
      <c r="J989" s="1061"/>
      <c r="K989" s="1061"/>
      <c r="L989" s="1061"/>
      <c r="M989" s="126"/>
      <c r="N989" s="126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</row>
    <row r="990" spans="1:56" s="371" customFormat="1" ht="34.5" customHeight="1" thickTop="1">
      <c r="A990" s="163" t="s">
        <v>869</v>
      </c>
      <c r="B990" s="191"/>
      <c r="C990" s="173"/>
      <c r="D990" s="173"/>
      <c r="E990" s="173"/>
      <c r="F990" s="173"/>
      <c r="G990" s="173"/>
      <c r="H990" s="173"/>
      <c r="I990" s="173"/>
      <c r="J990" s="173"/>
      <c r="K990" s="173"/>
      <c r="L990" s="173"/>
      <c r="M990" s="636"/>
      <c r="N990" s="636"/>
      <c r="O990" s="179"/>
      <c r="P990" s="179"/>
      <c r="Q990" s="179"/>
      <c r="R990" s="179"/>
      <c r="S990" s="179"/>
      <c r="T990" s="179"/>
      <c r="U990" s="179"/>
      <c r="V990" s="179"/>
      <c r="W990" s="179"/>
      <c r="X990" s="179"/>
      <c r="Y990" s="179"/>
      <c r="Z990" s="179"/>
      <c r="AA990" s="179"/>
      <c r="AB990" s="179"/>
      <c r="AC990" s="179"/>
      <c r="AD990" s="179"/>
      <c r="AE990" s="179"/>
      <c r="AF990" s="179"/>
      <c r="AG990" s="179"/>
      <c r="AH990" s="179"/>
      <c r="AI990" s="179"/>
      <c r="AJ990" s="179"/>
      <c r="AK990" s="179"/>
      <c r="AL990" s="179"/>
      <c r="AM990" s="179"/>
      <c r="AN990" s="179"/>
      <c r="AO990" s="179"/>
      <c r="AP990" s="179"/>
      <c r="AQ990" s="179"/>
      <c r="AR990" s="179"/>
      <c r="AS990" s="179"/>
      <c r="AT990" s="179"/>
      <c r="AU990" s="179"/>
      <c r="AV990" s="179"/>
      <c r="AW990" s="179"/>
      <c r="AX990" s="179"/>
      <c r="AY990" s="179"/>
      <c r="AZ990" s="179"/>
      <c r="BA990" s="179"/>
      <c r="BB990" s="179"/>
      <c r="BC990" s="179"/>
      <c r="BD990" s="179"/>
    </row>
    <row r="991" spans="1:14" s="9" customFormat="1" ht="34.5" customHeight="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35"/>
      <c r="N991" s="35"/>
    </row>
    <row r="992" spans="1:25" s="107" customFormat="1" ht="34.5" customHeight="1">
      <c r="A992" s="1236" t="s">
        <v>966</v>
      </c>
      <c r="B992" s="1236"/>
      <c r="C992" s="1236"/>
      <c r="D992" s="1236"/>
      <c r="E992" s="1236"/>
      <c r="F992" s="1236"/>
      <c r="G992" s="1236"/>
      <c r="H992" s="1236"/>
      <c r="I992" s="126"/>
      <c r="J992" s="126"/>
      <c r="K992" s="126"/>
      <c r="L992" s="126"/>
      <c r="M992" s="124"/>
      <c r="N992" s="103"/>
      <c r="O992" s="11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</row>
    <row r="993" spans="1:25" s="107" customFormat="1" ht="34.5" customHeight="1">
      <c r="A993" s="1120" t="s">
        <v>967</v>
      </c>
      <c r="B993" s="1120"/>
      <c r="C993" s="1120"/>
      <c r="D993" s="1120"/>
      <c r="E993" s="1120"/>
      <c r="F993" s="1120"/>
      <c r="G993" s="1120"/>
      <c r="H993" s="1120"/>
      <c r="I993" s="126"/>
      <c r="J993" s="126"/>
      <c r="K993" s="126"/>
      <c r="L993" s="126"/>
      <c r="M993" s="127"/>
      <c r="N993" s="127"/>
      <c r="O993" s="11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</row>
    <row r="994" spans="1:25" s="107" customFormat="1" ht="34.5" customHeight="1">
      <c r="A994" s="1120" t="s">
        <v>968</v>
      </c>
      <c r="B994" s="1120"/>
      <c r="C994" s="1120"/>
      <c r="D994" s="1120"/>
      <c r="E994" s="1120"/>
      <c r="F994" s="1120"/>
      <c r="G994" s="1120"/>
      <c r="H994" s="1120"/>
      <c r="I994" s="126"/>
      <c r="J994" s="126"/>
      <c r="K994" s="126"/>
      <c r="L994" s="126"/>
      <c r="M994" s="124"/>
      <c r="N994" s="103"/>
      <c r="O994" s="11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</row>
    <row r="995" spans="1:25" s="34" customFormat="1" ht="34.5" customHeight="1">
      <c r="A995" s="58"/>
      <c r="B995" s="42"/>
      <c r="C995" s="121"/>
      <c r="D995" s="121"/>
      <c r="E995" s="121"/>
      <c r="F995" s="121"/>
      <c r="G995" s="121"/>
      <c r="H995" s="121"/>
      <c r="I995" s="121"/>
      <c r="J995" s="121"/>
      <c r="K995" s="121"/>
      <c r="L995" s="121"/>
      <c r="M995" s="35"/>
      <c r="N995" s="40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</row>
    <row r="996" spans="1:25" s="34" customFormat="1" ht="34.5" customHeight="1">
      <c r="A996" s="1118" t="s">
        <v>572</v>
      </c>
      <c r="B996" s="1119"/>
      <c r="C996" s="1119"/>
      <c r="D996" s="1119"/>
      <c r="E996" s="1119"/>
      <c r="F996" s="1119"/>
      <c r="G996" s="1119"/>
      <c r="H996" s="1119"/>
      <c r="I996" s="1119"/>
      <c r="J996" s="1119"/>
      <c r="K996" s="37"/>
      <c r="L996" s="37"/>
      <c r="M996" s="35"/>
      <c r="N996" s="40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</row>
    <row r="997" spans="1:25" s="34" customFormat="1" ht="34.5" customHeight="1">
      <c r="A997" s="1119"/>
      <c r="B997" s="1119"/>
      <c r="C997" s="1119"/>
      <c r="D997" s="1119"/>
      <c r="E997" s="1119"/>
      <c r="F997" s="1119"/>
      <c r="G997" s="1119"/>
      <c r="H997" s="1119"/>
      <c r="I997" s="1119"/>
      <c r="J997" s="1119"/>
      <c r="K997" s="37"/>
      <c r="L997" s="37"/>
      <c r="M997" s="35"/>
      <c r="N997" s="40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</row>
    <row r="998" spans="1:42" s="214" customFormat="1" ht="34.5" customHeight="1">
      <c r="A998" s="637" t="s">
        <v>34</v>
      </c>
      <c r="B998" s="638" t="s">
        <v>637</v>
      </c>
      <c r="C998" s="639" t="s">
        <v>921</v>
      </c>
      <c r="D998" s="640"/>
      <c r="E998" s="641" t="s">
        <v>922</v>
      </c>
      <c r="F998" s="642"/>
      <c r="G998" s="641" t="s">
        <v>923</v>
      </c>
      <c r="H998" s="642"/>
      <c r="I998" s="1070"/>
      <c r="J998" s="1071"/>
      <c r="K998" s="1070"/>
      <c r="L998" s="1070"/>
      <c r="M998" s="174"/>
      <c r="N998" s="174"/>
      <c r="O998" s="213"/>
      <c r="P998" s="213"/>
      <c r="Q998" s="213"/>
      <c r="R998" s="213"/>
      <c r="S998" s="213"/>
      <c r="T998" s="213"/>
      <c r="U998" s="213"/>
      <c r="V998" s="213"/>
      <c r="W998" s="213"/>
      <c r="X998" s="213"/>
      <c r="Y998" s="213"/>
      <c r="Z998" s="213"/>
      <c r="AA998" s="213"/>
      <c r="AB998" s="213"/>
      <c r="AC998" s="213"/>
      <c r="AD998" s="213"/>
      <c r="AE998" s="213"/>
      <c r="AF998" s="213"/>
      <c r="AG998" s="213"/>
      <c r="AH998" s="213"/>
      <c r="AI998" s="213"/>
      <c r="AJ998" s="213"/>
      <c r="AK998" s="213"/>
      <c r="AL998" s="213"/>
      <c r="AM998" s="213"/>
      <c r="AN998" s="213"/>
      <c r="AO998" s="213"/>
      <c r="AP998" s="213"/>
    </row>
    <row r="999" spans="1:25" s="140" customFormat="1" ht="34.5" customHeight="1">
      <c r="A999" s="974" t="s">
        <v>1065</v>
      </c>
      <c r="B999" s="294" t="s">
        <v>574</v>
      </c>
      <c r="C999" s="1063">
        <f>CEILING(75*$Z$1,0.1)</f>
        <v>93.80000000000001</v>
      </c>
      <c r="D999" s="1064"/>
      <c r="E999" s="1063">
        <f>CEILING(75*$Z$1,0.1)</f>
        <v>93.80000000000001</v>
      </c>
      <c r="F999" s="1064"/>
      <c r="G999" s="1063">
        <f>CEILING(75*$Z$1,0.1)</f>
        <v>93.80000000000001</v>
      </c>
      <c r="H999" s="1064"/>
      <c r="I999" s="1061"/>
      <c r="J999" s="1061"/>
      <c r="K999" s="1061"/>
      <c r="L999" s="1061"/>
      <c r="M999" s="124"/>
      <c r="N999" s="103"/>
      <c r="O999" s="115"/>
      <c r="P999" s="115"/>
      <c r="Q999" s="115"/>
      <c r="R999" s="115"/>
      <c r="S999" s="115"/>
      <c r="T999" s="115"/>
      <c r="U999" s="115"/>
      <c r="V999" s="115"/>
      <c r="W999" s="115"/>
      <c r="X999" s="115"/>
      <c r="Y999" s="115"/>
    </row>
    <row r="1000" spans="1:25" s="140" customFormat="1" ht="34.5" customHeight="1">
      <c r="A1000" s="295" t="s">
        <v>573</v>
      </c>
      <c r="B1000" s="296" t="s">
        <v>575</v>
      </c>
      <c r="C1000" s="1065">
        <f>CEILING((C999+38*$Z$1),0.1)</f>
        <v>141.3</v>
      </c>
      <c r="D1000" s="1066"/>
      <c r="E1000" s="1065">
        <f>CEILING((E999+38*$Z$1),0.1)</f>
        <v>141.3</v>
      </c>
      <c r="F1000" s="1066"/>
      <c r="G1000" s="1065">
        <f>CEILING((G999+38*$Z$1),0.1)</f>
        <v>141.3</v>
      </c>
      <c r="H1000" s="1066"/>
      <c r="I1000" s="1061"/>
      <c r="J1000" s="1061"/>
      <c r="K1000" s="1061"/>
      <c r="L1000" s="1061"/>
      <c r="M1000" s="124"/>
      <c r="N1000" s="103"/>
      <c r="O1000" s="115"/>
      <c r="P1000" s="115"/>
      <c r="Q1000" s="115"/>
      <c r="R1000" s="115"/>
      <c r="S1000" s="115"/>
      <c r="T1000" s="115"/>
      <c r="U1000" s="115"/>
      <c r="V1000" s="115"/>
      <c r="W1000" s="115"/>
      <c r="X1000" s="115"/>
      <c r="Y1000" s="115"/>
    </row>
    <row r="1001" spans="1:25" s="140" customFormat="1" ht="34.5" customHeight="1">
      <c r="A1001" s="295" t="s">
        <v>36</v>
      </c>
      <c r="B1001" s="289"/>
      <c r="C1001" s="967"/>
      <c r="D1001" s="973"/>
      <c r="E1001" s="967"/>
      <c r="F1001" s="973"/>
      <c r="G1001" s="967"/>
      <c r="H1001" s="973"/>
      <c r="I1001" s="643"/>
      <c r="J1001" s="643"/>
      <c r="K1001" s="643"/>
      <c r="L1001" s="643"/>
      <c r="M1001" s="124"/>
      <c r="N1001" s="103"/>
      <c r="O1001" s="115"/>
      <c r="P1001" s="115"/>
      <c r="Q1001" s="115"/>
      <c r="R1001" s="115"/>
      <c r="S1001" s="115"/>
      <c r="T1001" s="115"/>
      <c r="U1001" s="115"/>
      <c r="V1001" s="115"/>
      <c r="W1001" s="115"/>
      <c r="X1001" s="115"/>
      <c r="Y1001" s="115"/>
    </row>
    <row r="1002" spans="1:25" s="140" customFormat="1" ht="34.5" customHeight="1">
      <c r="A1002" s="644" t="s">
        <v>577</v>
      </c>
      <c r="B1002" s="535" t="s">
        <v>576</v>
      </c>
      <c r="C1002" s="1065">
        <f>CEILING(79*$Z$1,0.1)</f>
        <v>98.80000000000001</v>
      </c>
      <c r="D1002" s="1066"/>
      <c r="E1002" s="1065">
        <f>CEILING(79*$Z$1,0.1)</f>
        <v>98.80000000000001</v>
      </c>
      <c r="F1002" s="1066"/>
      <c r="G1002" s="1065">
        <f>CEILING(79*$Z$1,0.1)</f>
        <v>98.80000000000001</v>
      </c>
      <c r="H1002" s="1066"/>
      <c r="I1002" s="1061"/>
      <c r="J1002" s="1061"/>
      <c r="K1002" s="1061"/>
      <c r="L1002" s="1061"/>
      <c r="M1002" s="124"/>
      <c r="N1002" s="103"/>
      <c r="O1002" s="115"/>
      <c r="P1002" s="115"/>
      <c r="Q1002" s="115"/>
      <c r="R1002" s="115"/>
      <c r="S1002" s="115"/>
      <c r="T1002" s="115"/>
      <c r="U1002" s="115"/>
      <c r="V1002" s="115"/>
      <c r="W1002" s="115"/>
      <c r="X1002" s="115"/>
      <c r="Y1002" s="115"/>
    </row>
    <row r="1003" spans="1:25" s="647" customFormat="1" ht="34.5" customHeight="1">
      <c r="A1003" s="644" t="s">
        <v>579</v>
      </c>
      <c r="B1003" s="535" t="s">
        <v>578</v>
      </c>
      <c r="C1003" s="1065">
        <f>CEILING((C1002+39.3*$Z$1),0.1)</f>
        <v>148</v>
      </c>
      <c r="D1003" s="1066"/>
      <c r="E1003" s="1065">
        <f>CEILING((E1002+39.3*$Z$1),0.1)</f>
        <v>148</v>
      </c>
      <c r="F1003" s="1066"/>
      <c r="G1003" s="1065">
        <f>CEILING((G1002+39.3*$Z$1),0.1)</f>
        <v>148</v>
      </c>
      <c r="H1003" s="1066"/>
      <c r="I1003" s="1061"/>
      <c r="J1003" s="1061"/>
      <c r="K1003" s="1061"/>
      <c r="L1003" s="1061"/>
      <c r="M1003" s="314"/>
      <c r="N1003" s="645"/>
      <c r="O1003" s="646"/>
      <c r="P1003" s="646"/>
      <c r="Q1003" s="646"/>
      <c r="R1003" s="646"/>
      <c r="S1003" s="646"/>
      <c r="T1003" s="646"/>
      <c r="U1003" s="646"/>
      <c r="V1003" s="646"/>
      <c r="W1003" s="646"/>
      <c r="X1003" s="646"/>
      <c r="Y1003" s="646"/>
    </row>
    <row r="1004" spans="1:53" s="473" customFormat="1" ht="34.5" customHeight="1">
      <c r="A1004" s="648" t="s">
        <v>470</v>
      </c>
      <c r="B1004" s="649" t="s">
        <v>969</v>
      </c>
      <c r="C1004" s="1078">
        <f>CEILING(86.2*$Z$1,0.1)</f>
        <v>107.80000000000001</v>
      </c>
      <c r="D1004" s="1079"/>
      <c r="E1004" s="1078">
        <f>CEILING(86.2*$Z$1,0.1)</f>
        <v>107.80000000000001</v>
      </c>
      <c r="F1004" s="1079"/>
      <c r="G1004" s="1078">
        <f>CEILING(86.2*$Z$1,0.1)</f>
        <v>107.80000000000001</v>
      </c>
      <c r="H1004" s="1079"/>
      <c r="I1004" s="643"/>
      <c r="J1004" s="643"/>
      <c r="K1004" s="643"/>
      <c r="L1004" s="643"/>
      <c r="M1004" s="124"/>
      <c r="N1004" s="103"/>
      <c r="O1004" s="115"/>
      <c r="P1004" s="115"/>
      <c r="Q1004" s="115"/>
      <c r="R1004" s="115"/>
      <c r="S1004" s="115"/>
      <c r="T1004" s="115"/>
      <c r="U1004" s="115"/>
      <c r="V1004" s="115"/>
      <c r="W1004" s="115"/>
      <c r="X1004" s="115"/>
      <c r="Y1004" s="115"/>
      <c r="Z1004" s="140"/>
      <c r="AA1004" s="140"/>
      <c r="AB1004" s="140"/>
      <c r="AC1004" s="140"/>
      <c r="AD1004" s="140"/>
      <c r="AE1004" s="140"/>
      <c r="AF1004" s="140"/>
      <c r="AG1004" s="140"/>
      <c r="AH1004" s="140"/>
      <c r="AI1004" s="140"/>
      <c r="AJ1004" s="140"/>
      <c r="AK1004" s="140"/>
      <c r="AL1004" s="140"/>
      <c r="AM1004" s="140"/>
      <c r="AN1004" s="140"/>
      <c r="AO1004" s="140"/>
      <c r="AP1004" s="140"/>
      <c r="AQ1004" s="140"/>
      <c r="AR1004" s="140"/>
      <c r="AS1004" s="140"/>
      <c r="AT1004" s="140"/>
      <c r="AU1004" s="140"/>
      <c r="AV1004" s="140"/>
      <c r="AW1004" s="140"/>
      <c r="AX1004" s="140"/>
      <c r="AY1004" s="140"/>
      <c r="AZ1004" s="140"/>
      <c r="BA1004" s="140"/>
    </row>
    <row r="1005" spans="1:53" s="653" customFormat="1" ht="34.5" customHeight="1">
      <c r="A1005" s="397" t="s">
        <v>970</v>
      </c>
      <c r="B1005" s="451"/>
      <c r="C1005" s="451"/>
      <c r="D1005" s="451"/>
      <c r="E1005" s="451"/>
      <c r="F1005" s="451"/>
      <c r="G1005" s="451"/>
      <c r="H1005" s="451"/>
      <c r="I1005" s="451"/>
      <c r="J1005" s="451"/>
      <c r="K1005" s="650"/>
      <c r="L1005" s="650"/>
      <c r="M1005" s="651"/>
      <c r="N1005" s="651"/>
      <c r="O1005" s="651"/>
      <c r="P1005" s="651"/>
      <c r="Q1005" s="651"/>
      <c r="R1005" s="651"/>
      <c r="S1005" s="651"/>
      <c r="T1005" s="651"/>
      <c r="U1005" s="651"/>
      <c r="V1005" s="651"/>
      <c r="W1005" s="651"/>
      <c r="X1005" s="651"/>
      <c r="Y1005" s="651"/>
      <c r="Z1005" s="652"/>
      <c r="AA1005" s="652"/>
      <c r="AB1005" s="652"/>
      <c r="AC1005" s="652"/>
      <c r="AD1005" s="652"/>
      <c r="AE1005" s="652"/>
      <c r="AF1005" s="652"/>
      <c r="AG1005" s="652"/>
      <c r="AH1005" s="652"/>
      <c r="AI1005" s="652"/>
      <c r="AJ1005" s="652"/>
      <c r="AK1005" s="652"/>
      <c r="AL1005" s="652"/>
      <c r="AM1005" s="652"/>
      <c r="AN1005" s="652"/>
      <c r="AO1005" s="652"/>
      <c r="AP1005" s="652"/>
      <c r="AQ1005" s="652"/>
      <c r="AR1005" s="652"/>
      <c r="AS1005" s="652"/>
      <c r="AT1005" s="652"/>
      <c r="AU1005" s="652"/>
      <c r="AV1005" s="652"/>
      <c r="AW1005" s="652"/>
      <c r="AX1005" s="652"/>
      <c r="AY1005" s="652"/>
      <c r="AZ1005" s="652"/>
      <c r="BA1005" s="652"/>
    </row>
    <row r="1006" spans="1:25" s="371" customFormat="1" ht="34.5" customHeight="1" thickBot="1">
      <c r="A1006" s="163"/>
      <c r="B1006" s="164"/>
      <c r="C1006" s="164"/>
      <c r="D1006" s="164"/>
      <c r="E1006" s="164"/>
      <c r="F1006" s="164"/>
      <c r="G1006" s="164"/>
      <c r="H1006" s="164"/>
      <c r="I1006" s="164"/>
      <c r="J1006" s="164"/>
      <c r="K1006" s="370"/>
      <c r="L1006" s="370"/>
      <c r="M1006" s="166"/>
      <c r="N1006" s="388"/>
      <c r="O1006" s="388"/>
      <c r="P1006" s="388"/>
      <c r="Q1006" s="388"/>
      <c r="R1006" s="388"/>
      <c r="S1006" s="388"/>
      <c r="T1006" s="388"/>
      <c r="U1006" s="388"/>
      <c r="V1006" s="388"/>
      <c r="W1006" s="388"/>
      <c r="X1006" s="388"/>
      <c r="Y1006" s="388"/>
    </row>
    <row r="1007" spans="1:42" s="214" customFormat="1" ht="34.5" customHeight="1" thickTop="1">
      <c r="A1007" s="207" t="s">
        <v>34</v>
      </c>
      <c r="B1007" s="208" t="s">
        <v>637</v>
      </c>
      <c r="C1007" s="209" t="s">
        <v>921</v>
      </c>
      <c r="D1007" s="210"/>
      <c r="E1007" s="211" t="s">
        <v>922</v>
      </c>
      <c r="F1007" s="212"/>
      <c r="G1007" s="211" t="s">
        <v>923</v>
      </c>
      <c r="H1007" s="212"/>
      <c r="I1007" s="1070"/>
      <c r="J1007" s="1071"/>
      <c r="K1007" s="1070"/>
      <c r="L1007" s="1070"/>
      <c r="M1007" s="174"/>
      <c r="N1007" s="174"/>
      <c r="O1007" s="213"/>
      <c r="P1007" s="213"/>
      <c r="Q1007" s="213"/>
      <c r="R1007" s="213"/>
      <c r="S1007" s="213"/>
      <c r="T1007" s="213"/>
      <c r="U1007" s="213"/>
      <c r="V1007" s="213"/>
      <c r="W1007" s="213"/>
      <c r="X1007" s="213"/>
      <c r="Y1007" s="213"/>
      <c r="Z1007" s="213"/>
      <c r="AA1007" s="213"/>
      <c r="AB1007" s="213"/>
      <c r="AC1007" s="213"/>
      <c r="AD1007" s="213"/>
      <c r="AE1007" s="213"/>
      <c r="AF1007" s="213"/>
      <c r="AG1007" s="213"/>
      <c r="AH1007" s="213"/>
      <c r="AI1007" s="213"/>
      <c r="AJ1007" s="213"/>
      <c r="AK1007" s="213"/>
      <c r="AL1007" s="213"/>
      <c r="AM1007" s="213"/>
      <c r="AN1007" s="213"/>
      <c r="AO1007" s="213"/>
      <c r="AP1007" s="213"/>
    </row>
    <row r="1008" spans="1:14" s="114" customFormat="1" ht="34.5" customHeight="1">
      <c r="A1008" s="654" t="s">
        <v>573</v>
      </c>
      <c r="B1008" s="539" t="s">
        <v>714</v>
      </c>
      <c r="C1008" s="1117">
        <f>CEILING(75*$Z$1,0.1)</f>
        <v>93.80000000000001</v>
      </c>
      <c r="D1008" s="1074"/>
      <c r="E1008" s="1117">
        <f>CEILING(75*$Z$1,0.1)</f>
        <v>93.80000000000001</v>
      </c>
      <c r="F1008" s="1074"/>
      <c r="G1008" s="1073">
        <f>CEILING(75*$Z$1,0.1)</f>
        <v>93.80000000000001</v>
      </c>
      <c r="H1008" s="1074"/>
      <c r="I1008" s="1061"/>
      <c r="J1008" s="1061"/>
      <c r="K1008" s="1061"/>
      <c r="L1008" s="1061"/>
      <c r="M1008" s="124"/>
      <c r="N1008" s="103"/>
    </row>
    <row r="1009" spans="1:14" s="114" customFormat="1" ht="34.5" customHeight="1">
      <c r="A1009" s="655" t="s">
        <v>36</v>
      </c>
      <c r="B1009" s="219" t="s">
        <v>715</v>
      </c>
      <c r="C1009" s="1061">
        <f>CEILING((C1008+26*$Z$1),0.1)</f>
        <v>126.30000000000001</v>
      </c>
      <c r="D1009" s="1058"/>
      <c r="E1009" s="1061">
        <f>CEILING((E1008+26*$Z$1),0.1)</f>
        <v>126.30000000000001</v>
      </c>
      <c r="F1009" s="1058"/>
      <c r="G1009" s="1057">
        <f>CEILING((G1008+26*$Z$1),0.1)</f>
        <v>126.30000000000001</v>
      </c>
      <c r="H1009" s="1058"/>
      <c r="I1009" s="1061"/>
      <c r="J1009" s="1061"/>
      <c r="K1009" s="1061"/>
      <c r="L1009" s="1061"/>
      <c r="M1009" s="124"/>
      <c r="N1009" s="103"/>
    </row>
    <row r="1010" spans="1:14" s="114" customFormat="1" ht="34.5" customHeight="1">
      <c r="A1010" s="656"/>
      <c r="B1010" s="296" t="s">
        <v>668</v>
      </c>
      <c r="C1010" s="1061">
        <v>0</v>
      </c>
      <c r="D1010" s="1058"/>
      <c r="E1010" s="1061">
        <v>46.9</v>
      </c>
      <c r="F1010" s="1058"/>
      <c r="G1010" s="1057">
        <v>0</v>
      </c>
      <c r="H1010" s="1058"/>
      <c r="I1010" s="1061"/>
      <c r="J1010" s="1061"/>
      <c r="K1010" s="1061"/>
      <c r="L1010" s="1061"/>
      <c r="M1010" s="124"/>
      <c r="N1010" s="103"/>
    </row>
    <row r="1011" spans="1:14" s="114" customFormat="1" ht="34.5" customHeight="1">
      <c r="A1011" s="657"/>
      <c r="B1011" s="218" t="s">
        <v>716</v>
      </c>
      <c r="C1011" s="1061">
        <f>CEILING(86*$Z$1,0.1)</f>
        <v>107.5</v>
      </c>
      <c r="D1011" s="1058"/>
      <c r="E1011" s="1061">
        <f>CEILING(86*$Z$1,0.1)</f>
        <v>107.5</v>
      </c>
      <c r="F1011" s="1058"/>
      <c r="G1011" s="1057">
        <f>CEILING(86*$Z$1,0.1)</f>
        <v>107.5</v>
      </c>
      <c r="H1011" s="1058"/>
      <c r="I1011" s="1061"/>
      <c r="J1011" s="1061"/>
      <c r="K1011" s="1061"/>
      <c r="L1011" s="1061"/>
      <c r="M1011" s="124"/>
      <c r="N1011" s="103"/>
    </row>
    <row r="1012" spans="1:14" s="114" customFormat="1" ht="34.5" customHeight="1">
      <c r="A1012" s="658"/>
      <c r="B1012" s="218" t="s">
        <v>717</v>
      </c>
      <c r="C1012" s="1061">
        <f>CEILING((C1011+30*$Z$1),0.1)</f>
        <v>145</v>
      </c>
      <c r="D1012" s="1058"/>
      <c r="E1012" s="1061">
        <f>CEILING((E1011+30*$Z$1),0.1)</f>
        <v>145</v>
      </c>
      <c r="F1012" s="1058"/>
      <c r="G1012" s="1057">
        <f>CEILING((G1011+30*$Z$1),0.1)</f>
        <v>145</v>
      </c>
      <c r="H1012" s="1058"/>
      <c r="I1012" s="1061"/>
      <c r="J1012" s="1061"/>
      <c r="K1012" s="1061"/>
      <c r="L1012" s="1061"/>
      <c r="M1012" s="124"/>
      <c r="N1012" s="103"/>
    </row>
    <row r="1013" spans="1:14" s="114" customFormat="1" ht="34.5" customHeight="1">
      <c r="A1013" s="657"/>
      <c r="B1013" s="219" t="s">
        <v>35</v>
      </c>
      <c r="C1013" s="1061">
        <f>CEILING(90*$Z$1,0.1)</f>
        <v>112.5</v>
      </c>
      <c r="D1013" s="1058"/>
      <c r="E1013" s="1061">
        <f>CEILING(90*$Z$1,0.1)</f>
        <v>112.5</v>
      </c>
      <c r="F1013" s="1058"/>
      <c r="G1013" s="1057">
        <f>CEILING(90*$Z$1,0.1)</f>
        <v>112.5</v>
      </c>
      <c r="H1013" s="1058"/>
      <c r="I1013" s="1061"/>
      <c r="J1013" s="1061"/>
      <c r="K1013" s="1061"/>
      <c r="L1013" s="1061"/>
      <c r="M1013" s="124"/>
      <c r="N1013" s="103"/>
    </row>
    <row r="1014" spans="1:14" s="114" customFormat="1" ht="34.5" customHeight="1">
      <c r="A1014" s="657"/>
      <c r="B1014" s="219" t="s">
        <v>183</v>
      </c>
      <c r="C1014" s="1061">
        <f>CEILING((C1013+32*$Z$1),0.1)</f>
        <v>152.5</v>
      </c>
      <c r="D1014" s="1058"/>
      <c r="E1014" s="1061">
        <f>CEILING((E1013+32*$Z$1),0.1)</f>
        <v>152.5</v>
      </c>
      <c r="F1014" s="1058"/>
      <c r="G1014" s="1057">
        <f>CEILING((G1013+32*$Z$1),0.1)</f>
        <v>152.5</v>
      </c>
      <c r="H1014" s="1058"/>
      <c r="I1014" s="1061"/>
      <c r="J1014" s="1061"/>
      <c r="K1014" s="1061"/>
      <c r="L1014" s="1061"/>
      <c r="M1014" s="124"/>
      <c r="N1014" s="103"/>
    </row>
    <row r="1015" spans="1:14" s="114" customFormat="1" ht="34.5" customHeight="1">
      <c r="A1015" s="657"/>
      <c r="B1015" s="218" t="s">
        <v>718</v>
      </c>
      <c r="C1015" s="1061">
        <f>CEILING(94*$Z$1,0.1)</f>
        <v>117.5</v>
      </c>
      <c r="D1015" s="1058"/>
      <c r="E1015" s="1061">
        <f>CEILING(94*$Z$1,0.1)</f>
        <v>117.5</v>
      </c>
      <c r="F1015" s="1058"/>
      <c r="G1015" s="1057">
        <f>CEILING(94*$Z$1,0.1)</f>
        <v>117.5</v>
      </c>
      <c r="H1015" s="1058"/>
      <c r="I1015" s="1061"/>
      <c r="J1015" s="1061"/>
      <c r="K1015" s="1061"/>
      <c r="L1015" s="1061"/>
      <c r="M1015" s="124"/>
      <c r="N1015" s="103"/>
    </row>
    <row r="1016" spans="1:59" s="607" customFormat="1" ht="34.5" customHeight="1" thickBot="1">
      <c r="A1016" s="648" t="s">
        <v>470</v>
      </c>
      <c r="B1016" s="231" t="s">
        <v>719</v>
      </c>
      <c r="C1016" s="1081">
        <f>CEILING((C1015+33*$Z$1),0.1)</f>
        <v>158.8</v>
      </c>
      <c r="D1016" s="1077"/>
      <c r="E1016" s="1081">
        <f>CEILING((E1015+33*$Z$1),0.1)</f>
        <v>158.8</v>
      </c>
      <c r="F1016" s="1077"/>
      <c r="G1016" s="1076">
        <f>CEILING((G1015+33*$Z$1),0.1)</f>
        <v>158.8</v>
      </c>
      <c r="H1016" s="1077"/>
      <c r="I1016" s="1061"/>
      <c r="J1016" s="1061"/>
      <c r="K1016" s="1061"/>
      <c r="L1016" s="1061"/>
      <c r="M1016" s="124"/>
      <c r="N1016" s="103"/>
      <c r="O1016" s="114"/>
      <c r="P1016" s="114"/>
      <c r="Q1016" s="114"/>
      <c r="R1016" s="114"/>
      <c r="S1016" s="114"/>
      <c r="T1016" s="114"/>
      <c r="U1016" s="114"/>
      <c r="V1016" s="114"/>
      <c r="W1016" s="114"/>
      <c r="X1016" s="114"/>
      <c r="Y1016" s="114"/>
      <c r="Z1016" s="114"/>
      <c r="AA1016" s="114"/>
      <c r="AB1016" s="114"/>
      <c r="AC1016" s="114"/>
      <c r="AD1016" s="114"/>
      <c r="AE1016" s="114"/>
      <c r="AF1016" s="114"/>
      <c r="AG1016" s="114"/>
      <c r="AH1016" s="114"/>
      <c r="AI1016" s="114"/>
      <c r="AJ1016" s="114"/>
      <c r="AK1016" s="114"/>
      <c r="AL1016" s="114"/>
      <c r="AM1016" s="114"/>
      <c r="AN1016" s="114"/>
      <c r="AO1016" s="114"/>
      <c r="AP1016" s="114"/>
      <c r="AQ1016" s="114"/>
      <c r="AR1016" s="114"/>
      <c r="AS1016" s="114"/>
      <c r="AT1016" s="114"/>
      <c r="AU1016" s="114"/>
      <c r="AV1016" s="114"/>
      <c r="AW1016" s="114"/>
      <c r="AX1016" s="114"/>
      <c r="AY1016" s="114"/>
      <c r="AZ1016" s="114"/>
      <c r="BA1016" s="114"/>
      <c r="BB1016" s="114"/>
      <c r="BC1016" s="114"/>
      <c r="BD1016" s="114"/>
      <c r="BE1016" s="114"/>
      <c r="BF1016" s="114"/>
      <c r="BG1016" s="114"/>
    </row>
    <row r="1017" spans="1:40" s="140" customFormat="1" ht="34.5" customHeight="1" thickTop="1">
      <c r="A1017" s="1075" t="s">
        <v>874</v>
      </c>
      <c r="B1017" s="1075"/>
      <c r="C1017" s="1075"/>
      <c r="D1017" s="1075"/>
      <c r="E1017" s="1075"/>
      <c r="F1017" s="1075"/>
      <c r="G1017" s="1075"/>
      <c r="H1017" s="1075"/>
      <c r="I1017" s="1075"/>
      <c r="J1017" s="1075"/>
      <c r="K1017" s="108"/>
      <c r="L1017" s="108"/>
      <c r="M1017" s="659"/>
      <c r="N1017" s="659"/>
      <c r="O1017" s="114"/>
      <c r="P1017" s="114"/>
      <c r="Q1017" s="114"/>
      <c r="R1017" s="114"/>
      <c r="S1017" s="114"/>
      <c r="T1017" s="114"/>
      <c r="U1017" s="114"/>
      <c r="V1017" s="114"/>
      <c r="W1017" s="114"/>
      <c r="X1017" s="114"/>
      <c r="Y1017" s="114"/>
      <c r="Z1017" s="114"/>
      <c r="AA1017" s="114"/>
      <c r="AB1017" s="114"/>
      <c r="AC1017" s="114"/>
      <c r="AD1017" s="114"/>
      <c r="AE1017" s="114"/>
      <c r="AF1017" s="114"/>
      <c r="AG1017" s="114"/>
      <c r="AH1017" s="114"/>
      <c r="AI1017" s="114"/>
      <c r="AJ1017" s="114"/>
      <c r="AK1017" s="114"/>
      <c r="AL1017" s="114"/>
      <c r="AM1017" s="114"/>
      <c r="AN1017" s="114"/>
    </row>
    <row r="1018" spans="1:25" s="371" customFormat="1" ht="34.5" customHeight="1">
      <c r="A1018" s="163"/>
      <c r="B1018" s="164"/>
      <c r="C1018" s="164"/>
      <c r="D1018" s="164"/>
      <c r="E1018" s="164"/>
      <c r="F1018" s="164"/>
      <c r="G1018" s="164"/>
      <c r="H1018" s="164"/>
      <c r="I1018" s="164"/>
      <c r="J1018" s="164"/>
      <c r="K1018" s="370"/>
      <c r="L1018" s="370"/>
      <c r="M1018" s="166"/>
      <c r="N1018" s="388"/>
      <c r="O1018" s="388"/>
      <c r="P1018" s="388"/>
      <c r="Q1018" s="388"/>
      <c r="R1018" s="388"/>
      <c r="S1018" s="388"/>
      <c r="T1018" s="388"/>
      <c r="U1018" s="388"/>
      <c r="V1018" s="388"/>
      <c r="W1018" s="388"/>
      <c r="X1018" s="388"/>
      <c r="Y1018" s="388"/>
    </row>
    <row r="1019" spans="1:25" s="107" customFormat="1" ht="34.5" customHeight="1">
      <c r="A1019" s="1120" t="s">
        <v>971</v>
      </c>
      <c r="B1019" s="1120"/>
      <c r="C1019" s="1120"/>
      <c r="D1019" s="1120"/>
      <c r="E1019" s="1120"/>
      <c r="F1019" s="1120"/>
      <c r="G1019" s="1120"/>
      <c r="H1019" s="1120"/>
      <c r="I1019" s="1131"/>
      <c r="J1019" s="128"/>
      <c r="K1019" s="104"/>
      <c r="L1019" s="113"/>
      <c r="M1019" s="129"/>
      <c r="N1019" s="130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</row>
    <row r="1020" spans="1:25" s="107" customFormat="1" ht="34.5" customHeight="1">
      <c r="A1020" s="1120" t="s">
        <v>972</v>
      </c>
      <c r="B1020" s="1120"/>
      <c r="C1020" s="1120"/>
      <c r="D1020" s="1120"/>
      <c r="E1020" s="1120"/>
      <c r="F1020" s="1120"/>
      <c r="G1020" s="1120"/>
      <c r="H1020" s="1120"/>
      <c r="I1020" s="131"/>
      <c r="J1020" s="128"/>
      <c r="K1020" s="104"/>
      <c r="L1020" s="113"/>
      <c r="M1020" s="129"/>
      <c r="N1020" s="130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</row>
    <row r="1021" spans="1:25" s="15" customFormat="1" ht="34.5" customHeight="1">
      <c r="A1021" s="43"/>
      <c r="B1021" s="48"/>
      <c r="C1021" s="36"/>
      <c r="D1021" s="36"/>
      <c r="E1021" s="36"/>
      <c r="F1021" s="36"/>
      <c r="G1021" s="36"/>
      <c r="H1021" s="36"/>
      <c r="I1021" s="36"/>
      <c r="J1021" s="36"/>
      <c r="K1021" s="52"/>
      <c r="L1021" s="52"/>
      <c r="M1021" s="38"/>
      <c r="N1021" s="38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</row>
    <row r="1022" spans="1:25" s="15" customFormat="1" ht="34.5" customHeight="1">
      <c r="A1022" s="1237" t="s">
        <v>915</v>
      </c>
      <c r="B1022" s="1237"/>
      <c r="C1022" s="1237"/>
      <c r="D1022" s="1237"/>
      <c r="E1022" s="1237"/>
      <c r="F1022" s="1237"/>
      <c r="G1022" s="1237"/>
      <c r="H1022" s="1237"/>
      <c r="I1022" s="1237"/>
      <c r="J1022" s="1237"/>
      <c r="K1022" s="13"/>
      <c r="L1022" s="37"/>
      <c r="M1022" s="35"/>
      <c r="N1022" s="40"/>
      <c r="O1022" s="41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</row>
    <row r="1023" spans="1:25" s="15" customFormat="1" ht="34.5" customHeight="1" thickBot="1">
      <c r="A1023" s="80"/>
      <c r="B1023" s="80"/>
      <c r="C1023" s="80"/>
      <c r="D1023" s="80"/>
      <c r="E1023" s="80"/>
      <c r="F1023" s="80"/>
      <c r="G1023" s="80"/>
      <c r="H1023" s="80"/>
      <c r="I1023" s="80"/>
      <c r="J1023" s="80"/>
      <c r="K1023" s="13"/>
      <c r="L1023" s="37"/>
      <c r="M1023" s="35"/>
      <c r="N1023" s="8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</row>
    <row r="1024" spans="1:42" s="214" customFormat="1" ht="34.5" customHeight="1" thickTop="1">
      <c r="A1024" s="207" t="s">
        <v>34</v>
      </c>
      <c r="B1024" s="208" t="s">
        <v>91</v>
      </c>
      <c r="C1024" s="209" t="s">
        <v>973</v>
      </c>
      <c r="D1024" s="210"/>
      <c r="E1024" s="211" t="s">
        <v>974</v>
      </c>
      <c r="F1024" s="212"/>
      <c r="G1024" s="211" t="s">
        <v>975</v>
      </c>
      <c r="H1024" s="212"/>
      <c r="I1024" s="1070"/>
      <c r="J1024" s="1071"/>
      <c r="K1024" s="1070"/>
      <c r="L1024" s="1070"/>
      <c r="M1024" s="174"/>
      <c r="N1024" s="174"/>
      <c r="O1024" s="213"/>
      <c r="P1024" s="213"/>
      <c r="Q1024" s="213"/>
      <c r="R1024" s="213"/>
      <c r="S1024" s="213"/>
      <c r="T1024" s="213"/>
      <c r="U1024" s="213"/>
      <c r="V1024" s="213"/>
      <c r="W1024" s="213"/>
      <c r="X1024" s="213"/>
      <c r="Y1024" s="213"/>
      <c r="Z1024" s="213"/>
      <c r="AA1024" s="213"/>
      <c r="AB1024" s="213"/>
      <c r="AC1024" s="213"/>
      <c r="AD1024" s="213"/>
      <c r="AE1024" s="213"/>
      <c r="AF1024" s="213"/>
      <c r="AG1024" s="213"/>
      <c r="AH1024" s="213"/>
      <c r="AI1024" s="213"/>
      <c r="AJ1024" s="213"/>
      <c r="AK1024" s="213"/>
      <c r="AL1024" s="213"/>
      <c r="AM1024" s="213"/>
      <c r="AN1024" s="213"/>
      <c r="AO1024" s="213"/>
      <c r="AP1024" s="213"/>
    </row>
    <row r="1025" spans="1:25" s="107" customFormat="1" ht="34.5" customHeight="1">
      <c r="A1025" s="300" t="s">
        <v>581</v>
      </c>
      <c r="B1025" s="264" t="s">
        <v>583</v>
      </c>
      <c r="C1025" s="1073">
        <f>CEILING(160*$Z$1,0.1)</f>
        <v>200</v>
      </c>
      <c r="D1025" s="1074"/>
      <c r="E1025" s="1057">
        <f>CEILING(145*$Z$1,0.1)</f>
        <v>181.3</v>
      </c>
      <c r="F1025" s="1061"/>
      <c r="G1025" s="1073">
        <f>CEILING(160*$Z$1,0.1)</f>
        <v>200</v>
      </c>
      <c r="H1025" s="1074"/>
      <c r="I1025" s="1061"/>
      <c r="J1025" s="1061"/>
      <c r="K1025" s="1061"/>
      <c r="L1025" s="1061"/>
      <c r="M1025" s="124"/>
      <c r="N1025" s="111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</row>
    <row r="1026" spans="1:25" s="107" customFormat="1" ht="34.5" customHeight="1">
      <c r="A1026" s="574" t="s">
        <v>582</v>
      </c>
      <c r="B1026" s="241" t="s">
        <v>584</v>
      </c>
      <c r="C1026" s="1057">
        <f>CEILING(320*$Z$1,0.1)</f>
        <v>400</v>
      </c>
      <c r="D1026" s="1058"/>
      <c r="E1026" s="1057">
        <f>CEILING(290*$Z$1,0.1)</f>
        <v>362.5</v>
      </c>
      <c r="F1026" s="1058"/>
      <c r="G1026" s="1057">
        <f>CEILING(320*$Z$1,0.1)</f>
        <v>400</v>
      </c>
      <c r="H1026" s="1058"/>
      <c r="I1026" s="1061"/>
      <c r="J1026" s="1061"/>
      <c r="K1026" s="1061"/>
      <c r="L1026" s="1061"/>
      <c r="M1026" s="124"/>
      <c r="N1026" s="111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</row>
    <row r="1027" spans="1:25" s="107" customFormat="1" ht="34.5" customHeight="1">
      <c r="A1027" s="574"/>
      <c r="B1027" s="241" t="s">
        <v>585</v>
      </c>
      <c r="C1027" s="1057">
        <f>CEILING(175*$Z$1,0.1)</f>
        <v>218.8</v>
      </c>
      <c r="D1027" s="1058"/>
      <c r="E1027" s="1057">
        <f>CEILING(165*$Z$1,0.1)</f>
        <v>206.3</v>
      </c>
      <c r="F1027" s="1061"/>
      <c r="G1027" s="1057">
        <f>CEILING(175*$Z$1,0.1)</f>
        <v>218.8</v>
      </c>
      <c r="H1027" s="1058"/>
      <c r="I1027" s="1061"/>
      <c r="J1027" s="1061"/>
      <c r="K1027" s="1061"/>
      <c r="L1027" s="1061"/>
      <c r="M1027" s="124"/>
      <c r="N1027" s="111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</row>
    <row r="1028" spans="1:25" s="107" customFormat="1" ht="34.5" customHeight="1">
      <c r="A1028" s="660"/>
      <c r="B1028" s="241" t="s">
        <v>586</v>
      </c>
      <c r="C1028" s="1057">
        <f>CEILING(350*$Z$1,0.1)</f>
        <v>437.5</v>
      </c>
      <c r="D1028" s="1058"/>
      <c r="E1028" s="1057">
        <f>CEILING(330*$Z$1,0.1)</f>
        <v>412.5</v>
      </c>
      <c r="F1028" s="1058"/>
      <c r="G1028" s="1057">
        <f>CEILING(350*$Z$1,0.1)</f>
        <v>437.5</v>
      </c>
      <c r="H1028" s="1058"/>
      <c r="I1028" s="1061"/>
      <c r="J1028" s="1061"/>
      <c r="K1028" s="1061"/>
      <c r="L1028" s="1061"/>
      <c r="M1028" s="124"/>
      <c r="N1028" s="111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</row>
    <row r="1029" spans="1:25" s="107" customFormat="1" ht="34.5" customHeight="1">
      <c r="A1029" s="574"/>
      <c r="B1029" s="241" t="s">
        <v>587</v>
      </c>
      <c r="C1029" s="1057">
        <f>CEILING(500*$Z$1,0.1)</f>
        <v>625</v>
      </c>
      <c r="D1029" s="1058"/>
      <c r="E1029" s="1057">
        <f>CEILING(475*$Z$1,0.1)</f>
        <v>593.8000000000001</v>
      </c>
      <c r="F1029" s="1061"/>
      <c r="G1029" s="1057">
        <f>CEILING(500*$Z$1,0.1)</f>
        <v>625</v>
      </c>
      <c r="H1029" s="1058"/>
      <c r="I1029" s="1061"/>
      <c r="J1029" s="1061"/>
      <c r="K1029" s="1061"/>
      <c r="L1029" s="1061"/>
      <c r="M1029" s="124"/>
      <c r="N1029" s="111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</row>
    <row r="1030" spans="1:25" s="107" customFormat="1" ht="34.5" customHeight="1">
      <c r="A1030" s="661"/>
      <c r="B1030" s="241" t="s">
        <v>588</v>
      </c>
      <c r="C1030" s="1057">
        <f>CEILING(1000*$Z$1,0.1)</f>
        <v>1250</v>
      </c>
      <c r="D1030" s="1058"/>
      <c r="E1030" s="1057">
        <f>CEILING(900*$Z$1,0.1)</f>
        <v>1125</v>
      </c>
      <c r="F1030" s="1058"/>
      <c r="G1030" s="1057">
        <f>CEILING(1000*$Z$1,0.1)</f>
        <v>1250</v>
      </c>
      <c r="H1030" s="1058"/>
      <c r="I1030" s="1061"/>
      <c r="J1030" s="1061"/>
      <c r="K1030" s="1061"/>
      <c r="L1030" s="1061"/>
      <c r="M1030" s="124"/>
      <c r="N1030" s="111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</row>
    <row r="1031" spans="1:25" s="107" customFormat="1" ht="34.5" customHeight="1">
      <c r="A1031" s="661"/>
      <c r="B1031" s="241" t="s">
        <v>589</v>
      </c>
      <c r="C1031" s="1057">
        <f>CEILING(700*$Z$1,0.1)</f>
        <v>875</v>
      </c>
      <c r="D1031" s="1058"/>
      <c r="E1031" s="1057">
        <f>CEILING(650*$Z$1,0.1)</f>
        <v>812.5</v>
      </c>
      <c r="F1031" s="1061"/>
      <c r="G1031" s="1057">
        <f>CEILING(700*$Z$1,0.1)</f>
        <v>875</v>
      </c>
      <c r="H1031" s="1058"/>
      <c r="I1031" s="1061"/>
      <c r="J1031" s="1061"/>
      <c r="K1031" s="1061"/>
      <c r="L1031" s="1061"/>
      <c r="M1031" s="124"/>
      <c r="N1031" s="111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</row>
    <row r="1032" spans="1:25" s="107" customFormat="1" ht="34.5" customHeight="1">
      <c r="A1032" s="661"/>
      <c r="B1032" s="241" t="s">
        <v>590</v>
      </c>
      <c r="C1032" s="1057">
        <f>CEILING(1400*$Z$1,0.1)</f>
        <v>1750</v>
      </c>
      <c r="D1032" s="1058"/>
      <c r="E1032" s="1057">
        <f>CEILING(1300*$Z$1,0.1)</f>
        <v>1625</v>
      </c>
      <c r="F1032" s="1058"/>
      <c r="G1032" s="1057">
        <f>CEILING(1400*$Z$1,0.1)</f>
        <v>1750</v>
      </c>
      <c r="H1032" s="1058"/>
      <c r="I1032" s="1061"/>
      <c r="J1032" s="1061"/>
      <c r="K1032" s="1061"/>
      <c r="L1032" s="1061"/>
      <c r="M1032" s="124"/>
      <c r="N1032" s="111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</row>
    <row r="1033" spans="1:25" s="107" customFormat="1" ht="34.5" customHeight="1">
      <c r="A1033" s="661"/>
      <c r="B1033" s="241" t="s">
        <v>591</v>
      </c>
      <c r="C1033" s="1057">
        <f>CEILING(950*$Z$1,0.1)</f>
        <v>1187.5</v>
      </c>
      <c r="D1033" s="1058"/>
      <c r="E1033" s="1057">
        <f>CEILING(850*$Z$1,0.1)</f>
        <v>1062.5</v>
      </c>
      <c r="F1033" s="1061"/>
      <c r="G1033" s="1057">
        <f>CEILING(950*$Z$1,0.1)</f>
        <v>1187.5</v>
      </c>
      <c r="H1033" s="1058"/>
      <c r="I1033" s="1061"/>
      <c r="J1033" s="1061"/>
      <c r="K1033" s="1061"/>
      <c r="L1033" s="1061"/>
      <c r="M1033" s="124"/>
      <c r="N1033" s="111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</row>
    <row r="1034" spans="1:25" s="107" customFormat="1" ht="34.5" customHeight="1">
      <c r="A1034" s="661"/>
      <c r="B1034" s="241" t="s">
        <v>592</v>
      </c>
      <c r="C1034" s="1057">
        <f>CEILING(1900*$Z$1,0.1)</f>
        <v>2375</v>
      </c>
      <c r="D1034" s="1058"/>
      <c r="E1034" s="1057">
        <f>CEILING(1700*$Z$1,0.1)</f>
        <v>2125</v>
      </c>
      <c r="F1034" s="1058"/>
      <c r="G1034" s="1057">
        <f>CEILING(1900*$Z$1,0.1)</f>
        <v>2375</v>
      </c>
      <c r="H1034" s="1058"/>
      <c r="I1034" s="1061"/>
      <c r="J1034" s="1061"/>
      <c r="K1034" s="1061"/>
      <c r="L1034" s="1061"/>
      <c r="M1034" s="124"/>
      <c r="N1034" s="111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</row>
    <row r="1035" spans="1:25" s="107" customFormat="1" ht="34.5" customHeight="1">
      <c r="A1035" s="662"/>
      <c r="B1035" s="241" t="s">
        <v>1027</v>
      </c>
      <c r="C1035" s="1057"/>
      <c r="D1035" s="1058"/>
      <c r="E1035" s="1057"/>
      <c r="F1035" s="1058"/>
      <c r="G1035" s="1057"/>
      <c r="H1035" s="1058"/>
      <c r="I1035" s="1061"/>
      <c r="J1035" s="1061"/>
      <c r="K1035" s="1061"/>
      <c r="L1035" s="1061"/>
      <c r="M1035" s="110"/>
      <c r="N1035" s="111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</row>
    <row r="1036" spans="1:25" s="107" customFormat="1" ht="34.5" customHeight="1" thickBot="1">
      <c r="A1036" s="303" t="s">
        <v>580</v>
      </c>
      <c r="B1036" s="243"/>
      <c r="C1036" s="1114"/>
      <c r="D1036" s="1115"/>
      <c r="E1036" s="1114"/>
      <c r="F1036" s="1115"/>
      <c r="G1036" s="1114"/>
      <c r="H1036" s="1115"/>
      <c r="I1036" s="1175"/>
      <c r="J1036" s="1175"/>
      <c r="K1036" s="1175"/>
      <c r="L1036" s="1175"/>
      <c r="M1036" s="110"/>
      <c r="N1036" s="111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</row>
    <row r="1037" spans="1:25" s="669" customFormat="1" ht="34.5" customHeight="1" thickTop="1">
      <c r="A1037" s="663" t="s">
        <v>594</v>
      </c>
      <c r="B1037" s="664"/>
      <c r="C1037" s="664"/>
      <c r="D1037" s="664"/>
      <c r="E1037" s="664"/>
      <c r="F1037" s="664"/>
      <c r="G1037" s="664"/>
      <c r="H1037" s="664"/>
      <c r="I1037" s="664"/>
      <c r="J1037" s="664"/>
      <c r="K1037" s="665"/>
      <c r="L1037" s="665"/>
      <c r="M1037" s="666"/>
      <c r="N1037" s="667"/>
      <c r="O1037" s="668"/>
      <c r="P1037" s="668"/>
      <c r="Q1037" s="668"/>
      <c r="R1037" s="668"/>
      <c r="S1037" s="668"/>
      <c r="T1037" s="668"/>
      <c r="U1037" s="668"/>
      <c r="V1037" s="668"/>
      <c r="W1037" s="668"/>
      <c r="X1037" s="668"/>
      <c r="Y1037" s="668"/>
    </row>
    <row r="1038" spans="1:25" s="674" customFormat="1" ht="34.5" customHeight="1">
      <c r="A1038" s="1116" t="s">
        <v>593</v>
      </c>
      <c r="B1038" s="1116"/>
      <c r="C1038" s="664"/>
      <c r="D1038" s="664"/>
      <c r="E1038" s="664"/>
      <c r="F1038" s="664"/>
      <c r="G1038" s="664"/>
      <c r="H1038" s="664"/>
      <c r="I1038" s="664"/>
      <c r="J1038" s="664"/>
      <c r="K1038" s="670"/>
      <c r="L1038" s="670"/>
      <c r="M1038" s="671"/>
      <c r="N1038" s="672"/>
      <c r="O1038" s="673"/>
      <c r="P1038" s="673"/>
      <c r="Q1038" s="673"/>
      <c r="R1038" s="673"/>
      <c r="S1038" s="673"/>
      <c r="T1038" s="673"/>
      <c r="U1038" s="673"/>
      <c r="V1038" s="673"/>
      <c r="W1038" s="673"/>
      <c r="X1038" s="673"/>
      <c r="Y1038" s="673"/>
    </row>
    <row r="1039" spans="1:25" s="678" customFormat="1" ht="34.5" customHeight="1">
      <c r="A1039" s="530" t="s">
        <v>976</v>
      </c>
      <c r="B1039" s="530"/>
      <c r="C1039" s="530"/>
      <c r="D1039" s="530"/>
      <c r="E1039" s="530"/>
      <c r="F1039" s="530"/>
      <c r="G1039" s="530"/>
      <c r="H1039" s="530"/>
      <c r="I1039" s="530"/>
      <c r="J1039" s="530"/>
      <c r="K1039" s="675"/>
      <c r="L1039" s="675"/>
      <c r="M1039" s="548"/>
      <c r="N1039" s="676"/>
      <c r="O1039" s="677"/>
      <c r="P1039" s="677"/>
      <c r="Q1039" s="677"/>
      <c r="R1039" s="677"/>
      <c r="S1039" s="677"/>
      <c r="T1039" s="677"/>
      <c r="U1039" s="677"/>
      <c r="V1039" s="677"/>
      <c r="W1039" s="677"/>
      <c r="X1039" s="677"/>
      <c r="Y1039" s="677"/>
    </row>
    <row r="1040" spans="1:25" s="678" customFormat="1" ht="34.5" customHeight="1" thickBot="1">
      <c r="A1040" s="530"/>
      <c r="B1040" s="530"/>
      <c r="C1040" s="530"/>
      <c r="D1040" s="530"/>
      <c r="E1040" s="530"/>
      <c r="F1040" s="530"/>
      <c r="G1040" s="530"/>
      <c r="H1040" s="530"/>
      <c r="I1040" s="530"/>
      <c r="J1040" s="530"/>
      <c r="K1040" s="675"/>
      <c r="L1040" s="675"/>
      <c r="M1040" s="548"/>
      <c r="N1040" s="676"/>
      <c r="O1040" s="677"/>
      <c r="P1040" s="677"/>
      <c r="Q1040" s="677"/>
      <c r="R1040" s="677"/>
      <c r="S1040" s="677"/>
      <c r="T1040" s="677"/>
      <c r="U1040" s="677"/>
      <c r="V1040" s="677"/>
      <c r="W1040" s="677"/>
      <c r="X1040" s="677"/>
      <c r="Y1040" s="677"/>
    </row>
    <row r="1041" spans="1:25" s="678" customFormat="1" ht="34.5" customHeight="1" thickTop="1">
      <c r="A1041" s="207" t="s">
        <v>34</v>
      </c>
      <c r="B1041" s="208" t="s">
        <v>637</v>
      </c>
      <c r="C1041" s="209" t="s">
        <v>1115</v>
      </c>
      <c r="D1041" s="210"/>
      <c r="E1041" s="530"/>
      <c r="F1041" s="530"/>
      <c r="G1041" s="530"/>
      <c r="H1041" s="530"/>
      <c r="I1041" s="530"/>
      <c r="J1041" s="530"/>
      <c r="K1041" s="675"/>
      <c r="L1041" s="675"/>
      <c r="M1041" s="548"/>
      <c r="N1041" s="676"/>
      <c r="O1041" s="677"/>
      <c r="P1041" s="677"/>
      <c r="Q1041" s="677"/>
      <c r="R1041" s="677"/>
      <c r="S1041" s="677"/>
      <c r="T1041" s="677"/>
      <c r="U1041" s="677"/>
      <c r="V1041" s="677"/>
      <c r="W1041" s="677"/>
      <c r="X1041" s="677"/>
      <c r="Y1041" s="677"/>
    </row>
    <row r="1042" spans="1:25" s="678" customFormat="1" ht="34.5" customHeight="1">
      <c r="A1042" s="358" t="s">
        <v>1114</v>
      </c>
      <c r="B1042" s="407" t="s">
        <v>623</v>
      </c>
      <c r="C1042" s="1073">
        <f>CEILING(34*$Z$1,0.1)</f>
        <v>42.5</v>
      </c>
      <c r="D1042" s="1074"/>
      <c r="E1042" s="530"/>
      <c r="F1042" s="530"/>
      <c r="G1042" s="530"/>
      <c r="H1042" s="530"/>
      <c r="I1042" s="530"/>
      <c r="J1042" s="530"/>
      <c r="K1042" s="675"/>
      <c r="L1042" s="675"/>
      <c r="M1042" s="548"/>
      <c r="N1042" s="676"/>
      <c r="O1042" s="677"/>
      <c r="P1042" s="677"/>
      <c r="Q1042" s="677"/>
      <c r="R1042" s="677"/>
      <c r="S1042" s="677"/>
      <c r="T1042" s="677"/>
      <c r="U1042" s="677"/>
      <c r="V1042" s="677"/>
      <c r="W1042" s="677"/>
      <c r="X1042" s="677"/>
      <c r="Y1042" s="677"/>
    </row>
    <row r="1043" spans="1:25" s="678" customFormat="1" ht="34.5" customHeight="1">
      <c r="A1043" s="359" t="s">
        <v>50</v>
      </c>
      <c r="B1043" s="219" t="s">
        <v>624</v>
      </c>
      <c r="C1043" s="1057">
        <f>CEILING((C1042+8*$Z$1),0.1)</f>
        <v>52.5</v>
      </c>
      <c r="D1043" s="1058"/>
      <c r="E1043" s="530"/>
      <c r="F1043" s="530"/>
      <c r="G1043" s="530"/>
      <c r="H1043" s="530"/>
      <c r="I1043" s="530"/>
      <c r="J1043" s="530"/>
      <c r="K1043" s="675"/>
      <c r="L1043" s="675"/>
      <c r="M1043" s="548"/>
      <c r="N1043" s="676"/>
      <c r="O1043" s="677"/>
      <c r="P1043" s="677"/>
      <c r="Q1043" s="677"/>
      <c r="R1043" s="677"/>
      <c r="S1043" s="677"/>
      <c r="T1043" s="677"/>
      <c r="U1043" s="677"/>
      <c r="V1043" s="677"/>
      <c r="W1043" s="677"/>
      <c r="X1043" s="677"/>
      <c r="Y1043" s="677"/>
    </row>
    <row r="1044" spans="1:25" s="678" customFormat="1" ht="34.5" customHeight="1">
      <c r="A1044" s="360" t="s">
        <v>1112</v>
      </c>
      <c r="B1044" s="361" t="s">
        <v>38</v>
      </c>
      <c r="C1044" s="1057">
        <f>CEILING((C1042*0.85),0.1)</f>
        <v>36.2</v>
      </c>
      <c r="D1044" s="1058"/>
      <c r="E1044" s="530"/>
      <c r="F1044" s="530"/>
      <c r="G1044" s="530"/>
      <c r="H1044" s="530"/>
      <c r="I1044" s="530"/>
      <c r="J1044" s="530"/>
      <c r="K1044" s="675"/>
      <c r="L1044" s="675"/>
      <c r="M1044" s="548"/>
      <c r="N1044" s="676"/>
      <c r="O1044" s="677"/>
      <c r="P1044" s="677"/>
      <c r="Q1044" s="677"/>
      <c r="R1044" s="677"/>
      <c r="S1044" s="677"/>
      <c r="T1044" s="677"/>
      <c r="U1044" s="677"/>
      <c r="V1044" s="677"/>
      <c r="W1044" s="677"/>
      <c r="X1044" s="677"/>
      <c r="Y1044" s="677"/>
    </row>
    <row r="1045" spans="1:25" s="678" customFormat="1" ht="34.5" customHeight="1">
      <c r="A1045" s="583"/>
      <c r="B1045" s="241" t="s">
        <v>81</v>
      </c>
      <c r="C1045" s="1057">
        <f>CEILING((C1042*0),0.1)</f>
        <v>0</v>
      </c>
      <c r="D1045" s="1058"/>
      <c r="E1045" s="530"/>
      <c r="F1045" s="530"/>
      <c r="G1045" s="530"/>
      <c r="H1045" s="530"/>
      <c r="I1045" s="530"/>
      <c r="J1045" s="530"/>
      <c r="K1045" s="675"/>
      <c r="L1045" s="675"/>
      <c r="M1045" s="548"/>
      <c r="N1045" s="676"/>
      <c r="O1045" s="677"/>
      <c r="P1045" s="677"/>
      <c r="Q1045" s="677"/>
      <c r="R1045" s="677"/>
      <c r="S1045" s="677"/>
      <c r="T1045" s="677"/>
      <c r="U1045" s="677"/>
      <c r="V1045" s="677"/>
      <c r="W1045" s="677"/>
      <c r="X1045" s="677"/>
      <c r="Y1045" s="677"/>
    </row>
    <row r="1046" spans="1:25" s="678" customFormat="1" ht="34.5" customHeight="1">
      <c r="A1046" s="360"/>
      <c r="B1046" s="218" t="s">
        <v>721</v>
      </c>
      <c r="C1046" s="1057">
        <f>CEILING(37*$Z$1,0.1)</f>
        <v>46.300000000000004</v>
      </c>
      <c r="D1046" s="1058"/>
      <c r="E1046" s="530"/>
      <c r="F1046" s="530"/>
      <c r="G1046" s="530"/>
      <c r="H1046" s="530"/>
      <c r="I1046" s="530"/>
      <c r="J1046" s="530"/>
      <c r="K1046" s="675"/>
      <c r="L1046" s="675"/>
      <c r="M1046" s="548"/>
      <c r="N1046" s="676"/>
      <c r="O1046" s="677"/>
      <c r="P1046" s="677"/>
      <c r="Q1046" s="677"/>
      <c r="R1046" s="677"/>
      <c r="S1046" s="677"/>
      <c r="T1046" s="677"/>
      <c r="U1046" s="677"/>
      <c r="V1046" s="677"/>
      <c r="W1046" s="677"/>
      <c r="X1046" s="677"/>
      <c r="Y1046" s="677"/>
    </row>
    <row r="1047" spans="1:25" s="678" customFormat="1" ht="34.5" customHeight="1">
      <c r="A1047" s="1055" t="s">
        <v>423</v>
      </c>
      <c r="B1047" s="220" t="s">
        <v>670</v>
      </c>
      <c r="C1047" s="1059">
        <f>CEILING((C1046+12*$Z$1),0.1)</f>
        <v>61.300000000000004</v>
      </c>
      <c r="D1047" s="1060"/>
      <c r="E1047" s="530"/>
      <c r="F1047" s="530"/>
      <c r="G1047" s="530"/>
      <c r="H1047" s="530"/>
      <c r="I1047" s="530"/>
      <c r="J1047" s="530"/>
      <c r="K1047" s="675"/>
      <c r="L1047" s="675"/>
      <c r="M1047" s="548"/>
      <c r="N1047" s="676"/>
      <c r="O1047" s="677"/>
      <c r="P1047" s="677"/>
      <c r="Q1047" s="677"/>
      <c r="R1047" s="677"/>
      <c r="S1047" s="677"/>
      <c r="T1047" s="677"/>
      <c r="U1047" s="677"/>
      <c r="V1047" s="677"/>
      <c r="W1047" s="677"/>
      <c r="X1047" s="677"/>
      <c r="Y1047" s="677"/>
    </row>
    <row r="1048" spans="1:25" s="678" customFormat="1" ht="34.5" customHeight="1">
      <c r="A1048" s="530"/>
      <c r="B1048" s="530"/>
      <c r="C1048" s="530"/>
      <c r="D1048" s="530"/>
      <c r="E1048" s="530"/>
      <c r="F1048" s="530"/>
      <c r="G1048" s="530"/>
      <c r="H1048" s="530"/>
      <c r="I1048" s="530"/>
      <c r="J1048" s="530"/>
      <c r="K1048" s="675"/>
      <c r="L1048" s="675"/>
      <c r="M1048" s="548"/>
      <c r="N1048" s="676"/>
      <c r="O1048" s="677"/>
      <c r="P1048" s="677"/>
      <c r="Q1048" s="677"/>
      <c r="R1048" s="677"/>
      <c r="S1048" s="677"/>
      <c r="T1048" s="677"/>
      <c r="U1048" s="677"/>
      <c r="V1048" s="677"/>
      <c r="W1048" s="677"/>
      <c r="X1048" s="677"/>
      <c r="Y1048" s="677"/>
    </row>
    <row r="1049" spans="1:25" s="107" customFormat="1" ht="34.5" customHeight="1" thickBot="1">
      <c r="A1049" s="285"/>
      <c r="B1049" s="451"/>
      <c r="C1049" s="451"/>
      <c r="D1049" s="451"/>
      <c r="E1049" s="451"/>
      <c r="F1049" s="451"/>
      <c r="G1049" s="451"/>
      <c r="H1049" s="451"/>
      <c r="I1049" s="451"/>
      <c r="J1049" s="451"/>
      <c r="K1049" s="138"/>
      <c r="L1049" s="138"/>
      <c r="M1049" s="110"/>
      <c r="N1049" s="111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</row>
    <row r="1050" spans="1:42" s="214" customFormat="1" ht="34.5" customHeight="1" thickTop="1">
      <c r="A1050" s="207" t="s">
        <v>34</v>
      </c>
      <c r="B1050" s="208" t="s">
        <v>637</v>
      </c>
      <c r="C1050" s="209" t="s">
        <v>921</v>
      </c>
      <c r="D1050" s="210"/>
      <c r="E1050" s="211" t="s">
        <v>922</v>
      </c>
      <c r="F1050" s="212"/>
      <c r="G1050" s="211" t="s">
        <v>923</v>
      </c>
      <c r="H1050" s="212"/>
      <c r="I1050" s="1070"/>
      <c r="J1050" s="1071"/>
      <c r="K1050" s="1070"/>
      <c r="L1050" s="1070"/>
      <c r="M1050" s="174"/>
      <c r="N1050" s="174"/>
      <c r="O1050" s="213"/>
      <c r="P1050" s="213"/>
      <c r="Q1050" s="213"/>
      <c r="R1050" s="213"/>
      <c r="S1050" s="213"/>
      <c r="T1050" s="213"/>
      <c r="U1050" s="213"/>
      <c r="V1050" s="213"/>
      <c r="W1050" s="213"/>
      <c r="X1050" s="213"/>
      <c r="Y1050" s="213"/>
      <c r="Z1050" s="213"/>
      <c r="AA1050" s="213"/>
      <c r="AB1050" s="213"/>
      <c r="AC1050" s="213"/>
      <c r="AD1050" s="213"/>
      <c r="AE1050" s="213"/>
      <c r="AF1050" s="213"/>
      <c r="AG1050" s="213"/>
      <c r="AH1050" s="213"/>
      <c r="AI1050" s="213"/>
      <c r="AJ1050" s="213"/>
      <c r="AK1050" s="213"/>
      <c r="AL1050" s="213"/>
      <c r="AM1050" s="213"/>
      <c r="AN1050" s="213"/>
      <c r="AO1050" s="213"/>
      <c r="AP1050" s="213"/>
    </row>
    <row r="1051" spans="1:25" s="107" customFormat="1" ht="34.5" customHeight="1">
      <c r="A1051" s="358" t="s">
        <v>720</v>
      </c>
      <c r="B1051" s="407" t="s">
        <v>623</v>
      </c>
      <c r="C1051" s="1073">
        <f>CEILING(39*$Z$1,0.1)</f>
        <v>48.800000000000004</v>
      </c>
      <c r="D1051" s="1074"/>
      <c r="E1051" s="1073">
        <f>CEILING(39*$Z$1,0.1)</f>
        <v>48.800000000000004</v>
      </c>
      <c r="F1051" s="1074"/>
      <c r="G1051" s="1073">
        <f>CEILING(39*$Z$1,0.1)</f>
        <v>48.800000000000004</v>
      </c>
      <c r="H1051" s="1074"/>
      <c r="I1051" s="1061"/>
      <c r="J1051" s="1061"/>
      <c r="K1051" s="1061"/>
      <c r="L1051" s="1061"/>
      <c r="M1051" s="124"/>
      <c r="N1051" s="111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</row>
    <row r="1052" spans="1:25" s="107" customFormat="1" ht="34.5" customHeight="1">
      <c r="A1052" s="359" t="s">
        <v>80</v>
      </c>
      <c r="B1052" s="219" t="s">
        <v>624</v>
      </c>
      <c r="C1052" s="1057">
        <f>CEILING((C1051+15*$Z$1),0.1)</f>
        <v>67.60000000000001</v>
      </c>
      <c r="D1052" s="1058"/>
      <c r="E1052" s="1057">
        <f>CEILING((E1051+15*$Z$1),0.1)</f>
        <v>67.60000000000001</v>
      </c>
      <c r="F1052" s="1058"/>
      <c r="G1052" s="1057">
        <f>CEILING((G1051+15*$Z$1),0.1)</f>
        <v>67.60000000000001</v>
      </c>
      <c r="H1052" s="1058"/>
      <c r="I1052" s="1061"/>
      <c r="J1052" s="1061"/>
      <c r="K1052" s="1061"/>
      <c r="L1052" s="1061"/>
      <c r="M1052" s="124"/>
      <c r="N1052" s="111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</row>
    <row r="1053" spans="1:25" s="107" customFormat="1" ht="34.5" customHeight="1">
      <c r="A1053" s="360"/>
      <c r="B1053" s="361" t="s">
        <v>38</v>
      </c>
      <c r="C1053" s="1057">
        <f>CEILING((C1051*0.85),0.1)</f>
        <v>41.5</v>
      </c>
      <c r="D1053" s="1058"/>
      <c r="E1053" s="1057">
        <f>CEILING((E1051*0.85),0.1)</f>
        <v>41.5</v>
      </c>
      <c r="F1053" s="1058"/>
      <c r="G1053" s="1057">
        <f>CEILING((G1051*0.85),0.1)</f>
        <v>41.5</v>
      </c>
      <c r="H1053" s="1058"/>
      <c r="I1053" s="1061"/>
      <c r="J1053" s="1061"/>
      <c r="K1053" s="1061"/>
      <c r="L1053" s="1061"/>
      <c r="M1053" s="124"/>
      <c r="N1053" s="111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</row>
    <row r="1054" spans="1:25" s="107" customFormat="1" ht="34.5" customHeight="1">
      <c r="A1054" s="583"/>
      <c r="B1054" s="241" t="s">
        <v>81</v>
      </c>
      <c r="C1054" s="1057">
        <f>CEILING((C1051*0),0.1)</f>
        <v>0</v>
      </c>
      <c r="D1054" s="1058"/>
      <c r="E1054" s="1057">
        <f>CEILING((E1051*0),0.1)</f>
        <v>0</v>
      </c>
      <c r="F1054" s="1058"/>
      <c r="G1054" s="1057">
        <f>CEILING((G1051*0),0.1)</f>
        <v>0</v>
      </c>
      <c r="H1054" s="1058"/>
      <c r="I1054" s="1061"/>
      <c r="J1054" s="1061"/>
      <c r="K1054" s="1061"/>
      <c r="L1054" s="1061"/>
      <c r="M1054" s="124"/>
      <c r="N1054" s="111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</row>
    <row r="1055" spans="1:25" s="107" customFormat="1" ht="34.5" customHeight="1">
      <c r="A1055" s="360"/>
      <c r="B1055" s="218" t="s">
        <v>721</v>
      </c>
      <c r="C1055" s="1057">
        <f>CEILING(47*$Z$1,0.1)</f>
        <v>58.800000000000004</v>
      </c>
      <c r="D1055" s="1058"/>
      <c r="E1055" s="1057">
        <f>CEILING(47*$Z$1,0.1)</f>
        <v>58.800000000000004</v>
      </c>
      <c r="F1055" s="1058"/>
      <c r="G1055" s="1057">
        <f>CEILING(47*$Z$1,0.1)</f>
        <v>58.800000000000004</v>
      </c>
      <c r="H1055" s="1058"/>
      <c r="I1055" s="1061"/>
      <c r="J1055" s="1061"/>
      <c r="K1055" s="1061"/>
      <c r="L1055" s="1061"/>
      <c r="M1055" s="124"/>
      <c r="N1055" s="111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</row>
    <row r="1056" spans="1:25" s="107" customFormat="1" ht="34.5" customHeight="1">
      <c r="A1056" s="399"/>
      <c r="B1056" s="218" t="s">
        <v>670</v>
      </c>
      <c r="C1056" s="1057">
        <f>CEILING((C1055+15*$Z$1),0.1)</f>
        <v>77.60000000000001</v>
      </c>
      <c r="D1056" s="1058"/>
      <c r="E1056" s="1057">
        <f>CEILING((E1055+15*$Z$1),0.1)</f>
        <v>77.60000000000001</v>
      </c>
      <c r="F1056" s="1058"/>
      <c r="G1056" s="1057">
        <f>CEILING((G1055+15*$Z$1),0.1)</f>
        <v>77.60000000000001</v>
      </c>
      <c r="H1056" s="1058"/>
      <c r="I1056" s="1061"/>
      <c r="J1056" s="1061"/>
      <c r="K1056" s="1061"/>
      <c r="L1056" s="1061"/>
      <c r="M1056" s="124"/>
      <c r="N1056" s="111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</row>
    <row r="1057" spans="1:25" s="107" customFormat="1" ht="34.5" customHeight="1">
      <c r="A1057" s="399"/>
      <c r="B1057" s="218" t="s">
        <v>875</v>
      </c>
      <c r="C1057" s="1057">
        <f>CEILING(41*$Z$1,0.1)</f>
        <v>51.300000000000004</v>
      </c>
      <c r="D1057" s="1058"/>
      <c r="E1057" s="1057">
        <f>CEILING(41*$Z$1,0.1)</f>
        <v>51.300000000000004</v>
      </c>
      <c r="F1057" s="1058"/>
      <c r="G1057" s="1057">
        <f>CEILING(41*$Z$1,0.1)</f>
        <v>51.300000000000004</v>
      </c>
      <c r="H1057" s="1058"/>
      <c r="I1057" s="1061"/>
      <c r="J1057" s="1061"/>
      <c r="K1057" s="1061"/>
      <c r="L1057" s="1061"/>
      <c r="M1057" s="124"/>
      <c r="N1057" s="111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</row>
    <row r="1058" spans="1:25" s="107" customFormat="1" ht="34.5" customHeight="1" thickBot="1">
      <c r="A1058" s="569" t="s">
        <v>447</v>
      </c>
      <c r="B1058" s="231" t="s">
        <v>876</v>
      </c>
      <c r="C1058" s="1076">
        <f>CEILING((C1057+15*$Z$1),0.1)</f>
        <v>70.10000000000001</v>
      </c>
      <c r="D1058" s="1077"/>
      <c r="E1058" s="1076">
        <f>CEILING((E1057+15*$Z$1),0.1)</f>
        <v>70.10000000000001</v>
      </c>
      <c r="F1058" s="1077"/>
      <c r="G1058" s="1076">
        <f>CEILING((G1057+15*$Z$1),0.1)</f>
        <v>70.10000000000001</v>
      </c>
      <c r="H1058" s="1077"/>
      <c r="I1058" s="1061"/>
      <c r="J1058" s="1061"/>
      <c r="K1058" s="1061"/>
      <c r="L1058" s="1061"/>
      <c r="M1058" s="124"/>
      <c r="N1058" s="111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</row>
    <row r="1059" spans="1:25" s="107" customFormat="1" ht="34.5" customHeight="1" thickTop="1">
      <c r="A1059" s="1113" t="s">
        <v>722</v>
      </c>
      <c r="B1059" s="1113"/>
      <c r="C1059" s="1113"/>
      <c r="D1059" s="1113"/>
      <c r="E1059" s="1113"/>
      <c r="F1059" s="1113"/>
      <c r="G1059" s="1113"/>
      <c r="H1059" s="1113"/>
      <c r="I1059" s="489"/>
      <c r="J1059" s="489"/>
      <c r="K1059" s="104"/>
      <c r="L1059" s="104"/>
      <c r="M1059" s="110"/>
      <c r="N1059" s="111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</row>
    <row r="1060" spans="1:25" s="107" customFormat="1" ht="34.5" customHeight="1" thickBot="1">
      <c r="A1060" s="285"/>
      <c r="B1060" s="124"/>
      <c r="C1060" s="148"/>
      <c r="D1060" s="577"/>
      <c r="E1060" s="577"/>
      <c r="F1060" s="577"/>
      <c r="G1060" s="577"/>
      <c r="H1060" s="577"/>
      <c r="I1060" s="577"/>
      <c r="J1060" s="104"/>
      <c r="K1060" s="104"/>
      <c r="L1060" s="104"/>
      <c r="M1060" s="110"/>
      <c r="N1060" s="111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</row>
    <row r="1061" spans="1:42" s="214" customFormat="1" ht="34.5" customHeight="1" thickTop="1">
      <c r="A1061" s="207" t="s">
        <v>34</v>
      </c>
      <c r="B1061" s="208" t="s">
        <v>637</v>
      </c>
      <c r="C1061" s="209" t="s">
        <v>973</v>
      </c>
      <c r="D1061" s="210"/>
      <c r="E1061" s="211" t="s">
        <v>974</v>
      </c>
      <c r="F1061" s="212"/>
      <c r="G1061" s="211" t="s">
        <v>975</v>
      </c>
      <c r="H1061" s="212"/>
      <c r="I1061" s="1070"/>
      <c r="J1061" s="1071"/>
      <c r="K1061" s="1070"/>
      <c r="L1061" s="1070"/>
      <c r="M1061" s="174"/>
      <c r="N1061" s="174"/>
      <c r="O1061" s="213"/>
      <c r="P1061" s="213"/>
      <c r="Q1061" s="213"/>
      <c r="R1061" s="213"/>
      <c r="S1061" s="213"/>
      <c r="T1061" s="213"/>
      <c r="U1061" s="213"/>
      <c r="V1061" s="213"/>
      <c r="W1061" s="213"/>
      <c r="X1061" s="213"/>
      <c r="Y1061" s="213"/>
      <c r="Z1061" s="213"/>
      <c r="AA1061" s="213"/>
      <c r="AB1061" s="213"/>
      <c r="AC1061" s="213"/>
      <c r="AD1061" s="213"/>
      <c r="AE1061" s="213"/>
      <c r="AF1061" s="213"/>
      <c r="AG1061" s="213"/>
      <c r="AH1061" s="213"/>
      <c r="AI1061" s="213"/>
      <c r="AJ1061" s="213"/>
      <c r="AK1061" s="213"/>
      <c r="AL1061" s="213"/>
      <c r="AM1061" s="213"/>
      <c r="AN1061" s="213"/>
      <c r="AO1061" s="213"/>
      <c r="AP1061" s="213"/>
    </row>
    <row r="1062" spans="1:25" s="107" customFormat="1" ht="34.5" customHeight="1">
      <c r="A1062" s="358" t="s">
        <v>396</v>
      </c>
      <c r="B1062" s="407" t="s">
        <v>42</v>
      </c>
      <c r="C1062" s="1073">
        <f>CEILING(72*$Z$1,0.1)</f>
        <v>90</v>
      </c>
      <c r="D1062" s="1074"/>
      <c r="E1062" s="1073">
        <f>CEILING(78*$Z$1,0.1)</f>
        <v>97.5</v>
      </c>
      <c r="F1062" s="1074"/>
      <c r="G1062" s="1073">
        <f>CEILING(72*$Z$1,0.1)</f>
        <v>90</v>
      </c>
      <c r="H1062" s="1074"/>
      <c r="I1062" s="1061"/>
      <c r="J1062" s="1061"/>
      <c r="K1062" s="1061"/>
      <c r="L1062" s="1061"/>
      <c r="M1062" s="110"/>
      <c r="N1062" s="111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</row>
    <row r="1063" spans="1:25" s="107" customFormat="1" ht="34.5" customHeight="1">
      <c r="A1063" s="359" t="s">
        <v>36</v>
      </c>
      <c r="B1063" s="219" t="s">
        <v>43</v>
      </c>
      <c r="C1063" s="1057">
        <f>CEILING((C1062+25*$Z$1),0.1)</f>
        <v>121.30000000000001</v>
      </c>
      <c r="D1063" s="1058"/>
      <c r="E1063" s="1057">
        <f>CEILING((E1062+25*$Z$1),0.1)</f>
        <v>128.8</v>
      </c>
      <c r="F1063" s="1058"/>
      <c r="G1063" s="1057">
        <f>CEILING((G1062+25*$Z$1),0.1)</f>
        <v>121.30000000000001</v>
      </c>
      <c r="H1063" s="1058"/>
      <c r="I1063" s="1061"/>
      <c r="J1063" s="1061"/>
      <c r="K1063" s="1061"/>
      <c r="L1063" s="1061"/>
      <c r="M1063" s="110"/>
      <c r="N1063" s="111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</row>
    <row r="1064" spans="1:25" s="107" customFormat="1" ht="34.5" customHeight="1">
      <c r="A1064" s="360"/>
      <c r="B1064" s="361" t="s">
        <v>38</v>
      </c>
      <c r="C1064" s="1057">
        <f>CEILING((C1062*0.85),0.1)</f>
        <v>76.5</v>
      </c>
      <c r="D1064" s="1058"/>
      <c r="E1064" s="1057">
        <f>CEILING((E1062*0.85),0.1)</f>
        <v>82.9</v>
      </c>
      <c r="F1064" s="1058"/>
      <c r="G1064" s="1057">
        <f>CEILING((G1062*0.85),0.1)</f>
        <v>76.5</v>
      </c>
      <c r="H1064" s="1058"/>
      <c r="I1064" s="1061"/>
      <c r="J1064" s="1061"/>
      <c r="K1064" s="1061"/>
      <c r="L1064" s="1061"/>
      <c r="M1064" s="124"/>
      <c r="N1064" s="111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</row>
    <row r="1065" spans="1:25" s="107" customFormat="1" ht="34.5" customHeight="1">
      <c r="A1065" s="583"/>
      <c r="B1065" s="241" t="s">
        <v>62</v>
      </c>
      <c r="C1065" s="1057">
        <f>CEILING((C1062*0.5),0.1)</f>
        <v>45</v>
      </c>
      <c r="D1065" s="1058"/>
      <c r="E1065" s="1057">
        <f>CEILING((E1062*0.5),0.1)</f>
        <v>48.800000000000004</v>
      </c>
      <c r="F1065" s="1058"/>
      <c r="G1065" s="1057">
        <f>CEILING((G1062*0.5),0.1)</f>
        <v>45</v>
      </c>
      <c r="H1065" s="1058"/>
      <c r="I1065" s="1061"/>
      <c r="J1065" s="1061"/>
      <c r="K1065" s="1061"/>
      <c r="L1065" s="1061"/>
      <c r="M1065" s="124"/>
      <c r="N1065" s="111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</row>
    <row r="1066" spans="1:25" s="107" customFormat="1" ht="34.5" customHeight="1">
      <c r="A1066" s="360"/>
      <c r="B1066" s="226" t="s">
        <v>35</v>
      </c>
      <c r="C1066" s="1057">
        <f>CEILING(97*$Z$1,0.1)</f>
        <v>121.30000000000001</v>
      </c>
      <c r="D1066" s="1058"/>
      <c r="E1066" s="1057">
        <f>CEILING(103*$Z$1,0.1)</f>
        <v>128.8</v>
      </c>
      <c r="F1066" s="1058"/>
      <c r="G1066" s="1057">
        <f>CEILING(97*$Z$1,0.1)</f>
        <v>121.30000000000001</v>
      </c>
      <c r="H1066" s="1058"/>
      <c r="I1066" s="1061"/>
      <c r="J1066" s="1061"/>
      <c r="K1066" s="1061"/>
      <c r="L1066" s="1061"/>
      <c r="M1066" s="124"/>
      <c r="N1066" s="111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</row>
    <row r="1067" spans="1:25" s="107" customFormat="1" ht="34.5" customHeight="1">
      <c r="A1067" s="133" t="s">
        <v>33</v>
      </c>
      <c r="B1067" s="226" t="s">
        <v>37</v>
      </c>
      <c r="C1067" s="1057">
        <f>CEILING((C1066+28*$Z$1),0.1)</f>
        <v>156.3</v>
      </c>
      <c r="D1067" s="1058"/>
      <c r="E1067" s="1057">
        <f>CEILING((E1066+28*$Z$1),0.1)</f>
        <v>163.8</v>
      </c>
      <c r="F1067" s="1058"/>
      <c r="G1067" s="1057">
        <f>CEILING((G1066+28*$Z$1),0.1)</f>
        <v>156.3</v>
      </c>
      <c r="H1067" s="1058"/>
      <c r="I1067" s="1061"/>
      <c r="J1067" s="1061"/>
      <c r="K1067" s="1061"/>
      <c r="L1067" s="1061"/>
      <c r="M1067" s="124"/>
      <c r="N1067" s="111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</row>
    <row r="1068" spans="1:25" s="107" customFormat="1" ht="34.5" customHeight="1">
      <c r="A1068" s="360"/>
      <c r="B1068" s="398" t="s">
        <v>47</v>
      </c>
      <c r="C1068" s="1057">
        <f>CEILING(117*$Z$1,0.1)</f>
        <v>146.3</v>
      </c>
      <c r="D1068" s="1058"/>
      <c r="E1068" s="1057">
        <f>CEILING(123*$Z$1,0.1)</f>
        <v>153.8</v>
      </c>
      <c r="F1068" s="1058"/>
      <c r="G1068" s="1057">
        <f>CEILING(117*$Z$1,0.1)</f>
        <v>146.3</v>
      </c>
      <c r="H1068" s="1058"/>
      <c r="I1068" s="1061"/>
      <c r="J1068" s="1061"/>
      <c r="K1068" s="1061"/>
      <c r="L1068" s="1061"/>
      <c r="M1068" s="124"/>
      <c r="N1068" s="111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</row>
    <row r="1069" spans="1:25" s="107" customFormat="1" ht="34.5" customHeight="1" thickBot="1">
      <c r="A1069" s="679" t="s">
        <v>397</v>
      </c>
      <c r="B1069" s="469" t="s">
        <v>48</v>
      </c>
      <c r="C1069" s="1076">
        <f>CEILING((C1068+35*$Z$1),0.1)</f>
        <v>190.10000000000002</v>
      </c>
      <c r="D1069" s="1077"/>
      <c r="E1069" s="1076">
        <f>CEILING((E1068+35*$Z$1),0.1)</f>
        <v>197.60000000000002</v>
      </c>
      <c r="F1069" s="1077"/>
      <c r="G1069" s="1076">
        <f>CEILING((G1068+35*$Z$1),0.1)</f>
        <v>190.10000000000002</v>
      </c>
      <c r="H1069" s="1077"/>
      <c r="I1069" s="1061"/>
      <c r="J1069" s="1061"/>
      <c r="K1069" s="1061"/>
      <c r="L1069" s="1061"/>
      <c r="M1069" s="124"/>
      <c r="N1069" s="111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</row>
    <row r="1070" spans="1:25" s="107" customFormat="1" ht="34.5" customHeight="1" thickTop="1">
      <c r="A1070" s="447" t="s">
        <v>398</v>
      </c>
      <c r="B1070" s="162"/>
      <c r="C1070" s="162"/>
      <c r="D1070" s="162"/>
      <c r="E1070" s="162"/>
      <c r="F1070" s="162"/>
      <c r="G1070" s="162"/>
      <c r="H1070" s="162"/>
      <c r="I1070" s="489"/>
      <c r="J1070" s="489"/>
      <c r="K1070" s="104"/>
      <c r="L1070" s="113"/>
      <c r="M1070" s="124"/>
      <c r="N1070" s="103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</row>
    <row r="1071" spans="1:72" s="107" customFormat="1" ht="34.5" customHeight="1" thickBot="1">
      <c r="A1071" s="285"/>
      <c r="B1071" s="162"/>
      <c r="C1071" s="162"/>
      <c r="D1071" s="162"/>
      <c r="E1071" s="162"/>
      <c r="F1071" s="162"/>
      <c r="G1071" s="162"/>
      <c r="H1071" s="162"/>
      <c r="I1071" s="162"/>
      <c r="J1071" s="162"/>
      <c r="K1071" s="108"/>
      <c r="L1071" s="108"/>
      <c r="M1071" s="148"/>
      <c r="N1071" s="148"/>
      <c r="O1071" s="158"/>
      <c r="P1071" s="158"/>
      <c r="Q1071" s="158"/>
      <c r="R1071" s="158"/>
      <c r="S1071" s="158"/>
      <c r="T1071" s="158"/>
      <c r="U1071" s="158"/>
      <c r="V1071" s="158"/>
      <c r="W1071" s="158"/>
      <c r="X1071" s="158"/>
      <c r="Y1071" s="158"/>
      <c r="Z1071" s="158"/>
      <c r="AA1071" s="158"/>
      <c r="AB1071" s="158"/>
      <c r="AC1071" s="158"/>
      <c r="AD1071" s="158"/>
      <c r="AE1071" s="158"/>
      <c r="AF1071" s="158"/>
      <c r="AG1071" s="158"/>
      <c r="AH1071" s="158"/>
      <c r="AI1071" s="158"/>
      <c r="AJ1071" s="158"/>
      <c r="AK1071" s="158"/>
      <c r="AL1071" s="158"/>
      <c r="AM1071" s="158"/>
      <c r="AN1071" s="158"/>
      <c r="AO1071" s="158"/>
      <c r="AP1071" s="158"/>
      <c r="AQ1071" s="158"/>
      <c r="AR1071" s="158"/>
      <c r="AS1071" s="158"/>
      <c r="AT1071" s="158"/>
      <c r="AU1071" s="158"/>
      <c r="AV1071" s="158"/>
      <c r="AW1071" s="158"/>
      <c r="AX1071" s="158"/>
      <c r="AY1071" s="158"/>
      <c r="AZ1071" s="158"/>
      <c r="BA1071" s="158"/>
      <c r="BB1071" s="158"/>
      <c r="BC1071" s="158"/>
      <c r="BD1071" s="158"/>
      <c r="BE1071" s="158"/>
      <c r="BF1071" s="158"/>
      <c r="BG1071" s="158"/>
      <c r="BH1071" s="158"/>
      <c r="BI1071" s="158"/>
      <c r="BJ1071" s="158"/>
      <c r="BK1071" s="158"/>
      <c r="BL1071" s="158"/>
      <c r="BM1071" s="158"/>
      <c r="BN1071" s="158"/>
      <c r="BO1071" s="158"/>
      <c r="BP1071" s="158"/>
      <c r="BQ1071" s="158"/>
      <c r="BR1071" s="158"/>
      <c r="BS1071" s="158"/>
      <c r="BT1071" s="158"/>
    </row>
    <row r="1072" spans="1:42" s="214" customFormat="1" ht="34.5" customHeight="1" thickTop="1">
      <c r="A1072" s="207" t="s">
        <v>34</v>
      </c>
      <c r="B1072" s="208" t="s">
        <v>637</v>
      </c>
      <c r="C1072" s="209" t="s">
        <v>921</v>
      </c>
      <c r="D1072" s="210"/>
      <c r="E1072" s="211" t="s">
        <v>922</v>
      </c>
      <c r="F1072" s="212"/>
      <c r="G1072" s="211" t="s">
        <v>923</v>
      </c>
      <c r="H1072" s="212"/>
      <c r="I1072" s="1070"/>
      <c r="J1072" s="1071"/>
      <c r="K1072" s="1070"/>
      <c r="L1072" s="1070"/>
      <c r="M1072" s="174"/>
      <c r="N1072" s="174"/>
      <c r="O1072" s="213"/>
      <c r="P1072" s="213"/>
      <c r="Q1072" s="213"/>
      <c r="R1072" s="213"/>
      <c r="S1072" s="213"/>
      <c r="T1072" s="213"/>
      <c r="U1072" s="213"/>
      <c r="V1072" s="213"/>
      <c r="W1072" s="213"/>
      <c r="X1072" s="213"/>
      <c r="Y1072" s="213"/>
      <c r="Z1072" s="213"/>
      <c r="AA1072" s="213"/>
      <c r="AB1072" s="213"/>
      <c r="AC1072" s="213"/>
      <c r="AD1072" s="213"/>
      <c r="AE1072" s="213"/>
      <c r="AF1072" s="213"/>
      <c r="AG1072" s="213"/>
      <c r="AH1072" s="213"/>
      <c r="AI1072" s="213"/>
      <c r="AJ1072" s="213"/>
      <c r="AK1072" s="213"/>
      <c r="AL1072" s="213"/>
      <c r="AM1072" s="213"/>
      <c r="AN1072" s="213"/>
      <c r="AO1072" s="213"/>
      <c r="AP1072" s="213"/>
    </row>
    <row r="1073" spans="1:25" s="107" customFormat="1" ht="34.5" customHeight="1">
      <c r="A1073" s="358" t="s">
        <v>792</v>
      </c>
      <c r="B1073" s="407" t="s">
        <v>42</v>
      </c>
      <c r="C1073" s="1073">
        <f>CEILING(87*$Z$1,0.1)</f>
        <v>108.80000000000001</v>
      </c>
      <c r="D1073" s="1074"/>
      <c r="E1073" s="1057">
        <f>CEILING(94*$Z$1,0.1)</f>
        <v>117.5</v>
      </c>
      <c r="F1073" s="1061"/>
      <c r="G1073" s="1073">
        <f>CEILING(87*$Z$1,0.1)</f>
        <v>108.80000000000001</v>
      </c>
      <c r="H1073" s="1074"/>
      <c r="I1073" s="1061"/>
      <c r="J1073" s="1061"/>
      <c r="K1073" s="1061"/>
      <c r="L1073" s="1061"/>
      <c r="M1073" s="110"/>
      <c r="N1073" s="111"/>
      <c r="O1073" s="105"/>
      <c r="P1073" s="105"/>
      <c r="Q1073" s="105"/>
      <c r="R1073" s="105"/>
      <c r="S1073" s="105"/>
      <c r="T1073" s="105"/>
      <c r="U1073" s="105"/>
      <c r="V1073" s="105"/>
      <c r="W1073" s="105"/>
      <c r="X1073" s="105"/>
      <c r="Y1073" s="105"/>
    </row>
    <row r="1074" spans="1:25" s="107" customFormat="1" ht="34.5" customHeight="1">
      <c r="A1074" s="359" t="s">
        <v>36</v>
      </c>
      <c r="B1074" s="219" t="s">
        <v>43</v>
      </c>
      <c r="C1074" s="1057">
        <f>CEILING((C1073+25*$Z$1),0.1)</f>
        <v>140.1</v>
      </c>
      <c r="D1074" s="1058"/>
      <c r="E1074" s="1057">
        <f>CEILING((E1073+25*$Z$1),0.1)</f>
        <v>148.8</v>
      </c>
      <c r="F1074" s="1058"/>
      <c r="G1074" s="1057">
        <f>CEILING((G1073+25*$Z$1),0.1)</f>
        <v>140.1</v>
      </c>
      <c r="H1074" s="1058"/>
      <c r="I1074" s="1061"/>
      <c r="J1074" s="1061"/>
      <c r="K1074" s="1061"/>
      <c r="L1074" s="1061"/>
      <c r="M1074" s="110"/>
      <c r="N1074" s="111"/>
      <c r="O1074" s="105"/>
      <c r="P1074" s="105"/>
      <c r="Q1074" s="105"/>
      <c r="R1074" s="105"/>
      <c r="S1074" s="105"/>
      <c r="T1074" s="105"/>
      <c r="U1074" s="105"/>
      <c r="V1074" s="105"/>
      <c r="W1074" s="105"/>
      <c r="X1074" s="105"/>
      <c r="Y1074" s="105"/>
    </row>
    <row r="1075" spans="1:25" s="107" customFormat="1" ht="34.5" customHeight="1">
      <c r="A1075" s="360"/>
      <c r="B1075" s="361" t="s">
        <v>38</v>
      </c>
      <c r="C1075" s="1057">
        <f>CEILING((C1073*0.85),0.1)</f>
        <v>92.5</v>
      </c>
      <c r="D1075" s="1058"/>
      <c r="E1075" s="1057">
        <f>CEILING((E1073*0.85),0.1)</f>
        <v>99.9</v>
      </c>
      <c r="F1075" s="1058"/>
      <c r="G1075" s="1057">
        <f>CEILING((G1073*0.85),0.1)</f>
        <v>92.5</v>
      </c>
      <c r="H1075" s="1058"/>
      <c r="I1075" s="1061"/>
      <c r="J1075" s="1061"/>
      <c r="K1075" s="1061"/>
      <c r="L1075" s="1061"/>
      <c r="M1075" s="124"/>
      <c r="N1075" s="111"/>
      <c r="O1075" s="105"/>
      <c r="P1075" s="105"/>
      <c r="Q1075" s="105"/>
      <c r="R1075" s="105"/>
      <c r="S1075" s="105"/>
      <c r="T1075" s="105"/>
      <c r="U1075" s="105"/>
      <c r="V1075" s="105"/>
      <c r="W1075" s="105"/>
      <c r="X1075" s="105"/>
      <c r="Y1075" s="105"/>
    </row>
    <row r="1076" spans="1:25" s="107" customFormat="1" ht="34.5" customHeight="1">
      <c r="A1076" s="360"/>
      <c r="B1076" s="226" t="s">
        <v>35</v>
      </c>
      <c r="C1076" s="1057">
        <f>CEILING(117*$Z$1,0.1)</f>
        <v>146.3</v>
      </c>
      <c r="D1076" s="1058"/>
      <c r="E1076" s="1057">
        <f>CEILING(124*$Z$1,0.1)</f>
        <v>155</v>
      </c>
      <c r="F1076" s="1061"/>
      <c r="G1076" s="1057">
        <f>CEILING(117*$Z$1,0.1)</f>
        <v>146.3</v>
      </c>
      <c r="H1076" s="1058"/>
      <c r="I1076" s="1061"/>
      <c r="J1076" s="1061"/>
      <c r="K1076" s="1061"/>
      <c r="L1076" s="1061"/>
      <c r="M1076" s="124"/>
      <c r="N1076" s="111"/>
      <c r="O1076" s="105"/>
      <c r="P1076" s="105"/>
      <c r="Q1076" s="105"/>
      <c r="R1076" s="105"/>
      <c r="S1076" s="105"/>
      <c r="T1076" s="105"/>
      <c r="U1076" s="105"/>
      <c r="V1076" s="105"/>
      <c r="W1076" s="105"/>
      <c r="X1076" s="105"/>
      <c r="Y1076" s="105"/>
    </row>
    <row r="1077" spans="1:25" s="107" customFormat="1" ht="34.5" customHeight="1">
      <c r="A1077" s="251" t="s">
        <v>793</v>
      </c>
      <c r="B1077" s="226" t="s">
        <v>37</v>
      </c>
      <c r="C1077" s="1057">
        <f>CEILING((C1076+28*$Z$1),0.1)</f>
        <v>181.3</v>
      </c>
      <c r="D1077" s="1058"/>
      <c r="E1077" s="1057">
        <f>CEILING((E1076+28*$Z$1),0.1)</f>
        <v>190</v>
      </c>
      <c r="F1077" s="1061"/>
      <c r="G1077" s="1057">
        <f>CEILING((G1076+28*$Z$1),0.1)</f>
        <v>181.3</v>
      </c>
      <c r="H1077" s="1058"/>
      <c r="I1077" s="1061"/>
      <c r="J1077" s="1061"/>
      <c r="K1077" s="1061"/>
      <c r="L1077" s="1061"/>
      <c r="M1077" s="124"/>
      <c r="N1077" s="111"/>
      <c r="O1077" s="105"/>
      <c r="P1077" s="105"/>
      <c r="Q1077" s="105"/>
      <c r="R1077" s="105"/>
      <c r="S1077" s="105"/>
      <c r="T1077" s="105"/>
      <c r="U1077" s="105"/>
      <c r="V1077" s="105"/>
      <c r="W1077" s="105"/>
      <c r="X1077" s="105"/>
      <c r="Y1077" s="105"/>
    </row>
    <row r="1078" spans="1:25" s="107" customFormat="1" ht="34.5" customHeight="1">
      <c r="A1078" s="360"/>
      <c r="B1078" s="398" t="s">
        <v>47</v>
      </c>
      <c r="C1078" s="1057">
        <f>CEILING(135*$Z$1,0.1)</f>
        <v>168.8</v>
      </c>
      <c r="D1078" s="1058"/>
      <c r="E1078" s="1057">
        <f>CEILING(142*$Z$1,0.1)</f>
        <v>177.5</v>
      </c>
      <c r="F1078" s="1061"/>
      <c r="G1078" s="1057">
        <f>CEILING(135*$Z$1,0.1)</f>
        <v>168.8</v>
      </c>
      <c r="H1078" s="1058"/>
      <c r="I1078" s="1061"/>
      <c r="J1078" s="1061"/>
      <c r="K1078" s="1061"/>
      <c r="L1078" s="1061"/>
      <c r="M1078" s="124"/>
      <c r="N1078" s="111"/>
      <c r="O1078" s="105"/>
      <c r="P1078" s="105"/>
      <c r="Q1078" s="105"/>
      <c r="R1078" s="105"/>
      <c r="S1078" s="105"/>
      <c r="T1078" s="105"/>
      <c r="U1078" s="105"/>
      <c r="V1078" s="105"/>
      <c r="W1078" s="105"/>
      <c r="X1078" s="105"/>
      <c r="Y1078" s="105"/>
    </row>
    <row r="1079" spans="1:25" s="107" customFormat="1" ht="34.5" customHeight="1" thickBot="1">
      <c r="A1079" s="679" t="s">
        <v>397</v>
      </c>
      <c r="B1079" s="469" t="s">
        <v>48</v>
      </c>
      <c r="C1079" s="1076">
        <f>CEILING((C1078+35*$Z$1),0.1)</f>
        <v>212.60000000000002</v>
      </c>
      <c r="D1079" s="1077"/>
      <c r="E1079" s="1076">
        <f>CEILING((E1078+35*$Z$1),0.1)</f>
        <v>221.3</v>
      </c>
      <c r="F1079" s="1081"/>
      <c r="G1079" s="1076">
        <f>CEILING((G1078+35*$Z$1),0.1)</f>
        <v>212.60000000000002</v>
      </c>
      <c r="H1079" s="1077"/>
      <c r="I1079" s="1061"/>
      <c r="J1079" s="1061"/>
      <c r="K1079" s="1061"/>
      <c r="L1079" s="1061"/>
      <c r="M1079" s="124"/>
      <c r="N1079" s="111"/>
      <c r="O1079" s="105"/>
      <c r="P1079" s="105"/>
      <c r="Q1079" s="105"/>
      <c r="R1079" s="105"/>
      <c r="S1079" s="105"/>
      <c r="T1079" s="105"/>
      <c r="U1079" s="105"/>
      <c r="V1079" s="105"/>
      <c r="W1079" s="105"/>
      <c r="X1079" s="105"/>
      <c r="Y1079" s="105"/>
    </row>
    <row r="1080" spans="1:25" s="107" customFormat="1" ht="34.5" customHeight="1" thickTop="1">
      <c r="A1080" s="447" t="s">
        <v>398</v>
      </c>
      <c r="B1080" s="162"/>
      <c r="C1080" s="162"/>
      <c r="D1080" s="162"/>
      <c r="E1080" s="162"/>
      <c r="F1080" s="162"/>
      <c r="G1080" s="162"/>
      <c r="H1080" s="162"/>
      <c r="I1080" s="489"/>
      <c r="J1080" s="489"/>
      <c r="K1080" s="104"/>
      <c r="L1080" s="113"/>
      <c r="M1080" s="124"/>
      <c r="N1080" s="103"/>
      <c r="O1080" s="105"/>
      <c r="P1080" s="105"/>
      <c r="Q1080" s="105"/>
      <c r="R1080" s="105"/>
      <c r="S1080" s="105"/>
      <c r="T1080" s="105"/>
      <c r="U1080" s="105"/>
      <c r="V1080" s="105"/>
      <c r="W1080" s="105"/>
      <c r="X1080" s="105"/>
      <c r="Y1080" s="105"/>
    </row>
    <row r="1081" spans="1:25" s="371" customFormat="1" ht="34.5" customHeight="1" thickBot="1">
      <c r="A1081" s="163"/>
      <c r="B1081" s="164"/>
      <c r="C1081" s="164"/>
      <c r="D1081" s="164"/>
      <c r="E1081" s="164"/>
      <c r="F1081" s="164"/>
      <c r="G1081" s="164"/>
      <c r="H1081" s="164"/>
      <c r="I1081" s="164"/>
      <c r="J1081" s="164"/>
      <c r="K1081" s="370"/>
      <c r="L1081" s="370"/>
      <c r="M1081" s="166"/>
      <c r="N1081" s="388"/>
      <c r="O1081" s="388"/>
      <c r="P1081" s="388"/>
      <c r="Q1081" s="388"/>
      <c r="R1081" s="388"/>
      <c r="S1081" s="388"/>
      <c r="T1081" s="388"/>
      <c r="U1081" s="388"/>
      <c r="V1081" s="388"/>
      <c r="W1081" s="388"/>
      <c r="X1081" s="388"/>
      <c r="Y1081" s="388"/>
    </row>
    <row r="1082" spans="1:42" s="214" customFormat="1" ht="34.5" customHeight="1" thickTop="1">
      <c r="A1082" s="207" t="s">
        <v>34</v>
      </c>
      <c r="B1082" s="208" t="s">
        <v>637</v>
      </c>
      <c r="C1082" s="209" t="s">
        <v>921</v>
      </c>
      <c r="D1082" s="210"/>
      <c r="E1082" s="211" t="s">
        <v>922</v>
      </c>
      <c r="F1082" s="212"/>
      <c r="G1082" s="211" t="s">
        <v>923</v>
      </c>
      <c r="H1082" s="212"/>
      <c r="I1082" s="1070"/>
      <c r="J1082" s="1071"/>
      <c r="K1082" s="1070"/>
      <c r="L1082" s="1070"/>
      <c r="M1082" s="174"/>
      <c r="N1082" s="174"/>
      <c r="O1082" s="213"/>
      <c r="P1082" s="213"/>
      <c r="Q1082" s="213"/>
      <c r="R1082" s="213"/>
      <c r="S1082" s="213"/>
      <c r="T1082" s="213"/>
      <c r="U1082" s="213"/>
      <c r="V1082" s="213"/>
      <c r="W1082" s="213"/>
      <c r="X1082" s="213"/>
      <c r="Y1082" s="213"/>
      <c r="Z1082" s="213"/>
      <c r="AA1082" s="213"/>
      <c r="AB1082" s="213"/>
      <c r="AC1082" s="213"/>
      <c r="AD1082" s="213"/>
      <c r="AE1082" s="213"/>
      <c r="AF1082" s="213"/>
      <c r="AG1082" s="213"/>
      <c r="AH1082" s="213"/>
      <c r="AI1082" s="213"/>
      <c r="AJ1082" s="213"/>
      <c r="AK1082" s="213"/>
      <c r="AL1082" s="213"/>
      <c r="AM1082" s="213"/>
      <c r="AN1082" s="213"/>
      <c r="AO1082" s="213"/>
      <c r="AP1082" s="213"/>
    </row>
    <row r="1083" spans="1:25" s="107" customFormat="1" ht="34.5" customHeight="1">
      <c r="A1083" s="358" t="s">
        <v>794</v>
      </c>
      <c r="B1083" s="407" t="s">
        <v>35</v>
      </c>
      <c r="C1083" s="1073">
        <f>CEILING(117*$Z$1,0.1)</f>
        <v>146.3</v>
      </c>
      <c r="D1083" s="1074"/>
      <c r="E1083" s="1057">
        <f>CEILING(124*$Z$1,0.1)</f>
        <v>155</v>
      </c>
      <c r="F1083" s="1061"/>
      <c r="G1083" s="1073">
        <f>CEILING(117*$Z$1,0.1)</f>
        <v>146.3</v>
      </c>
      <c r="H1083" s="1074"/>
      <c r="I1083" s="1061"/>
      <c r="J1083" s="1061"/>
      <c r="K1083" s="1061"/>
      <c r="L1083" s="1061"/>
      <c r="M1083" s="110"/>
      <c r="N1083" s="111"/>
      <c r="O1083" s="105"/>
      <c r="P1083" s="105"/>
      <c r="Q1083" s="105"/>
      <c r="R1083" s="105"/>
      <c r="S1083" s="105"/>
      <c r="T1083" s="105"/>
      <c r="U1083" s="105"/>
      <c r="V1083" s="105"/>
      <c r="W1083" s="105"/>
      <c r="X1083" s="105"/>
      <c r="Y1083" s="105"/>
    </row>
    <row r="1084" spans="1:25" s="107" customFormat="1" ht="34.5" customHeight="1">
      <c r="A1084" s="359" t="s">
        <v>36</v>
      </c>
      <c r="B1084" s="219" t="s">
        <v>37</v>
      </c>
      <c r="C1084" s="1057">
        <f>CEILING((C1083+28*$Z$1),0.1)</f>
        <v>181.3</v>
      </c>
      <c r="D1084" s="1058"/>
      <c r="E1084" s="1057">
        <f>CEILING((E1083+28*$Z$1),0.1)</f>
        <v>190</v>
      </c>
      <c r="F1084" s="1058"/>
      <c r="G1084" s="1057">
        <f>CEILING((G1083+28*$Z$1),0.1)</f>
        <v>181.3</v>
      </c>
      <c r="H1084" s="1058"/>
      <c r="I1084" s="1061"/>
      <c r="J1084" s="1061"/>
      <c r="K1084" s="1061"/>
      <c r="L1084" s="1061"/>
      <c r="M1084" s="110"/>
      <c r="N1084" s="111"/>
      <c r="O1084" s="105"/>
      <c r="P1084" s="105"/>
      <c r="Q1084" s="105"/>
      <c r="R1084" s="105"/>
      <c r="S1084" s="105"/>
      <c r="T1084" s="105"/>
      <c r="U1084" s="105"/>
      <c r="V1084" s="105"/>
      <c r="W1084" s="105"/>
      <c r="X1084" s="105"/>
      <c r="Y1084" s="105"/>
    </row>
    <row r="1085" spans="1:25" s="107" customFormat="1" ht="34.5" customHeight="1">
      <c r="A1085" s="680" t="s">
        <v>795</v>
      </c>
      <c r="B1085" s="361" t="s">
        <v>38</v>
      </c>
      <c r="C1085" s="1057">
        <f>CEILING((C1083*0.85),0.1)</f>
        <v>124.4</v>
      </c>
      <c r="D1085" s="1058"/>
      <c r="E1085" s="1057">
        <f>CEILING((E1083*0.85),0.1)</f>
        <v>131.8</v>
      </c>
      <c r="F1085" s="1058"/>
      <c r="G1085" s="1057">
        <f>CEILING((G1083*0.85),0.1)</f>
        <v>124.4</v>
      </c>
      <c r="H1085" s="1058"/>
      <c r="I1085" s="1061"/>
      <c r="J1085" s="1061"/>
      <c r="K1085" s="1061"/>
      <c r="L1085" s="1061"/>
      <c r="M1085" s="124"/>
      <c r="N1085" s="111"/>
      <c r="O1085" s="105"/>
      <c r="P1085" s="105"/>
      <c r="Q1085" s="105"/>
      <c r="R1085" s="105"/>
      <c r="S1085" s="105"/>
      <c r="T1085" s="105"/>
      <c r="U1085" s="105"/>
      <c r="V1085" s="105"/>
      <c r="W1085" s="105"/>
      <c r="X1085" s="105"/>
      <c r="Y1085" s="105"/>
    </row>
    <row r="1086" spans="1:25" s="107" customFormat="1" ht="34.5" customHeight="1">
      <c r="A1086" s="360"/>
      <c r="B1086" s="226" t="s">
        <v>718</v>
      </c>
      <c r="C1086" s="1057">
        <f>CEILING(132*$Z$1,0.1)</f>
        <v>165</v>
      </c>
      <c r="D1086" s="1058"/>
      <c r="E1086" s="1057">
        <f>CEILING(139*$Z$1,0.1)</f>
        <v>173.8</v>
      </c>
      <c r="F1086" s="1061"/>
      <c r="G1086" s="1057">
        <f>CEILING(132*$Z$1,0.1)</f>
        <v>165</v>
      </c>
      <c r="H1086" s="1058"/>
      <c r="I1086" s="1061"/>
      <c r="J1086" s="1061"/>
      <c r="K1086" s="1061"/>
      <c r="L1086" s="1061"/>
      <c r="M1086" s="124"/>
      <c r="N1086" s="111"/>
      <c r="O1086" s="105"/>
      <c r="P1086" s="105"/>
      <c r="Q1086" s="105"/>
      <c r="R1086" s="105"/>
      <c r="S1086" s="105"/>
      <c r="T1086" s="105"/>
      <c r="U1086" s="105"/>
      <c r="V1086" s="105"/>
      <c r="W1086" s="105"/>
      <c r="X1086" s="105"/>
      <c r="Y1086" s="105"/>
    </row>
    <row r="1087" spans="1:25" s="107" customFormat="1" ht="34.5" customHeight="1">
      <c r="A1087" s="251" t="s">
        <v>793</v>
      </c>
      <c r="B1087" s="226" t="s">
        <v>877</v>
      </c>
      <c r="C1087" s="1057">
        <f>CEILING((C1086+28*$Z$1),0.1)</f>
        <v>200</v>
      </c>
      <c r="D1087" s="1058"/>
      <c r="E1087" s="1057">
        <f>CEILING((E1086+28*$Z$1),0.1)</f>
        <v>208.8</v>
      </c>
      <c r="F1087" s="1061"/>
      <c r="G1087" s="1057">
        <f>CEILING((G1086+28*$Z$1),0.1)</f>
        <v>200</v>
      </c>
      <c r="H1087" s="1058"/>
      <c r="I1087" s="1061"/>
      <c r="J1087" s="1061"/>
      <c r="K1087" s="1061"/>
      <c r="L1087" s="1061"/>
      <c r="M1087" s="124"/>
      <c r="N1087" s="111"/>
      <c r="O1087" s="105"/>
      <c r="P1087" s="105"/>
      <c r="Q1087" s="105"/>
      <c r="R1087" s="105"/>
      <c r="S1087" s="105"/>
      <c r="T1087" s="105"/>
      <c r="U1087" s="105"/>
      <c r="V1087" s="105"/>
      <c r="W1087" s="105"/>
      <c r="X1087" s="105"/>
      <c r="Y1087" s="105"/>
    </row>
    <row r="1088" spans="1:25" s="107" customFormat="1" ht="34.5" customHeight="1">
      <c r="A1088" s="360"/>
      <c r="B1088" s="398" t="s">
        <v>47</v>
      </c>
      <c r="C1088" s="1057">
        <f>CEILING(135*$Z$1,0.1)</f>
        <v>168.8</v>
      </c>
      <c r="D1088" s="1058"/>
      <c r="E1088" s="1057">
        <f>CEILING(142*$Z$1,0.1)</f>
        <v>177.5</v>
      </c>
      <c r="F1088" s="1061"/>
      <c r="G1088" s="1057">
        <f>CEILING(135*$Z$1,0.1)</f>
        <v>168.8</v>
      </c>
      <c r="H1088" s="1058"/>
      <c r="I1088" s="1061"/>
      <c r="J1088" s="1061"/>
      <c r="K1088" s="1061"/>
      <c r="L1088" s="1061"/>
      <c r="M1088" s="124"/>
      <c r="N1088" s="111"/>
      <c r="O1088" s="105"/>
      <c r="P1088" s="105"/>
      <c r="Q1088" s="105"/>
      <c r="R1088" s="105"/>
      <c r="S1088" s="105"/>
      <c r="T1088" s="105"/>
      <c r="U1088" s="105"/>
      <c r="V1088" s="105"/>
      <c r="W1088" s="105"/>
      <c r="X1088" s="105"/>
      <c r="Y1088" s="105"/>
    </row>
    <row r="1089" spans="1:25" s="107" customFormat="1" ht="34.5" customHeight="1" thickBot="1">
      <c r="A1089" s="679" t="s">
        <v>397</v>
      </c>
      <c r="B1089" s="469" t="s">
        <v>48</v>
      </c>
      <c r="C1089" s="1076">
        <f>CEILING((C1088+35*$Z$1),0.1)</f>
        <v>212.60000000000002</v>
      </c>
      <c r="D1089" s="1077"/>
      <c r="E1089" s="1076">
        <f>CEILING((E1088+35*$Z$1),0.1)</f>
        <v>221.3</v>
      </c>
      <c r="F1089" s="1081"/>
      <c r="G1089" s="1076">
        <f>CEILING((G1088+35*$Z$1),0.1)</f>
        <v>212.60000000000002</v>
      </c>
      <c r="H1089" s="1077"/>
      <c r="I1089" s="1061"/>
      <c r="J1089" s="1061"/>
      <c r="K1089" s="1061"/>
      <c r="L1089" s="1061"/>
      <c r="M1089" s="124"/>
      <c r="N1089" s="111"/>
      <c r="O1089" s="105"/>
      <c r="P1089" s="105"/>
      <c r="Q1089" s="105"/>
      <c r="R1089" s="105"/>
      <c r="S1089" s="105"/>
      <c r="T1089" s="105"/>
      <c r="U1089" s="105"/>
      <c r="V1089" s="105"/>
      <c r="W1089" s="105"/>
      <c r="X1089" s="105"/>
      <c r="Y1089" s="105"/>
    </row>
    <row r="1090" spans="1:25" s="107" customFormat="1" ht="34.5" customHeight="1" thickTop="1">
      <c r="A1090" s="447" t="s">
        <v>398</v>
      </c>
      <c r="B1090" s="162"/>
      <c r="C1090" s="162"/>
      <c r="D1090" s="162"/>
      <c r="E1090" s="162"/>
      <c r="F1090" s="162"/>
      <c r="G1090" s="162"/>
      <c r="H1090" s="162"/>
      <c r="I1090" s="489"/>
      <c r="J1090" s="489"/>
      <c r="K1090" s="104"/>
      <c r="L1090" s="113"/>
      <c r="M1090" s="124"/>
      <c r="N1090" s="103"/>
      <c r="O1090" s="105"/>
      <c r="P1090" s="105"/>
      <c r="Q1090" s="105"/>
      <c r="R1090" s="105"/>
      <c r="S1090" s="105"/>
      <c r="T1090" s="105"/>
      <c r="U1090" s="105"/>
      <c r="V1090" s="105"/>
      <c r="W1090" s="105"/>
      <c r="X1090" s="105"/>
      <c r="Y1090" s="105"/>
    </row>
    <row r="1091" spans="1:72" s="107" customFormat="1" ht="34.5" customHeight="1" thickBot="1">
      <c r="A1091" s="285"/>
      <c r="B1091" s="162"/>
      <c r="C1091" s="162"/>
      <c r="D1091" s="162"/>
      <c r="E1091" s="162"/>
      <c r="F1091" s="162"/>
      <c r="G1091" s="162"/>
      <c r="H1091" s="162"/>
      <c r="I1091" s="162"/>
      <c r="J1091" s="162"/>
      <c r="K1091" s="108"/>
      <c r="L1091" s="108"/>
      <c r="M1091" s="148"/>
      <c r="N1091" s="148"/>
      <c r="O1091" s="158"/>
      <c r="P1091" s="158"/>
      <c r="Q1091" s="158"/>
      <c r="R1091" s="158"/>
      <c r="S1091" s="158"/>
      <c r="T1091" s="158"/>
      <c r="U1091" s="158"/>
      <c r="V1091" s="158"/>
      <c r="W1091" s="158"/>
      <c r="X1091" s="158"/>
      <c r="Y1091" s="158"/>
      <c r="Z1091" s="158"/>
      <c r="AA1091" s="158"/>
      <c r="AB1091" s="158"/>
      <c r="AC1091" s="158"/>
      <c r="AD1091" s="158"/>
      <c r="AE1091" s="158"/>
      <c r="AF1091" s="158"/>
      <c r="AG1091" s="158"/>
      <c r="AH1091" s="158"/>
      <c r="AI1091" s="158"/>
      <c r="AJ1091" s="158"/>
      <c r="AK1091" s="158"/>
      <c r="AL1091" s="158"/>
      <c r="AM1091" s="158"/>
      <c r="AN1091" s="158"/>
      <c r="AO1091" s="158"/>
      <c r="AP1091" s="158"/>
      <c r="AQ1091" s="158"/>
      <c r="AR1091" s="158"/>
      <c r="AS1091" s="158"/>
      <c r="AT1091" s="158"/>
      <c r="AU1091" s="158"/>
      <c r="AV1091" s="158"/>
      <c r="AW1091" s="158"/>
      <c r="AX1091" s="158"/>
      <c r="AY1091" s="158"/>
      <c r="AZ1091" s="158"/>
      <c r="BA1091" s="158"/>
      <c r="BB1091" s="158"/>
      <c r="BC1091" s="158"/>
      <c r="BD1091" s="158"/>
      <c r="BE1091" s="158"/>
      <c r="BF1091" s="158"/>
      <c r="BG1091" s="158"/>
      <c r="BH1091" s="158"/>
      <c r="BI1091" s="158"/>
      <c r="BJ1091" s="158"/>
      <c r="BK1091" s="158"/>
      <c r="BL1091" s="158"/>
      <c r="BM1091" s="158"/>
      <c r="BN1091" s="158"/>
      <c r="BO1091" s="158"/>
      <c r="BP1091" s="158"/>
      <c r="BQ1091" s="158"/>
      <c r="BR1091" s="158"/>
      <c r="BS1091" s="158"/>
      <c r="BT1091" s="158"/>
    </row>
    <row r="1092" spans="1:42" s="214" customFormat="1" ht="34.5" customHeight="1" thickTop="1">
      <c r="A1092" s="207" t="s">
        <v>34</v>
      </c>
      <c r="B1092" s="208" t="s">
        <v>637</v>
      </c>
      <c r="C1092" s="209" t="s">
        <v>921</v>
      </c>
      <c r="D1092" s="210"/>
      <c r="E1092" s="211" t="s">
        <v>922</v>
      </c>
      <c r="F1092" s="212"/>
      <c r="G1092" s="211" t="s">
        <v>923</v>
      </c>
      <c r="H1092" s="212"/>
      <c r="I1092" s="1070"/>
      <c r="J1092" s="1071"/>
      <c r="K1092" s="1070"/>
      <c r="L1092" s="1070"/>
      <c r="M1092" s="174"/>
      <c r="N1092" s="174"/>
      <c r="O1092" s="213"/>
      <c r="P1092" s="213"/>
      <c r="Q1092" s="213"/>
      <c r="R1092" s="213"/>
      <c r="S1092" s="213"/>
      <c r="T1092" s="213"/>
      <c r="U1092" s="213"/>
      <c r="V1092" s="213"/>
      <c r="W1092" s="213"/>
      <c r="X1092" s="213"/>
      <c r="Y1092" s="213"/>
      <c r="Z1092" s="213"/>
      <c r="AA1092" s="213"/>
      <c r="AB1092" s="213"/>
      <c r="AC1092" s="213"/>
      <c r="AD1092" s="213"/>
      <c r="AE1092" s="213"/>
      <c r="AF1092" s="213"/>
      <c r="AG1092" s="213"/>
      <c r="AH1092" s="213"/>
      <c r="AI1092" s="213"/>
      <c r="AJ1092" s="213"/>
      <c r="AK1092" s="213"/>
      <c r="AL1092" s="213"/>
      <c r="AM1092" s="213"/>
      <c r="AN1092" s="213"/>
      <c r="AO1092" s="213"/>
      <c r="AP1092" s="213"/>
    </row>
    <row r="1093" spans="1:17" s="114" customFormat="1" ht="34.5" customHeight="1">
      <c r="A1093" s="585" t="s">
        <v>469</v>
      </c>
      <c r="B1093" s="533" t="s">
        <v>42</v>
      </c>
      <c r="C1093" s="1063">
        <f>CEILING(45.5*$Z$1,0.1)</f>
        <v>56.900000000000006</v>
      </c>
      <c r="D1093" s="1064"/>
      <c r="E1093" s="1063">
        <f>CEILING(45.5*$Z$1,0.1)</f>
        <v>56.900000000000006</v>
      </c>
      <c r="F1093" s="1064"/>
      <c r="G1093" s="1063">
        <f>CEILING(45.5*$Z$1,0.1)</f>
        <v>56.900000000000006</v>
      </c>
      <c r="H1093" s="1064"/>
      <c r="I1093" s="1061"/>
      <c r="J1093" s="1061"/>
      <c r="K1093" s="1061"/>
      <c r="L1093" s="1061"/>
      <c r="M1093" s="124"/>
      <c r="N1093" s="103"/>
      <c r="P1093" s="1069"/>
      <c r="Q1093" s="1069"/>
    </row>
    <row r="1094" spans="1:17" s="114" customFormat="1" ht="34.5" customHeight="1">
      <c r="A1094" s="586" t="s">
        <v>36</v>
      </c>
      <c r="B1094" s="535" t="s">
        <v>43</v>
      </c>
      <c r="C1094" s="1065">
        <f>CEILING((C1093+16*$Z$1),0.1)</f>
        <v>76.9</v>
      </c>
      <c r="D1094" s="1066"/>
      <c r="E1094" s="1065">
        <f>CEILING((E1093+16*$Z$1),0.1)</f>
        <v>76.9</v>
      </c>
      <c r="F1094" s="1066"/>
      <c r="G1094" s="1065">
        <f>CEILING((G1093+16*$Z$1),0.1)</f>
        <v>76.9</v>
      </c>
      <c r="H1094" s="1066"/>
      <c r="I1094" s="1061"/>
      <c r="J1094" s="1061"/>
      <c r="K1094" s="1061"/>
      <c r="L1094" s="1061"/>
      <c r="M1094" s="124"/>
      <c r="N1094" s="103"/>
      <c r="P1094" s="1062"/>
      <c r="Q1094" s="1062"/>
    </row>
    <row r="1095" spans="1:17" s="114" customFormat="1" ht="34.5" customHeight="1">
      <c r="A1095" s="590"/>
      <c r="B1095" s="537" t="s">
        <v>38</v>
      </c>
      <c r="C1095" s="1065">
        <f>CEILING((C1093*0.75),0.1)</f>
        <v>42.7</v>
      </c>
      <c r="D1095" s="1066"/>
      <c r="E1095" s="1065">
        <f>CEILING((E1093*0.75),0.1)</f>
        <v>42.7</v>
      </c>
      <c r="F1095" s="1066"/>
      <c r="G1095" s="1065">
        <f>CEILING((G1093*0.75),0.1)</f>
        <v>42.7</v>
      </c>
      <c r="H1095" s="1066"/>
      <c r="I1095" s="1061"/>
      <c r="J1095" s="1061"/>
      <c r="K1095" s="1061"/>
      <c r="L1095" s="1061"/>
      <c r="M1095" s="124"/>
      <c r="N1095" s="103"/>
      <c r="P1095" s="1062"/>
      <c r="Q1095" s="1062"/>
    </row>
    <row r="1096" spans="1:256" s="114" customFormat="1" ht="34.5" customHeight="1">
      <c r="A1096" s="589"/>
      <c r="B1096" s="289" t="s">
        <v>601</v>
      </c>
      <c r="C1096" s="1065">
        <f>CEILING((C1093*0),0.1)</f>
        <v>0</v>
      </c>
      <c r="D1096" s="1066"/>
      <c r="E1096" s="1065">
        <f>CEILING((E1093*0),0.1)</f>
        <v>0</v>
      </c>
      <c r="F1096" s="1066"/>
      <c r="G1096" s="1065">
        <f>CEILING((G1093*0),0.1)</f>
        <v>0</v>
      </c>
      <c r="H1096" s="1066"/>
      <c r="I1096" s="1061"/>
      <c r="J1096" s="1061"/>
      <c r="K1096" s="1061"/>
      <c r="L1096" s="1061"/>
      <c r="M1096" s="124"/>
      <c r="N1096" s="103"/>
      <c r="P1096" s="518"/>
      <c r="Q1096" s="518"/>
      <c r="R1096" s="518"/>
      <c r="S1096" s="518"/>
      <c r="T1096" s="518"/>
      <c r="U1096" s="518"/>
      <c r="V1096" s="518"/>
      <c r="W1096" s="518"/>
      <c r="X1096" s="518"/>
      <c r="Y1096" s="518"/>
      <c r="Z1096" s="518"/>
      <c r="AA1096" s="518"/>
      <c r="AB1096" s="518"/>
      <c r="AC1096" s="518"/>
      <c r="AD1096" s="518"/>
      <c r="AE1096" s="518"/>
      <c r="AF1096" s="518"/>
      <c r="AG1096" s="518"/>
      <c r="AH1096" s="518"/>
      <c r="AI1096" s="518"/>
      <c r="AJ1096" s="518"/>
      <c r="AK1096" s="518"/>
      <c r="AL1096" s="518"/>
      <c r="AM1096" s="518"/>
      <c r="AN1096" s="518"/>
      <c r="AO1096" s="518"/>
      <c r="AP1096" s="518"/>
      <c r="AQ1096" s="518"/>
      <c r="AR1096" s="518"/>
      <c r="AS1096" s="518"/>
      <c r="AT1096" s="518"/>
      <c r="AU1096" s="518"/>
      <c r="AV1096" s="518"/>
      <c r="AW1096" s="518"/>
      <c r="AX1096" s="518"/>
      <c r="AY1096" s="518"/>
      <c r="AZ1096" s="518"/>
      <c r="BA1096" s="518"/>
      <c r="BB1096" s="518"/>
      <c r="BC1096" s="518"/>
      <c r="BD1096" s="518"/>
      <c r="BE1096" s="518"/>
      <c r="BF1096" s="518"/>
      <c r="BG1096" s="518"/>
      <c r="BH1096" s="518"/>
      <c r="BI1096" s="518"/>
      <c r="BJ1096" s="518"/>
      <c r="BK1096" s="518"/>
      <c r="BL1096" s="518"/>
      <c r="BM1096" s="518"/>
      <c r="BN1096" s="518"/>
      <c r="BO1096" s="518"/>
      <c r="BP1096" s="518"/>
      <c r="BQ1096" s="518"/>
      <c r="BR1096" s="518"/>
      <c r="BS1096" s="518"/>
      <c r="BT1096" s="518"/>
      <c r="BU1096" s="518"/>
      <c r="BV1096" s="518"/>
      <c r="BW1096" s="518"/>
      <c r="BX1096" s="518"/>
      <c r="BY1096" s="518"/>
      <c r="BZ1096" s="518"/>
      <c r="CA1096" s="518"/>
      <c r="CB1096" s="518"/>
      <c r="CC1096" s="518"/>
      <c r="CD1096" s="518"/>
      <c r="CE1096" s="518"/>
      <c r="CF1096" s="518"/>
      <c r="CG1096" s="518"/>
      <c r="CH1096" s="518"/>
      <c r="CI1096" s="518"/>
      <c r="CJ1096" s="518"/>
      <c r="CK1096" s="518"/>
      <c r="CL1096" s="518"/>
      <c r="CM1096" s="518"/>
      <c r="CN1096" s="518"/>
      <c r="CO1096" s="518"/>
      <c r="CP1096" s="518"/>
      <c r="CQ1096" s="518"/>
      <c r="CR1096" s="518"/>
      <c r="CS1096" s="518"/>
      <c r="CT1096" s="518"/>
      <c r="CU1096" s="518"/>
      <c r="CV1096" s="518"/>
      <c r="CW1096" s="518"/>
      <c r="CX1096" s="518"/>
      <c r="CY1096" s="518"/>
      <c r="CZ1096" s="518"/>
      <c r="DA1096" s="518"/>
      <c r="DB1096" s="518"/>
      <c r="DC1096" s="518"/>
      <c r="DD1096" s="518"/>
      <c r="DE1096" s="518"/>
      <c r="DF1096" s="518"/>
      <c r="DG1096" s="518"/>
      <c r="DH1096" s="518"/>
      <c r="DI1096" s="518"/>
      <c r="DJ1096" s="518"/>
      <c r="DK1096" s="518"/>
      <c r="DL1096" s="518"/>
      <c r="DM1096" s="518"/>
      <c r="DN1096" s="518"/>
      <c r="DO1096" s="518"/>
      <c r="DP1096" s="518"/>
      <c r="DQ1096" s="518"/>
      <c r="DR1096" s="518"/>
      <c r="DS1096" s="518"/>
      <c r="DT1096" s="518"/>
      <c r="DU1096" s="518"/>
      <c r="DV1096" s="518"/>
      <c r="DW1096" s="518"/>
      <c r="DX1096" s="518"/>
      <c r="DY1096" s="518"/>
      <c r="DZ1096" s="518"/>
      <c r="EA1096" s="518"/>
      <c r="EB1096" s="518"/>
      <c r="EC1096" s="518"/>
      <c r="ED1096" s="518"/>
      <c r="EE1096" s="518"/>
      <c r="EF1096" s="518"/>
      <c r="EG1096" s="518"/>
      <c r="EH1096" s="518"/>
      <c r="EI1096" s="518"/>
      <c r="EJ1096" s="518"/>
      <c r="EK1096" s="518"/>
      <c r="EL1096" s="518"/>
      <c r="EM1096" s="518"/>
      <c r="EN1096" s="518"/>
      <c r="EO1096" s="518"/>
      <c r="EP1096" s="518"/>
      <c r="EQ1096" s="518"/>
      <c r="ER1096" s="518"/>
      <c r="ES1096" s="518"/>
      <c r="ET1096" s="518"/>
      <c r="EU1096" s="518"/>
      <c r="EV1096" s="518"/>
      <c r="EW1096" s="518"/>
      <c r="EX1096" s="518"/>
      <c r="EY1096" s="518"/>
      <c r="EZ1096" s="518"/>
      <c r="FA1096" s="518"/>
      <c r="FB1096" s="518"/>
      <c r="FC1096" s="518"/>
      <c r="FD1096" s="518"/>
      <c r="FE1096" s="518"/>
      <c r="FF1096" s="518"/>
      <c r="FG1096" s="518"/>
      <c r="FH1096" s="518"/>
      <c r="FI1096" s="518"/>
      <c r="FJ1096" s="518"/>
      <c r="FK1096" s="518"/>
      <c r="FL1096" s="518"/>
      <c r="FM1096" s="518"/>
      <c r="FN1096" s="518"/>
      <c r="FO1096" s="518"/>
      <c r="FP1096" s="518"/>
      <c r="FQ1096" s="518"/>
      <c r="FR1096" s="518"/>
      <c r="FS1096" s="518"/>
      <c r="FT1096" s="518"/>
      <c r="FU1096" s="518"/>
      <c r="FV1096" s="518"/>
      <c r="FW1096" s="518"/>
      <c r="FX1096" s="518"/>
      <c r="FY1096" s="518"/>
      <c r="FZ1096" s="518"/>
      <c r="GA1096" s="518"/>
      <c r="GB1096" s="518"/>
      <c r="GC1096" s="518"/>
      <c r="GD1096" s="518"/>
      <c r="GE1096" s="518"/>
      <c r="GF1096" s="518"/>
      <c r="GG1096" s="518"/>
      <c r="GH1096" s="518"/>
      <c r="GI1096" s="518"/>
      <c r="GJ1096" s="518"/>
      <c r="GK1096" s="518"/>
      <c r="GL1096" s="518"/>
      <c r="GM1096" s="518"/>
      <c r="GN1096" s="518"/>
      <c r="GO1096" s="518"/>
      <c r="GP1096" s="518"/>
      <c r="GQ1096" s="518"/>
      <c r="GR1096" s="518"/>
      <c r="GS1096" s="518"/>
      <c r="GT1096" s="518"/>
      <c r="GU1096" s="518"/>
      <c r="GV1096" s="518"/>
      <c r="GW1096" s="518"/>
      <c r="GX1096" s="518"/>
      <c r="GY1096" s="518"/>
      <c r="GZ1096" s="518"/>
      <c r="HA1096" s="518"/>
      <c r="HB1096" s="518"/>
      <c r="HC1096" s="518"/>
      <c r="HD1096" s="518"/>
      <c r="HE1096" s="518"/>
      <c r="HF1096" s="518"/>
      <c r="HG1096" s="518"/>
      <c r="HH1096" s="518"/>
      <c r="HI1096" s="518"/>
      <c r="HJ1096" s="518"/>
      <c r="HK1096" s="518"/>
      <c r="HL1096" s="518"/>
      <c r="HM1096" s="518"/>
      <c r="HN1096" s="518"/>
      <c r="HO1096" s="518"/>
      <c r="HP1096" s="518"/>
      <c r="HQ1096" s="518"/>
      <c r="HR1096" s="518"/>
      <c r="HS1096" s="518"/>
      <c r="HT1096" s="518"/>
      <c r="HU1096" s="518"/>
      <c r="HV1096" s="518"/>
      <c r="HW1096" s="518"/>
      <c r="HX1096" s="518"/>
      <c r="HY1096" s="518"/>
      <c r="HZ1096" s="518"/>
      <c r="IA1096" s="518"/>
      <c r="IB1096" s="518"/>
      <c r="IC1096" s="518"/>
      <c r="ID1096" s="518"/>
      <c r="IE1096" s="518"/>
      <c r="IF1096" s="518"/>
      <c r="IG1096" s="518"/>
      <c r="IH1096" s="518"/>
      <c r="II1096" s="518"/>
      <c r="IJ1096" s="518"/>
      <c r="IK1096" s="518"/>
      <c r="IL1096" s="518"/>
      <c r="IM1096" s="518"/>
      <c r="IN1096" s="518"/>
      <c r="IO1096" s="518"/>
      <c r="IP1096" s="518"/>
      <c r="IQ1096" s="518"/>
      <c r="IR1096" s="518"/>
      <c r="IS1096" s="518"/>
      <c r="IT1096" s="518"/>
      <c r="IU1096" s="518"/>
      <c r="IV1096" s="518"/>
    </row>
    <row r="1097" spans="1:17" s="114" customFormat="1" ht="34.5" customHeight="1">
      <c r="A1097" s="590"/>
      <c r="B1097" s="226" t="s">
        <v>5</v>
      </c>
      <c r="C1097" s="1065">
        <f>CEILING(48*$Z$1,0.1)</f>
        <v>60</v>
      </c>
      <c r="D1097" s="1066"/>
      <c r="E1097" s="1065">
        <f>CEILING(48*$Z$1,0.1)</f>
        <v>60</v>
      </c>
      <c r="F1097" s="1066"/>
      <c r="G1097" s="1065">
        <f>CEILING(48*$Z$1,0.1)</f>
        <v>60</v>
      </c>
      <c r="H1097" s="1066"/>
      <c r="I1097" s="1061"/>
      <c r="J1097" s="1061"/>
      <c r="K1097" s="1061"/>
      <c r="L1097" s="1061"/>
      <c r="M1097" s="681"/>
      <c r="N1097" s="681"/>
      <c r="P1097" s="1062"/>
      <c r="Q1097" s="1062"/>
    </row>
    <row r="1098" spans="1:17" s="114" customFormat="1" ht="34.5" customHeight="1">
      <c r="A1098" s="319" t="s">
        <v>1064</v>
      </c>
      <c r="B1098" s="226" t="s">
        <v>6</v>
      </c>
      <c r="C1098" s="1065">
        <f>CEILING((C1097+17*$Z$1),0.1)</f>
        <v>81.30000000000001</v>
      </c>
      <c r="D1098" s="1066"/>
      <c r="E1098" s="1065">
        <f>CEILING((E1097+17*$Z$1),0.1)</f>
        <v>81.30000000000001</v>
      </c>
      <c r="F1098" s="1066"/>
      <c r="G1098" s="1065">
        <f>CEILING((G1097+17*$Z$1),0.1)</f>
        <v>81.30000000000001</v>
      </c>
      <c r="H1098" s="1066"/>
      <c r="I1098" s="1061"/>
      <c r="J1098" s="1061"/>
      <c r="K1098" s="1061"/>
      <c r="L1098" s="1061"/>
      <c r="M1098" s="681"/>
      <c r="N1098" s="681"/>
      <c r="P1098" s="148"/>
      <c r="Q1098" s="148"/>
    </row>
    <row r="1099" spans="1:17" s="114" customFormat="1" ht="34.5" customHeight="1">
      <c r="A1099" s="320" t="s">
        <v>1058</v>
      </c>
      <c r="B1099" s="535" t="s">
        <v>35</v>
      </c>
      <c r="C1099" s="1065">
        <f>CEILING(52.5*$Z$1,0.1)</f>
        <v>65.7</v>
      </c>
      <c r="D1099" s="1066"/>
      <c r="E1099" s="1065">
        <f>CEILING(52.5*$Z$1,0.1)</f>
        <v>65.7</v>
      </c>
      <c r="F1099" s="1066"/>
      <c r="G1099" s="1065">
        <f>CEILING(52.5*$Z$1,0.1)</f>
        <v>65.7</v>
      </c>
      <c r="H1099" s="1066"/>
      <c r="I1099" s="1061"/>
      <c r="J1099" s="1061"/>
      <c r="K1099" s="1061"/>
      <c r="L1099" s="1061"/>
      <c r="M1099" s="681"/>
      <c r="N1099" s="681"/>
      <c r="P1099" s="148"/>
      <c r="Q1099" s="148"/>
    </row>
    <row r="1100" spans="1:17" s="114" customFormat="1" ht="34.5" customHeight="1">
      <c r="A1100" s="590"/>
      <c r="B1100" s="535" t="s">
        <v>37</v>
      </c>
      <c r="C1100" s="1065">
        <f>CEILING((C1099+18.3*$Z$1),0.1)</f>
        <v>88.60000000000001</v>
      </c>
      <c r="D1100" s="1066"/>
      <c r="E1100" s="1065">
        <f>CEILING((E1099+18.3*$Z$1),0.1)</f>
        <v>88.60000000000001</v>
      </c>
      <c r="F1100" s="1066"/>
      <c r="G1100" s="1065">
        <f>CEILING((G1099+18.3*$Z$1),0.1)</f>
        <v>88.60000000000001</v>
      </c>
      <c r="H1100" s="1066"/>
      <c r="I1100" s="1061"/>
      <c r="J1100" s="1061"/>
      <c r="K1100" s="1061"/>
      <c r="L1100" s="1061"/>
      <c r="M1100" s="124"/>
      <c r="N1100" s="103"/>
      <c r="P1100" s="1062"/>
      <c r="Q1100" s="1062"/>
    </row>
    <row r="1101" spans="1:17" s="114" customFormat="1" ht="34.5" customHeight="1">
      <c r="A1101" s="590"/>
      <c r="B1101" s="226" t="s">
        <v>53</v>
      </c>
      <c r="C1101" s="1065">
        <f>CEILING(58.5*$Z$1,0.1)</f>
        <v>73.2</v>
      </c>
      <c r="D1101" s="1066"/>
      <c r="E1101" s="1065">
        <f>CEILING(58.5*$Z$1,0.1)</f>
        <v>73.2</v>
      </c>
      <c r="F1101" s="1066"/>
      <c r="G1101" s="1065">
        <f>CEILING(58.5*$Z$1,0.1)</f>
        <v>73.2</v>
      </c>
      <c r="H1101" s="1066"/>
      <c r="I1101" s="1061"/>
      <c r="J1101" s="1061"/>
      <c r="K1101" s="1061"/>
      <c r="L1101" s="1061"/>
      <c r="M1101" s="124"/>
      <c r="N1101" s="103"/>
      <c r="P1101" s="1062"/>
      <c r="Q1101" s="1062"/>
    </row>
    <row r="1102" spans="1:14" s="114" customFormat="1" ht="34.5" customHeight="1">
      <c r="A1102" s="682"/>
      <c r="B1102" s="226" t="s">
        <v>54</v>
      </c>
      <c r="C1102" s="1065">
        <f>CEILING((C1101+20.4*$Z$1),0.1)</f>
        <v>98.7</v>
      </c>
      <c r="D1102" s="1066"/>
      <c r="E1102" s="1065">
        <f>CEILING((E1101+20.4*$Z$1),0.1)</f>
        <v>98.7</v>
      </c>
      <c r="F1102" s="1066"/>
      <c r="G1102" s="1065">
        <f>CEILING((G1101+20.4*$Z$1),0.1)</f>
        <v>98.7</v>
      </c>
      <c r="H1102" s="1066"/>
      <c r="I1102" s="1061"/>
      <c r="J1102" s="1061"/>
      <c r="K1102" s="1061"/>
      <c r="L1102" s="1061"/>
      <c r="M1102" s="124"/>
      <c r="N1102" s="103"/>
    </row>
    <row r="1103" spans="1:14" s="114" customFormat="1" ht="34.5" customHeight="1">
      <c r="A1103" s="682"/>
      <c r="B1103" s="226" t="s">
        <v>7</v>
      </c>
      <c r="C1103" s="1065">
        <f>CEILING(64*$Z$1,0.1)</f>
        <v>80</v>
      </c>
      <c r="D1103" s="1066"/>
      <c r="E1103" s="1065">
        <f>CEILING(64*$Z$1,0.1)</f>
        <v>80</v>
      </c>
      <c r="F1103" s="1066"/>
      <c r="G1103" s="1065">
        <f>CEILING(64*$Z$1,0.1)</f>
        <v>80</v>
      </c>
      <c r="H1103" s="1066"/>
      <c r="I1103" s="1061"/>
      <c r="J1103" s="1061"/>
      <c r="K1103" s="1061"/>
      <c r="L1103" s="1061"/>
      <c r="M1103" s="124"/>
      <c r="N1103" s="103"/>
    </row>
    <row r="1104" spans="1:14" s="114" customFormat="1" ht="34.5" customHeight="1">
      <c r="A1104" s="683"/>
      <c r="B1104" s="226" t="s">
        <v>287</v>
      </c>
      <c r="C1104" s="1065">
        <f>CEILING((C1103+22.4*$Z$1),0.1)</f>
        <v>108</v>
      </c>
      <c r="D1104" s="1066"/>
      <c r="E1104" s="1065">
        <f>CEILING((E1103+22.4*$Z$1),0.1)</f>
        <v>108</v>
      </c>
      <c r="F1104" s="1066"/>
      <c r="G1104" s="1065">
        <f>CEILING((G1103+22.4*$Z$1),0.1)</f>
        <v>108</v>
      </c>
      <c r="H1104" s="1066"/>
      <c r="I1104" s="1061"/>
      <c r="J1104" s="1061"/>
      <c r="K1104" s="1061"/>
      <c r="L1104" s="1061"/>
      <c r="M1104" s="124"/>
      <c r="N1104" s="124"/>
    </row>
    <row r="1105" spans="1:14" s="114" customFormat="1" ht="34.5" customHeight="1">
      <c r="A1105" s="684"/>
      <c r="B1105" s="685" t="s">
        <v>471</v>
      </c>
      <c r="C1105" s="1065">
        <f>CEILING(68*$Z$1,0.1)</f>
        <v>85</v>
      </c>
      <c r="D1105" s="1066"/>
      <c r="E1105" s="1065">
        <f>CEILING(68*$Z$1,0.1)</f>
        <v>85</v>
      </c>
      <c r="F1105" s="1066"/>
      <c r="G1105" s="1065">
        <f>CEILING(68*$Z$1,0.1)</f>
        <v>85</v>
      </c>
      <c r="H1105" s="1066"/>
      <c r="I1105" s="1061"/>
      <c r="J1105" s="1061"/>
      <c r="K1105" s="1061"/>
      <c r="L1105" s="1061"/>
      <c r="M1105" s="124"/>
      <c r="N1105" s="124"/>
    </row>
    <row r="1106" spans="1:61" s="298" customFormat="1" ht="34.5" customHeight="1" thickBot="1">
      <c r="A1106" s="686" t="s">
        <v>470</v>
      </c>
      <c r="B1106" s="687" t="s">
        <v>432</v>
      </c>
      <c r="C1106" s="1067">
        <f>CEILING(34*$Z$1,0.1)</f>
        <v>42.5</v>
      </c>
      <c r="D1106" s="1068"/>
      <c r="E1106" s="1067">
        <f>CEILING(34*$Z$1,0.1)</f>
        <v>42.5</v>
      </c>
      <c r="F1106" s="1068"/>
      <c r="G1106" s="1067">
        <f>CEILING(34*$Z$1,0.1)</f>
        <v>42.5</v>
      </c>
      <c r="H1106" s="1068"/>
      <c r="I1106" s="1061"/>
      <c r="J1106" s="1061"/>
      <c r="K1106" s="1061"/>
      <c r="L1106" s="1061"/>
      <c r="M1106" s="124"/>
      <c r="N1106" s="124"/>
      <c r="O1106" s="114"/>
      <c r="P1106" s="114"/>
      <c r="Q1106" s="114"/>
      <c r="R1106" s="114"/>
      <c r="S1106" s="114"/>
      <c r="T1106" s="114"/>
      <c r="U1106" s="114"/>
      <c r="V1106" s="114"/>
      <c r="W1106" s="114"/>
      <c r="X1106" s="114"/>
      <c r="Y1106" s="114"/>
      <c r="Z1106" s="114"/>
      <c r="AA1106" s="114"/>
      <c r="AB1106" s="114"/>
      <c r="AC1106" s="114"/>
      <c r="AD1106" s="114"/>
      <c r="AE1106" s="114"/>
      <c r="AF1106" s="114"/>
      <c r="AG1106" s="114"/>
      <c r="AH1106" s="114"/>
      <c r="AI1106" s="114"/>
      <c r="AJ1106" s="114"/>
      <c r="AK1106" s="114"/>
      <c r="AL1106" s="114"/>
      <c r="AM1106" s="114"/>
      <c r="AN1106" s="114"/>
      <c r="AO1106" s="114"/>
      <c r="AP1106" s="114"/>
      <c r="AQ1106" s="114"/>
      <c r="AR1106" s="114"/>
      <c r="AS1106" s="114"/>
      <c r="AT1106" s="114"/>
      <c r="AU1106" s="114"/>
      <c r="AV1106" s="114"/>
      <c r="AW1106" s="114"/>
      <c r="AX1106" s="114"/>
      <c r="AY1106" s="114"/>
      <c r="AZ1106" s="114"/>
      <c r="BA1106" s="114"/>
      <c r="BB1106" s="114"/>
      <c r="BC1106" s="114"/>
      <c r="BD1106" s="114"/>
      <c r="BE1106" s="114"/>
      <c r="BF1106" s="114"/>
      <c r="BG1106" s="114"/>
      <c r="BH1106" s="114"/>
      <c r="BI1106" s="114"/>
    </row>
    <row r="1107" spans="1:61" s="154" customFormat="1" ht="34.5" customHeight="1" thickTop="1">
      <c r="A1107" s="683" t="s">
        <v>472</v>
      </c>
      <c r="B1107" s="688"/>
      <c r="C1107" s="688"/>
      <c r="D1107" s="688"/>
      <c r="E1107" s="688"/>
      <c r="F1107" s="688"/>
      <c r="G1107" s="688"/>
      <c r="H1107" s="688"/>
      <c r="I1107" s="688"/>
      <c r="J1107" s="688"/>
      <c r="K1107" s="688"/>
      <c r="L1107" s="688"/>
      <c r="M1107" s="124"/>
      <c r="N1107" s="124"/>
      <c r="O1107" s="153"/>
      <c r="P1107" s="153"/>
      <c r="Q1107" s="153"/>
      <c r="R1107" s="153"/>
      <c r="S1107" s="153"/>
      <c r="T1107" s="153"/>
      <c r="U1107" s="153"/>
      <c r="V1107" s="153"/>
      <c r="W1107" s="153"/>
      <c r="X1107" s="153"/>
      <c r="Y1107" s="153"/>
      <c r="Z1107" s="153"/>
      <c r="AA1107" s="153"/>
      <c r="AB1107" s="153"/>
      <c r="AC1107" s="153"/>
      <c r="AD1107" s="153"/>
      <c r="AE1107" s="153"/>
      <c r="AF1107" s="153"/>
      <c r="AG1107" s="153"/>
      <c r="AH1107" s="153"/>
      <c r="AI1107" s="153"/>
      <c r="AJ1107" s="153"/>
      <c r="AK1107" s="153"/>
      <c r="AL1107" s="153"/>
      <c r="AM1107" s="153"/>
      <c r="AN1107" s="153"/>
      <c r="AO1107" s="153"/>
      <c r="AP1107" s="153"/>
      <c r="AQ1107" s="153"/>
      <c r="AR1107" s="153"/>
      <c r="AS1107" s="153"/>
      <c r="AT1107" s="153"/>
      <c r="AU1107" s="153"/>
      <c r="AV1107" s="153"/>
      <c r="AW1107" s="153"/>
      <c r="AX1107" s="153"/>
      <c r="AY1107" s="153"/>
      <c r="AZ1107" s="153"/>
      <c r="BA1107" s="153"/>
      <c r="BB1107" s="153"/>
      <c r="BC1107" s="153"/>
      <c r="BD1107" s="153"/>
      <c r="BE1107" s="153"/>
      <c r="BF1107" s="153"/>
      <c r="BG1107" s="153"/>
      <c r="BH1107" s="153"/>
      <c r="BI1107" s="153"/>
    </row>
    <row r="1108" spans="1:25" s="371" customFormat="1" ht="34.5" customHeight="1" thickBot="1">
      <c r="A1108" s="163"/>
      <c r="B1108" s="164"/>
      <c r="C1108" s="164"/>
      <c r="D1108" s="164"/>
      <c r="E1108" s="164"/>
      <c r="F1108" s="164"/>
      <c r="G1108" s="164"/>
      <c r="H1108" s="164"/>
      <c r="I1108" s="164"/>
      <c r="J1108" s="164"/>
      <c r="K1108" s="370"/>
      <c r="L1108" s="370"/>
      <c r="M1108" s="166"/>
      <c r="N1108" s="388"/>
      <c r="O1108" s="388"/>
      <c r="P1108" s="388"/>
      <c r="Q1108" s="388"/>
      <c r="R1108" s="388"/>
      <c r="S1108" s="388"/>
      <c r="T1108" s="388"/>
      <c r="U1108" s="388"/>
      <c r="V1108" s="388"/>
      <c r="W1108" s="388"/>
      <c r="X1108" s="388"/>
      <c r="Y1108" s="388"/>
    </row>
    <row r="1109" spans="1:42" s="214" customFormat="1" ht="34.5" customHeight="1" thickTop="1">
      <c r="A1109" s="207" t="s">
        <v>34</v>
      </c>
      <c r="B1109" s="208" t="s">
        <v>637</v>
      </c>
      <c r="C1109" s="209" t="s">
        <v>921</v>
      </c>
      <c r="D1109" s="210"/>
      <c r="E1109" s="211" t="s">
        <v>922</v>
      </c>
      <c r="F1109" s="212"/>
      <c r="G1109" s="211" t="s">
        <v>923</v>
      </c>
      <c r="H1109" s="212"/>
      <c r="I1109" s="1070"/>
      <c r="J1109" s="1071"/>
      <c r="K1109" s="1070"/>
      <c r="L1109" s="1070"/>
      <c r="M1109" s="174"/>
      <c r="N1109" s="174"/>
      <c r="O1109" s="213"/>
      <c r="P1109" s="213"/>
      <c r="Q1109" s="213"/>
      <c r="R1109" s="213"/>
      <c r="S1109" s="213"/>
      <c r="T1109" s="213"/>
      <c r="U1109" s="213"/>
      <c r="V1109" s="213"/>
      <c r="W1109" s="213"/>
      <c r="X1109" s="213"/>
      <c r="Y1109" s="213"/>
      <c r="Z1109" s="213"/>
      <c r="AA1109" s="213"/>
      <c r="AB1109" s="213"/>
      <c r="AC1109" s="213"/>
      <c r="AD1109" s="213"/>
      <c r="AE1109" s="213"/>
      <c r="AF1109" s="213"/>
      <c r="AG1109" s="213"/>
      <c r="AH1109" s="213"/>
      <c r="AI1109" s="213"/>
      <c r="AJ1109" s="213"/>
      <c r="AK1109" s="213"/>
      <c r="AL1109" s="213"/>
      <c r="AM1109" s="213"/>
      <c r="AN1109" s="213"/>
      <c r="AO1109" s="213"/>
      <c r="AP1109" s="213"/>
    </row>
    <row r="1110" spans="1:50" s="107" customFormat="1" ht="34.5" customHeight="1">
      <c r="A1110" s="554" t="s">
        <v>110</v>
      </c>
      <c r="B1110" s="264" t="s">
        <v>42</v>
      </c>
      <c r="C1110" s="1063">
        <f>CEILING(33*$Z$1,0.1)</f>
        <v>41.300000000000004</v>
      </c>
      <c r="D1110" s="1064"/>
      <c r="E1110" s="1063">
        <f>CEILING(33*$Z$1,0.1)</f>
        <v>41.300000000000004</v>
      </c>
      <c r="F1110" s="1064"/>
      <c r="G1110" s="1063">
        <f>CEILING(33*$Z$1,0.1)</f>
        <v>41.300000000000004</v>
      </c>
      <c r="H1110" s="1064"/>
      <c r="I1110" s="1061"/>
      <c r="J1110" s="1061"/>
      <c r="K1110" s="1061"/>
      <c r="L1110" s="1061"/>
      <c r="M1110" s="110"/>
      <c r="N1110" s="111"/>
      <c r="O1110" s="158"/>
      <c r="P1110" s="158"/>
      <c r="Q1110" s="158"/>
      <c r="R1110" s="158"/>
      <c r="S1110" s="158"/>
      <c r="T1110" s="158"/>
      <c r="U1110" s="158"/>
      <c r="V1110" s="158"/>
      <c r="W1110" s="158"/>
      <c r="X1110" s="158"/>
      <c r="Y1110" s="158"/>
      <c r="Z1110" s="158"/>
      <c r="AA1110" s="158"/>
      <c r="AB1110" s="158"/>
      <c r="AC1110" s="158"/>
      <c r="AD1110" s="158"/>
      <c r="AE1110" s="158"/>
      <c r="AF1110" s="158"/>
      <c r="AG1110" s="158"/>
      <c r="AH1110" s="158"/>
      <c r="AI1110" s="158"/>
      <c r="AJ1110" s="158"/>
      <c r="AK1110" s="158"/>
      <c r="AL1110" s="158"/>
      <c r="AM1110" s="158"/>
      <c r="AN1110" s="158"/>
      <c r="AO1110" s="158"/>
      <c r="AP1110" s="158"/>
      <c r="AQ1110" s="158"/>
      <c r="AR1110" s="158"/>
      <c r="AS1110" s="158"/>
      <c r="AT1110" s="158"/>
      <c r="AU1110" s="158"/>
      <c r="AV1110" s="158"/>
      <c r="AW1110" s="158"/>
      <c r="AX1110" s="158"/>
    </row>
    <row r="1111" spans="1:50" s="107" customFormat="1" ht="34.5" customHeight="1">
      <c r="A1111" s="351" t="s">
        <v>50</v>
      </c>
      <c r="B1111" s="241" t="s">
        <v>43</v>
      </c>
      <c r="C1111" s="1065">
        <f>CEILING((C1110+10*$Z$1),0.1)</f>
        <v>53.800000000000004</v>
      </c>
      <c r="D1111" s="1066"/>
      <c r="E1111" s="1065">
        <f>CEILING((E1110+10*$Z$1),0.1)</f>
        <v>53.800000000000004</v>
      </c>
      <c r="F1111" s="1066"/>
      <c r="G1111" s="1065">
        <f>CEILING((G1110+10*$Z$1),0.1)</f>
        <v>53.800000000000004</v>
      </c>
      <c r="H1111" s="1066"/>
      <c r="I1111" s="1061"/>
      <c r="J1111" s="1061"/>
      <c r="K1111" s="1061"/>
      <c r="L1111" s="1061"/>
      <c r="M1111" s="110"/>
      <c r="N1111" s="111"/>
      <c r="O1111" s="158"/>
      <c r="P1111" s="158"/>
      <c r="Q1111" s="158"/>
      <c r="R1111" s="158"/>
      <c r="S1111" s="158"/>
      <c r="T1111" s="158"/>
      <c r="U1111" s="158"/>
      <c r="V1111" s="158"/>
      <c r="W1111" s="158"/>
      <c r="X1111" s="158"/>
      <c r="Y1111" s="158"/>
      <c r="Z1111" s="158"/>
      <c r="AA1111" s="158"/>
      <c r="AB1111" s="158"/>
      <c r="AC1111" s="158"/>
      <c r="AD1111" s="158"/>
      <c r="AE1111" s="158"/>
      <c r="AF1111" s="158"/>
      <c r="AG1111" s="158"/>
      <c r="AH1111" s="158"/>
      <c r="AI1111" s="158"/>
      <c r="AJ1111" s="158"/>
      <c r="AK1111" s="158"/>
      <c r="AL1111" s="158"/>
      <c r="AM1111" s="158"/>
      <c r="AN1111" s="158"/>
      <c r="AO1111" s="158"/>
      <c r="AP1111" s="158"/>
      <c r="AQ1111" s="158"/>
      <c r="AR1111" s="158"/>
      <c r="AS1111" s="158"/>
      <c r="AT1111" s="158"/>
      <c r="AU1111" s="158"/>
      <c r="AV1111" s="158"/>
      <c r="AW1111" s="158"/>
      <c r="AX1111" s="158"/>
    </row>
    <row r="1112" spans="1:50" s="107" customFormat="1" ht="34.5" customHeight="1">
      <c r="A1112" s="319"/>
      <c r="B1112" s="241" t="s">
        <v>70</v>
      </c>
      <c r="C1112" s="1065">
        <f>CEILING((C1110*0.75),0.1)</f>
        <v>31</v>
      </c>
      <c r="D1112" s="1066"/>
      <c r="E1112" s="1065">
        <f>CEILING((E1110*0.75),0.1)</f>
        <v>31</v>
      </c>
      <c r="F1112" s="1066"/>
      <c r="G1112" s="1065">
        <f>CEILING((G1110*0.75),0.1)</f>
        <v>31</v>
      </c>
      <c r="H1112" s="1066"/>
      <c r="I1112" s="1061"/>
      <c r="J1112" s="1061"/>
      <c r="K1112" s="1061"/>
      <c r="L1112" s="1061"/>
      <c r="M1112" s="110"/>
      <c r="N1112" s="111"/>
      <c r="O1112" s="158"/>
      <c r="P1112" s="158"/>
      <c r="Q1112" s="158"/>
      <c r="R1112" s="158"/>
      <c r="S1112" s="158"/>
      <c r="T1112" s="158"/>
      <c r="U1112" s="158"/>
      <c r="V1112" s="158"/>
      <c r="W1112" s="158"/>
      <c r="X1112" s="158"/>
      <c r="Y1112" s="158"/>
      <c r="Z1112" s="158"/>
      <c r="AA1112" s="158"/>
      <c r="AB1112" s="158"/>
      <c r="AC1112" s="158"/>
      <c r="AD1112" s="158"/>
      <c r="AE1112" s="158"/>
      <c r="AF1112" s="158"/>
      <c r="AG1112" s="158"/>
      <c r="AH1112" s="158"/>
      <c r="AI1112" s="158"/>
      <c r="AJ1112" s="158"/>
      <c r="AK1112" s="158"/>
      <c r="AL1112" s="158"/>
      <c r="AM1112" s="158"/>
      <c r="AN1112" s="158"/>
      <c r="AO1112" s="158"/>
      <c r="AP1112" s="158"/>
      <c r="AQ1112" s="158"/>
      <c r="AR1112" s="158"/>
      <c r="AS1112" s="158"/>
      <c r="AT1112" s="158"/>
      <c r="AU1112" s="158"/>
      <c r="AV1112" s="158"/>
      <c r="AW1112" s="158"/>
      <c r="AX1112" s="158"/>
    </row>
    <row r="1113" spans="1:50" s="107" customFormat="1" ht="34.5" customHeight="1">
      <c r="A1113" s="133" t="s">
        <v>1064</v>
      </c>
      <c r="B1113" s="241" t="s">
        <v>659</v>
      </c>
      <c r="C1113" s="1065">
        <f>CEILING((C1110*0),0.1)</f>
        <v>0</v>
      </c>
      <c r="D1113" s="1066"/>
      <c r="E1113" s="1065">
        <f>CEILING((E1110*0),0.1)</f>
        <v>0</v>
      </c>
      <c r="F1113" s="1066"/>
      <c r="G1113" s="1065">
        <f>CEILING((G1110*0),0.1)</f>
        <v>0</v>
      </c>
      <c r="H1113" s="1066"/>
      <c r="I1113" s="1061"/>
      <c r="J1113" s="1061"/>
      <c r="K1113" s="1061"/>
      <c r="L1113" s="1061"/>
      <c r="M1113" s="110"/>
      <c r="N1113" s="111"/>
      <c r="O1113" s="158"/>
      <c r="P1113" s="158"/>
      <c r="Q1113" s="158"/>
      <c r="R1113" s="158"/>
      <c r="S1113" s="158"/>
      <c r="T1113" s="158"/>
      <c r="U1113" s="158"/>
      <c r="V1113" s="158"/>
      <c r="W1113" s="158"/>
      <c r="X1113" s="158"/>
      <c r="Y1113" s="158"/>
      <c r="Z1113" s="158"/>
      <c r="AA1113" s="158"/>
      <c r="AB1113" s="158"/>
      <c r="AC1113" s="158"/>
      <c r="AD1113" s="158"/>
      <c r="AE1113" s="158"/>
      <c r="AF1113" s="158"/>
      <c r="AG1113" s="158"/>
      <c r="AH1113" s="158"/>
      <c r="AI1113" s="158"/>
      <c r="AJ1113" s="158"/>
      <c r="AK1113" s="158"/>
      <c r="AL1113" s="158"/>
      <c r="AM1113" s="158"/>
      <c r="AN1113" s="158"/>
      <c r="AO1113" s="158"/>
      <c r="AP1113" s="158"/>
      <c r="AQ1113" s="158"/>
      <c r="AR1113" s="158"/>
      <c r="AS1113" s="158"/>
      <c r="AT1113" s="158"/>
      <c r="AU1113" s="158"/>
      <c r="AV1113" s="158"/>
      <c r="AW1113" s="158"/>
      <c r="AX1113" s="158"/>
    </row>
    <row r="1114" spans="1:50" s="107" customFormat="1" ht="34.5" customHeight="1">
      <c r="A1114" s="320" t="s">
        <v>1058</v>
      </c>
      <c r="B1114" s="218" t="s">
        <v>465</v>
      </c>
      <c r="C1114" s="1065">
        <f>CEILING(34.4*$Z$1,0.1)</f>
        <v>43</v>
      </c>
      <c r="D1114" s="1066"/>
      <c r="E1114" s="1065">
        <f>CEILING(34.4*$Z$1,0.1)</f>
        <v>43</v>
      </c>
      <c r="F1114" s="1066"/>
      <c r="G1114" s="1065">
        <f>CEILING(34.4*$Z$1,0.1)</f>
        <v>43</v>
      </c>
      <c r="H1114" s="1066"/>
      <c r="I1114" s="1061"/>
      <c r="J1114" s="1061"/>
      <c r="K1114" s="1061"/>
      <c r="L1114" s="1061"/>
      <c r="M1114" s="110"/>
      <c r="N1114" s="111"/>
      <c r="O1114" s="158"/>
      <c r="P1114" s="158"/>
      <c r="Q1114" s="158"/>
      <c r="R1114" s="158"/>
      <c r="S1114" s="158"/>
      <c r="T1114" s="158"/>
      <c r="U1114" s="158"/>
      <c r="V1114" s="158"/>
      <c r="W1114" s="158"/>
      <c r="X1114" s="158"/>
      <c r="Y1114" s="158"/>
      <c r="Z1114" s="158"/>
      <c r="AA1114" s="158"/>
      <c r="AB1114" s="158"/>
      <c r="AC1114" s="158"/>
      <c r="AD1114" s="158"/>
      <c r="AE1114" s="158"/>
      <c r="AF1114" s="158"/>
      <c r="AG1114" s="158"/>
      <c r="AH1114" s="158"/>
      <c r="AI1114" s="158"/>
      <c r="AJ1114" s="158"/>
      <c r="AK1114" s="158"/>
      <c r="AL1114" s="158"/>
      <c r="AM1114" s="158"/>
      <c r="AN1114" s="158"/>
      <c r="AO1114" s="158"/>
      <c r="AP1114" s="158"/>
      <c r="AQ1114" s="158"/>
      <c r="AR1114" s="158"/>
      <c r="AS1114" s="158"/>
      <c r="AT1114" s="158"/>
      <c r="AU1114" s="158"/>
      <c r="AV1114" s="158"/>
      <c r="AW1114" s="158"/>
      <c r="AX1114" s="158"/>
    </row>
    <row r="1115" spans="1:50" s="107" customFormat="1" ht="34.5" customHeight="1">
      <c r="A1115" s="319"/>
      <c r="B1115" s="218" t="s">
        <v>466</v>
      </c>
      <c r="C1115" s="1065">
        <f>CEILING((C1114+10.3*$Z$1),0.1)</f>
        <v>55.900000000000006</v>
      </c>
      <c r="D1115" s="1066"/>
      <c r="E1115" s="1065">
        <f>CEILING((E1114+10.3*$Z$1),0.1)</f>
        <v>55.900000000000006</v>
      </c>
      <c r="F1115" s="1066"/>
      <c r="G1115" s="1065">
        <f>CEILING((G1114+10.3*$Z$1),0.1)</f>
        <v>55.900000000000006</v>
      </c>
      <c r="H1115" s="1066"/>
      <c r="I1115" s="1061"/>
      <c r="J1115" s="1061"/>
      <c r="K1115" s="1061"/>
      <c r="L1115" s="1061"/>
      <c r="M1115" s="110"/>
      <c r="N1115" s="111"/>
      <c r="O1115" s="158"/>
      <c r="P1115" s="158"/>
      <c r="Q1115" s="158"/>
      <c r="R1115" s="158"/>
      <c r="S1115" s="158"/>
      <c r="T1115" s="158"/>
      <c r="U1115" s="158"/>
      <c r="V1115" s="158"/>
      <c r="W1115" s="158"/>
      <c r="X1115" s="158"/>
      <c r="Y1115" s="158"/>
      <c r="Z1115" s="158"/>
      <c r="AA1115" s="158"/>
      <c r="AB1115" s="158"/>
      <c r="AC1115" s="158"/>
      <c r="AD1115" s="158"/>
      <c r="AE1115" s="158"/>
      <c r="AF1115" s="158"/>
      <c r="AG1115" s="158"/>
      <c r="AH1115" s="158"/>
      <c r="AI1115" s="158"/>
      <c r="AJ1115" s="158"/>
      <c r="AK1115" s="158"/>
      <c r="AL1115" s="158"/>
      <c r="AM1115" s="158"/>
      <c r="AN1115" s="158"/>
      <c r="AO1115" s="158"/>
      <c r="AP1115" s="158"/>
      <c r="AQ1115" s="158"/>
      <c r="AR1115" s="158"/>
      <c r="AS1115" s="158"/>
      <c r="AT1115" s="158"/>
      <c r="AU1115" s="158"/>
      <c r="AV1115" s="158"/>
      <c r="AW1115" s="158"/>
      <c r="AX1115" s="158"/>
    </row>
    <row r="1116" spans="1:50" s="107" customFormat="1" ht="34.5" customHeight="1">
      <c r="A1116" s="319"/>
      <c r="B1116" s="218" t="s">
        <v>467</v>
      </c>
      <c r="C1116" s="1065">
        <f>CEILING(36*$Z$1,0.1)</f>
        <v>45</v>
      </c>
      <c r="D1116" s="1066"/>
      <c r="E1116" s="1065">
        <f>CEILING(36*$Z$1,0.1)</f>
        <v>45</v>
      </c>
      <c r="F1116" s="1066"/>
      <c r="G1116" s="1065">
        <f>CEILING(36*$Z$1,0.1)</f>
        <v>45</v>
      </c>
      <c r="H1116" s="1066"/>
      <c r="I1116" s="1061"/>
      <c r="J1116" s="1061"/>
      <c r="K1116" s="1061"/>
      <c r="L1116" s="1061"/>
      <c r="M1116" s="110"/>
      <c r="N1116" s="111"/>
      <c r="O1116" s="158"/>
      <c r="P1116" s="158"/>
      <c r="Q1116" s="158"/>
      <c r="R1116" s="158"/>
      <c r="S1116" s="158"/>
      <c r="T1116" s="158"/>
      <c r="U1116" s="158"/>
      <c r="V1116" s="158"/>
      <c r="W1116" s="158"/>
      <c r="X1116" s="158"/>
      <c r="Y1116" s="158"/>
      <c r="Z1116" s="158"/>
      <c r="AA1116" s="158"/>
      <c r="AB1116" s="158"/>
      <c r="AC1116" s="158"/>
      <c r="AD1116" s="158"/>
      <c r="AE1116" s="158"/>
      <c r="AF1116" s="158"/>
      <c r="AG1116" s="158"/>
      <c r="AH1116" s="158"/>
      <c r="AI1116" s="158"/>
      <c r="AJ1116" s="158"/>
      <c r="AK1116" s="158"/>
      <c r="AL1116" s="158"/>
      <c r="AM1116" s="158"/>
      <c r="AN1116" s="158"/>
      <c r="AO1116" s="158"/>
      <c r="AP1116" s="158"/>
      <c r="AQ1116" s="158"/>
      <c r="AR1116" s="158"/>
      <c r="AS1116" s="158"/>
      <c r="AT1116" s="158"/>
      <c r="AU1116" s="158"/>
      <c r="AV1116" s="158"/>
      <c r="AW1116" s="158"/>
      <c r="AX1116" s="158"/>
    </row>
    <row r="1117" spans="1:50" s="107" customFormat="1" ht="34.5" customHeight="1" thickBot="1">
      <c r="A1117" s="689" t="s">
        <v>321</v>
      </c>
      <c r="B1117" s="231" t="s">
        <v>468</v>
      </c>
      <c r="C1117" s="1067">
        <f>CEILING((C1116+11*$Z$1),0.1)</f>
        <v>58.800000000000004</v>
      </c>
      <c r="D1117" s="1068"/>
      <c r="E1117" s="1067">
        <f>CEILING((E1116+11*$Z$1),0.1)</f>
        <v>58.800000000000004</v>
      </c>
      <c r="F1117" s="1068"/>
      <c r="G1117" s="1067">
        <f>CEILING((G1116+11*$Z$1),0.1)</f>
        <v>58.800000000000004</v>
      </c>
      <c r="H1117" s="1068"/>
      <c r="I1117" s="1061"/>
      <c r="J1117" s="1061"/>
      <c r="K1117" s="1061"/>
      <c r="L1117" s="1061"/>
      <c r="M1117" s="110"/>
      <c r="N1117" s="111"/>
      <c r="O1117" s="158"/>
      <c r="P1117" s="158"/>
      <c r="Q1117" s="158"/>
      <c r="R1117" s="158"/>
      <c r="S1117" s="158"/>
      <c r="T1117" s="158"/>
      <c r="U1117" s="158"/>
      <c r="V1117" s="158"/>
      <c r="W1117" s="158"/>
      <c r="X1117" s="158"/>
      <c r="Y1117" s="158"/>
      <c r="Z1117" s="158"/>
      <c r="AA1117" s="158"/>
      <c r="AB1117" s="158"/>
      <c r="AC1117" s="158"/>
      <c r="AD1117" s="158"/>
      <c r="AE1117" s="158"/>
      <c r="AF1117" s="158"/>
      <c r="AG1117" s="158"/>
      <c r="AH1117" s="158"/>
      <c r="AI1117" s="158"/>
      <c r="AJ1117" s="158"/>
      <c r="AK1117" s="158"/>
      <c r="AL1117" s="158"/>
      <c r="AM1117" s="158"/>
      <c r="AN1117" s="158"/>
      <c r="AO1117" s="158"/>
      <c r="AP1117" s="158"/>
      <c r="AQ1117" s="158"/>
      <c r="AR1117" s="158"/>
      <c r="AS1117" s="158"/>
      <c r="AT1117" s="158"/>
      <c r="AU1117" s="158"/>
      <c r="AV1117" s="158"/>
      <c r="AW1117" s="158"/>
      <c r="AX1117" s="158"/>
    </row>
    <row r="1118" spans="1:50" s="155" customFormat="1" ht="34.5" customHeight="1" thickTop="1">
      <c r="A1118" s="683" t="s">
        <v>472</v>
      </c>
      <c r="B1118" s="573"/>
      <c r="C1118" s="573"/>
      <c r="D1118" s="573"/>
      <c r="E1118" s="573"/>
      <c r="F1118" s="573"/>
      <c r="G1118" s="573"/>
      <c r="H1118" s="573"/>
      <c r="I1118" s="573"/>
      <c r="J1118" s="573"/>
      <c r="K1118" s="573"/>
      <c r="L1118" s="573"/>
      <c r="M1118" s="124"/>
      <c r="N1118" s="124"/>
      <c r="O1118" s="154"/>
      <c r="P1118" s="154"/>
      <c r="Q1118" s="154"/>
      <c r="R1118" s="154"/>
      <c r="S1118" s="154"/>
      <c r="T1118" s="154"/>
      <c r="U1118" s="154"/>
      <c r="V1118" s="154"/>
      <c r="W1118" s="154"/>
      <c r="X1118" s="154"/>
      <c r="Y1118" s="154"/>
      <c r="Z1118" s="154"/>
      <c r="AA1118" s="154"/>
      <c r="AB1118" s="154"/>
      <c r="AC1118" s="154"/>
      <c r="AD1118" s="154"/>
      <c r="AE1118" s="154"/>
      <c r="AF1118" s="154"/>
      <c r="AG1118" s="154"/>
      <c r="AH1118" s="154"/>
      <c r="AI1118" s="154"/>
      <c r="AJ1118" s="154"/>
      <c r="AK1118" s="154"/>
      <c r="AL1118" s="154"/>
      <c r="AM1118" s="154"/>
      <c r="AN1118" s="154"/>
      <c r="AO1118" s="154"/>
      <c r="AP1118" s="154"/>
      <c r="AQ1118" s="154"/>
      <c r="AR1118" s="154"/>
      <c r="AS1118" s="154"/>
      <c r="AT1118" s="154"/>
      <c r="AU1118" s="154"/>
      <c r="AV1118" s="154"/>
      <c r="AW1118" s="154"/>
      <c r="AX1118" s="154"/>
    </row>
    <row r="1119" spans="1:25" s="371" customFormat="1" ht="34.5" customHeight="1">
      <c r="A1119" s="163"/>
      <c r="B1119" s="164"/>
      <c r="C1119" s="164"/>
      <c r="D1119" s="164"/>
      <c r="E1119" s="164"/>
      <c r="F1119" s="164"/>
      <c r="G1119" s="164"/>
      <c r="H1119" s="164"/>
      <c r="I1119" s="164"/>
      <c r="J1119" s="164"/>
      <c r="K1119" s="370"/>
      <c r="L1119" s="370"/>
      <c r="M1119" s="166"/>
      <c r="N1119" s="388"/>
      <c r="O1119" s="388"/>
      <c r="P1119" s="388"/>
      <c r="Q1119" s="388"/>
      <c r="R1119" s="388"/>
      <c r="S1119" s="388"/>
      <c r="T1119" s="388"/>
      <c r="U1119" s="388"/>
      <c r="V1119" s="388"/>
      <c r="W1119" s="388"/>
      <c r="X1119" s="388"/>
      <c r="Y1119" s="388"/>
    </row>
    <row r="1120" spans="1:25" s="107" customFormat="1" ht="34.5" customHeight="1">
      <c r="A1120" s="1120" t="s">
        <v>977</v>
      </c>
      <c r="B1120" s="1120"/>
      <c r="C1120" s="1120"/>
      <c r="D1120" s="1120"/>
      <c r="E1120" s="1120"/>
      <c r="F1120" s="1120"/>
      <c r="G1120" s="1120"/>
      <c r="H1120" s="1120"/>
      <c r="I1120" s="1131"/>
      <c r="J1120" s="128"/>
      <c r="K1120" s="104"/>
      <c r="L1120" s="113"/>
      <c r="M1120" s="129"/>
      <c r="N1120" s="130"/>
      <c r="O1120" s="105"/>
      <c r="P1120" s="105"/>
      <c r="Q1120" s="105"/>
      <c r="R1120" s="105"/>
      <c r="S1120" s="105"/>
      <c r="T1120" s="105"/>
      <c r="U1120" s="105"/>
      <c r="V1120" s="105"/>
      <c r="W1120" s="105"/>
      <c r="X1120" s="105"/>
      <c r="Y1120" s="105"/>
    </row>
    <row r="1121" spans="1:25" s="107" customFormat="1" ht="34.5" customHeight="1">
      <c r="A1121" s="1120" t="s">
        <v>978</v>
      </c>
      <c r="B1121" s="1120"/>
      <c r="C1121" s="1120"/>
      <c r="D1121" s="1120"/>
      <c r="E1121" s="1120"/>
      <c r="F1121" s="1120"/>
      <c r="G1121" s="1120"/>
      <c r="H1121" s="1120"/>
      <c r="I1121" s="131"/>
      <c r="J1121" s="128"/>
      <c r="K1121" s="104"/>
      <c r="L1121" s="113"/>
      <c r="M1121" s="129"/>
      <c r="N1121" s="130"/>
      <c r="O1121" s="105"/>
      <c r="P1121" s="105"/>
      <c r="Q1121" s="105"/>
      <c r="R1121" s="105"/>
      <c r="S1121" s="105"/>
      <c r="T1121" s="105"/>
      <c r="U1121" s="105"/>
      <c r="V1121" s="105"/>
      <c r="W1121" s="105"/>
      <c r="X1121" s="105"/>
      <c r="Y1121" s="105"/>
    </row>
    <row r="1122" spans="1:25" s="107" customFormat="1" ht="34.5" customHeight="1">
      <c r="A1122" s="690"/>
      <c r="B1122" s="690"/>
      <c r="C1122" s="690"/>
      <c r="D1122" s="690"/>
      <c r="E1122" s="690"/>
      <c r="F1122" s="690"/>
      <c r="G1122" s="690"/>
      <c r="H1122" s="690"/>
      <c r="I1122" s="690"/>
      <c r="J1122" s="690"/>
      <c r="K1122" s="104"/>
      <c r="L1122" s="113"/>
      <c r="M1122" s="124"/>
      <c r="N1122" s="111"/>
      <c r="O1122" s="105"/>
      <c r="P1122" s="105"/>
      <c r="Q1122" s="105"/>
      <c r="R1122" s="105"/>
      <c r="S1122" s="105"/>
      <c r="T1122" s="105"/>
      <c r="U1122" s="105"/>
      <c r="V1122" s="105"/>
      <c r="W1122" s="105"/>
      <c r="X1122" s="105"/>
      <c r="Y1122" s="105"/>
    </row>
    <row r="1123" spans="1:25" s="15" customFormat="1" ht="34.5" customHeight="1">
      <c r="A1123" s="1237" t="s">
        <v>223</v>
      </c>
      <c r="B1123" s="1237"/>
      <c r="C1123" s="1237"/>
      <c r="D1123" s="1237"/>
      <c r="E1123" s="1237"/>
      <c r="F1123" s="1237"/>
      <c r="G1123" s="1237"/>
      <c r="H1123" s="1237"/>
      <c r="I1123" s="1237"/>
      <c r="J1123" s="1237"/>
      <c r="K1123" s="13"/>
      <c r="L1123" s="13"/>
      <c r="M1123" s="35"/>
      <c r="N1123" s="8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</row>
    <row r="1124" spans="1:25" s="15" customFormat="1" ht="34.5" customHeight="1" thickBot="1">
      <c r="A1124" s="1244" t="s">
        <v>111</v>
      </c>
      <c r="B1124" s="1244"/>
      <c r="C1124" s="1244"/>
      <c r="D1124" s="1244"/>
      <c r="E1124" s="1244"/>
      <c r="F1124" s="1244"/>
      <c r="G1124" s="1244"/>
      <c r="H1124" s="1244"/>
      <c r="I1124" s="1245"/>
      <c r="J1124" s="1245"/>
      <c r="K1124" s="37"/>
      <c r="L1124" s="13"/>
      <c r="M1124" s="35"/>
      <c r="N1124" s="8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</row>
    <row r="1125" spans="1:42" s="214" customFormat="1" ht="34.5" customHeight="1" thickTop="1">
      <c r="A1125" s="207" t="s">
        <v>34</v>
      </c>
      <c r="B1125" s="208" t="s">
        <v>637</v>
      </c>
      <c r="C1125" s="209" t="s">
        <v>921</v>
      </c>
      <c r="D1125" s="210"/>
      <c r="E1125" s="211" t="s">
        <v>922</v>
      </c>
      <c r="F1125" s="212"/>
      <c r="G1125" s="211" t="s">
        <v>923</v>
      </c>
      <c r="H1125" s="212"/>
      <c r="I1125" s="1070"/>
      <c r="J1125" s="1071"/>
      <c r="K1125" s="1070"/>
      <c r="L1125" s="1070"/>
      <c r="M1125" s="174"/>
      <c r="N1125" s="174"/>
      <c r="O1125" s="213"/>
      <c r="P1125" s="213"/>
      <c r="Q1125" s="213"/>
      <c r="R1125" s="213"/>
      <c r="S1125" s="213"/>
      <c r="T1125" s="213"/>
      <c r="U1125" s="213"/>
      <c r="V1125" s="213"/>
      <c r="W1125" s="213"/>
      <c r="X1125" s="213"/>
      <c r="Y1125" s="213"/>
      <c r="Z1125" s="213"/>
      <c r="AA1125" s="213"/>
      <c r="AB1125" s="213"/>
      <c r="AC1125" s="213"/>
      <c r="AD1125" s="213"/>
      <c r="AE1125" s="213"/>
      <c r="AF1125" s="213"/>
      <c r="AG1125" s="213"/>
      <c r="AH1125" s="213"/>
      <c r="AI1125" s="213"/>
      <c r="AJ1125" s="213"/>
      <c r="AK1125" s="213"/>
      <c r="AL1125" s="213"/>
      <c r="AM1125" s="213"/>
      <c r="AN1125" s="213"/>
      <c r="AO1125" s="213"/>
      <c r="AP1125" s="213"/>
    </row>
    <row r="1126" spans="1:25" s="107" customFormat="1" ht="34.5" customHeight="1">
      <c r="A1126" s="263" t="s">
        <v>112</v>
      </c>
      <c r="B1126" s="236" t="s">
        <v>35</v>
      </c>
      <c r="C1126" s="1063">
        <f>CEILING(70.2*$Z$1,0.1)</f>
        <v>87.80000000000001</v>
      </c>
      <c r="D1126" s="1064"/>
      <c r="E1126" s="1063">
        <f>CEILING(70.2*$Z$1,0.1)</f>
        <v>87.80000000000001</v>
      </c>
      <c r="F1126" s="1064"/>
      <c r="G1126" s="1063">
        <f>CEILING(70.2*$Z$1,0.1)</f>
        <v>87.80000000000001</v>
      </c>
      <c r="H1126" s="1064"/>
      <c r="I1126" s="1061"/>
      <c r="J1126" s="1061"/>
      <c r="K1126" s="1061"/>
      <c r="L1126" s="1061"/>
      <c r="M1126" s="124"/>
      <c r="N1126" s="111"/>
      <c r="O1126" s="105"/>
      <c r="P1126" s="105"/>
      <c r="Q1126" s="105"/>
      <c r="R1126" s="105"/>
      <c r="S1126" s="105"/>
      <c r="T1126" s="105"/>
      <c r="U1126" s="105"/>
      <c r="V1126" s="105"/>
      <c r="W1126" s="105"/>
      <c r="X1126" s="105"/>
      <c r="Y1126" s="105"/>
    </row>
    <row r="1127" spans="1:25" s="107" customFormat="1" ht="34.5" customHeight="1">
      <c r="A1127" s="265" t="s">
        <v>36</v>
      </c>
      <c r="B1127" s="238" t="s">
        <v>37</v>
      </c>
      <c r="C1127" s="1065">
        <f>CEILING((C1126+40*$Z$1),0.1)</f>
        <v>137.8</v>
      </c>
      <c r="D1127" s="1066"/>
      <c r="E1127" s="1065">
        <f>CEILING((E1126+31.2*$Z$1),0.1)</f>
        <v>126.80000000000001</v>
      </c>
      <c r="F1127" s="1066"/>
      <c r="G1127" s="1065">
        <f>CEILING((G1126+31.2*$Z$1),0.1)</f>
        <v>126.80000000000001</v>
      </c>
      <c r="H1127" s="1066"/>
      <c r="I1127" s="1061"/>
      <c r="J1127" s="1061"/>
      <c r="K1127" s="1061"/>
      <c r="L1127" s="1061"/>
      <c r="M1127" s="124"/>
      <c r="N1127" s="111"/>
      <c r="O1127" s="105"/>
      <c r="P1127" s="105"/>
      <c r="Q1127" s="105"/>
      <c r="R1127" s="105"/>
      <c r="S1127" s="105"/>
      <c r="T1127" s="105"/>
      <c r="U1127" s="105"/>
      <c r="V1127" s="105"/>
      <c r="W1127" s="105"/>
      <c r="X1127" s="105"/>
      <c r="Y1127" s="105"/>
    </row>
    <row r="1128" spans="1:25" s="107" customFormat="1" ht="34.5" customHeight="1">
      <c r="A1128" s="265"/>
      <c r="B1128" s="241" t="s">
        <v>70</v>
      </c>
      <c r="C1128" s="1065">
        <f>CEILING((C1126*0.85),0.1)</f>
        <v>74.7</v>
      </c>
      <c r="D1128" s="1066"/>
      <c r="E1128" s="1065">
        <f>CEILING((E1126*0.85),0.1)</f>
        <v>74.7</v>
      </c>
      <c r="F1128" s="1066"/>
      <c r="G1128" s="1065">
        <f>CEILING((G1126*0.85),0.1)</f>
        <v>74.7</v>
      </c>
      <c r="H1128" s="1066"/>
      <c r="I1128" s="1061"/>
      <c r="J1128" s="1061"/>
      <c r="K1128" s="1061"/>
      <c r="L1128" s="1061"/>
      <c r="M1128" s="124"/>
      <c r="N1128" s="124"/>
      <c r="O1128" s="105"/>
      <c r="P1128" s="105"/>
      <c r="Q1128" s="105"/>
      <c r="R1128" s="105"/>
      <c r="S1128" s="105"/>
      <c r="T1128" s="105"/>
      <c r="U1128" s="105"/>
      <c r="V1128" s="105"/>
      <c r="W1128" s="105"/>
      <c r="X1128" s="105"/>
      <c r="Y1128" s="105"/>
    </row>
    <row r="1129" spans="1:25" s="107" customFormat="1" ht="34.5" customHeight="1">
      <c r="A1129" s="265"/>
      <c r="B1129" s="238" t="s">
        <v>11</v>
      </c>
      <c r="C1129" s="1065">
        <f>CEILING(90*$Z$1,0.1)</f>
        <v>112.5</v>
      </c>
      <c r="D1129" s="1066"/>
      <c r="E1129" s="1065">
        <f>CEILING(90*$Z$1,0.1)</f>
        <v>112.5</v>
      </c>
      <c r="F1129" s="1066"/>
      <c r="G1129" s="1065">
        <f>CEILING(90*$Z$1,0.1)</f>
        <v>112.5</v>
      </c>
      <c r="H1129" s="1066"/>
      <c r="I1129" s="1061"/>
      <c r="J1129" s="1061"/>
      <c r="K1129" s="1061"/>
      <c r="L1129" s="1061"/>
      <c r="M1129" s="124"/>
      <c r="N1129" s="124"/>
      <c r="O1129" s="105"/>
      <c r="P1129" s="105"/>
      <c r="Q1129" s="105"/>
      <c r="R1129" s="105"/>
      <c r="S1129" s="105"/>
      <c r="T1129" s="105"/>
      <c r="U1129" s="105"/>
      <c r="V1129" s="105"/>
      <c r="W1129" s="105"/>
      <c r="X1129" s="105"/>
      <c r="Y1129" s="105"/>
    </row>
    <row r="1130" spans="1:25" s="107" customFormat="1" ht="34.5" customHeight="1">
      <c r="A1130" s="265"/>
      <c r="B1130" s="238" t="s">
        <v>12</v>
      </c>
      <c r="C1130" s="1065">
        <f>CEILING((C1129+40*$Z$1),0.1)</f>
        <v>162.5</v>
      </c>
      <c r="D1130" s="1066"/>
      <c r="E1130" s="1065">
        <f>CEILING((E1129+31.2*$Z$1),0.1)</f>
        <v>151.5</v>
      </c>
      <c r="F1130" s="1066"/>
      <c r="G1130" s="1065">
        <f>CEILING((G1129+31.2*$Z$1),0.1)</f>
        <v>151.5</v>
      </c>
      <c r="H1130" s="1066"/>
      <c r="I1130" s="1061"/>
      <c r="J1130" s="1061"/>
      <c r="K1130" s="1061"/>
      <c r="L1130" s="1061"/>
      <c r="M1130" s="124"/>
      <c r="N1130" s="124"/>
      <c r="O1130" s="105"/>
      <c r="P1130" s="105"/>
      <c r="Q1130" s="105"/>
      <c r="R1130" s="105"/>
      <c r="S1130" s="105"/>
      <c r="T1130" s="105"/>
      <c r="U1130" s="105"/>
      <c r="V1130" s="105"/>
      <c r="W1130" s="105"/>
      <c r="X1130" s="105"/>
      <c r="Y1130" s="105"/>
    </row>
    <row r="1131" spans="1:25" s="107" customFormat="1" ht="34.5" customHeight="1">
      <c r="A1131" s="981" t="s">
        <v>1053</v>
      </c>
      <c r="B1131" s="238" t="s">
        <v>275</v>
      </c>
      <c r="C1131" s="1065">
        <f>CEILING(94*$Z$1,0.1)</f>
        <v>117.5</v>
      </c>
      <c r="D1131" s="1066"/>
      <c r="E1131" s="1065">
        <f>CEILING(94*$Z$1,0.1)</f>
        <v>117.5</v>
      </c>
      <c r="F1131" s="1066"/>
      <c r="G1131" s="1065">
        <f>CEILING(94*$Z$1,0.1)</f>
        <v>117.5</v>
      </c>
      <c r="H1131" s="1066"/>
      <c r="I1131" s="1061"/>
      <c r="J1131" s="1061"/>
      <c r="K1131" s="1061"/>
      <c r="L1131" s="1061"/>
      <c r="M1131" s="130"/>
      <c r="N1131" s="130"/>
      <c r="O1131" s="105"/>
      <c r="P1131" s="105"/>
      <c r="Q1131" s="105"/>
      <c r="R1131" s="105"/>
      <c r="S1131" s="105"/>
      <c r="T1131" s="105"/>
      <c r="U1131" s="105"/>
      <c r="V1131" s="105"/>
      <c r="W1131" s="105"/>
      <c r="X1131" s="105"/>
      <c r="Y1131" s="105"/>
    </row>
    <row r="1132" spans="1:25" s="107" customFormat="1" ht="34.5" customHeight="1">
      <c r="A1132" s="265"/>
      <c r="B1132" s="331" t="s">
        <v>276</v>
      </c>
      <c r="C1132" s="1078">
        <f>CEILING((C1131+40*$Z$1),0.1)</f>
        <v>167.5</v>
      </c>
      <c r="D1132" s="1079"/>
      <c r="E1132" s="1078">
        <f>CEILING((E1131+31.2*$Z$1),0.1)</f>
        <v>156.5</v>
      </c>
      <c r="F1132" s="1079"/>
      <c r="G1132" s="1078">
        <f>CEILING((G1131+31.2*$Z$1),0.1)</f>
        <v>156.5</v>
      </c>
      <c r="H1132" s="1079"/>
      <c r="I1132" s="1061"/>
      <c r="J1132" s="1061"/>
      <c r="K1132" s="1061"/>
      <c r="L1132" s="1061"/>
      <c r="M1132" s="124"/>
      <c r="N1132" s="111"/>
      <c r="O1132" s="105"/>
      <c r="P1132" s="105"/>
      <c r="Q1132" s="105"/>
      <c r="R1132" s="105"/>
      <c r="S1132" s="105"/>
      <c r="T1132" s="105"/>
      <c r="U1132" s="105"/>
      <c r="V1132" s="105"/>
      <c r="W1132" s="105"/>
      <c r="X1132" s="105"/>
      <c r="Y1132" s="105"/>
    </row>
    <row r="1133" spans="1:25" s="107" customFormat="1" ht="34.5" customHeight="1">
      <c r="A1133" s="691"/>
      <c r="B1133" s="270" t="s">
        <v>240</v>
      </c>
      <c r="C1133" s="1063">
        <f>CEILING(98*$Z$1,0.1)</f>
        <v>122.5</v>
      </c>
      <c r="D1133" s="1064"/>
      <c r="E1133" s="1063">
        <f>CEILING(98*$Z$1,0.1)</f>
        <v>122.5</v>
      </c>
      <c r="F1133" s="1064"/>
      <c r="G1133" s="1063">
        <f>CEILING(98*$Z$1,0.1)</f>
        <v>122.5</v>
      </c>
      <c r="H1133" s="1064"/>
      <c r="I1133" s="1061"/>
      <c r="J1133" s="1061"/>
      <c r="K1133" s="1061"/>
      <c r="L1133" s="1061"/>
      <c r="M1133" s="124"/>
      <c r="N1133" s="111"/>
      <c r="O1133" s="105"/>
      <c r="P1133" s="105"/>
      <c r="Q1133" s="105"/>
      <c r="R1133" s="105"/>
      <c r="S1133" s="105"/>
      <c r="T1133" s="105"/>
      <c r="U1133" s="105"/>
      <c r="V1133" s="105"/>
      <c r="W1133" s="105"/>
      <c r="X1133" s="105"/>
      <c r="Y1133" s="105"/>
    </row>
    <row r="1134" spans="1:25" s="107" customFormat="1" ht="34.5" customHeight="1">
      <c r="A1134" s="432"/>
      <c r="B1134" s="266" t="s">
        <v>241</v>
      </c>
      <c r="C1134" s="1065">
        <f>CEILING((C1133+60*$Z$1),0.1)</f>
        <v>197.5</v>
      </c>
      <c r="D1134" s="1066"/>
      <c r="E1134" s="1065">
        <f>CEILING((E1133+47*$Z$1),0.1)</f>
        <v>181.3</v>
      </c>
      <c r="F1134" s="1066"/>
      <c r="G1134" s="1065">
        <f>CEILING((G1133+47*$Z$1),0.1)</f>
        <v>181.3</v>
      </c>
      <c r="H1134" s="1066"/>
      <c r="I1134" s="1061"/>
      <c r="J1134" s="1061"/>
      <c r="K1134" s="1061"/>
      <c r="L1134" s="1061"/>
      <c r="M1134" s="124"/>
      <c r="N1134" s="111"/>
      <c r="O1134" s="105"/>
      <c r="P1134" s="105"/>
      <c r="Q1134" s="105"/>
      <c r="R1134" s="105"/>
      <c r="S1134" s="105"/>
      <c r="T1134" s="105"/>
      <c r="U1134" s="105"/>
      <c r="V1134" s="105"/>
      <c r="W1134" s="105"/>
      <c r="X1134" s="105"/>
      <c r="Y1134" s="105"/>
    </row>
    <row r="1135" spans="1:25" s="107" customFormat="1" ht="34.5" customHeight="1">
      <c r="A1135" s="692"/>
      <c r="B1135" s="266" t="s">
        <v>242</v>
      </c>
      <c r="C1135" s="1065">
        <f>CEILING(148.2*$Z$1,0.1)</f>
        <v>185.3</v>
      </c>
      <c r="D1135" s="1066"/>
      <c r="E1135" s="1065">
        <f>CEILING(148.2*$Z$1,0.1)</f>
        <v>185.3</v>
      </c>
      <c r="F1135" s="1066"/>
      <c r="G1135" s="1065">
        <f>CEILING(148.2*$Z$1,0.1)</f>
        <v>185.3</v>
      </c>
      <c r="H1135" s="1066"/>
      <c r="I1135" s="1061"/>
      <c r="J1135" s="1061"/>
      <c r="K1135" s="1061"/>
      <c r="L1135" s="1061"/>
      <c r="M1135" s="124"/>
      <c r="N1135" s="111"/>
      <c r="O1135" s="105"/>
      <c r="P1135" s="105"/>
      <c r="Q1135" s="105"/>
      <c r="R1135" s="105"/>
      <c r="S1135" s="105"/>
      <c r="T1135" s="105"/>
      <c r="U1135" s="105"/>
      <c r="V1135" s="105"/>
      <c r="W1135" s="105"/>
      <c r="X1135" s="105"/>
      <c r="Y1135" s="105"/>
    </row>
    <row r="1136" spans="1:25" s="107" customFormat="1" ht="34.5" customHeight="1" thickBot="1">
      <c r="A1136" s="693" t="s">
        <v>1028</v>
      </c>
      <c r="B1136" s="524" t="s">
        <v>457</v>
      </c>
      <c r="C1136" s="1067">
        <f>CEILING((C1135+60*$Z$1),0.1)</f>
        <v>260.3</v>
      </c>
      <c r="D1136" s="1068"/>
      <c r="E1136" s="1067">
        <f>CEILING((E1135+47*$Z$1),0.1)</f>
        <v>244.10000000000002</v>
      </c>
      <c r="F1136" s="1068"/>
      <c r="G1136" s="1067">
        <f>CEILING((G1135+47*$Z$1),0.1)</f>
        <v>244.10000000000002</v>
      </c>
      <c r="H1136" s="1068"/>
      <c r="I1136" s="1061"/>
      <c r="J1136" s="1061"/>
      <c r="K1136" s="1061"/>
      <c r="L1136" s="1061"/>
      <c r="M1136" s="124"/>
      <c r="N1136" s="111"/>
      <c r="O1136" s="105"/>
      <c r="P1136" s="105"/>
      <c r="Q1136" s="105"/>
      <c r="R1136" s="105"/>
      <c r="S1136" s="105"/>
      <c r="T1136" s="105"/>
      <c r="U1136" s="105"/>
      <c r="V1136" s="105"/>
      <c r="W1136" s="105"/>
      <c r="X1136" s="105"/>
      <c r="Y1136" s="105"/>
    </row>
    <row r="1137" spans="1:25" s="107" customFormat="1" ht="34.5" customHeight="1" thickTop="1">
      <c r="A1137" s="1177" t="s">
        <v>159</v>
      </c>
      <c r="B1137" s="1177"/>
      <c r="C1137" s="1177"/>
      <c r="D1137" s="1177"/>
      <c r="E1137" s="1177"/>
      <c r="F1137" s="1177"/>
      <c r="G1137" s="1177"/>
      <c r="H1137" s="1177"/>
      <c r="I1137" s="1177"/>
      <c r="J1137" s="1177"/>
      <c r="K1137" s="113"/>
      <c r="L1137" s="104"/>
      <c r="M1137" s="110"/>
      <c r="N1137" s="111"/>
      <c r="O1137" s="105"/>
      <c r="P1137" s="105"/>
      <c r="Q1137" s="105"/>
      <c r="R1137" s="105"/>
      <c r="S1137" s="105"/>
      <c r="T1137" s="105"/>
      <c r="U1137" s="105"/>
      <c r="V1137" s="105"/>
      <c r="W1137" s="105"/>
      <c r="X1137" s="105"/>
      <c r="Y1137" s="105"/>
    </row>
    <row r="1138" spans="1:25" s="167" customFormat="1" ht="34.5" customHeight="1">
      <c r="A1138" s="163"/>
      <c r="B1138" s="188"/>
      <c r="C1138" s="163"/>
      <c r="D1138" s="163"/>
      <c r="E1138" s="163"/>
      <c r="F1138" s="163"/>
      <c r="G1138" s="163"/>
      <c r="H1138" s="163"/>
      <c r="I1138" s="189"/>
      <c r="J1138" s="189"/>
      <c r="K1138" s="190"/>
      <c r="L1138" s="190"/>
      <c r="M1138" s="191"/>
      <c r="N1138" s="191"/>
      <c r="O1138" s="166"/>
      <c r="P1138" s="166"/>
      <c r="Q1138" s="166"/>
      <c r="R1138" s="166"/>
      <c r="S1138" s="166"/>
      <c r="T1138" s="166"/>
      <c r="U1138" s="166"/>
      <c r="V1138" s="166"/>
      <c r="W1138" s="166"/>
      <c r="X1138" s="166"/>
      <c r="Y1138" s="166"/>
    </row>
    <row r="1139" spans="1:25" s="107" customFormat="1" ht="34.5" customHeight="1" thickBot="1">
      <c r="A1139" s="694"/>
      <c r="B1139" s="695"/>
      <c r="C1139" s="696"/>
      <c r="D1139" s="696"/>
      <c r="E1139" s="696"/>
      <c r="F1139" s="696"/>
      <c r="G1139" s="696"/>
      <c r="H1139" s="696"/>
      <c r="I1139" s="1176"/>
      <c r="J1139" s="1176"/>
      <c r="K1139" s="113"/>
      <c r="L1139" s="104"/>
      <c r="M1139" s="124"/>
      <c r="N1139" s="124"/>
      <c r="O1139" s="105"/>
      <c r="P1139" s="105"/>
      <c r="Q1139" s="105"/>
      <c r="R1139" s="105"/>
      <c r="S1139" s="105"/>
      <c r="T1139" s="105"/>
      <c r="U1139" s="105"/>
      <c r="V1139" s="105"/>
      <c r="W1139" s="105"/>
      <c r="X1139" s="105"/>
      <c r="Y1139" s="105"/>
    </row>
    <row r="1140" spans="1:42" s="214" customFormat="1" ht="34.5" customHeight="1" thickTop="1">
      <c r="A1140" s="207" t="s">
        <v>34</v>
      </c>
      <c r="B1140" s="208" t="s">
        <v>637</v>
      </c>
      <c r="C1140" s="209" t="s">
        <v>921</v>
      </c>
      <c r="D1140" s="210"/>
      <c r="E1140" s="211" t="s">
        <v>922</v>
      </c>
      <c r="F1140" s="212"/>
      <c r="G1140" s="211" t="s">
        <v>923</v>
      </c>
      <c r="H1140" s="212"/>
      <c r="I1140" s="1070"/>
      <c r="J1140" s="1071"/>
      <c r="K1140" s="1070"/>
      <c r="L1140" s="1070"/>
      <c r="M1140" s="174"/>
      <c r="N1140" s="174"/>
      <c r="O1140" s="213"/>
      <c r="P1140" s="213"/>
      <c r="Q1140" s="213"/>
      <c r="R1140" s="213"/>
      <c r="S1140" s="213"/>
      <c r="T1140" s="213"/>
      <c r="U1140" s="213"/>
      <c r="V1140" s="213"/>
      <c r="W1140" s="213"/>
      <c r="X1140" s="213"/>
      <c r="Y1140" s="213"/>
      <c r="Z1140" s="213"/>
      <c r="AA1140" s="213"/>
      <c r="AB1140" s="213"/>
      <c r="AC1140" s="213"/>
      <c r="AD1140" s="213"/>
      <c r="AE1140" s="213"/>
      <c r="AF1140" s="213"/>
      <c r="AG1140" s="213"/>
      <c r="AH1140" s="213"/>
      <c r="AI1140" s="213"/>
      <c r="AJ1140" s="213"/>
      <c r="AK1140" s="213"/>
      <c r="AL1140" s="213"/>
      <c r="AM1140" s="213"/>
      <c r="AN1140" s="213"/>
      <c r="AO1140" s="213"/>
      <c r="AP1140" s="213"/>
    </row>
    <row r="1141" spans="1:25" s="140" customFormat="1" ht="34.5" customHeight="1">
      <c r="A1141" s="697" t="s">
        <v>113</v>
      </c>
      <c r="B1141" s="698" t="s">
        <v>42</v>
      </c>
      <c r="C1141" s="1073">
        <f>CEILING(45*$Z$1,0.1)</f>
        <v>56.300000000000004</v>
      </c>
      <c r="D1141" s="1074"/>
      <c r="E1141" s="1073">
        <f>CEILING(45*$Z$1,0.1)</f>
        <v>56.300000000000004</v>
      </c>
      <c r="F1141" s="1074"/>
      <c r="G1141" s="1073">
        <f>CEILING(45*$Z$1,0.1)</f>
        <v>56.300000000000004</v>
      </c>
      <c r="H1141" s="1074"/>
      <c r="I1141" s="1061"/>
      <c r="J1141" s="1061"/>
      <c r="K1141" s="1061"/>
      <c r="L1141" s="1061"/>
      <c r="M1141" s="124"/>
      <c r="N1141" s="124"/>
      <c r="O1141" s="115"/>
      <c r="P1141" s="115"/>
      <c r="Q1141" s="115"/>
      <c r="R1141" s="115"/>
      <c r="S1141" s="115"/>
      <c r="T1141" s="115"/>
      <c r="U1141" s="115"/>
      <c r="V1141" s="115"/>
      <c r="W1141" s="115"/>
      <c r="X1141" s="115"/>
      <c r="Y1141" s="115"/>
    </row>
    <row r="1142" spans="1:25" s="140" customFormat="1" ht="34.5" customHeight="1">
      <c r="A1142" s="699" t="s">
        <v>50</v>
      </c>
      <c r="B1142" s="700" t="s">
        <v>43</v>
      </c>
      <c r="C1142" s="1057">
        <f>CEILING((C1141+20*$Z$1),0.1)</f>
        <v>81.30000000000001</v>
      </c>
      <c r="D1142" s="1058"/>
      <c r="E1142" s="1057">
        <f>CEILING((E1141+20*$Z$1),0.1)</f>
        <v>81.30000000000001</v>
      </c>
      <c r="F1142" s="1058"/>
      <c r="G1142" s="1057">
        <f>CEILING((G1141+20*$Z$1),0.1)</f>
        <v>81.30000000000001</v>
      </c>
      <c r="H1142" s="1058"/>
      <c r="I1142" s="1061"/>
      <c r="J1142" s="1061"/>
      <c r="K1142" s="1061"/>
      <c r="L1142" s="1061"/>
      <c r="M1142" s="124"/>
      <c r="N1142" s="124"/>
      <c r="O1142" s="115"/>
      <c r="P1142" s="115"/>
      <c r="Q1142" s="115"/>
      <c r="R1142" s="115"/>
      <c r="S1142" s="115"/>
      <c r="T1142" s="115"/>
      <c r="U1142" s="115"/>
      <c r="V1142" s="115"/>
      <c r="W1142" s="115"/>
      <c r="X1142" s="115"/>
      <c r="Y1142" s="115"/>
    </row>
    <row r="1143" spans="1:25" s="140" customFormat="1" ht="34.5" customHeight="1">
      <c r="A1143" s="701"/>
      <c r="B1143" s="700" t="s">
        <v>70</v>
      </c>
      <c r="C1143" s="1057">
        <f>CEILING((C1141*0.75),0.1)</f>
        <v>42.300000000000004</v>
      </c>
      <c r="D1143" s="1058"/>
      <c r="E1143" s="1057">
        <f>CEILING((E1141*0.75),0.1)</f>
        <v>42.300000000000004</v>
      </c>
      <c r="F1143" s="1058"/>
      <c r="G1143" s="1057">
        <f>CEILING((G1141*0.75),0.1)</f>
        <v>42.300000000000004</v>
      </c>
      <c r="H1143" s="1058"/>
      <c r="I1143" s="1061"/>
      <c r="J1143" s="1061"/>
      <c r="K1143" s="1061"/>
      <c r="L1143" s="1061"/>
      <c r="M1143" s="124"/>
      <c r="N1143" s="124"/>
      <c r="O1143" s="115"/>
      <c r="P1143" s="115"/>
      <c r="Q1143" s="115"/>
      <c r="R1143" s="115"/>
      <c r="S1143" s="115"/>
      <c r="T1143" s="115"/>
      <c r="U1143" s="115"/>
      <c r="V1143" s="115"/>
      <c r="W1143" s="115"/>
      <c r="X1143" s="115"/>
      <c r="Y1143" s="115"/>
    </row>
    <row r="1144" spans="1:25" s="140" customFormat="1" ht="34.5" customHeight="1">
      <c r="A1144" s="701"/>
      <c r="B1144" s="702" t="s">
        <v>764</v>
      </c>
      <c r="C1144" s="1057">
        <f>CEILING((C1141*0.5),0.1)</f>
        <v>28.200000000000003</v>
      </c>
      <c r="D1144" s="1058"/>
      <c r="E1144" s="1057">
        <f>CEILING((E1141*0.5),0.1)</f>
        <v>28.200000000000003</v>
      </c>
      <c r="F1144" s="1058"/>
      <c r="G1144" s="1057">
        <f>CEILING((G1141*0.5),0.1)</f>
        <v>28.200000000000003</v>
      </c>
      <c r="H1144" s="1058"/>
      <c r="I1144" s="1061"/>
      <c r="J1144" s="1061"/>
      <c r="K1144" s="1061"/>
      <c r="L1144" s="1061"/>
      <c r="M1144" s="124"/>
      <c r="N1144" s="124"/>
      <c r="O1144" s="115"/>
      <c r="P1144" s="115"/>
      <c r="Q1144" s="115"/>
      <c r="R1144" s="115"/>
      <c r="S1144" s="115"/>
      <c r="T1144" s="115"/>
      <c r="U1144" s="115"/>
      <c r="V1144" s="115"/>
      <c r="W1144" s="115"/>
      <c r="X1144" s="115"/>
      <c r="Y1144" s="115"/>
    </row>
    <row r="1145" spans="1:25" s="140" customFormat="1" ht="34.5" customHeight="1">
      <c r="A1145" s="701"/>
      <c r="B1145" s="700" t="s">
        <v>376</v>
      </c>
      <c r="C1145" s="1057">
        <f>CEILING(55*$Z$1,0.1)</f>
        <v>68.8</v>
      </c>
      <c r="D1145" s="1058"/>
      <c r="E1145" s="1057">
        <f>CEILING(55*$Z$1,0.1)</f>
        <v>68.8</v>
      </c>
      <c r="F1145" s="1058"/>
      <c r="G1145" s="1057">
        <f>CEILING(55*$Z$1,0.1)</f>
        <v>68.8</v>
      </c>
      <c r="H1145" s="1058"/>
      <c r="I1145" s="1061"/>
      <c r="J1145" s="1061"/>
      <c r="K1145" s="1061"/>
      <c r="L1145" s="1061"/>
      <c r="M1145" s="483"/>
      <c r="N1145" s="483"/>
      <c r="O1145" s="115"/>
      <c r="P1145" s="115"/>
      <c r="Q1145" s="115"/>
      <c r="R1145" s="115"/>
      <c r="S1145" s="115"/>
      <c r="T1145" s="115"/>
      <c r="U1145" s="115"/>
      <c r="V1145" s="115"/>
      <c r="W1145" s="115"/>
      <c r="X1145" s="115"/>
      <c r="Y1145" s="115"/>
    </row>
    <row r="1146" spans="1:25" s="140" customFormat="1" ht="34.5" customHeight="1">
      <c r="A1146" s="703"/>
      <c r="B1146" s="700" t="s">
        <v>377</v>
      </c>
      <c r="C1146" s="1057">
        <f>CEILING((C1145+20*$Z$1),0.1)</f>
        <v>93.80000000000001</v>
      </c>
      <c r="D1146" s="1058"/>
      <c r="E1146" s="1057">
        <f>CEILING((E1145+20*$Z$1),0.1)</f>
        <v>93.80000000000001</v>
      </c>
      <c r="F1146" s="1058"/>
      <c r="G1146" s="1057">
        <f>CEILING((G1145+20*$Z$1),0.1)</f>
        <v>93.80000000000001</v>
      </c>
      <c r="H1146" s="1058"/>
      <c r="I1146" s="1061"/>
      <c r="J1146" s="1061"/>
      <c r="K1146" s="1061"/>
      <c r="L1146" s="1061"/>
      <c r="M1146" s="483"/>
      <c r="N1146" s="483"/>
      <c r="O1146" s="115"/>
      <c r="P1146" s="115"/>
      <c r="Q1146" s="115"/>
      <c r="R1146" s="115"/>
      <c r="S1146" s="115"/>
      <c r="T1146" s="115"/>
      <c r="U1146" s="115"/>
      <c r="V1146" s="115"/>
      <c r="W1146" s="115"/>
      <c r="X1146" s="115"/>
      <c r="Y1146" s="115"/>
    </row>
    <row r="1147" spans="1:25" s="140" customFormat="1" ht="34.5" customHeight="1">
      <c r="A1147" s="701"/>
      <c r="B1147" s="700" t="s">
        <v>378</v>
      </c>
      <c r="C1147" s="1057">
        <f>CEILING(65*$Z$1,0.1)</f>
        <v>81.30000000000001</v>
      </c>
      <c r="D1147" s="1058"/>
      <c r="E1147" s="1057">
        <f>CEILING(65*$Z$1,0.1)</f>
        <v>81.30000000000001</v>
      </c>
      <c r="F1147" s="1058"/>
      <c r="G1147" s="1057">
        <f>CEILING(65*$Z$1,0.1)</f>
        <v>81.30000000000001</v>
      </c>
      <c r="H1147" s="1058"/>
      <c r="I1147" s="1061"/>
      <c r="J1147" s="1061"/>
      <c r="K1147" s="1061"/>
      <c r="L1147" s="1061"/>
      <c r="M1147" s="483"/>
      <c r="N1147" s="483"/>
      <c r="O1147" s="115"/>
      <c r="P1147" s="115"/>
      <c r="Q1147" s="115"/>
      <c r="R1147" s="115"/>
      <c r="S1147" s="115"/>
      <c r="T1147" s="115"/>
      <c r="U1147" s="115"/>
      <c r="V1147" s="115"/>
      <c r="W1147" s="115"/>
      <c r="X1147" s="115"/>
      <c r="Y1147" s="115"/>
    </row>
    <row r="1148" spans="1:48" s="232" customFormat="1" ht="34.5" customHeight="1" thickBot="1">
      <c r="A1148" s="704"/>
      <c r="B1148" s="705" t="s">
        <v>379</v>
      </c>
      <c r="C1148" s="1076">
        <f>CEILING((C1147+20*$Z$1),0.1)</f>
        <v>106.30000000000001</v>
      </c>
      <c r="D1148" s="1077"/>
      <c r="E1148" s="1076">
        <f>CEILING((E1147+20*$Z$1),0.1)</f>
        <v>106.30000000000001</v>
      </c>
      <c r="F1148" s="1077"/>
      <c r="G1148" s="1076">
        <f>CEILING((G1147+20*$Z$1),0.1)</f>
        <v>106.30000000000001</v>
      </c>
      <c r="H1148" s="1077"/>
      <c r="I1148" s="1061"/>
      <c r="J1148" s="1061"/>
      <c r="K1148" s="1061"/>
      <c r="L1148" s="1061"/>
      <c r="M1148" s="483"/>
      <c r="N1148" s="483"/>
      <c r="O1148" s="115"/>
      <c r="P1148" s="115"/>
      <c r="Q1148" s="115"/>
      <c r="R1148" s="115"/>
      <c r="S1148" s="115"/>
      <c r="T1148" s="115"/>
      <c r="U1148" s="115"/>
      <c r="V1148" s="115"/>
      <c r="W1148" s="115"/>
      <c r="X1148" s="115"/>
      <c r="Y1148" s="115"/>
      <c r="Z1148" s="140"/>
      <c r="AA1148" s="140"/>
      <c r="AB1148" s="140"/>
      <c r="AC1148" s="140"/>
      <c r="AD1148" s="140"/>
      <c r="AE1148" s="140"/>
      <c r="AF1148" s="140"/>
      <c r="AG1148" s="140"/>
      <c r="AH1148" s="140"/>
      <c r="AI1148" s="140"/>
      <c r="AJ1148" s="140"/>
      <c r="AK1148" s="140"/>
      <c r="AL1148" s="140"/>
      <c r="AM1148" s="140"/>
      <c r="AN1148" s="140"/>
      <c r="AO1148" s="140"/>
      <c r="AP1148" s="140"/>
      <c r="AQ1148" s="140"/>
      <c r="AR1148" s="140"/>
      <c r="AS1148" s="140"/>
      <c r="AT1148" s="140"/>
      <c r="AU1148" s="140"/>
      <c r="AV1148" s="140"/>
    </row>
    <row r="1149" spans="1:25" s="167" customFormat="1" ht="34.5" customHeight="1" thickTop="1">
      <c r="A1149" s="163" t="s">
        <v>940</v>
      </c>
      <c r="B1149" s="188"/>
      <c r="C1149" s="163"/>
      <c r="D1149" s="163"/>
      <c r="E1149" s="163"/>
      <c r="F1149" s="163"/>
      <c r="G1149" s="163"/>
      <c r="H1149" s="163"/>
      <c r="I1149" s="189"/>
      <c r="J1149" s="189"/>
      <c r="K1149" s="190"/>
      <c r="L1149" s="190"/>
      <c r="M1149" s="191"/>
      <c r="N1149" s="191"/>
      <c r="O1149" s="166"/>
      <c r="P1149" s="166"/>
      <c r="Q1149" s="166"/>
      <c r="R1149" s="166"/>
      <c r="S1149" s="166"/>
      <c r="T1149" s="166"/>
      <c r="U1149" s="166"/>
      <c r="V1149" s="166"/>
      <c r="W1149" s="166"/>
      <c r="X1149" s="166"/>
      <c r="Y1149" s="166"/>
    </row>
    <row r="1150" spans="1:14" s="114" customFormat="1" ht="34.5" customHeight="1" thickBot="1">
      <c r="A1150" s="164"/>
      <c r="B1150" s="164"/>
      <c r="C1150" s="164"/>
      <c r="D1150" s="164"/>
      <c r="E1150" s="164"/>
      <c r="F1150" s="164"/>
      <c r="G1150" s="164"/>
      <c r="H1150" s="164"/>
      <c r="I1150" s="164"/>
      <c r="J1150" s="164"/>
      <c r="K1150" s="164"/>
      <c r="L1150" s="164"/>
      <c r="M1150" s="124"/>
      <c r="N1150" s="124"/>
    </row>
    <row r="1151" spans="1:42" s="214" customFormat="1" ht="34.5" customHeight="1" thickTop="1">
      <c r="A1151" s="207" t="s">
        <v>34</v>
      </c>
      <c r="B1151" s="208" t="s">
        <v>637</v>
      </c>
      <c r="C1151" s="209" t="s">
        <v>979</v>
      </c>
      <c r="D1151" s="210"/>
      <c r="E1151" s="211" t="s">
        <v>980</v>
      </c>
      <c r="F1151" s="212"/>
      <c r="G1151" s="211" t="s">
        <v>923</v>
      </c>
      <c r="H1151" s="212"/>
      <c r="I1151" s="1070"/>
      <c r="J1151" s="1071"/>
      <c r="K1151" s="1070"/>
      <c r="L1151" s="1070"/>
      <c r="M1151" s="174"/>
      <c r="N1151" s="174"/>
      <c r="O1151" s="213"/>
      <c r="P1151" s="213"/>
      <c r="Q1151" s="213"/>
      <c r="R1151" s="213"/>
      <c r="S1151" s="213"/>
      <c r="T1151" s="213"/>
      <c r="U1151" s="213"/>
      <c r="V1151" s="213"/>
      <c r="W1151" s="213"/>
      <c r="X1151" s="213"/>
      <c r="Y1151" s="213"/>
      <c r="Z1151" s="213"/>
      <c r="AA1151" s="213"/>
      <c r="AB1151" s="213"/>
      <c r="AC1151" s="213"/>
      <c r="AD1151" s="213"/>
      <c r="AE1151" s="213"/>
      <c r="AF1151" s="213"/>
      <c r="AG1151" s="213"/>
      <c r="AH1151" s="213"/>
      <c r="AI1151" s="213"/>
      <c r="AJ1151" s="213"/>
      <c r="AK1151" s="213"/>
      <c r="AL1151" s="213"/>
      <c r="AM1151" s="213"/>
      <c r="AN1151" s="213"/>
      <c r="AO1151" s="213"/>
      <c r="AP1151" s="213"/>
    </row>
    <row r="1152" spans="1:25" s="140" customFormat="1" ht="34.5" customHeight="1">
      <c r="A1152" s="300" t="s">
        <v>796</v>
      </c>
      <c r="B1152" s="264" t="s">
        <v>798</v>
      </c>
      <c r="C1152" s="1073">
        <f>CEILING(51*$Z$1,0.1)</f>
        <v>63.800000000000004</v>
      </c>
      <c r="D1152" s="1074"/>
      <c r="E1152" s="1073">
        <f>CEILING(65*$Z$1,0.1)</f>
        <v>81.30000000000001</v>
      </c>
      <c r="F1152" s="1074"/>
      <c r="G1152" s="1073">
        <f>CEILING(51*$Z$1,0.1)</f>
        <v>63.800000000000004</v>
      </c>
      <c r="H1152" s="1074"/>
      <c r="I1152" s="1061"/>
      <c r="J1152" s="1061"/>
      <c r="K1152" s="1061"/>
      <c r="L1152" s="1061"/>
      <c r="M1152" s="124"/>
      <c r="N1152" s="124"/>
      <c r="O1152" s="115"/>
      <c r="P1152" s="115"/>
      <c r="Q1152" s="115"/>
      <c r="R1152" s="115"/>
      <c r="S1152" s="115"/>
      <c r="T1152" s="115"/>
      <c r="U1152" s="115"/>
      <c r="V1152" s="115"/>
      <c r="W1152" s="115"/>
      <c r="X1152" s="115"/>
      <c r="Y1152" s="115"/>
    </row>
    <row r="1153" spans="1:25" s="140" customFormat="1" ht="34.5" customHeight="1">
      <c r="A1153" s="295" t="s">
        <v>50</v>
      </c>
      <c r="B1153" s="241" t="s">
        <v>799</v>
      </c>
      <c r="C1153" s="1057">
        <f>CEILING((C1152+15*$Z$1),0.1)</f>
        <v>82.60000000000001</v>
      </c>
      <c r="D1153" s="1058"/>
      <c r="E1153" s="1057">
        <f>CEILING((E1152+15*$Z$1),0.1)</f>
        <v>100.10000000000001</v>
      </c>
      <c r="F1153" s="1058"/>
      <c r="G1153" s="1057">
        <f>CEILING((G1152+15*$Z$1),0.1)</f>
        <v>82.60000000000001</v>
      </c>
      <c r="H1153" s="1058"/>
      <c r="I1153" s="1061"/>
      <c r="J1153" s="1061"/>
      <c r="K1153" s="1061"/>
      <c r="L1153" s="1061"/>
      <c r="M1153" s="124"/>
      <c r="N1153" s="124"/>
      <c r="O1153" s="115"/>
      <c r="P1153" s="115"/>
      <c r="Q1153" s="115"/>
      <c r="R1153" s="115"/>
      <c r="S1153" s="115"/>
      <c r="T1153" s="115"/>
      <c r="U1153" s="115"/>
      <c r="V1153" s="115"/>
      <c r="W1153" s="115"/>
      <c r="X1153" s="115"/>
      <c r="Y1153" s="115"/>
    </row>
    <row r="1154" spans="1:25" s="140" customFormat="1" ht="34.5" customHeight="1">
      <c r="A1154" s="574"/>
      <c r="B1154" s="241" t="s">
        <v>70</v>
      </c>
      <c r="C1154" s="1057">
        <f>CEILING((C1152*0.87),0.1)</f>
        <v>55.6</v>
      </c>
      <c r="D1154" s="1058"/>
      <c r="E1154" s="1057">
        <f>CEILING((E1152*0.85),0.1)</f>
        <v>69.2</v>
      </c>
      <c r="F1154" s="1058"/>
      <c r="G1154" s="1057">
        <f>CEILING((G1152*0.87),0.1)</f>
        <v>55.6</v>
      </c>
      <c r="H1154" s="1058"/>
      <c r="I1154" s="1061"/>
      <c r="J1154" s="1061"/>
      <c r="K1154" s="1061"/>
      <c r="L1154" s="1061"/>
      <c r="M1154" s="124"/>
      <c r="N1154" s="124"/>
      <c r="O1154" s="115"/>
      <c r="P1154" s="115"/>
      <c r="Q1154" s="115"/>
      <c r="R1154" s="115"/>
      <c r="S1154" s="115"/>
      <c r="T1154" s="115"/>
      <c r="U1154" s="115"/>
      <c r="V1154" s="115"/>
      <c r="W1154" s="115"/>
      <c r="X1154" s="115"/>
      <c r="Y1154" s="115"/>
    </row>
    <row r="1155" spans="1:25" s="140" customFormat="1" ht="34.5" customHeight="1">
      <c r="A1155" s="574" t="s">
        <v>805</v>
      </c>
      <c r="B1155" s="219" t="s">
        <v>764</v>
      </c>
      <c r="C1155" s="1057">
        <f>CEILING((C1178*0),0.1)</f>
        <v>0</v>
      </c>
      <c r="D1155" s="1058"/>
      <c r="E1155" s="1057">
        <f>CEILING((E1178*0),0.1)</f>
        <v>0</v>
      </c>
      <c r="F1155" s="1058"/>
      <c r="G1155" s="1057">
        <f>CEILING((G1178*0),0.1)</f>
        <v>0</v>
      </c>
      <c r="H1155" s="1058"/>
      <c r="I1155" s="1061"/>
      <c r="J1155" s="1061"/>
      <c r="K1155" s="1061"/>
      <c r="L1155" s="1061"/>
      <c r="M1155" s="124"/>
      <c r="N1155" s="124"/>
      <c r="O1155" s="115"/>
      <c r="P1155" s="115"/>
      <c r="Q1155" s="115"/>
      <c r="R1155" s="115"/>
      <c r="S1155" s="115"/>
      <c r="T1155" s="115"/>
      <c r="U1155" s="115"/>
      <c r="V1155" s="115"/>
      <c r="W1155" s="115"/>
      <c r="X1155" s="115"/>
      <c r="Y1155" s="115"/>
    </row>
    <row r="1156" spans="1:25" s="140" customFormat="1" ht="34.5" customHeight="1">
      <c r="A1156" s="574"/>
      <c r="B1156" s="266" t="s">
        <v>800</v>
      </c>
      <c r="C1156" s="1057">
        <f>CEILING(56*$Z$1,0.1)</f>
        <v>70</v>
      </c>
      <c r="D1156" s="1058"/>
      <c r="E1156" s="1057">
        <f>CEILING(70*$Z$1,0.1)</f>
        <v>87.5</v>
      </c>
      <c r="F1156" s="1058"/>
      <c r="G1156" s="1057">
        <f>CEILING(56*$Z$1,0.1)</f>
        <v>70</v>
      </c>
      <c r="H1156" s="1058"/>
      <c r="I1156" s="1061"/>
      <c r="J1156" s="1061"/>
      <c r="K1156" s="1061"/>
      <c r="L1156" s="1061"/>
      <c r="M1156" s="483"/>
      <c r="N1156" s="483"/>
      <c r="O1156" s="115"/>
      <c r="P1156" s="115"/>
      <c r="Q1156" s="115"/>
      <c r="R1156" s="115"/>
      <c r="S1156" s="115"/>
      <c r="T1156" s="115"/>
      <c r="U1156" s="115"/>
      <c r="V1156" s="115"/>
      <c r="W1156" s="115"/>
      <c r="X1156" s="115"/>
      <c r="Y1156" s="115"/>
    </row>
    <row r="1157" spans="1:25" s="140" customFormat="1" ht="34.5" customHeight="1">
      <c r="A1157" s="574"/>
      <c r="B1157" s="266" t="s">
        <v>379</v>
      </c>
      <c r="C1157" s="1057">
        <f>CEILING((C1156+20*$Z$1),0.1)</f>
        <v>95</v>
      </c>
      <c r="D1157" s="1058"/>
      <c r="E1157" s="1057">
        <f>CEILING((E1156+20*$Z$1),0.1)</f>
        <v>112.5</v>
      </c>
      <c r="F1157" s="1058"/>
      <c r="G1157" s="1057">
        <f>CEILING((G1156+20*$Z$1),0.1)</f>
        <v>95</v>
      </c>
      <c r="H1157" s="1058"/>
      <c r="I1157" s="1061"/>
      <c r="J1157" s="1061"/>
      <c r="K1157" s="1061"/>
      <c r="L1157" s="1061"/>
      <c r="M1157" s="483"/>
      <c r="N1157" s="483"/>
      <c r="O1157" s="115"/>
      <c r="P1157" s="115"/>
      <c r="Q1157" s="115"/>
      <c r="R1157" s="115"/>
      <c r="S1157" s="115"/>
      <c r="T1157" s="115"/>
      <c r="U1157" s="115"/>
      <c r="V1157" s="115"/>
      <c r="W1157" s="115"/>
      <c r="X1157" s="115"/>
      <c r="Y1157" s="115"/>
    </row>
    <row r="1158" spans="1:25" s="140" customFormat="1" ht="34.5" customHeight="1">
      <c r="A1158" s="574"/>
      <c r="B1158" s="266" t="s">
        <v>801</v>
      </c>
      <c r="C1158" s="1057">
        <f>CEILING(61*$Z$1,0.1)</f>
        <v>76.3</v>
      </c>
      <c r="D1158" s="1058"/>
      <c r="E1158" s="1057">
        <f>CEILING(75*$Z$1,0.1)</f>
        <v>93.80000000000001</v>
      </c>
      <c r="F1158" s="1058"/>
      <c r="G1158" s="1057">
        <f>CEILING(61*$Z$1,0.1)</f>
        <v>76.3</v>
      </c>
      <c r="H1158" s="1058"/>
      <c r="I1158" s="1061"/>
      <c r="J1158" s="1061"/>
      <c r="K1158" s="1061"/>
      <c r="L1158" s="1061"/>
      <c r="M1158" s="483"/>
      <c r="N1158" s="483"/>
      <c r="O1158" s="115"/>
      <c r="P1158" s="115"/>
      <c r="Q1158" s="115"/>
      <c r="R1158" s="115"/>
      <c r="S1158" s="115"/>
      <c r="T1158" s="115"/>
      <c r="U1158" s="115"/>
      <c r="V1158" s="115"/>
      <c r="W1158" s="115"/>
      <c r="X1158" s="115"/>
      <c r="Y1158" s="115"/>
    </row>
    <row r="1159" spans="1:25" s="140" customFormat="1" ht="34.5" customHeight="1">
      <c r="A1159" s="574"/>
      <c r="B1159" s="266" t="s">
        <v>802</v>
      </c>
      <c r="C1159" s="1057">
        <f>CEILING((C1158+15*$Z$1),0.1)</f>
        <v>95.10000000000001</v>
      </c>
      <c r="D1159" s="1058"/>
      <c r="E1159" s="1057">
        <f>CEILING((E1158+15*$Z$1),0.1)</f>
        <v>112.60000000000001</v>
      </c>
      <c r="F1159" s="1058"/>
      <c r="G1159" s="1057">
        <f>CEILING((G1158+15*$Z$1),0.1)</f>
        <v>95.10000000000001</v>
      </c>
      <c r="H1159" s="1058"/>
      <c r="I1159" s="1061"/>
      <c r="J1159" s="1061"/>
      <c r="K1159" s="1061"/>
      <c r="L1159" s="1061"/>
      <c r="M1159" s="483"/>
      <c r="N1159" s="483"/>
      <c r="O1159" s="115"/>
      <c r="P1159" s="115"/>
      <c r="Q1159" s="115"/>
      <c r="R1159" s="115"/>
      <c r="S1159" s="115"/>
      <c r="T1159" s="115"/>
      <c r="U1159" s="115"/>
      <c r="V1159" s="115"/>
      <c r="W1159" s="115"/>
      <c r="X1159" s="115"/>
      <c r="Y1159" s="115"/>
    </row>
    <row r="1160" spans="1:80" s="473" customFormat="1" ht="34.5" customHeight="1">
      <c r="A1160" s="706" t="s">
        <v>797</v>
      </c>
      <c r="B1160" s="481" t="s">
        <v>803</v>
      </c>
      <c r="C1160" s="1059">
        <f>CEILING(91*$Z$1,0.1)</f>
        <v>113.80000000000001</v>
      </c>
      <c r="D1160" s="1060"/>
      <c r="E1160" s="1059">
        <f>CEILING(105*$Z$1,0.1)</f>
        <v>131.3</v>
      </c>
      <c r="F1160" s="1060"/>
      <c r="G1160" s="1059">
        <f>CEILING(91*$Z$1,0.1)</f>
        <v>113.80000000000001</v>
      </c>
      <c r="H1160" s="1060"/>
      <c r="I1160" s="1061"/>
      <c r="J1160" s="1061"/>
      <c r="K1160" s="1061"/>
      <c r="L1160" s="1061"/>
      <c r="M1160" s="483"/>
      <c r="N1160" s="483"/>
      <c r="O1160" s="115"/>
      <c r="P1160" s="115"/>
      <c r="Q1160" s="115"/>
      <c r="R1160" s="115"/>
      <c r="S1160" s="115"/>
      <c r="T1160" s="115"/>
      <c r="U1160" s="115"/>
      <c r="V1160" s="115"/>
      <c r="W1160" s="115"/>
      <c r="X1160" s="115"/>
      <c r="Y1160" s="115"/>
      <c r="Z1160" s="140"/>
      <c r="AA1160" s="140"/>
      <c r="AB1160" s="140"/>
      <c r="AC1160" s="140"/>
      <c r="AD1160" s="140"/>
      <c r="AE1160" s="140"/>
      <c r="AF1160" s="140"/>
      <c r="AG1160" s="140"/>
      <c r="AH1160" s="140"/>
      <c r="AI1160" s="140"/>
      <c r="AJ1160" s="140"/>
      <c r="AK1160" s="140"/>
      <c r="AL1160" s="140"/>
      <c r="AM1160" s="140"/>
      <c r="AN1160" s="140"/>
      <c r="AO1160" s="140"/>
      <c r="AP1160" s="140"/>
      <c r="AQ1160" s="140"/>
      <c r="AR1160" s="140"/>
      <c r="AS1160" s="140"/>
      <c r="AT1160" s="140"/>
      <c r="AU1160" s="140"/>
      <c r="AV1160" s="140"/>
      <c r="AW1160" s="140"/>
      <c r="AX1160" s="140"/>
      <c r="AY1160" s="140"/>
      <c r="AZ1160" s="140"/>
      <c r="BA1160" s="140"/>
      <c r="BB1160" s="140"/>
      <c r="BC1160" s="140"/>
      <c r="BD1160" s="140"/>
      <c r="BE1160" s="140"/>
      <c r="BF1160" s="140"/>
      <c r="BG1160" s="140"/>
      <c r="BH1160" s="140"/>
      <c r="BI1160" s="140"/>
      <c r="BJ1160" s="140"/>
      <c r="BK1160" s="140"/>
      <c r="BL1160" s="140"/>
      <c r="BM1160" s="140"/>
      <c r="BN1160" s="140"/>
      <c r="BO1160" s="140"/>
      <c r="BP1160" s="140"/>
      <c r="BQ1160" s="140"/>
      <c r="BR1160" s="140"/>
      <c r="BS1160" s="140"/>
      <c r="BT1160" s="140"/>
      <c r="BU1160" s="140"/>
      <c r="BV1160" s="140"/>
      <c r="BW1160" s="140"/>
      <c r="BX1160" s="140"/>
      <c r="BY1160" s="140"/>
      <c r="BZ1160" s="140"/>
      <c r="CA1160" s="140"/>
      <c r="CB1160" s="140"/>
    </row>
    <row r="1161" spans="1:25" s="107" customFormat="1" ht="34.5" customHeight="1">
      <c r="A1161" s="1233" t="s">
        <v>804</v>
      </c>
      <c r="B1161" s="1233"/>
      <c r="C1161" s="1233"/>
      <c r="D1161" s="1233"/>
      <c r="E1161" s="1233"/>
      <c r="F1161" s="1233"/>
      <c r="G1161" s="1233"/>
      <c r="H1161" s="1233"/>
      <c r="I1161" s="1234"/>
      <c r="J1161" s="1234"/>
      <c r="K1161" s="489"/>
      <c r="L1161" s="489"/>
      <c r="M1161" s="483"/>
      <c r="N1161" s="483"/>
      <c r="O1161" s="105"/>
      <c r="P1161" s="105"/>
      <c r="Q1161" s="105"/>
      <c r="R1161" s="105"/>
      <c r="S1161" s="105"/>
      <c r="T1161" s="105"/>
      <c r="U1161" s="105"/>
      <c r="V1161" s="105"/>
      <c r="W1161" s="105"/>
      <c r="X1161" s="105"/>
      <c r="Y1161" s="105"/>
    </row>
    <row r="1162" spans="1:25" s="107" customFormat="1" ht="34.5" customHeight="1" thickBot="1">
      <c r="A1162" s="397"/>
      <c r="B1162" s="397"/>
      <c r="C1162" s="397"/>
      <c r="D1162" s="397"/>
      <c r="E1162" s="397"/>
      <c r="F1162" s="397"/>
      <c r="G1162" s="397"/>
      <c r="H1162" s="397"/>
      <c r="I1162" s="397"/>
      <c r="J1162" s="397"/>
      <c r="K1162" s="113"/>
      <c r="L1162" s="113"/>
      <c r="M1162" s="483"/>
      <c r="N1162" s="483"/>
      <c r="O1162" s="105"/>
      <c r="P1162" s="105"/>
      <c r="Q1162" s="105"/>
      <c r="R1162" s="105"/>
      <c r="S1162" s="105"/>
      <c r="T1162" s="105"/>
      <c r="U1162" s="105"/>
      <c r="V1162" s="105"/>
      <c r="W1162" s="105"/>
      <c r="X1162" s="105"/>
      <c r="Y1162" s="105"/>
    </row>
    <row r="1163" spans="1:42" s="214" customFormat="1" ht="34.5" customHeight="1" thickTop="1">
      <c r="A1163" s="207" t="s">
        <v>34</v>
      </c>
      <c r="B1163" s="208" t="s">
        <v>637</v>
      </c>
      <c r="C1163" s="209" t="s">
        <v>921</v>
      </c>
      <c r="D1163" s="210"/>
      <c r="E1163" s="211" t="s">
        <v>922</v>
      </c>
      <c r="F1163" s="212"/>
      <c r="G1163" s="211" t="s">
        <v>923</v>
      </c>
      <c r="H1163" s="212"/>
      <c r="I1163" s="1070"/>
      <c r="J1163" s="1071"/>
      <c r="K1163" s="1070"/>
      <c r="L1163" s="1070"/>
      <c r="M1163" s="174"/>
      <c r="N1163" s="174"/>
      <c r="O1163" s="213"/>
      <c r="P1163" s="213"/>
      <c r="Q1163" s="213"/>
      <c r="R1163" s="213"/>
      <c r="S1163" s="213"/>
      <c r="T1163" s="213"/>
      <c r="U1163" s="213"/>
      <c r="V1163" s="213"/>
      <c r="W1163" s="213"/>
      <c r="X1163" s="213"/>
      <c r="Y1163" s="213"/>
      <c r="Z1163" s="213"/>
      <c r="AA1163" s="213"/>
      <c r="AB1163" s="213"/>
      <c r="AC1163" s="213"/>
      <c r="AD1163" s="213"/>
      <c r="AE1163" s="213"/>
      <c r="AF1163" s="213"/>
      <c r="AG1163" s="213"/>
      <c r="AH1163" s="213"/>
      <c r="AI1163" s="213"/>
      <c r="AJ1163" s="213"/>
      <c r="AK1163" s="213"/>
      <c r="AL1163" s="213"/>
      <c r="AM1163" s="213"/>
      <c r="AN1163" s="213"/>
      <c r="AO1163" s="213"/>
      <c r="AP1163" s="213"/>
    </row>
    <row r="1164" spans="1:25" s="107" customFormat="1" ht="34.5" customHeight="1">
      <c r="A1164" s="707" t="s">
        <v>483</v>
      </c>
      <c r="B1164" s="266" t="s">
        <v>42</v>
      </c>
      <c r="C1164" s="1092">
        <f>CEILING(45.5*$Z$1,0.1)</f>
        <v>56.900000000000006</v>
      </c>
      <c r="D1164" s="1093"/>
      <c r="E1164" s="1092">
        <f>CEILING(45.5*$Z$1,0.1)</f>
        <v>56.900000000000006</v>
      </c>
      <c r="F1164" s="1093"/>
      <c r="G1164" s="1092">
        <f>CEILING(45.5*$Z$1,0.1)</f>
        <v>56.900000000000006</v>
      </c>
      <c r="H1164" s="1093"/>
      <c r="I1164" s="1180"/>
      <c r="J1164" s="1180"/>
      <c r="K1164" s="1180"/>
      <c r="L1164" s="1180"/>
      <c r="M1164" s="483"/>
      <c r="N1164" s="483"/>
      <c r="O1164" s="105"/>
      <c r="P1164" s="105"/>
      <c r="Q1164" s="105"/>
      <c r="R1164" s="105"/>
      <c r="S1164" s="105"/>
      <c r="T1164" s="105"/>
      <c r="U1164" s="105"/>
      <c r="V1164" s="105"/>
      <c r="W1164" s="105"/>
      <c r="X1164" s="105"/>
      <c r="Y1164" s="105"/>
    </row>
    <row r="1165" spans="1:25" s="107" customFormat="1" ht="34.5" customHeight="1">
      <c r="A1165" s="708" t="s">
        <v>36</v>
      </c>
      <c r="B1165" s="296" t="s">
        <v>43</v>
      </c>
      <c r="C1165" s="1181">
        <f>CEILING((C1164+16*$Z$1),0.1)</f>
        <v>76.9</v>
      </c>
      <c r="D1165" s="1182"/>
      <c r="E1165" s="1181">
        <f>CEILING((E1164+16*$Z$1),0.1)</f>
        <v>76.9</v>
      </c>
      <c r="F1165" s="1182"/>
      <c r="G1165" s="1181">
        <f>CEILING((G1164+16*$Z$1),0.1)</f>
        <v>76.9</v>
      </c>
      <c r="H1165" s="1182"/>
      <c r="I1165" s="1180"/>
      <c r="J1165" s="1180"/>
      <c r="K1165" s="1180"/>
      <c r="L1165" s="1180"/>
      <c r="M1165" s="483"/>
      <c r="N1165" s="483"/>
      <c r="O1165" s="105"/>
      <c r="P1165" s="105"/>
      <c r="Q1165" s="105"/>
      <c r="R1165" s="105"/>
      <c r="S1165" s="105"/>
      <c r="T1165" s="105"/>
      <c r="U1165" s="105"/>
      <c r="V1165" s="105"/>
      <c r="W1165" s="105"/>
      <c r="X1165" s="105"/>
      <c r="Y1165" s="105"/>
    </row>
    <row r="1166" spans="1:25" s="107" customFormat="1" ht="34.5" customHeight="1">
      <c r="A1166" s="709"/>
      <c r="B1166" s="296" t="s">
        <v>601</v>
      </c>
      <c r="C1166" s="1065">
        <f>CEILING((C1164*0),0.1)</f>
        <v>0</v>
      </c>
      <c r="D1166" s="1066"/>
      <c r="E1166" s="1065">
        <f>CEILING((E1164*0.5),0.1)</f>
        <v>28.5</v>
      </c>
      <c r="F1166" s="1066"/>
      <c r="G1166" s="1065">
        <f>CEILING((G1164*0),0.1)</f>
        <v>0</v>
      </c>
      <c r="H1166" s="1066"/>
      <c r="I1166" s="1061"/>
      <c r="J1166" s="1061"/>
      <c r="K1166" s="1061"/>
      <c r="L1166" s="1061"/>
      <c r="M1166" s="483"/>
      <c r="N1166" s="483"/>
      <c r="O1166" s="105"/>
      <c r="P1166" s="105"/>
      <c r="Q1166" s="105"/>
      <c r="R1166" s="105"/>
      <c r="S1166" s="105"/>
      <c r="T1166" s="105"/>
      <c r="U1166" s="105"/>
      <c r="V1166" s="105"/>
      <c r="W1166" s="105"/>
      <c r="X1166" s="105"/>
      <c r="Y1166" s="105"/>
    </row>
    <row r="1167" spans="1:25" s="107" customFormat="1" ht="34.5" customHeight="1">
      <c r="A1167" s="710"/>
      <c r="B1167" s="288" t="s">
        <v>52</v>
      </c>
      <c r="C1167" s="1178">
        <f>CEILING(48.1*$Z$1,0.1)</f>
        <v>60.2</v>
      </c>
      <c r="D1167" s="1179"/>
      <c r="E1167" s="1178">
        <f>CEILING(48.1*$Z$1,0.1)</f>
        <v>60.2</v>
      </c>
      <c r="F1167" s="1179"/>
      <c r="G1167" s="1178">
        <f>CEILING(48.1*$Z$1,0.1)</f>
        <v>60.2</v>
      </c>
      <c r="H1167" s="1179"/>
      <c r="I1167" s="1180"/>
      <c r="J1167" s="1180"/>
      <c r="K1167" s="1180"/>
      <c r="L1167" s="1180"/>
      <c r="M1167" s="483"/>
      <c r="N1167" s="483"/>
      <c r="O1167" s="105"/>
      <c r="P1167" s="105"/>
      <c r="Q1167" s="105"/>
      <c r="R1167" s="105"/>
      <c r="S1167" s="105"/>
      <c r="T1167" s="105"/>
      <c r="U1167" s="105"/>
      <c r="V1167" s="105"/>
      <c r="W1167" s="105"/>
      <c r="X1167" s="105"/>
      <c r="Y1167" s="105"/>
    </row>
    <row r="1168" spans="1:25" s="107" customFormat="1" ht="34.5" customHeight="1">
      <c r="A1168" s="711" t="s">
        <v>1064</v>
      </c>
      <c r="B1168" s="296" t="s">
        <v>732</v>
      </c>
      <c r="C1168" s="1092">
        <f>CEILING(58.5*$Z$1,0.1)</f>
        <v>73.2</v>
      </c>
      <c r="D1168" s="1093"/>
      <c r="E1168" s="1092">
        <f>CEILING(58.5*$Z$1,0.1)</f>
        <v>73.2</v>
      </c>
      <c r="F1168" s="1093"/>
      <c r="G1168" s="1092">
        <f>CEILING(58.5*$Z$1,0.1)</f>
        <v>73.2</v>
      </c>
      <c r="H1168" s="1093"/>
      <c r="I1168" s="1180"/>
      <c r="J1168" s="1180"/>
      <c r="K1168" s="1180"/>
      <c r="L1168" s="1180"/>
      <c r="M1168" s="483"/>
      <c r="N1168" s="483"/>
      <c r="O1168" s="105"/>
      <c r="P1168" s="105"/>
      <c r="Q1168" s="105"/>
      <c r="R1168" s="105"/>
      <c r="S1168" s="105"/>
      <c r="T1168" s="105"/>
      <c r="U1168" s="105"/>
      <c r="V1168" s="105"/>
      <c r="W1168" s="105"/>
      <c r="X1168" s="105"/>
      <c r="Y1168" s="105"/>
    </row>
    <row r="1169" spans="1:25" s="107" customFormat="1" ht="34.5" customHeight="1">
      <c r="A1169" s="712" t="s">
        <v>1058</v>
      </c>
      <c r="B1169" s="456" t="s">
        <v>733</v>
      </c>
      <c r="C1169" s="1178">
        <f>CEILING(64.3*$Z$1,0.1)</f>
        <v>80.4</v>
      </c>
      <c r="D1169" s="1179"/>
      <c r="E1169" s="1178">
        <f>CEILING(64.3*$Z$1,0.1)</f>
        <v>80.4</v>
      </c>
      <c r="F1169" s="1179"/>
      <c r="G1169" s="1178">
        <f>CEILING(64.3*$Z$1,0.1)</f>
        <v>80.4</v>
      </c>
      <c r="H1169" s="1179"/>
      <c r="I1169" s="1180"/>
      <c r="J1169" s="1180"/>
      <c r="K1169" s="1180"/>
      <c r="L1169" s="1180"/>
      <c r="M1169" s="483"/>
      <c r="N1169" s="483"/>
      <c r="O1169" s="105"/>
      <c r="P1169" s="105"/>
      <c r="Q1169" s="105"/>
      <c r="R1169" s="105"/>
      <c r="S1169" s="105"/>
      <c r="T1169" s="105"/>
      <c r="U1169" s="105"/>
      <c r="V1169" s="105"/>
      <c r="W1169" s="105"/>
      <c r="X1169" s="105"/>
      <c r="Y1169" s="105"/>
    </row>
    <row r="1170" spans="1:25" s="107" customFormat="1" ht="34.5" customHeight="1">
      <c r="A1170" s="711"/>
      <c r="B1170" s="296" t="s">
        <v>484</v>
      </c>
      <c r="C1170" s="1092">
        <f>CEILING(67*$Z$1,0.1)</f>
        <v>83.80000000000001</v>
      </c>
      <c r="D1170" s="1093"/>
      <c r="E1170" s="1092">
        <f>CEILING(67*$Z$1,0.1)</f>
        <v>83.80000000000001</v>
      </c>
      <c r="F1170" s="1093"/>
      <c r="G1170" s="1092">
        <f>CEILING(67*$Z$1,0.1)</f>
        <v>83.80000000000001</v>
      </c>
      <c r="H1170" s="1093"/>
      <c r="I1170" s="1180"/>
      <c r="J1170" s="1180"/>
      <c r="K1170" s="1180"/>
      <c r="L1170" s="1180"/>
      <c r="M1170" s="483"/>
      <c r="N1170" s="483"/>
      <c r="O1170" s="105"/>
      <c r="P1170" s="105"/>
      <c r="Q1170" s="105"/>
      <c r="R1170" s="105"/>
      <c r="S1170" s="105"/>
      <c r="T1170" s="105"/>
      <c r="U1170" s="105"/>
      <c r="V1170" s="105"/>
      <c r="W1170" s="105"/>
      <c r="X1170" s="105"/>
      <c r="Y1170" s="105"/>
    </row>
    <row r="1171" spans="1:25" s="107" customFormat="1" ht="34.5" customHeight="1">
      <c r="A1171" s="713" t="s">
        <v>735</v>
      </c>
      <c r="B1171" s="456" t="s">
        <v>485</v>
      </c>
      <c r="C1171" s="1178">
        <f>CEILING((C1170*0.5),0.1)</f>
        <v>41.900000000000006</v>
      </c>
      <c r="D1171" s="1179"/>
      <c r="E1171" s="1178">
        <f>CEILING((E1170*0.5),0.1)</f>
        <v>41.900000000000006</v>
      </c>
      <c r="F1171" s="1179"/>
      <c r="G1171" s="1178">
        <f>CEILING((G1170*0.5),0.1)</f>
        <v>41.900000000000006</v>
      </c>
      <c r="H1171" s="1179"/>
      <c r="I1171" s="1180"/>
      <c r="J1171" s="1180"/>
      <c r="K1171" s="1180"/>
      <c r="L1171" s="1180"/>
      <c r="M1171" s="483"/>
      <c r="N1171" s="483"/>
      <c r="O1171" s="105"/>
      <c r="P1171" s="105"/>
      <c r="Q1171" s="105"/>
      <c r="R1171" s="105"/>
      <c r="S1171" s="105"/>
      <c r="T1171" s="105"/>
      <c r="U1171" s="105"/>
      <c r="V1171" s="105"/>
      <c r="W1171" s="105"/>
      <c r="X1171" s="105"/>
      <c r="Y1171" s="105"/>
    </row>
    <row r="1172" spans="1:25" s="107" customFormat="1" ht="33.75" customHeight="1">
      <c r="A1172" s="1233" t="s">
        <v>734</v>
      </c>
      <c r="B1172" s="1233"/>
      <c r="C1172" s="1233"/>
      <c r="D1172" s="1233"/>
      <c r="E1172" s="1233"/>
      <c r="F1172" s="1233"/>
      <c r="G1172" s="1233"/>
      <c r="H1172" s="1233"/>
      <c r="I1172" s="1234"/>
      <c r="J1172" s="1234"/>
      <c r="K1172" s="489"/>
      <c r="L1172" s="489"/>
      <c r="M1172" s="483"/>
      <c r="N1172" s="483"/>
      <c r="O1172" s="105"/>
      <c r="P1172" s="105"/>
      <c r="Q1172" s="105"/>
      <c r="R1172" s="105"/>
      <c r="S1172" s="105"/>
      <c r="T1172" s="105"/>
      <c r="U1172" s="105"/>
      <c r="V1172" s="105"/>
      <c r="W1172" s="105"/>
      <c r="X1172" s="105"/>
      <c r="Y1172" s="105"/>
    </row>
    <row r="1173" spans="1:25" s="140" customFormat="1" ht="34.5" customHeight="1" thickBot="1">
      <c r="A1173" s="162"/>
      <c r="B1173" s="162"/>
      <c r="C1173" s="162"/>
      <c r="D1173" s="162"/>
      <c r="E1173" s="162"/>
      <c r="F1173" s="162"/>
      <c r="G1173" s="162"/>
      <c r="H1173" s="688"/>
      <c r="I1173" s="714"/>
      <c r="J1173" s="714"/>
      <c r="K1173" s="489"/>
      <c r="L1173" s="489"/>
      <c r="M1173" s="483"/>
      <c r="N1173" s="483"/>
      <c r="O1173" s="115"/>
      <c r="P1173" s="115"/>
      <c r="Q1173" s="115"/>
      <c r="R1173" s="115"/>
      <c r="S1173" s="115"/>
      <c r="T1173" s="115"/>
      <c r="U1173" s="115"/>
      <c r="V1173" s="115"/>
      <c r="W1173" s="115"/>
      <c r="X1173" s="115"/>
      <c r="Y1173" s="115"/>
    </row>
    <row r="1174" spans="1:42" s="214" customFormat="1" ht="34.5" customHeight="1" thickTop="1">
      <c r="A1174" s="207" t="s">
        <v>34</v>
      </c>
      <c r="B1174" s="208" t="s">
        <v>637</v>
      </c>
      <c r="C1174" s="209" t="s">
        <v>921</v>
      </c>
      <c r="D1174" s="210"/>
      <c r="E1174" s="211" t="s">
        <v>922</v>
      </c>
      <c r="F1174" s="212"/>
      <c r="G1174" s="211" t="s">
        <v>923</v>
      </c>
      <c r="H1174" s="212"/>
      <c r="I1174" s="1070"/>
      <c r="J1174" s="1071"/>
      <c r="K1174" s="1070"/>
      <c r="L1174" s="1070"/>
      <c r="M1174" s="174"/>
      <c r="N1174" s="174"/>
      <c r="O1174" s="213"/>
      <c r="P1174" s="213"/>
      <c r="Q1174" s="213"/>
      <c r="R1174" s="213"/>
      <c r="S1174" s="213"/>
      <c r="T1174" s="213"/>
      <c r="U1174" s="213"/>
      <c r="V1174" s="213"/>
      <c r="W1174" s="213"/>
      <c r="X1174" s="213"/>
      <c r="Y1174" s="213"/>
      <c r="Z1174" s="213"/>
      <c r="AA1174" s="213"/>
      <c r="AB1174" s="213"/>
      <c r="AC1174" s="213"/>
      <c r="AD1174" s="213"/>
      <c r="AE1174" s="213"/>
      <c r="AF1174" s="213"/>
      <c r="AG1174" s="213"/>
      <c r="AH1174" s="213"/>
      <c r="AI1174" s="213"/>
      <c r="AJ1174" s="213"/>
      <c r="AK1174" s="213"/>
      <c r="AL1174" s="213"/>
      <c r="AM1174" s="213"/>
      <c r="AN1174" s="213"/>
      <c r="AO1174" s="213"/>
      <c r="AP1174" s="213"/>
    </row>
    <row r="1175" spans="1:25" s="107" customFormat="1" ht="34.5" customHeight="1">
      <c r="A1175" s="350" t="s">
        <v>114</v>
      </c>
      <c r="B1175" s="353" t="s">
        <v>56</v>
      </c>
      <c r="C1175" s="1187">
        <f>CEILING(44*$Z$1,0.1)</f>
        <v>55</v>
      </c>
      <c r="D1175" s="1188"/>
      <c r="E1175" s="1187">
        <f>CEILING(44*$Z$1,0.1)</f>
        <v>55</v>
      </c>
      <c r="F1175" s="1188"/>
      <c r="G1175" s="1187">
        <f>CEILING(44*$Z$1,0.1)</f>
        <v>55</v>
      </c>
      <c r="H1175" s="1188"/>
      <c r="I1175" s="1180"/>
      <c r="J1175" s="1180"/>
      <c r="K1175" s="1180"/>
      <c r="L1175" s="1180"/>
      <c r="M1175" s="158"/>
      <c r="N1175" s="158"/>
      <c r="O1175" s="158"/>
      <c r="P1175" s="158"/>
      <c r="Q1175" s="105"/>
      <c r="R1175" s="105"/>
      <c r="S1175" s="105"/>
      <c r="T1175" s="105"/>
      <c r="U1175" s="105"/>
      <c r="V1175" s="105"/>
      <c r="W1175" s="105"/>
      <c r="X1175" s="105"/>
      <c r="Y1175" s="105"/>
    </row>
    <row r="1176" spans="1:25" s="107" customFormat="1" ht="34.5" customHeight="1">
      <c r="A1176" s="265" t="s">
        <v>50</v>
      </c>
      <c r="B1176" s="238" t="s">
        <v>8</v>
      </c>
      <c r="C1176" s="1185">
        <f>CEILING((C1175+11*$Z$1),0.1)</f>
        <v>68.8</v>
      </c>
      <c r="D1176" s="1186"/>
      <c r="E1176" s="1185">
        <f>CEILING((E1175+11*$Z$1),0.1)</f>
        <v>68.8</v>
      </c>
      <c r="F1176" s="1186"/>
      <c r="G1176" s="1185">
        <f>CEILING((G1175+11*$Z$1),0.1)</f>
        <v>68.8</v>
      </c>
      <c r="H1176" s="1186"/>
      <c r="I1176" s="1180"/>
      <c r="J1176" s="1180"/>
      <c r="K1176" s="1180"/>
      <c r="L1176" s="1180"/>
      <c r="M1176" s="158"/>
      <c r="N1176" s="158"/>
      <c r="O1176" s="158"/>
      <c r="P1176" s="158"/>
      <c r="Q1176" s="105"/>
      <c r="R1176" s="105"/>
      <c r="S1176" s="105"/>
      <c r="T1176" s="105"/>
      <c r="U1176" s="105"/>
      <c r="V1176" s="105"/>
      <c r="W1176" s="105"/>
      <c r="X1176" s="105"/>
      <c r="Y1176" s="105"/>
    </row>
    <row r="1177" spans="1:25" s="107" customFormat="1" ht="34.5" customHeight="1">
      <c r="A1177" s="432"/>
      <c r="B1177" s="353" t="s">
        <v>601</v>
      </c>
      <c r="C1177" s="1057">
        <f>CEILING((C1175*0),0.1)</f>
        <v>0</v>
      </c>
      <c r="D1177" s="1058"/>
      <c r="E1177" s="1057">
        <f>CEILING((E1175*0),0.1)</f>
        <v>0</v>
      </c>
      <c r="F1177" s="1058"/>
      <c r="G1177" s="1057">
        <f>CEILING((G1175*0),0.1)</f>
        <v>0</v>
      </c>
      <c r="H1177" s="1058"/>
      <c r="I1177" s="1061"/>
      <c r="J1177" s="1061"/>
      <c r="K1177" s="1061"/>
      <c r="L1177" s="1061"/>
      <c r="M1177" s="158"/>
      <c r="N1177" s="158"/>
      <c r="O1177" s="158"/>
      <c r="P1177" s="158"/>
      <c r="Q1177" s="105"/>
      <c r="R1177" s="105"/>
      <c r="S1177" s="105"/>
      <c r="T1177" s="105"/>
      <c r="U1177" s="105"/>
      <c r="V1177" s="105"/>
      <c r="W1177" s="105"/>
      <c r="X1177" s="105"/>
      <c r="Y1177" s="105"/>
    </row>
    <row r="1178" spans="1:25" s="107" customFormat="1" ht="34.5" customHeight="1">
      <c r="A1178" s="432"/>
      <c r="B1178" s="266" t="s">
        <v>115</v>
      </c>
      <c r="C1178" s="1185">
        <f>CEILING(49*$Z$1,0.1)</f>
        <v>61.300000000000004</v>
      </c>
      <c r="D1178" s="1186"/>
      <c r="E1178" s="1185">
        <f>CEILING(49*$Z$1,0.1)</f>
        <v>61.300000000000004</v>
      </c>
      <c r="F1178" s="1186"/>
      <c r="G1178" s="1185">
        <f>CEILING(49*$Z$1,0.1)</f>
        <v>61.300000000000004</v>
      </c>
      <c r="H1178" s="1186"/>
      <c r="I1178" s="1180"/>
      <c r="J1178" s="1180"/>
      <c r="K1178" s="1180"/>
      <c r="L1178" s="1180"/>
      <c r="M1178" s="158"/>
      <c r="N1178" s="158"/>
      <c r="O1178" s="158"/>
      <c r="P1178" s="158"/>
      <c r="Q1178" s="105"/>
      <c r="R1178" s="105"/>
      <c r="S1178" s="105"/>
      <c r="T1178" s="105"/>
      <c r="U1178" s="105"/>
      <c r="V1178" s="105"/>
      <c r="W1178" s="105"/>
      <c r="X1178" s="105"/>
      <c r="Y1178" s="105"/>
    </row>
    <row r="1179" spans="1:25" s="107" customFormat="1" ht="34.5" customHeight="1">
      <c r="A1179" s="432"/>
      <c r="B1179" s="266" t="s">
        <v>455</v>
      </c>
      <c r="C1179" s="1185">
        <f>CEILING((C1178+11*$Z$1),0.1)</f>
        <v>75.10000000000001</v>
      </c>
      <c r="D1179" s="1186"/>
      <c r="E1179" s="1185">
        <f>CEILING((E1178+11*$Z$1),0.1)</f>
        <v>75.10000000000001</v>
      </c>
      <c r="F1179" s="1186"/>
      <c r="G1179" s="1185">
        <f>CEILING((G1178+11*$Z$1),0.1)</f>
        <v>75.10000000000001</v>
      </c>
      <c r="H1179" s="1186"/>
      <c r="I1179" s="1180"/>
      <c r="J1179" s="1180"/>
      <c r="K1179" s="1180"/>
      <c r="L1179" s="1180"/>
      <c r="M1179" s="158"/>
      <c r="N1179" s="158"/>
      <c r="O1179" s="158"/>
      <c r="P1179" s="158"/>
      <c r="Q1179" s="105"/>
      <c r="R1179" s="105"/>
      <c r="S1179" s="105"/>
      <c r="T1179" s="105"/>
      <c r="U1179" s="105"/>
      <c r="V1179" s="105"/>
      <c r="W1179" s="105"/>
      <c r="X1179" s="105"/>
      <c r="Y1179" s="105"/>
    </row>
    <row r="1180" spans="1:25" s="107" customFormat="1" ht="34.5" customHeight="1" thickBot="1">
      <c r="A1180" s="715" t="s">
        <v>563</v>
      </c>
      <c r="B1180" s="243" t="s">
        <v>456</v>
      </c>
      <c r="C1180" s="1183">
        <f>CEILING(54*$Z$1,0.1)</f>
        <v>67.5</v>
      </c>
      <c r="D1180" s="1184"/>
      <c r="E1180" s="1183">
        <f>CEILING(54*$Z$1,0.1)</f>
        <v>67.5</v>
      </c>
      <c r="F1180" s="1184"/>
      <c r="G1180" s="1183">
        <f>CEILING(54*$Z$1,0.1)</f>
        <v>67.5</v>
      </c>
      <c r="H1180" s="1184"/>
      <c r="I1180" s="1180"/>
      <c r="J1180" s="1180"/>
      <c r="K1180" s="1180"/>
      <c r="L1180" s="1180"/>
      <c r="M1180" s="158"/>
      <c r="N1180" s="158"/>
      <c r="O1180" s="158"/>
      <c r="P1180" s="158"/>
      <c r="Q1180" s="105"/>
      <c r="R1180" s="105"/>
      <c r="S1180" s="105"/>
      <c r="T1180" s="105"/>
      <c r="U1180" s="105"/>
      <c r="V1180" s="105"/>
      <c r="W1180" s="105"/>
      <c r="X1180" s="105"/>
      <c r="Y1180" s="105"/>
    </row>
    <row r="1181" spans="1:37" s="140" customFormat="1" ht="34.5" customHeight="1" thickTop="1">
      <c r="A1181" s="161"/>
      <c r="B1181" s="162"/>
      <c r="C1181" s="162"/>
      <c r="D1181" s="162"/>
      <c r="E1181" s="162"/>
      <c r="F1181" s="162"/>
      <c r="G1181" s="162"/>
      <c r="H1181" s="162"/>
      <c r="I1181" s="162"/>
      <c r="J1181" s="162"/>
      <c r="K1181" s="157"/>
      <c r="L1181" s="157"/>
      <c r="M1181" s="114"/>
      <c r="N1181" s="114"/>
      <c r="O1181" s="114"/>
      <c r="P1181" s="114"/>
      <c r="Q1181" s="114"/>
      <c r="R1181" s="114"/>
      <c r="S1181" s="114"/>
      <c r="T1181" s="114"/>
      <c r="U1181" s="114"/>
      <c r="V1181" s="114"/>
      <c r="W1181" s="114"/>
      <c r="X1181" s="114"/>
      <c r="Y1181" s="114"/>
      <c r="Z1181" s="114"/>
      <c r="AA1181" s="114"/>
      <c r="AB1181" s="114"/>
      <c r="AC1181" s="114"/>
      <c r="AD1181" s="114"/>
      <c r="AE1181" s="114"/>
      <c r="AF1181" s="114"/>
      <c r="AG1181" s="114"/>
      <c r="AH1181" s="114"/>
      <c r="AI1181" s="114"/>
      <c r="AJ1181" s="114"/>
      <c r="AK1181" s="114"/>
    </row>
    <row r="1182" spans="1:60" s="107" customFormat="1" ht="34.5" customHeight="1" thickBot="1">
      <c r="A1182" s="457"/>
      <c r="B1182" s="530"/>
      <c r="C1182" s="530"/>
      <c r="D1182" s="530"/>
      <c r="E1182" s="530"/>
      <c r="F1182" s="530"/>
      <c r="G1182" s="530"/>
      <c r="H1182" s="530"/>
      <c r="I1182" s="530"/>
      <c r="J1182" s="140"/>
      <c r="K1182" s="123"/>
      <c r="L1182" s="104"/>
      <c r="M1182" s="716"/>
      <c r="N1182" s="716"/>
      <c r="O1182" s="114"/>
      <c r="P1182" s="114"/>
      <c r="Q1182" s="114"/>
      <c r="R1182" s="114"/>
      <c r="S1182" s="114"/>
      <c r="T1182" s="114"/>
      <c r="U1182" s="114"/>
      <c r="V1182" s="114"/>
      <c r="W1182" s="114"/>
      <c r="X1182" s="114"/>
      <c r="Y1182" s="114"/>
      <c r="Z1182" s="114"/>
      <c r="AA1182" s="114"/>
      <c r="AB1182" s="114"/>
      <c r="AC1182" s="114"/>
      <c r="AD1182" s="114"/>
      <c r="AE1182" s="114"/>
      <c r="AF1182" s="114"/>
      <c r="AG1182" s="114"/>
      <c r="AH1182" s="114"/>
      <c r="AI1182" s="114"/>
      <c r="AJ1182" s="114"/>
      <c r="AK1182" s="114"/>
      <c r="AL1182" s="114"/>
      <c r="AM1182" s="114"/>
      <c r="AN1182" s="114"/>
      <c r="AO1182" s="114"/>
      <c r="AP1182" s="114"/>
      <c r="AQ1182" s="114"/>
      <c r="AR1182" s="114"/>
      <c r="AS1182" s="114"/>
      <c r="AT1182" s="114"/>
      <c r="AU1182" s="114"/>
      <c r="AV1182" s="114"/>
      <c r="AW1182" s="114"/>
      <c r="AX1182" s="114"/>
      <c r="AY1182" s="114"/>
      <c r="AZ1182" s="114"/>
      <c r="BA1182" s="114"/>
      <c r="BB1182" s="114"/>
      <c r="BC1182" s="114"/>
      <c r="BD1182" s="114"/>
      <c r="BE1182" s="114"/>
      <c r="BF1182" s="114"/>
      <c r="BG1182" s="114"/>
      <c r="BH1182" s="717"/>
    </row>
    <row r="1183" spans="1:42" s="214" customFormat="1" ht="34.5" customHeight="1" thickTop="1">
      <c r="A1183" s="207" t="s">
        <v>34</v>
      </c>
      <c r="B1183" s="208" t="s">
        <v>637</v>
      </c>
      <c r="C1183" s="209" t="s">
        <v>921</v>
      </c>
      <c r="D1183" s="210"/>
      <c r="E1183" s="211" t="s">
        <v>922</v>
      </c>
      <c r="F1183" s="212"/>
      <c r="G1183" s="211" t="s">
        <v>923</v>
      </c>
      <c r="H1183" s="212"/>
      <c r="I1183" s="1070"/>
      <c r="J1183" s="1071"/>
      <c r="K1183" s="1070"/>
      <c r="L1183" s="1070"/>
      <c r="M1183" s="174"/>
      <c r="N1183" s="174"/>
      <c r="O1183" s="213"/>
      <c r="P1183" s="213"/>
      <c r="Q1183" s="213"/>
      <c r="R1183" s="213"/>
      <c r="S1183" s="213"/>
      <c r="T1183" s="213"/>
      <c r="U1183" s="213"/>
      <c r="V1183" s="213"/>
      <c r="W1183" s="213"/>
      <c r="X1183" s="213"/>
      <c r="Y1183" s="213"/>
      <c r="Z1183" s="213"/>
      <c r="AA1183" s="213"/>
      <c r="AB1183" s="213"/>
      <c r="AC1183" s="213"/>
      <c r="AD1183" s="213"/>
      <c r="AE1183" s="213"/>
      <c r="AF1183" s="213"/>
      <c r="AG1183" s="213"/>
      <c r="AH1183" s="213"/>
      <c r="AI1183" s="213"/>
      <c r="AJ1183" s="213"/>
      <c r="AK1183" s="213"/>
      <c r="AL1183" s="213"/>
      <c r="AM1183" s="213"/>
      <c r="AN1183" s="213"/>
      <c r="AO1183" s="213"/>
      <c r="AP1183" s="213"/>
    </row>
    <row r="1184" spans="1:60" s="107" customFormat="1" ht="34.5" customHeight="1">
      <c r="A1184" s="293" t="s">
        <v>736</v>
      </c>
      <c r="B1184" s="564" t="s">
        <v>56</v>
      </c>
      <c r="C1184" s="1187">
        <f>CEILING(32*$Z$1,0.1)</f>
        <v>40</v>
      </c>
      <c r="D1184" s="1188"/>
      <c r="E1184" s="1187">
        <f>CEILING(32*$Z$1,0.1)</f>
        <v>40</v>
      </c>
      <c r="F1184" s="1188"/>
      <c r="G1184" s="1187">
        <f>CEILING(32*$Z$1,0.1)</f>
        <v>40</v>
      </c>
      <c r="H1184" s="1188"/>
      <c r="I1184" s="1180"/>
      <c r="J1184" s="1180"/>
      <c r="K1184" s="1180"/>
      <c r="L1184" s="1180"/>
      <c r="M1184" s="114"/>
      <c r="N1184" s="114"/>
      <c r="O1184" s="114"/>
      <c r="P1184" s="114"/>
      <c r="Q1184" s="114"/>
      <c r="R1184" s="114"/>
      <c r="S1184" s="114"/>
      <c r="T1184" s="114"/>
      <c r="U1184" s="114"/>
      <c r="V1184" s="114"/>
      <c r="W1184" s="114"/>
      <c r="X1184" s="114"/>
      <c r="Y1184" s="114"/>
      <c r="Z1184" s="114"/>
      <c r="AA1184" s="114"/>
      <c r="AB1184" s="114"/>
      <c r="AC1184" s="114"/>
      <c r="AD1184" s="114"/>
      <c r="AE1184" s="114"/>
      <c r="AF1184" s="114"/>
      <c r="AG1184" s="114"/>
      <c r="AH1184" s="114"/>
      <c r="AI1184" s="114"/>
      <c r="AJ1184" s="114"/>
      <c r="AK1184" s="114"/>
      <c r="AL1184" s="114"/>
      <c r="AM1184" s="114"/>
      <c r="AN1184" s="114"/>
      <c r="AO1184" s="114"/>
      <c r="AP1184" s="114"/>
      <c r="AQ1184" s="114"/>
      <c r="AR1184" s="114"/>
      <c r="AS1184" s="114"/>
      <c r="AT1184" s="114"/>
      <c r="AU1184" s="114"/>
      <c r="AV1184" s="114"/>
      <c r="AW1184" s="114"/>
      <c r="AX1184" s="114"/>
      <c r="AY1184" s="114"/>
      <c r="AZ1184" s="114"/>
      <c r="BA1184" s="114"/>
      <c r="BB1184" s="114"/>
      <c r="BC1184" s="114"/>
      <c r="BD1184" s="114"/>
      <c r="BE1184" s="114"/>
      <c r="BF1184" s="114"/>
      <c r="BG1184" s="114"/>
      <c r="BH1184" s="717"/>
    </row>
    <row r="1185" spans="1:60" s="107" customFormat="1" ht="34.5" customHeight="1">
      <c r="A1185" s="265" t="s">
        <v>80</v>
      </c>
      <c r="B1185" s="241" t="s">
        <v>8</v>
      </c>
      <c r="C1185" s="1185">
        <f>CEILING((C1184+7*$Z$1),0.1)</f>
        <v>48.800000000000004</v>
      </c>
      <c r="D1185" s="1186"/>
      <c r="E1185" s="1185">
        <f>CEILING((E1184+7*$Z$1),0.1)</f>
        <v>48.800000000000004</v>
      </c>
      <c r="F1185" s="1186"/>
      <c r="G1185" s="1185">
        <f>CEILING((G1184+7*$Z$1),0.1)</f>
        <v>48.800000000000004</v>
      </c>
      <c r="H1185" s="1186"/>
      <c r="I1185" s="1180"/>
      <c r="J1185" s="1180"/>
      <c r="K1185" s="1180"/>
      <c r="L1185" s="1180"/>
      <c r="M1185" s="114"/>
      <c r="N1185" s="114"/>
      <c r="O1185" s="114"/>
      <c r="P1185" s="114"/>
      <c r="Q1185" s="114"/>
      <c r="R1185" s="114"/>
      <c r="S1185" s="114"/>
      <c r="T1185" s="114"/>
      <c r="U1185" s="114"/>
      <c r="V1185" s="114"/>
      <c r="W1185" s="114"/>
      <c r="X1185" s="114"/>
      <c r="Y1185" s="114"/>
      <c r="Z1185" s="114"/>
      <c r="AA1185" s="114"/>
      <c r="AB1185" s="114"/>
      <c r="AC1185" s="114"/>
      <c r="AD1185" s="114"/>
      <c r="AE1185" s="114"/>
      <c r="AF1185" s="114"/>
      <c r="AG1185" s="114"/>
      <c r="AH1185" s="114"/>
      <c r="AI1185" s="114"/>
      <c r="AJ1185" s="114"/>
      <c r="AK1185" s="114"/>
      <c r="AL1185" s="114"/>
      <c r="AM1185" s="114"/>
      <c r="AN1185" s="114"/>
      <c r="AO1185" s="114"/>
      <c r="AP1185" s="114"/>
      <c r="AQ1185" s="114"/>
      <c r="AR1185" s="114"/>
      <c r="AS1185" s="114"/>
      <c r="AT1185" s="114"/>
      <c r="AU1185" s="114"/>
      <c r="AV1185" s="114"/>
      <c r="AW1185" s="114"/>
      <c r="AX1185" s="114"/>
      <c r="AY1185" s="114"/>
      <c r="AZ1185" s="114"/>
      <c r="BA1185" s="114"/>
      <c r="BB1185" s="114"/>
      <c r="BC1185" s="114"/>
      <c r="BD1185" s="114"/>
      <c r="BE1185" s="114"/>
      <c r="BF1185" s="114"/>
      <c r="BG1185" s="114"/>
      <c r="BH1185" s="717"/>
    </row>
    <row r="1186" spans="1:60" s="107" customFormat="1" ht="34.5" customHeight="1">
      <c r="A1186" s="432"/>
      <c r="B1186" s="321" t="s">
        <v>601</v>
      </c>
      <c r="C1186" s="1057">
        <f>CEILING((C1184*0),0.1)</f>
        <v>0</v>
      </c>
      <c r="D1186" s="1058"/>
      <c r="E1186" s="1057">
        <f>CEILING((E1184*0),0.1)</f>
        <v>0</v>
      </c>
      <c r="F1186" s="1058"/>
      <c r="G1186" s="1057">
        <f>CEILING((G1184*0),0.1)</f>
        <v>0</v>
      </c>
      <c r="H1186" s="1058"/>
      <c r="I1186" s="1061"/>
      <c r="J1186" s="1061"/>
      <c r="K1186" s="1061"/>
      <c r="L1186" s="1061"/>
      <c r="M1186" s="114"/>
      <c r="N1186" s="114"/>
      <c r="O1186" s="114"/>
      <c r="P1186" s="114"/>
      <c r="Q1186" s="114"/>
      <c r="R1186" s="114"/>
      <c r="S1186" s="114"/>
      <c r="T1186" s="114"/>
      <c r="U1186" s="114"/>
      <c r="V1186" s="114"/>
      <c r="W1186" s="114"/>
      <c r="X1186" s="114"/>
      <c r="Y1186" s="114"/>
      <c r="Z1186" s="114"/>
      <c r="AA1186" s="114"/>
      <c r="AB1186" s="114"/>
      <c r="AC1186" s="114"/>
      <c r="AD1186" s="114"/>
      <c r="AE1186" s="114"/>
      <c r="AF1186" s="114"/>
      <c r="AG1186" s="114"/>
      <c r="AH1186" s="114"/>
      <c r="AI1186" s="114"/>
      <c r="AJ1186" s="114"/>
      <c r="AK1186" s="114"/>
      <c r="AL1186" s="114"/>
      <c r="AM1186" s="114"/>
      <c r="AN1186" s="114"/>
      <c r="AO1186" s="114"/>
      <c r="AP1186" s="114"/>
      <c r="AQ1186" s="114"/>
      <c r="AR1186" s="114"/>
      <c r="AS1186" s="114"/>
      <c r="AT1186" s="114"/>
      <c r="AU1186" s="114"/>
      <c r="AV1186" s="114"/>
      <c r="AW1186" s="114"/>
      <c r="AX1186" s="114"/>
      <c r="AY1186" s="114"/>
      <c r="AZ1186" s="114"/>
      <c r="BA1186" s="114"/>
      <c r="BB1186" s="114"/>
      <c r="BC1186" s="114"/>
      <c r="BD1186" s="114"/>
      <c r="BE1186" s="114"/>
      <c r="BF1186" s="114"/>
      <c r="BG1186" s="114"/>
      <c r="BH1186" s="717"/>
    </row>
    <row r="1187" spans="1:60" s="107" customFormat="1" ht="34.5" customHeight="1">
      <c r="A1187" s="432"/>
      <c r="B1187" s="266" t="s">
        <v>184</v>
      </c>
      <c r="C1187" s="1185">
        <f>CEILING(42*$Z$1,0.1)</f>
        <v>52.5</v>
      </c>
      <c r="D1187" s="1186"/>
      <c r="E1187" s="1185">
        <f>CEILING(42*$Z$1,0.1)</f>
        <v>52.5</v>
      </c>
      <c r="F1187" s="1186"/>
      <c r="G1187" s="1185">
        <f>CEILING(42*$Z$1,0.1)</f>
        <v>52.5</v>
      </c>
      <c r="H1187" s="1186"/>
      <c r="I1187" s="1180"/>
      <c r="J1187" s="1180"/>
      <c r="K1187" s="1180"/>
      <c r="L1187" s="1180"/>
      <c r="M1187" s="114"/>
      <c r="N1187" s="114"/>
      <c r="O1187" s="114"/>
      <c r="P1187" s="114"/>
      <c r="Q1187" s="114"/>
      <c r="R1187" s="114"/>
      <c r="S1187" s="114"/>
      <c r="T1187" s="114"/>
      <c r="U1187" s="114"/>
      <c r="V1187" s="114"/>
      <c r="W1187" s="114"/>
      <c r="X1187" s="114"/>
      <c r="Y1187" s="114"/>
      <c r="Z1187" s="114"/>
      <c r="AA1187" s="114"/>
      <c r="AB1187" s="114"/>
      <c r="AC1187" s="114"/>
      <c r="AD1187" s="114"/>
      <c r="AE1187" s="114"/>
      <c r="AF1187" s="114"/>
      <c r="AG1187" s="114"/>
      <c r="AH1187" s="114"/>
      <c r="AI1187" s="114"/>
      <c r="AJ1187" s="114"/>
      <c r="AK1187" s="114"/>
      <c r="AL1187" s="114"/>
      <c r="AM1187" s="114"/>
      <c r="AN1187" s="114"/>
      <c r="AO1187" s="114"/>
      <c r="AP1187" s="114"/>
      <c r="AQ1187" s="114"/>
      <c r="AR1187" s="114"/>
      <c r="AS1187" s="114"/>
      <c r="AT1187" s="114"/>
      <c r="AU1187" s="114"/>
      <c r="AV1187" s="114"/>
      <c r="AW1187" s="114"/>
      <c r="AX1187" s="114"/>
      <c r="AY1187" s="114"/>
      <c r="AZ1187" s="114"/>
      <c r="BA1187" s="114"/>
      <c r="BB1187" s="114"/>
      <c r="BC1187" s="114"/>
      <c r="BD1187" s="114"/>
      <c r="BE1187" s="114"/>
      <c r="BF1187" s="114"/>
      <c r="BG1187" s="114"/>
      <c r="BH1187" s="717"/>
    </row>
    <row r="1188" spans="1:60" s="107" customFormat="1" ht="34.5" customHeight="1">
      <c r="A1188" s="718" t="s">
        <v>563</v>
      </c>
      <c r="B1188" s="288" t="s">
        <v>185</v>
      </c>
      <c r="C1188" s="1203">
        <f>CEILING((C1187+8*$Z$1),0.1)</f>
        <v>62.5</v>
      </c>
      <c r="D1188" s="1204"/>
      <c r="E1188" s="1203">
        <f>CEILING((E1187+8*$Z$1),0.1)</f>
        <v>62.5</v>
      </c>
      <c r="F1188" s="1204"/>
      <c r="G1188" s="1203">
        <f>CEILING((G1187+8*$Z$1),0.1)</f>
        <v>62.5</v>
      </c>
      <c r="H1188" s="1204"/>
      <c r="I1188" s="1180"/>
      <c r="J1188" s="1180"/>
      <c r="K1188" s="1180"/>
      <c r="L1188" s="1180"/>
      <c r="M1188" s="114"/>
      <c r="N1188" s="114"/>
      <c r="O1188" s="114"/>
      <c r="P1188" s="114"/>
      <c r="Q1188" s="114"/>
      <c r="R1188" s="114"/>
      <c r="S1188" s="114"/>
      <c r="T1188" s="114"/>
      <c r="U1188" s="114"/>
      <c r="V1188" s="114"/>
      <c r="W1188" s="114"/>
      <c r="X1188" s="114"/>
      <c r="Y1188" s="114"/>
      <c r="Z1188" s="114"/>
      <c r="AA1188" s="114"/>
      <c r="AB1188" s="114"/>
      <c r="AC1188" s="114"/>
      <c r="AD1188" s="114"/>
      <c r="AE1188" s="114"/>
      <c r="AF1188" s="114"/>
      <c r="AG1188" s="114"/>
      <c r="AH1188" s="114"/>
      <c r="AI1188" s="114"/>
      <c r="AJ1188" s="114"/>
      <c r="AK1188" s="114"/>
      <c r="AL1188" s="114"/>
      <c r="AM1188" s="114"/>
      <c r="AN1188" s="114"/>
      <c r="AO1188" s="114"/>
      <c r="AP1188" s="114"/>
      <c r="AQ1188" s="114"/>
      <c r="AR1188" s="114"/>
      <c r="AS1188" s="114"/>
      <c r="AT1188" s="114"/>
      <c r="AU1188" s="114"/>
      <c r="AV1188" s="114"/>
      <c r="AW1188" s="114"/>
      <c r="AX1188" s="114"/>
      <c r="AY1188" s="114"/>
      <c r="AZ1188" s="114"/>
      <c r="BA1188" s="114"/>
      <c r="BB1188" s="114"/>
      <c r="BC1188" s="114"/>
      <c r="BD1188" s="114"/>
      <c r="BE1188" s="114"/>
      <c r="BF1188" s="114"/>
      <c r="BG1188" s="114"/>
      <c r="BH1188" s="717"/>
    </row>
    <row r="1189" spans="1:37" s="140" customFormat="1" ht="34.5" customHeight="1">
      <c r="A1189" s="161"/>
      <c r="B1189" s="162"/>
      <c r="C1189" s="162"/>
      <c r="D1189" s="162"/>
      <c r="E1189" s="162"/>
      <c r="F1189" s="162"/>
      <c r="G1189" s="162"/>
      <c r="H1189" s="162"/>
      <c r="I1189" s="162"/>
      <c r="J1189" s="162"/>
      <c r="K1189" s="157"/>
      <c r="L1189" s="157"/>
      <c r="M1189" s="114"/>
      <c r="N1189" s="114"/>
      <c r="O1189" s="114"/>
      <c r="P1189" s="114"/>
      <c r="Q1189" s="114"/>
      <c r="R1189" s="114"/>
      <c r="S1189" s="114"/>
      <c r="T1189" s="114"/>
      <c r="U1189" s="114"/>
      <c r="V1189" s="114"/>
      <c r="W1189" s="114"/>
      <c r="X1189" s="114"/>
      <c r="Y1189" s="114"/>
      <c r="Z1189" s="114"/>
      <c r="AA1189" s="114"/>
      <c r="AB1189" s="114"/>
      <c r="AC1189" s="114"/>
      <c r="AD1189" s="114"/>
      <c r="AE1189" s="114"/>
      <c r="AF1189" s="114"/>
      <c r="AG1189" s="114"/>
      <c r="AH1189" s="114"/>
      <c r="AI1189" s="114"/>
      <c r="AJ1189" s="114"/>
      <c r="AK1189" s="114"/>
    </row>
    <row r="1190" spans="1:25" s="107" customFormat="1" ht="34.5" customHeight="1">
      <c r="A1190" s="719"/>
      <c r="B1190" s="719"/>
      <c r="C1190" s="719"/>
      <c r="D1190" s="719"/>
      <c r="E1190" s="719"/>
      <c r="F1190" s="719"/>
      <c r="G1190" s="720"/>
      <c r="H1190" s="720"/>
      <c r="I1190" s="721"/>
      <c r="J1190" s="152"/>
      <c r="K1190" s="722"/>
      <c r="L1190" s="722"/>
      <c r="M1190" s="716"/>
      <c r="N1190" s="716"/>
      <c r="O1190" s="105"/>
      <c r="P1190" s="105"/>
      <c r="Q1190" s="105"/>
      <c r="R1190" s="105"/>
      <c r="S1190" s="105"/>
      <c r="T1190" s="105"/>
      <c r="U1190" s="105"/>
      <c r="V1190" s="105"/>
      <c r="W1190" s="105"/>
      <c r="X1190" s="105"/>
      <c r="Y1190" s="105"/>
    </row>
    <row r="1191" spans="1:25" s="15" customFormat="1" ht="34.5" customHeight="1">
      <c r="A1191" s="1161" t="s">
        <v>263</v>
      </c>
      <c r="B1191" s="1161"/>
      <c r="C1191" s="1161"/>
      <c r="D1191" s="1161"/>
      <c r="E1191" s="1161"/>
      <c r="F1191" s="1161"/>
      <c r="G1191" s="1161"/>
      <c r="H1191" s="1161"/>
      <c r="I1191" s="1161"/>
      <c r="J1191" s="1161"/>
      <c r="K1191" s="82"/>
      <c r="L1191" s="82"/>
      <c r="M1191" s="81"/>
      <c r="N1191" s="81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</row>
    <row r="1192" spans="1:25" s="15" customFormat="1" ht="34.5" customHeight="1" thickBot="1">
      <c r="A1192" s="70"/>
      <c r="B1192" s="70"/>
      <c r="C1192" s="69"/>
      <c r="D1192" s="69"/>
      <c r="E1192" s="69"/>
      <c r="F1192" s="69"/>
      <c r="G1192" s="69"/>
      <c r="H1192" s="69"/>
      <c r="I1192" s="69"/>
      <c r="J1192" s="34"/>
      <c r="K1192" s="82"/>
      <c r="L1192" s="82"/>
      <c r="M1192" s="81"/>
      <c r="N1192" s="81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</row>
    <row r="1193" spans="1:42" s="214" customFormat="1" ht="34.5" customHeight="1" thickTop="1">
      <c r="A1193" s="207" t="s">
        <v>34</v>
      </c>
      <c r="B1193" s="208" t="s">
        <v>637</v>
      </c>
      <c r="C1193" s="209" t="s">
        <v>921</v>
      </c>
      <c r="D1193" s="210"/>
      <c r="E1193" s="211" t="s">
        <v>922</v>
      </c>
      <c r="F1193" s="212"/>
      <c r="G1193" s="211" t="s">
        <v>923</v>
      </c>
      <c r="H1193" s="212"/>
      <c r="I1193" s="1070"/>
      <c r="J1193" s="1071"/>
      <c r="K1193" s="1070"/>
      <c r="L1193" s="1070"/>
      <c r="M1193" s="174"/>
      <c r="N1193" s="174"/>
      <c r="O1193" s="213"/>
      <c r="P1193" s="213"/>
      <c r="Q1193" s="213"/>
      <c r="R1193" s="213"/>
      <c r="S1193" s="213"/>
      <c r="T1193" s="213"/>
      <c r="U1193" s="213"/>
      <c r="V1193" s="213"/>
      <c r="W1193" s="213"/>
      <c r="X1193" s="213"/>
      <c r="Y1193" s="213"/>
      <c r="Z1193" s="213"/>
      <c r="AA1193" s="213"/>
      <c r="AB1193" s="213"/>
      <c r="AC1193" s="213"/>
      <c r="AD1193" s="213"/>
      <c r="AE1193" s="213"/>
      <c r="AF1193" s="213"/>
      <c r="AG1193" s="213"/>
      <c r="AH1193" s="213"/>
      <c r="AI1193" s="213"/>
      <c r="AJ1193" s="213"/>
      <c r="AK1193" s="213"/>
      <c r="AL1193" s="213"/>
      <c r="AM1193" s="213"/>
      <c r="AN1193" s="213"/>
      <c r="AO1193" s="213"/>
      <c r="AP1193" s="213"/>
    </row>
    <row r="1194" spans="1:14" s="158" customFormat="1" ht="34.5" customHeight="1">
      <c r="A1194" s="342" t="s">
        <v>116</v>
      </c>
      <c r="B1194" s="723" t="s">
        <v>230</v>
      </c>
      <c r="C1194" s="1073"/>
      <c r="D1194" s="1074"/>
      <c r="E1194" s="1073"/>
      <c r="F1194" s="1074"/>
      <c r="G1194" s="1073"/>
      <c r="H1194" s="1074"/>
      <c r="I1194" s="1061"/>
      <c r="J1194" s="1061"/>
      <c r="K1194" s="1061"/>
      <c r="L1194" s="1061"/>
      <c r="M1194" s="716"/>
      <c r="N1194" s="716"/>
    </row>
    <row r="1195" spans="1:14" s="158" customFormat="1" ht="34.5" customHeight="1">
      <c r="A1195" s="344" t="s">
        <v>36</v>
      </c>
      <c r="B1195" s="611" t="s">
        <v>231</v>
      </c>
      <c r="C1195" s="1057"/>
      <c r="D1195" s="1058"/>
      <c r="E1195" s="1057"/>
      <c r="F1195" s="1058"/>
      <c r="G1195" s="1057"/>
      <c r="H1195" s="1058"/>
      <c r="I1195" s="1061"/>
      <c r="J1195" s="1061"/>
      <c r="K1195" s="1061"/>
      <c r="L1195" s="1061"/>
      <c r="M1195" s="716"/>
      <c r="N1195" s="716"/>
    </row>
    <row r="1196" spans="1:14" s="158" customFormat="1" ht="34.5" customHeight="1">
      <c r="A1196" s="344"/>
      <c r="B1196" s="724" t="s">
        <v>70</v>
      </c>
      <c r="C1196" s="1057"/>
      <c r="D1196" s="1058"/>
      <c r="E1196" s="1057"/>
      <c r="F1196" s="1058"/>
      <c r="G1196" s="1057"/>
      <c r="H1196" s="1058"/>
      <c r="I1196" s="1061"/>
      <c r="J1196" s="1061"/>
      <c r="K1196" s="1061"/>
      <c r="L1196" s="1061"/>
      <c r="M1196" s="716"/>
      <c r="N1196" s="716"/>
    </row>
    <row r="1197" spans="1:16" s="158" customFormat="1" ht="34.5" customHeight="1" thickBot="1">
      <c r="A1197" s="725" t="s">
        <v>981</v>
      </c>
      <c r="B1197" s="612" t="s">
        <v>764</v>
      </c>
      <c r="C1197" s="1076"/>
      <c r="D1197" s="1077"/>
      <c r="E1197" s="1076"/>
      <c r="F1197" s="1077"/>
      <c r="G1197" s="1076"/>
      <c r="H1197" s="1077"/>
      <c r="I1197" s="1061"/>
      <c r="J1197" s="1061"/>
      <c r="K1197" s="1061"/>
      <c r="L1197" s="1061"/>
      <c r="M1197" s="716"/>
      <c r="N1197" s="716"/>
      <c r="O1197" s="114"/>
      <c r="P1197" s="114"/>
    </row>
    <row r="1198" spans="1:14" s="153" customFormat="1" ht="34.5" customHeight="1" thickTop="1">
      <c r="A1198" s="451" t="s">
        <v>739</v>
      </c>
      <c r="B1198" s="688"/>
      <c r="C1198" s="688"/>
      <c r="D1198" s="688"/>
      <c r="E1198" s="688"/>
      <c r="F1198" s="688"/>
      <c r="G1198" s="688"/>
      <c r="H1198" s="688"/>
      <c r="I1198" s="688"/>
      <c r="J1198" s="688"/>
      <c r="K1198" s="157"/>
      <c r="L1198" s="123"/>
      <c r="M1198" s="487"/>
      <c r="N1198" s="487"/>
    </row>
    <row r="1199" spans="1:68" s="107" customFormat="1" ht="34.5" customHeight="1" thickBot="1">
      <c r="A1199" s="726"/>
      <c r="B1199" s="727"/>
      <c r="C1199" s="233"/>
      <c r="D1199" s="233"/>
      <c r="E1199" s="233"/>
      <c r="F1199" s="233"/>
      <c r="G1199" s="233"/>
      <c r="H1199" s="233"/>
      <c r="I1199" s="233"/>
      <c r="J1199" s="681"/>
      <c r="K1199" s="728"/>
      <c r="L1199" s="113"/>
      <c r="M1199" s="729"/>
      <c r="N1199" s="729"/>
      <c r="O1199" s="158"/>
      <c r="P1199" s="158"/>
      <c r="Q1199" s="158"/>
      <c r="R1199" s="158"/>
      <c r="S1199" s="158"/>
      <c r="T1199" s="158"/>
      <c r="U1199" s="158"/>
      <c r="V1199" s="158"/>
      <c r="W1199" s="158"/>
      <c r="X1199" s="158"/>
      <c r="Y1199" s="158"/>
      <c r="Z1199" s="158"/>
      <c r="AA1199" s="158"/>
      <c r="AB1199" s="158"/>
      <c r="AC1199" s="158"/>
      <c r="AD1199" s="158"/>
      <c r="AE1199" s="158"/>
      <c r="AF1199" s="158"/>
      <c r="AG1199" s="158"/>
      <c r="AH1199" s="158"/>
      <c r="AI1199" s="158"/>
      <c r="AJ1199" s="158"/>
      <c r="AK1199" s="158"/>
      <c r="AL1199" s="158"/>
      <c r="AM1199" s="158"/>
      <c r="AN1199" s="158"/>
      <c r="AO1199" s="158"/>
      <c r="AP1199" s="158"/>
      <c r="AQ1199" s="158"/>
      <c r="AR1199" s="158"/>
      <c r="AS1199" s="158"/>
      <c r="AT1199" s="158"/>
      <c r="AU1199" s="158"/>
      <c r="AV1199" s="158"/>
      <c r="AW1199" s="158"/>
      <c r="AX1199" s="158"/>
      <c r="AY1199" s="158"/>
      <c r="AZ1199" s="158"/>
      <c r="BA1199" s="158"/>
      <c r="BB1199" s="158"/>
      <c r="BC1199" s="158"/>
      <c r="BD1199" s="158"/>
      <c r="BE1199" s="158"/>
      <c r="BF1199" s="158"/>
      <c r="BG1199" s="158"/>
      <c r="BH1199" s="158"/>
      <c r="BI1199" s="158"/>
      <c r="BJ1199" s="158"/>
      <c r="BK1199" s="158"/>
      <c r="BL1199" s="158"/>
      <c r="BM1199" s="158"/>
      <c r="BN1199" s="158"/>
      <c r="BO1199" s="158"/>
      <c r="BP1199" s="158"/>
    </row>
    <row r="1200" spans="1:42" s="214" customFormat="1" ht="34.5" customHeight="1" thickTop="1">
      <c r="A1200" s="207" t="s">
        <v>34</v>
      </c>
      <c r="B1200" s="208" t="s">
        <v>637</v>
      </c>
      <c r="C1200" s="209" t="s">
        <v>921</v>
      </c>
      <c r="D1200" s="210"/>
      <c r="E1200" s="211" t="s">
        <v>922</v>
      </c>
      <c r="F1200" s="212"/>
      <c r="G1200" s="211" t="s">
        <v>923</v>
      </c>
      <c r="H1200" s="212"/>
      <c r="I1200" s="1070"/>
      <c r="J1200" s="1071"/>
      <c r="K1200" s="1070"/>
      <c r="L1200" s="1070"/>
      <c r="M1200" s="174"/>
      <c r="N1200" s="174"/>
      <c r="O1200" s="213"/>
      <c r="P1200" s="213"/>
      <c r="Q1200" s="213"/>
      <c r="R1200" s="213"/>
      <c r="S1200" s="213"/>
      <c r="T1200" s="213"/>
      <c r="U1200" s="213"/>
      <c r="V1200" s="213"/>
      <c r="W1200" s="213"/>
      <c r="X1200" s="213"/>
      <c r="Y1200" s="213"/>
      <c r="Z1200" s="213"/>
      <c r="AA1200" s="213"/>
      <c r="AB1200" s="213"/>
      <c r="AC1200" s="213"/>
      <c r="AD1200" s="213"/>
      <c r="AE1200" s="213"/>
      <c r="AF1200" s="213"/>
      <c r="AG1200" s="213"/>
      <c r="AH1200" s="213"/>
      <c r="AI1200" s="213"/>
      <c r="AJ1200" s="213"/>
      <c r="AK1200" s="213"/>
      <c r="AL1200" s="213"/>
      <c r="AM1200" s="213"/>
      <c r="AN1200" s="213"/>
      <c r="AO1200" s="213"/>
      <c r="AP1200" s="213"/>
    </row>
    <row r="1201" spans="1:25" s="140" customFormat="1" ht="34.5" customHeight="1">
      <c r="A1201" s="254" t="s">
        <v>568</v>
      </c>
      <c r="B1201" s="548" t="s">
        <v>737</v>
      </c>
      <c r="C1201" s="1073">
        <f>CEILING(33*$Z$1,0.1)</f>
        <v>41.300000000000004</v>
      </c>
      <c r="D1201" s="1074"/>
      <c r="E1201" s="1073">
        <f>CEILING(33*$Z$1,0.1)</f>
        <v>41.300000000000004</v>
      </c>
      <c r="F1201" s="1074"/>
      <c r="G1201" s="1073">
        <f>CEILING(33*$Z$1,0.1)</f>
        <v>41.300000000000004</v>
      </c>
      <c r="H1201" s="1074"/>
      <c r="I1201" s="1061"/>
      <c r="J1201" s="1061"/>
      <c r="K1201" s="1061"/>
      <c r="L1201" s="1061"/>
      <c r="M1201" s="115"/>
      <c r="N1201" s="115"/>
      <c r="O1201" s="115"/>
      <c r="P1201" s="115"/>
      <c r="Q1201" s="115"/>
      <c r="R1201" s="115"/>
      <c r="S1201" s="115"/>
      <c r="T1201" s="115"/>
      <c r="U1201" s="115"/>
      <c r="V1201" s="115"/>
      <c r="W1201" s="115"/>
      <c r="X1201" s="115"/>
      <c r="Y1201" s="115"/>
    </row>
    <row r="1202" spans="1:31" s="140" customFormat="1" ht="34.5" customHeight="1">
      <c r="A1202" s="265" t="s">
        <v>50</v>
      </c>
      <c r="B1202" s="124" t="s">
        <v>738</v>
      </c>
      <c r="C1202" s="1057">
        <f>CEILING(41*$Z$1,0.1)</f>
        <v>51.300000000000004</v>
      </c>
      <c r="D1202" s="1058"/>
      <c r="E1202" s="1057">
        <f>CEILING(41*$Z$1,0.1)</f>
        <v>51.300000000000004</v>
      </c>
      <c r="F1202" s="1058"/>
      <c r="G1202" s="1057">
        <f>CEILING(41*$Z$1,0.1)</f>
        <v>51.300000000000004</v>
      </c>
      <c r="H1202" s="1058"/>
      <c r="I1202" s="1061"/>
      <c r="J1202" s="1061"/>
      <c r="K1202" s="1061"/>
      <c r="L1202" s="1061"/>
      <c r="M1202" s="115"/>
      <c r="N1202" s="115"/>
      <c r="O1202" s="115"/>
      <c r="P1202" s="115"/>
      <c r="Q1202" s="115"/>
      <c r="R1202" s="115"/>
      <c r="S1202" s="124"/>
      <c r="T1202" s="124"/>
      <c r="U1202" s="115"/>
      <c r="V1202" s="115"/>
      <c r="W1202" s="115"/>
      <c r="X1202" s="115"/>
      <c r="Y1202" s="115"/>
      <c r="Z1202" s="115"/>
      <c r="AA1202" s="115"/>
      <c r="AB1202" s="115"/>
      <c r="AC1202" s="115"/>
      <c r="AD1202" s="115"/>
      <c r="AE1202" s="115"/>
    </row>
    <row r="1203" spans="1:44" s="473" customFormat="1" ht="34.5" customHeight="1">
      <c r="A1203" s="730" t="s">
        <v>563</v>
      </c>
      <c r="B1203" s="334" t="s">
        <v>668</v>
      </c>
      <c r="C1203" s="1059">
        <f>CEILING((C1201*0),0.1)</f>
        <v>0</v>
      </c>
      <c r="D1203" s="1060"/>
      <c r="E1203" s="1059">
        <f>CEILING((E1201*0),0.1)</f>
        <v>0</v>
      </c>
      <c r="F1203" s="1060"/>
      <c r="G1203" s="1059">
        <f>CEILING((G1201*0),0.1)</f>
        <v>0</v>
      </c>
      <c r="H1203" s="1060"/>
      <c r="I1203" s="1061"/>
      <c r="J1203" s="1061"/>
      <c r="K1203" s="1061"/>
      <c r="L1203" s="1061"/>
      <c r="M1203" s="115"/>
      <c r="N1203" s="115"/>
      <c r="O1203" s="115"/>
      <c r="P1203" s="115"/>
      <c r="Q1203" s="115"/>
      <c r="R1203" s="115"/>
      <c r="S1203" s="115"/>
      <c r="T1203" s="115"/>
      <c r="U1203" s="115"/>
      <c r="V1203" s="115"/>
      <c r="W1203" s="115"/>
      <c r="X1203" s="115"/>
      <c r="Y1203" s="115"/>
      <c r="Z1203" s="115"/>
      <c r="AA1203" s="115"/>
      <c r="AB1203" s="140"/>
      <c r="AC1203" s="140"/>
      <c r="AD1203" s="140"/>
      <c r="AE1203" s="140"/>
      <c r="AF1203" s="140"/>
      <c r="AG1203" s="140"/>
      <c r="AH1203" s="140"/>
      <c r="AI1203" s="140"/>
      <c r="AJ1203" s="140"/>
      <c r="AK1203" s="140"/>
      <c r="AL1203" s="140"/>
      <c r="AM1203" s="140"/>
      <c r="AN1203" s="140"/>
      <c r="AO1203" s="140"/>
      <c r="AP1203" s="140"/>
      <c r="AQ1203" s="140"/>
      <c r="AR1203" s="140"/>
    </row>
    <row r="1204" spans="1:14" s="153" customFormat="1" ht="34.5" customHeight="1">
      <c r="A1204" s="451" t="s">
        <v>740</v>
      </c>
      <c r="B1204" s="688"/>
      <c r="C1204" s="688"/>
      <c r="D1204" s="688"/>
      <c r="E1204" s="688"/>
      <c r="F1204" s="688"/>
      <c r="G1204" s="688"/>
      <c r="H1204" s="688"/>
      <c r="I1204" s="688"/>
      <c r="J1204" s="688"/>
      <c r="K1204" s="157"/>
      <c r="L1204" s="123"/>
      <c r="M1204" s="487"/>
      <c r="N1204" s="487"/>
    </row>
    <row r="1205" spans="1:44" s="107" customFormat="1" ht="34.5" customHeight="1">
      <c r="A1205" s="397"/>
      <c r="B1205" s="233"/>
      <c r="C1205" s="233"/>
      <c r="D1205" s="233"/>
      <c r="E1205" s="233"/>
      <c r="F1205" s="233"/>
      <c r="G1205" s="233"/>
      <c r="H1205" s="233"/>
      <c r="I1205" s="233"/>
      <c r="J1205" s="233"/>
      <c r="K1205" s="722"/>
      <c r="L1205" s="113"/>
      <c r="M1205" s="115"/>
      <c r="N1205" s="115"/>
      <c r="O1205" s="115"/>
      <c r="P1205" s="115"/>
      <c r="Q1205" s="115"/>
      <c r="R1205" s="115"/>
      <c r="S1205" s="115"/>
      <c r="T1205" s="115"/>
      <c r="U1205" s="115"/>
      <c r="V1205" s="115"/>
      <c r="W1205" s="115"/>
      <c r="X1205" s="115"/>
      <c r="Y1205" s="115"/>
      <c r="Z1205" s="115"/>
      <c r="AA1205" s="115"/>
      <c r="AB1205" s="140"/>
      <c r="AC1205" s="140"/>
      <c r="AD1205" s="140"/>
      <c r="AE1205" s="140"/>
      <c r="AF1205" s="140"/>
      <c r="AG1205" s="140"/>
      <c r="AH1205" s="140"/>
      <c r="AI1205" s="140"/>
      <c r="AJ1205" s="140"/>
      <c r="AK1205" s="140"/>
      <c r="AL1205" s="140"/>
      <c r="AM1205" s="140"/>
      <c r="AN1205" s="140"/>
      <c r="AO1205" s="140"/>
      <c r="AP1205" s="140"/>
      <c r="AQ1205" s="140"/>
      <c r="AR1205" s="140"/>
    </row>
    <row r="1206" spans="1:27" s="107" customFormat="1" ht="34.5" customHeight="1" thickBot="1">
      <c r="A1206" s="731"/>
      <c r="B1206" s="428"/>
      <c r="C1206" s="405"/>
      <c r="D1206" s="405"/>
      <c r="E1206" s="405"/>
      <c r="F1206" s="405"/>
      <c r="G1206" s="405"/>
      <c r="H1206" s="405"/>
      <c r="I1206" s="732"/>
      <c r="J1206" s="140"/>
      <c r="K1206" s="113"/>
      <c r="L1206" s="113"/>
      <c r="M1206" s="140"/>
      <c r="N1206" s="115"/>
      <c r="O1206" s="115"/>
      <c r="P1206" s="105"/>
      <c r="Q1206" s="105"/>
      <c r="R1206" s="105"/>
      <c r="S1206" s="105"/>
      <c r="T1206" s="105"/>
      <c r="U1206" s="105"/>
      <c r="V1206" s="105"/>
      <c r="W1206" s="105"/>
      <c r="X1206" s="105"/>
      <c r="Y1206" s="105"/>
      <c r="Z1206" s="105"/>
      <c r="AA1206" s="105"/>
    </row>
    <row r="1207" spans="1:42" s="214" customFormat="1" ht="34.5" customHeight="1" thickTop="1">
      <c r="A1207" s="207" t="s">
        <v>34</v>
      </c>
      <c r="B1207" s="208" t="s">
        <v>637</v>
      </c>
      <c r="C1207" s="209" t="s">
        <v>921</v>
      </c>
      <c r="D1207" s="210"/>
      <c r="E1207" s="211" t="s">
        <v>922</v>
      </c>
      <c r="F1207" s="212"/>
      <c r="G1207" s="211" t="s">
        <v>923</v>
      </c>
      <c r="H1207" s="212"/>
      <c r="I1207" s="1070"/>
      <c r="J1207" s="1071"/>
      <c r="K1207" s="1070"/>
      <c r="L1207" s="1070"/>
      <c r="M1207" s="174"/>
      <c r="N1207" s="174"/>
      <c r="O1207" s="213"/>
      <c r="P1207" s="213"/>
      <c r="Q1207" s="213"/>
      <c r="R1207" s="213"/>
      <c r="S1207" s="213"/>
      <c r="T1207" s="213"/>
      <c r="U1207" s="213"/>
      <c r="V1207" s="213"/>
      <c r="W1207" s="213"/>
      <c r="X1207" s="213"/>
      <c r="Y1207" s="213"/>
      <c r="Z1207" s="213"/>
      <c r="AA1207" s="213"/>
      <c r="AB1207" s="213"/>
      <c r="AC1207" s="213"/>
      <c r="AD1207" s="213"/>
      <c r="AE1207" s="213"/>
      <c r="AF1207" s="213"/>
      <c r="AG1207" s="213"/>
      <c r="AH1207" s="213"/>
      <c r="AI1207" s="213"/>
      <c r="AJ1207" s="213"/>
      <c r="AK1207" s="213"/>
      <c r="AL1207" s="213"/>
      <c r="AM1207" s="213"/>
      <c r="AN1207" s="213"/>
      <c r="AO1207" s="213"/>
      <c r="AP1207" s="213"/>
    </row>
    <row r="1208" spans="1:25" s="140" customFormat="1" ht="34.5" customHeight="1">
      <c r="A1208" s="254" t="s">
        <v>741</v>
      </c>
      <c r="B1208" s="548" t="s">
        <v>737</v>
      </c>
      <c r="C1208" s="1073">
        <f>CEILING(38*$Z$1,0.1)</f>
        <v>47.5</v>
      </c>
      <c r="D1208" s="1074"/>
      <c r="E1208" s="1073">
        <f>CEILING(38*$Z$1,0.1)</f>
        <v>47.5</v>
      </c>
      <c r="F1208" s="1074"/>
      <c r="G1208" s="1073">
        <f>CEILING(38*$Z$1,0.1)</f>
        <v>47.5</v>
      </c>
      <c r="H1208" s="1074"/>
      <c r="I1208" s="1061"/>
      <c r="J1208" s="1061"/>
      <c r="K1208" s="1061"/>
      <c r="L1208" s="1061"/>
      <c r="M1208" s="115"/>
      <c r="N1208" s="115"/>
      <c r="O1208" s="115"/>
      <c r="P1208" s="115"/>
      <c r="Q1208" s="115"/>
      <c r="R1208" s="115"/>
      <c r="S1208" s="115"/>
      <c r="T1208" s="115"/>
      <c r="U1208" s="115"/>
      <c r="V1208" s="115"/>
      <c r="W1208" s="115"/>
      <c r="X1208" s="115"/>
      <c r="Y1208" s="115"/>
    </row>
    <row r="1209" spans="1:31" s="140" customFormat="1" ht="34.5" customHeight="1">
      <c r="A1209" s="265" t="s">
        <v>50</v>
      </c>
      <c r="B1209" s="124" t="s">
        <v>738</v>
      </c>
      <c r="C1209" s="1057">
        <f>CEILING(48*$Z$1,0.1)</f>
        <v>60</v>
      </c>
      <c r="D1209" s="1058"/>
      <c r="E1209" s="1057">
        <f>CEILING(48*$Z$1,0.1)</f>
        <v>60</v>
      </c>
      <c r="F1209" s="1058"/>
      <c r="G1209" s="1057">
        <f>CEILING(48*$Z$1,0.1)</f>
        <v>60</v>
      </c>
      <c r="H1209" s="1058"/>
      <c r="I1209" s="1061"/>
      <c r="J1209" s="1061"/>
      <c r="K1209" s="1061"/>
      <c r="L1209" s="1061"/>
      <c r="M1209" s="115"/>
      <c r="N1209" s="115"/>
      <c r="O1209" s="115"/>
      <c r="P1209" s="115"/>
      <c r="Q1209" s="115"/>
      <c r="R1209" s="115"/>
      <c r="S1209" s="124"/>
      <c r="T1209" s="124"/>
      <c r="U1209" s="115"/>
      <c r="V1209" s="115"/>
      <c r="W1209" s="115"/>
      <c r="X1209" s="115"/>
      <c r="Y1209" s="115"/>
      <c r="Z1209" s="115"/>
      <c r="AA1209" s="115"/>
      <c r="AB1209" s="115"/>
      <c r="AC1209" s="115"/>
      <c r="AD1209" s="115"/>
      <c r="AE1209" s="115"/>
    </row>
    <row r="1210" spans="1:44" s="473" customFormat="1" ht="34.5" customHeight="1">
      <c r="A1210" s="730" t="s">
        <v>563</v>
      </c>
      <c r="B1210" s="334" t="s">
        <v>668</v>
      </c>
      <c r="C1210" s="1059">
        <f>CEILING((C1208*0),0.1)</f>
        <v>0</v>
      </c>
      <c r="D1210" s="1060"/>
      <c r="E1210" s="1059">
        <f>CEILING((E1208*0),0.1)</f>
        <v>0</v>
      </c>
      <c r="F1210" s="1060"/>
      <c r="G1210" s="1059">
        <f>CEILING((G1208*0),0.1)</f>
        <v>0</v>
      </c>
      <c r="H1210" s="1060"/>
      <c r="I1210" s="1061"/>
      <c r="J1210" s="1061"/>
      <c r="K1210" s="1061"/>
      <c r="L1210" s="1061"/>
      <c r="M1210" s="115"/>
      <c r="N1210" s="115"/>
      <c r="O1210" s="115"/>
      <c r="P1210" s="115"/>
      <c r="Q1210" s="115"/>
      <c r="R1210" s="115"/>
      <c r="S1210" s="115"/>
      <c r="T1210" s="115"/>
      <c r="U1210" s="115"/>
      <c r="V1210" s="115"/>
      <c r="W1210" s="115"/>
      <c r="X1210" s="115"/>
      <c r="Y1210" s="115"/>
      <c r="Z1210" s="115"/>
      <c r="AA1210" s="115"/>
      <c r="AB1210" s="140"/>
      <c r="AC1210" s="140"/>
      <c r="AD1210" s="140"/>
      <c r="AE1210" s="140"/>
      <c r="AF1210" s="140"/>
      <c r="AG1210" s="140"/>
      <c r="AH1210" s="140"/>
      <c r="AI1210" s="140"/>
      <c r="AJ1210" s="140"/>
      <c r="AK1210" s="140"/>
      <c r="AL1210" s="140"/>
      <c r="AM1210" s="140"/>
      <c r="AN1210" s="140"/>
      <c r="AO1210" s="140"/>
      <c r="AP1210" s="140"/>
      <c r="AQ1210" s="140"/>
      <c r="AR1210" s="140"/>
    </row>
    <row r="1211" spans="1:14" s="153" customFormat="1" ht="34.5" customHeight="1">
      <c r="A1211" s="451" t="s">
        <v>740</v>
      </c>
      <c r="B1211" s="688"/>
      <c r="C1211" s="688"/>
      <c r="D1211" s="688"/>
      <c r="E1211" s="688"/>
      <c r="F1211" s="688"/>
      <c r="G1211" s="688"/>
      <c r="H1211" s="688"/>
      <c r="I1211" s="688"/>
      <c r="J1211" s="688"/>
      <c r="K1211" s="157"/>
      <c r="L1211" s="123"/>
      <c r="M1211" s="487"/>
      <c r="N1211" s="487"/>
    </row>
    <row r="1212" spans="1:44" s="107" customFormat="1" ht="34.5" customHeight="1">
      <c r="A1212" s="397"/>
      <c r="B1212" s="233"/>
      <c r="C1212" s="233"/>
      <c r="D1212" s="233"/>
      <c r="E1212" s="233"/>
      <c r="F1212" s="233"/>
      <c r="G1212" s="233"/>
      <c r="H1212" s="233"/>
      <c r="I1212" s="233"/>
      <c r="J1212" s="233"/>
      <c r="K1212" s="722"/>
      <c r="L1212" s="113"/>
      <c r="M1212" s="115"/>
      <c r="N1212" s="115"/>
      <c r="O1212" s="115"/>
      <c r="P1212" s="115"/>
      <c r="Q1212" s="115"/>
      <c r="R1212" s="115"/>
      <c r="S1212" s="115"/>
      <c r="T1212" s="115"/>
      <c r="U1212" s="115"/>
      <c r="V1212" s="115"/>
      <c r="W1212" s="115"/>
      <c r="X1212" s="115"/>
      <c r="Y1212" s="115"/>
      <c r="Z1212" s="115"/>
      <c r="AA1212" s="115"/>
      <c r="AB1212" s="140"/>
      <c r="AC1212" s="140"/>
      <c r="AD1212" s="140"/>
      <c r="AE1212" s="140"/>
      <c r="AF1212" s="140"/>
      <c r="AG1212" s="140"/>
      <c r="AH1212" s="140"/>
      <c r="AI1212" s="140"/>
      <c r="AJ1212" s="140"/>
      <c r="AK1212" s="140"/>
      <c r="AL1212" s="140"/>
      <c r="AM1212" s="140"/>
      <c r="AN1212" s="140"/>
      <c r="AO1212" s="140"/>
      <c r="AP1212" s="140"/>
      <c r="AQ1212" s="140"/>
      <c r="AR1212" s="140"/>
    </row>
    <row r="1213" spans="1:22" s="140" customFormat="1" ht="34.5" customHeight="1" thickBot="1">
      <c r="A1213" s="447"/>
      <c r="B1213" s="255"/>
      <c r="C1213" s="239"/>
      <c r="D1213" s="239"/>
      <c r="E1213" s="239"/>
      <c r="F1213" s="239"/>
      <c r="G1213" s="239"/>
      <c r="H1213" s="239"/>
      <c r="I1213" s="239"/>
      <c r="J1213" s="239"/>
      <c r="K1213" s="722"/>
      <c r="L1213" s="722"/>
      <c r="M1213" s="114"/>
      <c r="N1213" s="115"/>
      <c r="O1213" s="115"/>
      <c r="P1213" s="148"/>
      <c r="Q1213" s="148"/>
      <c r="R1213" s="148"/>
      <c r="S1213" s="148"/>
      <c r="T1213" s="115"/>
      <c r="U1213" s="115"/>
      <c r="V1213" s="115"/>
    </row>
    <row r="1214" spans="1:42" s="214" customFormat="1" ht="34.5" customHeight="1" thickTop="1">
      <c r="A1214" s="207" t="s">
        <v>34</v>
      </c>
      <c r="B1214" s="208" t="s">
        <v>637</v>
      </c>
      <c r="C1214" s="209" t="s">
        <v>921</v>
      </c>
      <c r="D1214" s="210"/>
      <c r="E1214" s="211" t="s">
        <v>922</v>
      </c>
      <c r="F1214" s="212"/>
      <c r="G1214" s="211" t="s">
        <v>923</v>
      </c>
      <c r="H1214" s="212"/>
      <c r="I1214" s="213"/>
      <c r="J1214" s="213"/>
      <c r="K1214" s="1070"/>
      <c r="L1214" s="1070"/>
      <c r="M1214" s="174"/>
      <c r="N1214" s="174"/>
      <c r="O1214" s="213"/>
      <c r="P1214" s="213"/>
      <c r="Q1214" s="213"/>
      <c r="R1214" s="213"/>
      <c r="S1214" s="213"/>
      <c r="T1214" s="213"/>
      <c r="U1214" s="213"/>
      <c r="V1214" s="213"/>
      <c r="W1214" s="213"/>
      <c r="X1214" s="213"/>
      <c r="Y1214" s="213"/>
      <c r="Z1214" s="213"/>
      <c r="AA1214" s="213"/>
      <c r="AB1214" s="213"/>
      <c r="AC1214" s="213"/>
      <c r="AD1214" s="213"/>
      <c r="AE1214" s="213"/>
      <c r="AF1214" s="213"/>
      <c r="AG1214" s="213"/>
      <c r="AH1214" s="213"/>
      <c r="AI1214" s="213"/>
      <c r="AJ1214" s="213"/>
      <c r="AK1214" s="213"/>
      <c r="AL1214" s="213"/>
      <c r="AM1214" s="213"/>
      <c r="AN1214" s="213"/>
      <c r="AO1214" s="213"/>
      <c r="AP1214" s="213"/>
    </row>
    <row r="1215" spans="1:25" s="140" customFormat="1" ht="34.5" customHeight="1">
      <c r="A1215" s="254" t="s">
        <v>742</v>
      </c>
      <c r="B1215" s="548" t="s">
        <v>737</v>
      </c>
      <c r="C1215" s="1073">
        <f>CEILING(41*$Z$1,0.1)</f>
        <v>51.300000000000004</v>
      </c>
      <c r="D1215" s="1074"/>
      <c r="E1215" s="1073">
        <f>CEILING(41*$Z$1,0.1)</f>
        <v>51.300000000000004</v>
      </c>
      <c r="F1215" s="1074"/>
      <c r="G1215" s="1073">
        <f>CEILING(41*$Z$1,0.1)</f>
        <v>51.300000000000004</v>
      </c>
      <c r="H1215" s="1074"/>
      <c r="I1215" s="1070"/>
      <c r="J1215" s="1071"/>
      <c r="K1215" s="1061"/>
      <c r="L1215" s="1061"/>
      <c r="M1215" s="115"/>
      <c r="N1215" s="115"/>
      <c r="O1215" s="115"/>
      <c r="P1215" s="115"/>
      <c r="Q1215" s="115"/>
      <c r="R1215" s="115"/>
      <c r="S1215" s="115"/>
      <c r="T1215" s="115"/>
      <c r="U1215" s="115"/>
      <c r="V1215" s="115"/>
      <c r="W1215" s="115"/>
      <c r="X1215" s="115"/>
      <c r="Y1215" s="115"/>
    </row>
    <row r="1216" spans="1:31" s="140" customFormat="1" ht="34.5" customHeight="1">
      <c r="A1216" s="265" t="s">
        <v>50</v>
      </c>
      <c r="B1216" s="124" t="s">
        <v>738</v>
      </c>
      <c r="C1216" s="1057">
        <f>CEILING(51*$Z$1,0.1)</f>
        <v>63.800000000000004</v>
      </c>
      <c r="D1216" s="1058"/>
      <c r="E1216" s="1057">
        <f>CEILING(51*$Z$1,0.1)</f>
        <v>63.800000000000004</v>
      </c>
      <c r="F1216" s="1058"/>
      <c r="G1216" s="1057">
        <f>CEILING(51*$Z$1,0.1)</f>
        <v>63.800000000000004</v>
      </c>
      <c r="H1216" s="1058"/>
      <c r="I1216" s="1061"/>
      <c r="J1216" s="1061"/>
      <c r="K1216" s="1061"/>
      <c r="L1216" s="1061"/>
      <c r="M1216" s="115"/>
      <c r="N1216" s="115"/>
      <c r="O1216" s="115"/>
      <c r="P1216" s="115"/>
      <c r="Q1216" s="115"/>
      <c r="R1216" s="115"/>
      <c r="S1216" s="124"/>
      <c r="T1216" s="124"/>
      <c r="U1216" s="115"/>
      <c r="V1216" s="115"/>
      <c r="W1216" s="115"/>
      <c r="X1216" s="115"/>
      <c r="Y1216" s="115"/>
      <c r="Z1216" s="115"/>
      <c r="AA1216" s="115"/>
      <c r="AB1216" s="115"/>
      <c r="AC1216" s="115"/>
      <c r="AD1216" s="115"/>
      <c r="AE1216" s="115"/>
    </row>
    <row r="1217" spans="1:44" s="473" customFormat="1" ht="34.5" customHeight="1">
      <c r="A1217" s="730" t="s">
        <v>563</v>
      </c>
      <c r="B1217" s="334" t="s">
        <v>668</v>
      </c>
      <c r="C1217" s="1059">
        <f>CEILING((C1215*0),0.1)</f>
        <v>0</v>
      </c>
      <c r="D1217" s="1060"/>
      <c r="E1217" s="1059">
        <f>CEILING((E1215*0),0.1)</f>
        <v>0</v>
      </c>
      <c r="F1217" s="1060"/>
      <c r="G1217" s="1059">
        <f>CEILING((G1215*0),0.1)</f>
        <v>0</v>
      </c>
      <c r="H1217" s="1060"/>
      <c r="I1217" s="1061"/>
      <c r="J1217" s="1061"/>
      <c r="K1217" s="1061"/>
      <c r="L1217" s="1061"/>
      <c r="M1217" s="115"/>
      <c r="N1217" s="115"/>
      <c r="O1217" s="115"/>
      <c r="P1217" s="115"/>
      <c r="Q1217" s="115"/>
      <c r="R1217" s="115"/>
      <c r="S1217" s="115"/>
      <c r="T1217" s="115"/>
      <c r="U1217" s="115"/>
      <c r="V1217" s="115"/>
      <c r="W1217" s="115"/>
      <c r="X1217" s="115"/>
      <c r="Y1217" s="115"/>
      <c r="Z1217" s="115"/>
      <c r="AA1217" s="115"/>
      <c r="AB1217" s="140"/>
      <c r="AC1217" s="140"/>
      <c r="AD1217" s="140"/>
      <c r="AE1217" s="140"/>
      <c r="AF1217" s="140"/>
      <c r="AG1217" s="140"/>
      <c r="AH1217" s="140"/>
      <c r="AI1217" s="140"/>
      <c r="AJ1217" s="140"/>
      <c r="AK1217" s="140"/>
      <c r="AL1217" s="140"/>
      <c r="AM1217" s="140"/>
      <c r="AN1217" s="140"/>
      <c r="AO1217" s="140"/>
      <c r="AP1217" s="140"/>
      <c r="AQ1217" s="140"/>
      <c r="AR1217" s="140"/>
    </row>
    <row r="1218" spans="1:14" s="153" customFormat="1" ht="34.5" customHeight="1">
      <c r="A1218" s="451" t="s">
        <v>740</v>
      </c>
      <c r="B1218" s="688"/>
      <c r="C1218" s="688"/>
      <c r="D1218" s="688"/>
      <c r="E1218" s="688"/>
      <c r="F1218" s="688"/>
      <c r="G1218" s="688"/>
      <c r="H1218" s="688"/>
      <c r="I1218" s="688"/>
      <c r="J1218" s="688"/>
      <c r="K1218" s="157"/>
      <c r="L1218" s="123"/>
      <c r="M1218" s="487"/>
      <c r="N1218" s="487"/>
    </row>
    <row r="1219" spans="1:44" s="107" customFormat="1" ht="34.5" customHeight="1">
      <c r="A1219" s="397"/>
      <c r="B1219" s="233"/>
      <c r="C1219" s="233"/>
      <c r="D1219" s="233"/>
      <c r="E1219" s="233"/>
      <c r="F1219" s="233"/>
      <c r="G1219" s="233"/>
      <c r="H1219" s="233"/>
      <c r="I1219" s="233"/>
      <c r="J1219" s="233"/>
      <c r="K1219" s="722"/>
      <c r="L1219" s="113"/>
      <c r="M1219" s="115"/>
      <c r="N1219" s="115"/>
      <c r="O1219" s="115"/>
      <c r="P1219" s="115"/>
      <c r="Q1219" s="115"/>
      <c r="R1219" s="115"/>
      <c r="S1219" s="115"/>
      <c r="T1219" s="115"/>
      <c r="U1219" s="115"/>
      <c r="V1219" s="115"/>
      <c r="W1219" s="115"/>
      <c r="X1219" s="115"/>
      <c r="Y1219" s="115"/>
      <c r="Z1219" s="115"/>
      <c r="AA1219" s="115"/>
      <c r="AB1219" s="140"/>
      <c r="AC1219" s="140"/>
      <c r="AD1219" s="140"/>
      <c r="AE1219" s="140"/>
      <c r="AF1219" s="140"/>
      <c r="AG1219" s="140"/>
      <c r="AH1219" s="140"/>
      <c r="AI1219" s="140"/>
      <c r="AJ1219" s="140"/>
      <c r="AK1219" s="140"/>
      <c r="AL1219" s="140"/>
      <c r="AM1219" s="140"/>
      <c r="AN1219" s="140"/>
      <c r="AO1219" s="140"/>
      <c r="AP1219" s="140"/>
      <c r="AQ1219" s="140"/>
      <c r="AR1219" s="140"/>
    </row>
    <row r="1220" spans="1:22" s="140" customFormat="1" ht="34.5" customHeight="1" thickBot="1">
      <c r="A1220" s="397"/>
      <c r="B1220" s="397"/>
      <c r="C1220" s="397"/>
      <c r="D1220" s="397"/>
      <c r="E1220" s="397"/>
      <c r="F1220" s="397"/>
      <c r="G1220" s="397"/>
      <c r="H1220" s="397"/>
      <c r="I1220" s="451"/>
      <c r="J1220" s="114"/>
      <c r="K1220" s="733"/>
      <c r="L1220" s="733"/>
      <c r="M1220" s="734"/>
      <c r="N1220" s="734"/>
      <c r="O1220" s="115"/>
      <c r="P1220" s="148"/>
      <c r="Q1220" s="148"/>
      <c r="R1220" s="148"/>
      <c r="S1220" s="148"/>
      <c r="T1220" s="115"/>
      <c r="U1220" s="115"/>
      <c r="V1220" s="115"/>
    </row>
    <row r="1221" spans="1:42" s="214" customFormat="1" ht="34.5" customHeight="1" thickTop="1">
      <c r="A1221" s="207" t="s">
        <v>34</v>
      </c>
      <c r="B1221" s="208" t="s">
        <v>637</v>
      </c>
      <c r="C1221" s="209" t="s">
        <v>921</v>
      </c>
      <c r="D1221" s="210"/>
      <c r="E1221" s="211" t="s">
        <v>922</v>
      </c>
      <c r="F1221" s="212"/>
      <c r="G1221" s="211" t="s">
        <v>923</v>
      </c>
      <c r="H1221" s="212"/>
      <c r="I1221" s="1070"/>
      <c r="J1221" s="1071"/>
      <c r="K1221" s="1070"/>
      <c r="L1221" s="1070"/>
      <c r="M1221" s="174"/>
      <c r="N1221" s="174"/>
      <c r="O1221" s="213"/>
      <c r="P1221" s="213"/>
      <c r="Q1221" s="213"/>
      <c r="R1221" s="213"/>
      <c r="S1221" s="213"/>
      <c r="T1221" s="213"/>
      <c r="U1221" s="213"/>
      <c r="V1221" s="213"/>
      <c r="W1221" s="213"/>
      <c r="X1221" s="213"/>
      <c r="Y1221" s="213"/>
      <c r="Z1221" s="213"/>
      <c r="AA1221" s="213"/>
      <c r="AB1221" s="213"/>
      <c r="AC1221" s="213"/>
      <c r="AD1221" s="213"/>
      <c r="AE1221" s="213"/>
      <c r="AF1221" s="213"/>
      <c r="AG1221" s="213"/>
      <c r="AH1221" s="213"/>
      <c r="AI1221" s="213"/>
      <c r="AJ1221" s="213"/>
      <c r="AK1221" s="213"/>
      <c r="AL1221" s="213"/>
      <c r="AM1221" s="213"/>
      <c r="AN1221" s="213"/>
      <c r="AO1221" s="213"/>
      <c r="AP1221" s="213"/>
    </row>
    <row r="1222" spans="1:22" s="107" customFormat="1" ht="34.5" customHeight="1">
      <c r="A1222" s="350" t="s">
        <v>117</v>
      </c>
      <c r="B1222" s="353" t="s">
        <v>42</v>
      </c>
      <c r="C1222" s="1073">
        <f>CEILING(35*$Z$1,0.1)</f>
        <v>43.800000000000004</v>
      </c>
      <c r="D1222" s="1074"/>
      <c r="E1222" s="1073">
        <f>CEILING(35*$Z$1,0.1)</f>
        <v>43.800000000000004</v>
      </c>
      <c r="F1222" s="1074"/>
      <c r="G1222" s="1073">
        <f>CEILING(35*$Z$1,0.1)</f>
        <v>43.800000000000004</v>
      </c>
      <c r="H1222" s="1074"/>
      <c r="I1222" s="1061"/>
      <c r="J1222" s="1061"/>
      <c r="K1222" s="1061"/>
      <c r="L1222" s="1061"/>
      <c r="M1222" s="148"/>
      <c r="N1222" s="148"/>
      <c r="O1222" s="105"/>
      <c r="P1222" s="148"/>
      <c r="Q1222" s="148"/>
      <c r="R1222" s="148"/>
      <c r="S1222" s="148"/>
      <c r="T1222" s="105"/>
      <c r="U1222" s="105"/>
      <c r="V1222" s="105"/>
    </row>
    <row r="1223" spans="1:22" s="107" customFormat="1" ht="34.5" customHeight="1">
      <c r="A1223" s="735"/>
      <c r="B1223" s="238" t="s">
        <v>43</v>
      </c>
      <c r="C1223" s="1057">
        <f>CEILING(44*$Z$1,0.1)</f>
        <v>55</v>
      </c>
      <c r="D1223" s="1058"/>
      <c r="E1223" s="1057">
        <f>CEILING(44*$Z$1,0.1)</f>
        <v>55</v>
      </c>
      <c r="F1223" s="1058"/>
      <c r="G1223" s="1057">
        <f>CEILING(44*$Z$1,0.1)</f>
        <v>55</v>
      </c>
      <c r="H1223" s="1058"/>
      <c r="I1223" s="1061"/>
      <c r="J1223" s="1061"/>
      <c r="K1223" s="1061"/>
      <c r="L1223" s="1061"/>
      <c r="M1223" s="148"/>
      <c r="N1223" s="148"/>
      <c r="O1223" s="105"/>
      <c r="P1223" s="148"/>
      <c r="Q1223" s="148"/>
      <c r="R1223" s="148"/>
      <c r="S1223" s="148"/>
      <c r="T1223" s="105"/>
      <c r="U1223" s="105"/>
      <c r="V1223" s="105"/>
    </row>
    <row r="1224" spans="1:22" s="107" customFormat="1" ht="34.5" customHeight="1">
      <c r="A1224" s="265" t="s">
        <v>50</v>
      </c>
      <c r="B1224" s="321" t="s">
        <v>38</v>
      </c>
      <c r="C1224" s="1057">
        <f>CEILING(28*$Z$1,0.1)</f>
        <v>35</v>
      </c>
      <c r="D1224" s="1058"/>
      <c r="E1224" s="1057">
        <f>CEILING(28*$Z$1,0.1)</f>
        <v>35</v>
      </c>
      <c r="F1224" s="1058"/>
      <c r="G1224" s="1057">
        <f>CEILING(28*$Z$1,0.1)</f>
        <v>35</v>
      </c>
      <c r="H1224" s="1058"/>
      <c r="I1224" s="1061"/>
      <c r="J1224" s="1061"/>
      <c r="K1224" s="1061"/>
      <c r="L1224" s="1061"/>
      <c r="M1224" s="148"/>
      <c r="N1224" s="148"/>
      <c r="O1224" s="105"/>
      <c r="P1224" s="148"/>
      <c r="Q1224" s="148"/>
      <c r="R1224" s="148"/>
      <c r="S1224" s="148"/>
      <c r="T1224" s="105"/>
      <c r="U1224" s="105"/>
      <c r="V1224" s="105"/>
    </row>
    <row r="1225" spans="1:21" s="107" customFormat="1" ht="34.5" customHeight="1">
      <c r="A1225" s="432"/>
      <c r="B1225" s="353" t="s">
        <v>450</v>
      </c>
      <c r="C1225" s="1059">
        <f>CEILING((C1223*0),0.1)</f>
        <v>0</v>
      </c>
      <c r="D1225" s="1060"/>
      <c r="E1225" s="1059">
        <f>CEILING((E1223*0),0.1)</f>
        <v>0</v>
      </c>
      <c r="F1225" s="1060"/>
      <c r="G1225" s="1059">
        <f>CEILING((G1223*0),0.1)</f>
        <v>0</v>
      </c>
      <c r="H1225" s="1060"/>
      <c r="I1225" s="1061"/>
      <c r="J1225" s="1061"/>
      <c r="K1225" s="1061"/>
      <c r="L1225" s="1061"/>
      <c r="M1225" s="148"/>
      <c r="N1225" s="148"/>
      <c r="O1225" s="105"/>
      <c r="P1225" s="148"/>
      <c r="Q1225" s="148"/>
      <c r="R1225" s="148"/>
      <c r="S1225" s="148"/>
      <c r="T1225" s="105"/>
      <c r="U1225" s="105"/>
    </row>
    <row r="1226" spans="1:21" s="107" customFormat="1" ht="34.5" customHeight="1">
      <c r="A1226" s="432"/>
      <c r="B1226" s="266" t="s">
        <v>118</v>
      </c>
      <c r="C1226" s="1073">
        <f>CEILING(40*$Z$1,0.1)</f>
        <v>50</v>
      </c>
      <c r="D1226" s="1074"/>
      <c r="E1226" s="1073">
        <f>CEILING(40*$Z$1,0.1)</f>
        <v>50</v>
      </c>
      <c r="F1226" s="1074"/>
      <c r="G1226" s="1073">
        <f>CEILING(40*$Z$1,0.1)</f>
        <v>50</v>
      </c>
      <c r="H1226" s="1074"/>
      <c r="I1226" s="1061"/>
      <c r="J1226" s="1061"/>
      <c r="K1226" s="1061"/>
      <c r="L1226" s="1061"/>
      <c r="M1226" s="148"/>
      <c r="N1226" s="148"/>
      <c r="O1226" s="105"/>
      <c r="P1226" s="148"/>
      <c r="Q1226" s="148"/>
      <c r="R1226" s="148"/>
      <c r="S1226" s="148"/>
      <c r="T1226" s="105"/>
      <c r="U1226" s="105"/>
    </row>
    <row r="1227" spans="1:21" s="107" customFormat="1" ht="34.5" customHeight="1" thickBot="1">
      <c r="A1227" s="715" t="s">
        <v>563</v>
      </c>
      <c r="B1227" s="524" t="s">
        <v>119</v>
      </c>
      <c r="C1227" s="1076">
        <f>CEILING(49*$Z$1,0.1)</f>
        <v>61.300000000000004</v>
      </c>
      <c r="D1227" s="1077"/>
      <c r="E1227" s="1076">
        <f>CEILING(49*$Z$1,0.1)</f>
        <v>61.300000000000004</v>
      </c>
      <c r="F1227" s="1077"/>
      <c r="G1227" s="1076">
        <f>CEILING(49*$Z$1,0.1)</f>
        <v>61.300000000000004</v>
      </c>
      <c r="H1227" s="1077"/>
      <c r="I1227" s="1061"/>
      <c r="J1227" s="1061"/>
      <c r="K1227" s="1061"/>
      <c r="L1227" s="1061"/>
      <c r="M1227" s="148"/>
      <c r="N1227" s="148"/>
      <c r="O1227" s="105"/>
      <c r="P1227" s="115"/>
      <c r="Q1227" s="115"/>
      <c r="R1227" s="115"/>
      <c r="S1227" s="115"/>
      <c r="T1227" s="105"/>
      <c r="U1227" s="105"/>
    </row>
    <row r="1228" spans="1:21" s="107" customFormat="1" ht="34.5" customHeight="1" thickTop="1">
      <c r="A1228" s="447"/>
      <c r="B1228" s="255"/>
      <c r="C1228" s="239"/>
      <c r="D1228" s="239"/>
      <c r="E1228" s="239"/>
      <c r="F1228" s="239"/>
      <c r="G1228" s="239"/>
      <c r="H1228" s="239"/>
      <c r="I1228" s="239"/>
      <c r="J1228" s="239"/>
      <c r="K1228" s="239"/>
      <c r="L1228" s="239"/>
      <c r="M1228" s="148"/>
      <c r="N1228" s="148"/>
      <c r="O1228" s="105"/>
      <c r="P1228" s="115"/>
      <c r="Q1228" s="115"/>
      <c r="R1228" s="115"/>
      <c r="S1228" s="115"/>
      <c r="T1228" s="105"/>
      <c r="U1228" s="105"/>
    </row>
    <row r="1229" spans="1:44" s="107" customFormat="1" ht="34.5" customHeight="1" thickBot="1">
      <c r="A1229" s="397"/>
      <c r="B1229" s="233"/>
      <c r="C1229" s="233"/>
      <c r="D1229" s="233"/>
      <c r="E1229" s="233"/>
      <c r="F1229" s="233"/>
      <c r="G1229" s="233"/>
      <c r="H1229" s="233"/>
      <c r="I1229" s="233"/>
      <c r="J1229" s="233"/>
      <c r="K1229" s="722"/>
      <c r="L1229" s="113"/>
      <c r="M1229" s="115"/>
      <c r="N1229" s="115"/>
      <c r="O1229" s="115"/>
      <c r="P1229" s="115"/>
      <c r="Q1229" s="115"/>
      <c r="R1229" s="115"/>
      <c r="S1229" s="115"/>
      <c r="T1229" s="115"/>
      <c r="U1229" s="115"/>
      <c r="V1229" s="115"/>
      <c r="W1229" s="115"/>
      <c r="X1229" s="115"/>
      <c r="Y1229" s="115"/>
      <c r="Z1229" s="115"/>
      <c r="AA1229" s="115"/>
      <c r="AB1229" s="140"/>
      <c r="AC1229" s="140"/>
      <c r="AD1229" s="140"/>
      <c r="AE1229" s="140"/>
      <c r="AF1229" s="140"/>
      <c r="AG1229" s="140"/>
      <c r="AH1229" s="140"/>
      <c r="AI1229" s="140"/>
      <c r="AJ1229" s="140"/>
      <c r="AK1229" s="140"/>
      <c r="AL1229" s="140"/>
      <c r="AM1229" s="140"/>
      <c r="AN1229" s="140"/>
      <c r="AO1229" s="140"/>
      <c r="AP1229" s="140"/>
      <c r="AQ1229" s="140"/>
      <c r="AR1229" s="140"/>
    </row>
    <row r="1230" spans="1:42" s="214" customFormat="1" ht="34.5" customHeight="1" thickTop="1">
      <c r="A1230" s="207" t="s">
        <v>34</v>
      </c>
      <c r="B1230" s="208" t="s">
        <v>983</v>
      </c>
      <c r="C1230" s="209" t="s">
        <v>921</v>
      </c>
      <c r="D1230" s="210"/>
      <c r="E1230" s="211" t="s">
        <v>922</v>
      </c>
      <c r="F1230" s="212"/>
      <c r="G1230" s="211" t="s">
        <v>923</v>
      </c>
      <c r="H1230" s="212"/>
      <c r="I1230" s="1070"/>
      <c r="J1230" s="1071"/>
      <c r="K1230" s="1070"/>
      <c r="L1230" s="1070"/>
      <c r="M1230" s="174"/>
      <c r="N1230" s="174"/>
      <c r="O1230" s="213"/>
      <c r="P1230" s="213"/>
      <c r="Q1230" s="213"/>
      <c r="R1230" s="213"/>
      <c r="S1230" s="213"/>
      <c r="T1230" s="213"/>
      <c r="U1230" s="213"/>
      <c r="V1230" s="213"/>
      <c r="W1230" s="213"/>
      <c r="X1230" s="213"/>
      <c r="Y1230" s="213"/>
      <c r="Z1230" s="213"/>
      <c r="AA1230" s="213"/>
      <c r="AB1230" s="213"/>
      <c r="AC1230" s="213"/>
      <c r="AD1230" s="213"/>
      <c r="AE1230" s="213"/>
      <c r="AF1230" s="213"/>
      <c r="AG1230" s="213"/>
      <c r="AH1230" s="213"/>
      <c r="AI1230" s="213"/>
      <c r="AJ1230" s="213"/>
      <c r="AK1230" s="213"/>
      <c r="AL1230" s="213"/>
      <c r="AM1230" s="213"/>
      <c r="AN1230" s="213"/>
      <c r="AO1230" s="213"/>
      <c r="AP1230" s="213"/>
    </row>
    <row r="1231" spans="1:23" s="107" customFormat="1" ht="34.5" customHeight="1">
      <c r="A1231" s="736" t="s">
        <v>13</v>
      </c>
      <c r="B1231" s="238" t="s">
        <v>42</v>
      </c>
      <c r="C1231" s="1073">
        <f>CEILING(28*$Z$1,0.1)</f>
        <v>35</v>
      </c>
      <c r="D1231" s="1074"/>
      <c r="E1231" s="1073">
        <f>CEILING(28*$Z$1,0.1)</f>
        <v>35</v>
      </c>
      <c r="F1231" s="1074"/>
      <c r="G1231" s="1073">
        <f>CEILING(28*$Z$1,0.1)</f>
        <v>35</v>
      </c>
      <c r="H1231" s="1074"/>
      <c r="I1231" s="1061"/>
      <c r="J1231" s="1061"/>
      <c r="K1231" s="1061"/>
      <c r="L1231" s="1061"/>
      <c r="M1231" s="148"/>
      <c r="N1231" s="148"/>
      <c r="O1231" s="737"/>
      <c r="P1231" s="737"/>
      <c r="Q1231" s="737"/>
      <c r="R1231" s="737"/>
      <c r="S1231" s="114"/>
      <c r="T1231" s="114"/>
      <c r="U1231" s="114"/>
      <c r="V1231" s="105"/>
      <c r="W1231" s="105"/>
    </row>
    <row r="1232" spans="1:23" s="107" customFormat="1" ht="34.5" customHeight="1">
      <c r="A1232" s="265" t="s">
        <v>80</v>
      </c>
      <c r="B1232" s="238" t="s">
        <v>43</v>
      </c>
      <c r="C1232" s="1057">
        <f>CEILING(36*$Z$1,0.1)</f>
        <v>45</v>
      </c>
      <c r="D1232" s="1058"/>
      <c r="E1232" s="1057">
        <f>CEILING(36*$Z$1,0.1)</f>
        <v>45</v>
      </c>
      <c r="F1232" s="1058"/>
      <c r="G1232" s="1057">
        <f>CEILING(36*$Z$1,0.1)</f>
        <v>45</v>
      </c>
      <c r="H1232" s="1058"/>
      <c r="I1232" s="1061"/>
      <c r="J1232" s="1061"/>
      <c r="K1232" s="1061"/>
      <c r="L1232" s="1061"/>
      <c r="M1232" s="148"/>
      <c r="N1232" s="148"/>
      <c r="O1232" s="129"/>
      <c r="P1232" s="738"/>
      <c r="Q1232" s="129"/>
      <c r="R1232" s="129"/>
      <c r="S1232" s="114"/>
      <c r="T1232" s="114"/>
      <c r="U1232" s="114"/>
      <c r="V1232" s="105"/>
      <c r="W1232" s="105"/>
    </row>
    <row r="1233" spans="1:23" s="107" customFormat="1" ht="34.5" customHeight="1" thickBot="1">
      <c r="A1233" s="739" t="s">
        <v>1029</v>
      </c>
      <c r="B1233" s="571" t="s">
        <v>399</v>
      </c>
      <c r="C1233" s="1076">
        <f>CEILING((C1231*0.7),0.1)</f>
        <v>24.5</v>
      </c>
      <c r="D1233" s="1077"/>
      <c r="E1233" s="1076">
        <f>CEILING((E1231*0.7),0.1)</f>
        <v>24.5</v>
      </c>
      <c r="F1233" s="1077"/>
      <c r="G1233" s="1076">
        <f>CEILING((G1231*0.7),0.1)</f>
        <v>24.5</v>
      </c>
      <c r="H1233" s="1077"/>
      <c r="I1233" s="1061"/>
      <c r="J1233" s="1061"/>
      <c r="K1233" s="1061"/>
      <c r="L1233" s="1061"/>
      <c r="M1233" s="1190"/>
      <c r="N1233" s="1190"/>
      <c r="O1233" s="129"/>
      <c r="P1233" s="738"/>
      <c r="Q1233" s="129"/>
      <c r="R1233" s="129"/>
      <c r="S1233" s="114"/>
      <c r="T1233" s="114"/>
      <c r="U1233" s="114"/>
      <c r="V1233" s="105"/>
      <c r="W1233" s="105"/>
    </row>
    <row r="1234" spans="1:23" s="107" customFormat="1" ht="34.5" customHeight="1" thickTop="1">
      <c r="A1234" s="447" t="s">
        <v>743</v>
      </c>
      <c r="B1234" s="255"/>
      <c r="C1234" s="148"/>
      <c r="D1234" s="148"/>
      <c r="E1234" s="148"/>
      <c r="F1234" s="148"/>
      <c r="G1234" s="148"/>
      <c r="H1234" s="148"/>
      <c r="I1234" s="148"/>
      <c r="J1234" s="438"/>
      <c r="K1234" s="170"/>
      <c r="L1234" s="170"/>
      <c r="M1234" s="737"/>
      <c r="N1234" s="737"/>
      <c r="O1234" s="129"/>
      <c r="P1234" s="738"/>
      <c r="Q1234" s="129"/>
      <c r="R1234" s="129"/>
      <c r="S1234" s="114"/>
      <c r="T1234" s="114"/>
      <c r="U1234" s="114"/>
      <c r="V1234" s="105"/>
      <c r="W1234" s="105"/>
    </row>
    <row r="1235" spans="1:23" s="107" customFormat="1" ht="34.5" customHeight="1">
      <c r="A1235" s="530" t="s">
        <v>14</v>
      </c>
      <c r="B1235" s="152"/>
      <c r="C1235" s="152"/>
      <c r="D1235" s="152"/>
      <c r="E1235" s="152"/>
      <c r="F1235" s="152"/>
      <c r="G1235" s="152"/>
      <c r="H1235" s="152"/>
      <c r="I1235" s="152"/>
      <c r="J1235" s="741"/>
      <c r="K1235" s="170"/>
      <c r="L1235" s="170"/>
      <c r="M1235" s="239"/>
      <c r="N1235" s="148"/>
      <c r="O1235" s="114"/>
      <c r="P1235" s="114"/>
      <c r="Q1235" s="114"/>
      <c r="R1235" s="114"/>
      <c r="S1235" s="114"/>
      <c r="T1235" s="114"/>
      <c r="U1235" s="114"/>
      <c r="V1235" s="105"/>
      <c r="W1235" s="105"/>
    </row>
    <row r="1236" spans="1:23" s="15" customFormat="1" ht="34.5" customHeight="1">
      <c r="A1236" s="1107" t="s">
        <v>120</v>
      </c>
      <c r="B1236" s="1107"/>
      <c r="C1236" s="1107"/>
      <c r="D1236" s="1107"/>
      <c r="E1236" s="1107"/>
      <c r="F1236" s="1107"/>
      <c r="G1236" s="1107"/>
      <c r="H1236" s="1107"/>
      <c r="I1236" s="69"/>
      <c r="J1236" s="69"/>
      <c r="K1236" s="44"/>
      <c r="L1236" s="44"/>
      <c r="M1236" s="39"/>
      <c r="N1236" s="38"/>
      <c r="O1236" s="33"/>
      <c r="P1236" s="33"/>
      <c r="Q1236" s="33"/>
      <c r="R1236" s="33"/>
      <c r="S1236" s="33"/>
      <c r="T1236" s="33"/>
      <c r="U1236" s="33"/>
      <c r="V1236" s="14"/>
      <c r="W1236" s="14"/>
    </row>
    <row r="1237" spans="1:23" s="15" customFormat="1" ht="34.5" customHeight="1" thickBot="1">
      <c r="A1237" s="69" t="s">
        <v>1105</v>
      </c>
      <c r="B1237" s="69"/>
      <c r="C1237" s="69"/>
      <c r="D1237" s="69"/>
      <c r="E1237" s="69"/>
      <c r="F1237" s="69"/>
      <c r="G1237" s="69"/>
      <c r="H1237" s="69"/>
      <c r="I1237" s="69"/>
      <c r="J1237" s="69"/>
      <c r="K1237" s="44"/>
      <c r="L1237" s="44"/>
      <c r="M1237" s="39"/>
      <c r="N1237" s="38"/>
      <c r="O1237" s="33"/>
      <c r="P1237" s="33"/>
      <c r="Q1237" s="33"/>
      <c r="R1237" s="33"/>
      <c r="S1237" s="33"/>
      <c r="T1237" s="33"/>
      <c r="U1237" s="33"/>
      <c r="V1237" s="14"/>
      <c r="W1237" s="14"/>
    </row>
    <row r="1238" spans="1:42" s="214" customFormat="1" ht="34.5" customHeight="1" thickTop="1">
      <c r="A1238" s="207" t="s">
        <v>34</v>
      </c>
      <c r="B1238" s="208" t="s">
        <v>983</v>
      </c>
      <c r="C1238" s="209" t="s">
        <v>921</v>
      </c>
      <c r="D1238" s="210"/>
      <c r="E1238" s="211" t="s">
        <v>922</v>
      </c>
      <c r="F1238" s="212"/>
      <c r="G1238" s="211" t="s">
        <v>923</v>
      </c>
      <c r="H1238" s="212"/>
      <c r="I1238" s="1070"/>
      <c r="J1238" s="1071"/>
      <c r="K1238" s="1070"/>
      <c r="L1238" s="1070"/>
      <c r="M1238" s="174"/>
      <c r="N1238" s="174"/>
      <c r="O1238" s="213"/>
      <c r="P1238" s="213"/>
      <c r="Q1238" s="213"/>
      <c r="R1238" s="213"/>
      <c r="S1238" s="213"/>
      <c r="T1238" s="213"/>
      <c r="U1238" s="213"/>
      <c r="V1238" s="213"/>
      <c r="W1238" s="213"/>
      <c r="X1238" s="213"/>
      <c r="Y1238" s="213"/>
      <c r="Z1238" s="213"/>
      <c r="AA1238" s="213"/>
      <c r="AB1238" s="213"/>
      <c r="AC1238" s="213"/>
      <c r="AD1238" s="213"/>
      <c r="AE1238" s="213"/>
      <c r="AF1238" s="213"/>
      <c r="AG1238" s="213"/>
      <c r="AH1238" s="213"/>
      <c r="AI1238" s="213"/>
      <c r="AJ1238" s="213"/>
      <c r="AK1238" s="213"/>
      <c r="AL1238" s="213"/>
      <c r="AM1238" s="213"/>
      <c r="AN1238" s="213"/>
      <c r="AO1238" s="213"/>
      <c r="AP1238" s="213"/>
    </row>
    <row r="1239" spans="1:23" s="107" customFormat="1" ht="34.5" customHeight="1">
      <c r="A1239" s="1042" t="s">
        <v>1102</v>
      </c>
      <c r="B1239" s="1043" t="s">
        <v>524</v>
      </c>
      <c r="C1239" s="1026">
        <f>CEILING(85*$Z$1,0.1)</f>
        <v>106.30000000000001</v>
      </c>
      <c r="D1239" s="1036"/>
      <c r="E1239" s="1026">
        <f>CEILING(85*$Z$1,0.1)</f>
        <v>106.30000000000001</v>
      </c>
      <c r="F1239" s="1036"/>
      <c r="G1239" s="1026">
        <f>CEILING(85*$Z$1,0.1)</f>
        <v>106.30000000000001</v>
      </c>
      <c r="H1239" s="1036"/>
      <c r="I1239" s="744"/>
      <c r="J1239" s="239"/>
      <c r="K1239" s="744"/>
      <c r="L1239" s="239"/>
      <c r="M1239" s="239"/>
      <c r="N1239" s="148"/>
      <c r="O1239" s="737"/>
      <c r="P1239" s="737"/>
      <c r="Q1239" s="114"/>
      <c r="R1239" s="114"/>
      <c r="S1239" s="114"/>
      <c r="T1239" s="114"/>
      <c r="U1239" s="114"/>
      <c r="V1239" s="105"/>
      <c r="W1239" s="105"/>
    </row>
    <row r="1240" spans="1:23" s="107" customFormat="1" ht="34.5" customHeight="1">
      <c r="A1240" s="1044" t="s">
        <v>1103</v>
      </c>
      <c r="B1240" s="1045" t="s">
        <v>525</v>
      </c>
      <c r="C1240" s="1027">
        <f>CEILING(128*$Z$1,0.1)</f>
        <v>160</v>
      </c>
      <c r="D1240" s="1028"/>
      <c r="E1240" s="1027">
        <f>CEILING(128*$Z$1,0.1)</f>
        <v>160</v>
      </c>
      <c r="F1240" s="1028"/>
      <c r="G1240" s="1027">
        <f>CEILING(128*$Z$1,0.1)</f>
        <v>160</v>
      </c>
      <c r="H1240" s="1028"/>
      <c r="I1240" s="327"/>
      <c r="J1240" s="327"/>
      <c r="K1240" s="327"/>
      <c r="L1240" s="327"/>
      <c r="M1240" s="239"/>
      <c r="N1240" s="148"/>
      <c r="O1240" s="737"/>
      <c r="P1240" s="737"/>
      <c r="Q1240" s="114"/>
      <c r="R1240" s="114"/>
      <c r="S1240" s="114"/>
      <c r="T1240" s="114"/>
      <c r="U1240" s="114"/>
      <c r="V1240" s="105"/>
      <c r="W1240" s="105"/>
    </row>
    <row r="1241" spans="1:23" s="107" customFormat="1" ht="34.5" customHeight="1">
      <c r="A1241" s="1013" t="s">
        <v>36</v>
      </c>
      <c r="B1241" s="1045" t="s">
        <v>526</v>
      </c>
      <c r="C1241" s="1029">
        <f>CEILING(75*$Z$1,0.1)</f>
        <v>93.80000000000001</v>
      </c>
      <c r="D1241" s="1034"/>
      <c r="E1241" s="1029">
        <f>CEILING(75*$Z$1,0.1)</f>
        <v>93.80000000000001</v>
      </c>
      <c r="F1241" s="1034"/>
      <c r="G1241" s="1029">
        <f>CEILING(75*$Z$1,0.1)</f>
        <v>93.80000000000001</v>
      </c>
      <c r="H1241" s="1034"/>
      <c r="I1241" s="744"/>
      <c r="J1241" s="239"/>
      <c r="K1241" s="744"/>
      <c r="L1241" s="239"/>
      <c r="M1241" s="239"/>
      <c r="N1241" s="148"/>
      <c r="O1241" s="737"/>
      <c r="P1241" s="737"/>
      <c r="Q1241" s="114"/>
      <c r="R1241" s="114"/>
      <c r="S1241" s="114"/>
      <c r="T1241" s="114"/>
      <c r="U1241" s="114"/>
      <c r="V1241" s="105"/>
      <c r="W1241" s="105"/>
    </row>
    <row r="1242" spans="1:25" s="107" customFormat="1" ht="34.5" customHeight="1">
      <c r="A1242" s="1046"/>
      <c r="B1242" s="1045" t="s">
        <v>527</v>
      </c>
      <c r="C1242" s="1027">
        <f>CEILING(113*$Z$1,0.1)</f>
        <v>141.3</v>
      </c>
      <c r="D1242" s="1034"/>
      <c r="E1242" s="1027">
        <f>CEILING(113*$Z$1,0.1)</f>
        <v>141.3</v>
      </c>
      <c r="F1242" s="1034"/>
      <c r="G1242" s="1027">
        <f>CEILING(113*$Z$1,0.1)</f>
        <v>141.3</v>
      </c>
      <c r="H1242" s="1034"/>
      <c r="I1242" s="327"/>
      <c r="J1242" s="239"/>
      <c r="K1242" s="327"/>
      <c r="L1242" s="239"/>
      <c r="M1242" s="239"/>
      <c r="N1242" s="148"/>
      <c r="O1242" s="148"/>
      <c r="P1242" s="148"/>
      <c r="Q1242" s="114"/>
      <c r="R1242" s="114"/>
      <c r="S1242" s="114"/>
      <c r="T1242" s="114"/>
      <c r="U1242" s="114"/>
      <c r="V1242" s="105"/>
      <c r="W1242" s="105"/>
      <c r="X1242" s="105"/>
      <c r="Y1242" s="105"/>
    </row>
    <row r="1243" spans="1:25" s="107" customFormat="1" ht="34.5" customHeight="1">
      <c r="A1243" s="1046"/>
      <c r="B1243" s="1045" t="s">
        <v>528</v>
      </c>
      <c r="C1243" s="1029">
        <f>CEILING(90*$Z$1,0.1)</f>
        <v>112.5</v>
      </c>
      <c r="D1243" s="1034"/>
      <c r="E1243" s="1029">
        <f>CEILING(90*$Z$1,0.1)</f>
        <v>112.5</v>
      </c>
      <c r="F1243" s="1034"/>
      <c r="G1243" s="1029">
        <f>CEILING(90*$Z$1,0.1)</f>
        <v>112.5</v>
      </c>
      <c r="H1243" s="1034"/>
      <c r="I1243" s="744"/>
      <c r="J1243" s="1033"/>
      <c r="K1243" s="744"/>
      <c r="L1243" s="239"/>
      <c r="M1243" s="239"/>
      <c r="N1243" s="148"/>
      <c r="O1243" s="148"/>
      <c r="P1243" s="148"/>
      <c r="Q1243" s="114"/>
      <c r="R1243" s="114"/>
      <c r="S1243" s="114"/>
      <c r="T1243" s="114"/>
      <c r="U1243" s="114"/>
      <c r="V1243" s="105"/>
      <c r="W1243" s="105"/>
      <c r="X1243" s="105"/>
      <c r="Y1243" s="105"/>
    </row>
    <row r="1244" spans="1:25" s="107" customFormat="1" ht="34.5" customHeight="1">
      <c r="A1244" s="1044"/>
      <c r="B1244" s="1045" t="s">
        <v>529</v>
      </c>
      <c r="C1244" s="1027">
        <f>CEILING(138*$Z$1,0.1)</f>
        <v>172.5</v>
      </c>
      <c r="D1244" s="1028"/>
      <c r="E1244" s="1027">
        <f>CEILING(138*$Z$1,0.1)</f>
        <v>172.5</v>
      </c>
      <c r="F1244" s="1028"/>
      <c r="G1244" s="1027">
        <f>CEILING(138*$Z$1,0.1)</f>
        <v>172.5</v>
      </c>
      <c r="H1244" s="1028"/>
      <c r="I1244" s="327"/>
      <c r="J1244" s="327"/>
      <c r="K1244" s="327"/>
      <c r="L1244" s="327"/>
      <c r="M1244" s="124"/>
      <c r="N1244" s="124"/>
      <c r="O1244" s="148"/>
      <c r="P1244" s="148"/>
      <c r="Q1244" s="114"/>
      <c r="R1244" s="114"/>
      <c r="S1244" s="114"/>
      <c r="T1244" s="114"/>
      <c r="U1244" s="114"/>
      <c r="V1244" s="105"/>
      <c r="W1244" s="105"/>
      <c r="X1244" s="105"/>
      <c r="Y1244" s="105"/>
    </row>
    <row r="1245" spans="1:25" s="107" customFormat="1" ht="34.5" customHeight="1">
      <c r="A1245" s="1044"/>
      <c r="B1245" s="1045" t="s">
        <v>539</v>
      </c>
      <c r="C1245" s="1029">
        <f>CEILING(115*$Z$1,0.1)</f>
        <v>143.8</v>
      </c>
      <c r="D1245" s="1034"/>
      <c r="E1245" s="1029">
        <f>CEILING(115*$Z$1,0.1)</f>
        <v>143.8</v>
      </c>
      <c r="F1245" s="1034"/>
      <c r="G1245" s="1029">
        <f>CEILING(115*$Z$1,0.1)</f>
        <v>143.8</v>
      </c>
      <c r="H1245" s="1034"/>
      <c r="I1245" s="744"/>
      <c r="J1245" s="239"/>
      <c r="K1245" s="744"/>
      <c r="L1245" s="239"/>
      <c r="M1245" s="124"/>
      <c r="N1245" s="124"/>
      <c r="O1245" s="148"/>
      <c r="P1245" s="148"/>
      <c r="Q1245" s="114"/>
      <c r="R1245" s="114"/>
      <c r="S1245" s="114"/>
      <c r="T1245" s="114"/>
      <c r="U1245" s="114"/>
      <c r="V1245" s="105"/>
      <c r="W1245" s="105"/>
      <c r="X1245" s="105"/>
      <c r="Y1245" s="105"/>
    </row>
    <row r="1246" spans="1:25" s="107" customFormat="1" ht="34.5" customHeight="1">
      <c r="A1246" s="1044"/>
      <c r="B1246" s="1045" t="s">
        <v>540</v>
      </c>
      <c r="C1246" s="1027">
        <f>CEILING(173*$Z$1,0.1)</f>
        <v>216.3</v>
      </c>
      <c r="D1246" s="1034"/>
      <c r="E1246" s="1027">
        <f>CEILING(173*$Z$1,0.1)</f>
        <v>216.3</v>
      </c>
      <c r="F1246" s="1034"/>
      <c r="G1246" s="1027">
        <f>CEILING(173*$Z$1,0.1)</f>
        <v>216.3</v>
      </c>
      <c r="H1246" s="1034"/>
      <c r="I1246" s="327"/>
      <c r="J1246" s="239"/>
      <c r="K1246" s="327"/>
      <c r="L1246" s="239"/>
      <c r="M1246" s="124"/>
      <c r="N1246" s="124"/>
      <c r="O1246" s="148"/>
      <c r="P1246" s="148"/>
      <c r="Q1246" s="114"/>
      <c r="R1246" s="114"/>
      <c r="S1246" s="114"/>
      <c r="T1246" s="114"/>
      <c r="U1246" s="114"/>
      <c r="V1246" s="105"/>
      <c r="W1246" s="105"/>
      <c r="X1246" s="105"/>
      <c r="Y1246" s="105"/>
    </row>
    <row r="1247" spans="1:23" s="107" customFormat="1" ht="34.5" customHeight="1">
      <c r="A1247" s="1044" t="s">
        <v>1059</v>
      </c>
      <c r="B1247" s="1045" t="s">
        <v>530</v>
      </c>
      <c r="C1247" s="1029">
        <f>CEILING(160*$Z$1,0.1)</f>
        <v>200</v>
      </c>
      <c r="D1247" s="1034"/>
      <c r="E1247" s="1029">
        <f>CEILING(160*$Z$1,0.1)</f>
        <v>200</v>
      </c>
      <c r="F1247" s="1034"/>
      <c r="G1247" s="1029">
        <f>CEILING(160*$Z$1,0.1)</f>
        <v>200</v>
      </c>
      <c r="H1247" s="1034"/>
      <c r="I1247" s="744"/>
      <c r="J1247" s="239"/>
      <c r="K1247" s="744"/>
      <c r="L1247" s="239"/>
      <c r="M1247" s="148"/>
      <c r="N1247" s="148"/>
      <c r="O1247" s="129"/>
      <c r="P1247" s="738"/>
      <c r="Q1247" s="129"/>
      <c r="R1247" s="129"/>
      <c r="S1247" s="114"/>
      <c r="T1247" s="114"/>
      <c r="U1247" s="114"/>
      <c r="V1247" s="105"/>
      <c r="W1247" s="105"/>
    </row>
    <row r="1248" spans="1:23" s="107" customFormat="1" ht="34.5" customHeight="1">
      <c r="A1248" s="1044"/>
      <c r="B1248" s="1045" t="s">
        <v>531</v>
      </c>
      <c r="C1248" s="1027">
        <f>CEILING(240*$Z$1,0.1)</f>
        <v>300</v>
      </c>
      <c r="D1248" s="1028"/>
      <c r="E1248" s="1027">
        <f>CEILING(240*$Z$1,0.1)</f>
        <v>300</v>
      </c>
      <c r="F1248" s="1028"/>
      <c r="G1248" s="1027">
        <f>CEILING(240*$Z$1,0.1)</f>
        <v>300</v>
      </c>
      <c r="H1248" s="1028"/>
      <c r="I1248" s="327"/>
      <c r="J1248" s="327"/>
      <c r="K1248" s="327"/>
      <c r="L1248" s="327"/>
      <c r="M1248" s="1190"/>
      <c r="N1248" s="1190"/>
      <c r="O1248" s="129"/>
      <c r="P1248" s="738"/>
      <c r="Q1248" s="129"/>
      <c r="R1248" s="129"/>
      <c r="S1248" s="114"/>
      <c r="T1248" s="114"/>
      <c r="U1248" s="114"/>
      <c r="V1248" s="105"/>
      <c r="W1248" s="105"/>
    </row>
    <row r="1249" spans="1:23" s="107" customFormat="1" ht="34.5" customHeight="1">
      <c r="A1249" s="1047" t="s">
        <v>1058</v>
      </c>
      <c r="B1249" s="1045" t="s">
        <v>532</v>
      </c>
      <c r="C1249" s="1029">
        <f>CEILING(185*$Z$1,0.1)</f>
        <v>231.3</v>
      </c>
      <c r="D1249" s="1034"/>
      <c r="E1249" s="1029">
        <f>CEILING(185*$Z$1,0.1)</f>
        <v>231.3</v>
      </c>
      <c r="F1249" s="1034"/>
      <c r="G1249" s="1029">
        <f>CEILING(185*$Z$1,0.1)</f>
        <v>231.3</v>
      </c>
      <c r="H1249" s="1034"/>
      <c r="I1249" s="744"/>
      <c r="J1249" s="239"/>
      <c r="K1249" s="744"/>
      <c r="L1249" s="239"/>
      <c r="M1249" s="737"/>
      <c r="N1249" s="737"/>
      <c r="O1249" s="129"/>
      <c r="P1249" s="738"/>
      <c r="Q1249" s="129"/>
      <c r="R1249" s="129"/>
      <c r="S1249" s="114"/>
      <c r="T1249" s="114"/>
      <c r="U1249" s="114"/>
      <c r="V1249" s="105"/>
      <c r="W1249" s="105"/>
    </row>
    <row r="1250" spans="1:25" s="107" customFormat="1" ht="34.5" customHeight="1">
      <c r="A1250" s="1047"/>
      <c r="B1250" s="1045" t="s">
        <v>533</v>
      </c>
      <c r="C1250" s="1027">
        <f>CEILING(278*$Z$1,0.1)</f>
        <v>347.5</v>
      </c>
      <c r="D1250" s="1034"/>
      <c r="E1250" s="1027">
        <f>CEILING(278*$Z$1,0.1)</f>
        <v>347.5</v>
      </c>
      <c r="F1250" s="1034"/>
      <c r="G1250" s="1027">
        <f>CEILING(278*$Z$1,0.1)</f>
        <v>347.5</v>
      </c>
      <c r="H1250" s="1034"/>
      <c r="I1250" s="327"/>
      <c r="J1250" s="239"/>
      <c r="K1250" s="327"/>
      <c r="L1250" s="239"/>
      <c r="M1250" s="239"/>
      <c r="N1250" s="239"/>
      <c r="O1250" s="148"/>
      <c r="P1250" s="148"/>
      <c r="Q1250" s="114"/>
      <c r="R1250" s="114"/>
      <c r="S1250" s="114"/>
      <c r="T1250" s="114"/>
      <c r="U1250" s="114"/>
      <c r="V1250" s="105"/>
      <c r="W1250" s="105"/>
      <c r="X1250" s="105"/>
      <c r="Y1250" s="105"/>
    </row>
    <row r="1251" spans="1:23" s="107" customFormat="1" ht="34.5" customHeight="1">
      <c r="A1251" s="1047"/>
      <c r="B1251" s="1045" t="s">
        <v>534</v>
      </c>
      <c r="C1251" s="1029">
        <f>CEILING(310*$Z$1,0.1)</f>
        <v>387.5</v>
      </c>
      <c r="D1251" s="1034"/>
      <c r="E1251" s="1029">
        <f>CEILING(310*$Z$1,0.1)</f>
        <v>387.5</v>
      </c>
      <c r="F1251" s="1034"/>
      <c r="G1251" s="1029">
        <f>CEILING(310*$Z$1,0.1)</f>
        <v>387.5</v>
      </c>
      <c r="H1251" s="1034"/>
      <c r="I1251" s="744"/>
      <c r="J1251" s="239"/>
      <c r="K1251" s="744"/>
      <c r="L1251" s="239"/>
      <c r="M1251" s="239"/>
      <c r="N1251" s="239"/>
      <c r="O1251" s="129"/>
      <c r="P1251" s="738"/>
      <c r="Q1251" s="129"/>
      <c r="R1251" s="129"/>
      <c r="S1251" s="114"/>
      <c r="T1251" s="114"/>
      <c r="U1251" s="114"/>
      <c r="V1251" s="105"/>
      <c r="W1251" s="105"/>
    </row>
    <row r="1252" spans="1:23" s="107" customFormat="1" ht="34.5" customHeight="1">
      <c r="A1252" s="1047"/>
      <c r="B1252" s="1045" t="s">
        <v>535</v>
      </c>
      <c r="C1252" s="1027">
        <f>CEILING(465*$Z$1,0.1)</f>
        <v>581.3000000000001</v>
      </c>
      <c r="D1252" s="1028"/>
      <c r="E1252" s="1027">
        <f>CEILING(465*$Z$1,0.1)</f>
        <v>581.3000000000001</v>
      </c>
      <c r="F1252" s="1028"/>
      <c r="G1252" s="1027">
        <f>CEILING(465*$Z$1,0.1)</f>
        <v>581.3000000000001</v>
      </c>
      <c r="H1252" s="1028"/>
      <c r="I1252" s="327"/>
      <c r="J1252" s="327"/>
      <c r="K1252" s="327"/>
      <c r="L1252" s="327"/>
      <c r="M1252" s="239"/>
      <c r="N1252" s="239"/>
      <c r="O1252" s="129"/>
      <c r="P1252" s="738"/>
      <c r="Q1252" s="129"/>
      <c r="R1252" s="129"/>
      <c r="S1252" s="114"/>
      <c r="T1252" s="114"/>
      <c r="U1252" s="114"/>
      <c r="V1252" s="105"/>
      <c r="W1252" s="105"/>
    </row>
    <row r="1253" spans="1:23" s="107" customFormat="1" ht="34.5" customHeight="1">
      <c r="A1253" s="1048"/>
      <c r="B1253" s="1045" t="s">
        <v>536</v>
      </c>
      <c r="C1253" s="1029">
        <f>CEILING(635*$Z$1,0.1)</f>
        <v>793.8000000000001</v>
      </c>
      <c r="D1253" s="1034"/>
      <c r="E1253" s="1029">
        <f>CEILING(635*$Z$1,0.1)</f>
        <v>793.8000000000001</v>
      </c>
      <c r="F1253" s="1034"/>
      <c r="G1253" s="1029">
        <f>CEILING(635*$Z$1,0.1)</f>
        <v>793.8000000000001</v>
      </c>
      <c r="H1253" s="1034"/>
      <c r="I1253" s="744"/>
      <c r="J1253" s="239"/>
      <c r="K1253" s="744"/>
      <c r="L1253" s="239"/>
      <c r="M1253" s="239"/>
      <c r="N1253" s="239"/>
      <c r="O1253" s="748"/>
      <c r="P1253" s="749"/>
      <c r="Q1253" s="748"/>
      <c r="R1253" s="748"/>
      <c r="S1253" s="114"/>
      <c r="T1253" s="114"/>
      <c r="U1253" s="114"/>
      <c r="V1253" s="105"/>
      <c r="W1253" s="105"/>
    </row>
    <row r="1254" spans="1:23" s="107" customFormat="1" ht="34.5" customHeight="1" thickBot="1">
      <c r="A1254" s="1049" t="s">
        <v>1104</v>
      </c>
      <c r="B1254" s="1050" t="s">
        <v>537</v>
      </c>
      <c r="C1254" s="1030">
        <f>CEILING(953*$Z$1,0.1)</f>
        <v>1191.3</v>
      </c>
      <c r="D1254" s="1035"/>
      <c r="E1254" s="1030">
        <f>CEILING(953*$Z$1,0.1)</f>
        <v>1191.3</v>
      </c>
      <c r="F1254" s="1035"/>
      <c r="G1254" s="1030">
        <f>CEILING(953*$Z$1,0.1)</f>
        <v>1191.3</v>
      </c>
      <c r="H1254" s="1035"/>
      <c r="I1254" s="327"/>
      <c r="J1254" s="239"/>
      <c r="K1254" s="327"/>
      <c r="L1254" s="239"/>
      <c r="M1254" s="239"/>
      <c r="N1254" s="239"/>
      <c r="O1254" s="114"/>
      <c r="P1254" s="114"/>
      <c r="Q1254" s="114"/>
      <c r="R1254" s="114"/>
      <c r="S1254" s="114"/>
      <c r="T1254" s="114"/>
      <c r="U1254" s="114"/>
      <c r="V1254" s="105"/>
      <c r="W1254" s="105"/>
    </row>
    <row r="1255" spans="1:23" s="371" customFormat="1" ht="34.5" customHeight="1" thickTop="1">
      <c r="A1255" s="163" t="s">
        <v>878</v>
      </c>
      <c r="B1255" s="163"/>
      <c r="C1255" s="163"/>
      <c r="D1255" s="163"/>
      <c r="E1255" s="163"/>
      <c r="F1255" s="163"/>
      <c r="G1255" s="163"/>
      <c r="H1255" s="163"/>
      <c r="I1255" s="163"/>
      <c r="J1255" s="750"/>
      <c r="K1255" s="751"/>
      <c r="L1255" s="165"/>
      <c r="M1255" s="173"/>
      <c r="N1255" s="173"/>
      <c r="O1255" s="213"/>
      <c r="P1255" s="213"/>
      <c r="Q1255" s="213"/>
      <c r="R1255" s="213"/>
      <c r="S1255" s="213"/>
      <c r="T1255" s="213"/>
      <c r="U1255" s="213"/>
      <c r="V1255" s="388"/>
      <c r="W1255" s="388"/>
    </row>
    <row r="1256" spans="1:23" s="371" customFormat="1" ht="34.5" customHeight="1">
      <c r="A1256" s="163" t="s">
        <v>538</v>
      </c>
      <c r="B1256" s="752"/>
      <c r="C1256" s="752"/>
      <c r="D1256" s="752"/>
      <c r="E1256" s="752"/>
      <c r="F1256" s="752"/>
      <c r="G1256" s="752"/>
      <c r="H1256" s="752"/>
      <c r="I1256" s="752"/>
      <c r="J1256" s="752"/>
      <c r="K1256" s="175"/>
      <c r="L1256" s="751"/>
      <c r="M1256" s="173"/>
      <c r="N1256" s="173"/>
      <c r="O1256" s="213"/>
      <c r="P1256" s="213"/>
      <c r="Q1256" s="213"/>
      <c r="R1256" s="213"/>
      <c r="S1256" s="213"/>
      <c r="T1256" s="213"/>
      <c r="U1256" s="213"/>
      <c r="V1256" s="388"/>
      <c r="W1256" s="388"/>
    </row>
    <row r="1257" spans="1:48" s="473" customFormat="1" ht="34.5" customHeight="1" thickBot="1">
      <c r="A1257" s="753"/>
      <c r="B1257" s="753"/>
      <c r="C1257" s="753"/>
      <c r="D1257" s="753"/>
      <c r="E1257" s="753"/>
      <c r="F1257" s="753"/>
      <c r="G1257" s="753"/>
      <c r="H1257" s="753"/>
      <c r="I1257" s="741"/>
      <c r="J1257" s="140"/>
      <c r="K1257" s="170"/>
      <c r="L1257" s="170"/>
      <c r="M1257" s="239"/>
      <c r="N1257" s="148"/>
      <c r="O1257" s="114"/>
      <c r="P1257" s="114"/>
      <c r="Q1257" s="114"/>
      <c r="R1257" s="114"/>
      <c r="S1257" s="114"/>
      <c r="T1257" s="114"/>
      <c r="U1257" s="114"/>
      <c r="V1257" s="115"/>
      <c r="W1257" s="115"/>
      <c r="X1257" s="140"/>
      <c r="Y1257" s="140"/>
      <c r="Z1257" s="140"/>
      <c r="AA1257" s="140"/>
      <c r="AB1257" s="140"/>
      <c r="AC1257" s="140"/>
      <c r="AD1257" s="140"/>
      <c r="AE1257" s="140"/>
      <c r="AF1257" s="140"/>
      <c r="AG1257" s="140"/>
      <c r="AH1257" s="140"/>
      <c r="AI1257" s="140"/>
      <c r="AJ1257" s="140"/>
      <c r="AK1257" s="140"/>
      <c r="AL1257" s="140"/>
      <c r="AM1257" s="140"/>
      <c r="AN1257" s="140"/>
      <c r="AO1257" s="140"/>
      <c r="AP1257" s="140"/>
      <c r="AQ1257" s="140"/>
      <c r="AR1257" s="140"/>
      <c r="AS1257" s="140"/>
      <c r="AT1257" s="140"/>
      <c r="AU1257" s="140"/>
      <c r="AV1257" s="140"/>
    </row>
    <row r="1258" spans="1:42" s="214" customFormat="1" ht="34.5" customHeight="1" thickTop="1">
      <c r="A1258" s="207" t="s">
        <v>34</v>
      </c>
      <c r="B1258" s="208" t="s">
        <v>91</v>
      </c>
      <c r="C1258" s="209" t="s">
        <v>921</v>
      </c>
      <c r="D1258" s="210"/>
      <c r="E1258" s="211" t="s">
        <v>922</v>
      </c>
      <c r="F1258" s="212"/>
      <c r="G1258" s="211" t="s">
        <v>923</v>
      </c>
      <c r="H1258" s="212"/>
      <c r="I1258" s="1070"/>
      <c r="J1258" s="1071"/>
      <c r="K1258" s="1070"/>
      <c r="L1258" s="1070"/>
      <c r="M1258" s="174"/>
      <c r="N1258" s="174"/>
      <c r="O1258" s="213"/>
      <c r="P1258" s="213"/>
      <c r="Q1258" s="213"/>
      <c r="R1258" s="213"/>
      <c r="S1258" s="213"/>
      <c r="T1258" s="213"/>
      <c r="U1258" s="213"/>
      <c r="V1258" s="213"/>
      <c r="W1258" s="213"/>
      <c r="X1258" s="213"/>
      <c r="Y1258" s="213"/>
      <c r="Z1258" s="213"/>
      <c r="AA1258" s="213"/>
      <c r="AB1258" s="213"/>
      <c r="AC1258" s="213"/>
      <c r="AD1258" s="213"/>
      <c r="AE1258" s="213"/>
      <c r="AF1258" s="213"/>
      <c r="AG1258" s="213"/>
      <c r="AH1258" s="213"/>
      <c r="AI1258" s="213"/>
      <c r="AJ1258" s="213"/>
      <c r="AK1258" s="213"/>
      <c r="AL1258" s="213"/>
      <c r="AM1258" s="213"/>
      <c r="AN1258" s="213"/>
      <c r="AO1258" s="213"/>
      <c r="AP1258" s="213"/>
    </row>
    <row r="1259" spans="1:25" s="107" customFormat="1" ht="34.5" customHeight="1">
      <c r="A1259" s="742" t="s">
        <v>121</v>
      </c>
      <c r="B1259" s="723" t="s">
        <v>230</v>
      </c>
      <c r="C1259" s="754">
        <f>CEILING(70*$Z$1,0.1)</f>
        <v>87.5</v>
      </c>
      <c r="D1259" s="755"/>
      <c r="E1259" s="754">
        <f>CEILING(70*$Z$1,0.1)</f>
        <v>87.5</v>
      </c>
      <c r="F1259" s="755"/>
      <c r="G1259" s="754">
        <f>CEILING(70*$Z$1,0.1)</f>
        <v>87.5</v>
      </c>
      <c r="H1259" s="755"/>
      <c r="I1259" s="744"/>
      <c r="J1259" s="744"/>
      <c r="K1259" s="744"/>
      <c r="L1259" s="744"/>
      <c r="M1259" s="239"/>
      <c r="N1259" s="148"/>
      <c r="O1259" s="148"/>
      <c r="P1259" s="148"/>
      <c r="Q1259" s="105"/>
      <c r="R1259" s="105"/>
      <c r="S1259" s="105"/>
      <c r="T1259" s="105"/>
      <c r="U1259" s="105"/>
      <c r="V1259" s="105"/>
      <c r="W1259" s="105"/>
      <c r="X1259" s="105"/>
      <c r="Y1259" s="105"/>
    </row>
    <row r="1260" spans="1:25" s="107" customFormat="1" ht="34.5" customHeight="1">
      <c r="A1260" s="348" t="s">
        <v>36</v>
      </c>
      <c r="B1260" s="330" t="s">
        <v>231</v>
      </c>
      <c r="C1260" s="747">
        <f>CEILING((C1259+30*$Z$1),0.1)</f>
        <v>125</v>
      </c>
      <c r="D1260" s="756"/>
      <c r="E1260" s="747">
        <f>CEILING((E1259+30*$Z$1),0.1)</f>
        <v>125</v>
      </c>
      <c r="F1260" s="756"/>
      <c r="G1260" s="747">
        <f>CEILING((G1259+30*$Z$1),0.1)</f>
        <v>125</v>
      </c>
      <c r="H1260" s="756"/>
      <c r="I1260" s="744"/>
      <c r="J1260" s="744"/>
      <c r="K1260" s="744"/>
      <c r="L1260" s="744"/>
      <c r="M1260" s="124"/>
      <c r="N1260" s="124"/>
      <c r="O1260" s="148"/>
      <c r="P1260" s="148"/>
      <c r="Q1260" s="105"/>
      <c r="R1260" s="105"/>
      <c r="S1260" s="105"/>
      <c r="T1260" s="105"/>
      <c r="U1260" s="105"/>
      <c r="V1260" s="105"/>
      <c r="W1260" s="105"/>
      <c r="X1260" s="105"/>
      <c r="Y1260" s="105"/>
    </row>
    <row r="1261" spans="1:25" s="107" customFormat="1" ht="34.5" customHeight="1">
      <c r="A1261" s="348"/>
      <c r="B1261" s="724" t="s">
        <v>70</v>
      </c>
      <c r="C1261" s="747">
        <f>CEILING((C1259*0.85),0.1)</f>
        <v>74.4</v>
      </c>
      <c r="D1261" s="756"/>
      <c r="E1261" s="747">
        <f>CEILING((E1259*0.85),0.1)</f>
        <v>74.4</v>
      </c>
      <c r="F1261" s="756"/>
      <c r="G1261" s="747">
        <f>CEILING((G1259*0.85),0.1)</f>
        <v>74.4</v>
      </c>
      <c r="H1261" s="756"/>
      <c r="I1261" s="744"/>
      <c r="J1261" s="744"/>
      <c r="K1261" s="744"/>
      <c r="L1261" s="744"/>
      <c r="M1261" s="124"/>
      <c r="N1261" s="124"/>
      <c r="O1261" s="148"/>
      <c r="P1261" s="148"/>
      <c r="Q1261" s="105"/>
      <c r="R1261" s="105"/>
      <c r="S1261" s="105"/>
      <c r="T1261" s="105"/>
      <c r="U1261" s="105"/>
      <c r="V1261" s="105"/>
      <c r="W1261" s="105"/>
      <c r="X1261" s="105"/>
      <c r="Y1261" s="105"/>
    </row>
    <row r="1262" spans="1:25" s="107" customFormat="1" ht="34.5" customHeight="1">
      <c r="A1262" s="319"/>
      <c r="B1262" s="398" t="s">
        <v>764</v>
      </c>
      <c r="C1262" s="747">
        <f>CEILING((C1259*0.5),0.1)</f>
        <v>43.800000000000004</v>
      </c>
      <c r="D1262" s="756"/>
      <c r="E1262" s="747">
        <f>CEILING((E1259*0.5),0.1)</f>
        <v>43.800000000000004</v>
      </c>
      <c r="F1262" s="756"/>
      <c r="G1262" s="747">
        <f>CEILING((G1259*0.5),0.1)</f>
        <v>43.800000000000004</v>
      </c>
      <c r="H1262" s="756"/>
      <c r="I1262" s="744"/>
      <c r="J1262" s="744"/>
      <c r="K1262" s="744"/>
      <c r="L1262" s="744"/>
      <c r="M1262" s="124"/>
      <c r="N1262" s="124"/>
      <c r="O1262" s="148"/>
      <c r="P1262" s="148"/>
      <c r="Q1262" s="105"/>
      <c r="R1262" s="105"/>
      <c r="S1262" s="105"/>
      <c r="T1262" s="105"/>
      <c r="U1262" s="105"/>
      <c r="V1262" s="105"/>
      <c r="W1262" s="105"/>
      <c r="X1262" s="105"/>
      <c r="Y1262" s="105"/>
    </row>
    <row r="1263" spans="1:25" s="107" customFormat="1" ht="34.5" customHeight="1">
      <c r="A1263" s="745"/>
      <c r="B1263" s="330" t="s">
        <v>182</v>
      </c>
      <c r="C1263" s="747">
        <f>CEILING(83*$Z$1,0.1)</f>
        <v>103.80000000000001</v>
      </c>
      <c r="D1263" s="756"/>
      <c r="E1263" s="747">
        <f>CEILING(83*$Z$1,0.1)</f>
        <v>103.80000000000001</v>
      </c>
      <c r="F1263" s="756"/>
      <c r="G1263" s="747">
        <f>CEILING(83*$Z$1,0.1)</f>
        <v>103.80000000000001</v>
      </c>
      <c r="H1263" s="756"/>
      <c r="I1263" s="744"/>
      <c r="J1263" s="744"/>
      <c r="K1263" s="744"/>
      <c r="L1263" s="744"/>
      <c r="M1263" s="124"/>
      <c r="N1263" s="124"/>
      <c r="O1263" s="148"/>
      <c r="P1263" s="148"/>
      <c r="Q1263" s="105"/>
      <c r="R1263" s="105"/>
      <c r="S1263" s="105"/>
      <c r="T1263" s="105"/>
      <c r="U1263" s="105"/>
      <c r="V1263" s="105"/>
      <c r="W1263" s="105"/>
      <c r="X1263" s="105"/>
      <c r="Y1263" s="105"/>
    </row>
    <row r="1264" spans="1:25" s="107" customFormat="1" ht="34.5" customHeight="1">
      <c r="A1264" s="301"/>
      <c r="B1264" s="330" t="s">
        <v>183</v>
      </c>
      <c r="C1264" s="747">
        <f>CEILING((C1263+40*$Z$1),0.1)</f>
        <v>153.8</v>
      </c>
      <c r="D1264" s="756"/>
      <c r="E1264" s="747">
        <f>CEILING((E1263+40*$Z$1),0.1)</f>
        <v>153.8</v>
      </c>
      <c r="F1264" s="756"/>
      <c r="G1264" s="747">
        <f>CEILING((G1263+40*$Z$1),0.1)</f>
        <v>153.8</v>
      </c>
      <c r="H1264" s="756"/>
      <c r="I1264" s="744"/>
      <c r="J1264" s="744"/>
      <c r="K1264" s="744"/>
      <c r="L1264" s="744"/>
      <c r="M1264" s="1190"/>
      <c r="N1264" s="1190"/>
      <c r="O1264" s="105"/>
      <c r="P1264" s="105"/>
      <c r="Q1264" s="105"/>
      <c r="R1264" s="105"/>
      <c r="S1264" s="105"/>
      <c r="T1264" s="105"/>
      <c r="U1264" s="105"/>
      <c r="V1264" s="105"/>
      <c r="W1264" s="105"/>
      <c r="X1264" s="105"/>
      <c r="Y1264" s="105"/>
    </row>
    <row r="1265" spans="1:25" s="107" customFormat="1" ht="34.5" customHeight="1">
      <c r="A1265" s="301"/>
      <c r="B1265" s="238" t="s">
        <v>191</v>
      </c>
      <c r="C1265" s="747">
        <f>CEILING(97*$Z$1,0.1)</f>
        <v>121.30000000000001</v>
      </c>
      <c r="D1265" s="756"/>
      <c r="E1265" s="747">
        <f>CEILING(97*$Z$1,0.1)</f>
        <v>121.30000000000001</v>
      </c>
      <c r="F1265" s="756"/>
      <c r="G1265" s="747">
        <f>CEILING(97*$Z$1,0.1)</f>
        <v>121.30000000000001</v>
      </c>
      <c r="H1265" s="756"/>
      <c r="I1265" s="744"/>
      <c r="J1265" s="744"/>
      <c r="K1265" s="744"/>
      <c r="L1265" s="744"/>
      <c r="M1265" s="737"/>
      <c r="N1265" s="737"/>
      <c r="O1265" s="105"/>
      <c r="P1265" s="105"/>
      <c r="Q1265" s="105"/>
      <c r="R1265" s="105"/>
      <c r="S1265" s="105"/>
      <c r="T1265" s="105"/>
      <c r="U1265" s="105"/>
      <c r="V1265" s="105"/>
      <c r="W1265" s="105"/>
      <c r="X1265" s="105"/>
      <c r="Y1265" s="105"/>
    </row>
    <row r="1266" spans="1:25" s="107" customFormat="1" ht="34.5" customHeight="1">
      <c r="A1266" s="348"/>
      <c r="B1266" s="238" t="s">
        <v>192</v>
      </c>
      <c r="C1266" s="747">
        <f>CEILING((C1265+50*$Z$1),0.1)</f>
        <v>183.8</v>
      </c>
      <c r="D1266" s="756"/>
      <c r="E1266" s="747">
        <f>CEILING((E1265+50*$Z$1),0.1)</f>
        <v>183.8</v>
      </c>
      <c r="F1266" s="756"/>
      <c r="G1266" s="747">
        <f>CEILING((G1265+50*$Z$1),0.1)</f>
        <v>183.8</v>
      </c>
      <c r="H1266" s="756"/>
      <c r="I1266" s="744"/>
      <c r="J1266" s="744"/>
      <c r="K1266" s="744"/>
      <c r="L1266" s="744"/>
      <c r="M1266" s="239"/>
      <c r="N1266" s="239"/>
      <c r="O1266" s="105"/>
      <c r="P1266" s="105"/>
      <c r="Q1266" s="105"/>
      <c r="R1266" s="105"/>
      <c r="S1266" s="105"/>
      <c r="T1266" s="105"/>
      <c r="U1266" s="105"/>
      <c r="V1266" s="105"/>
      <c r="W1266" s="105"/>
      <c r="X1266" s="105"/>
      <c r="Y1266" s="105"/>
    </row>
    <row r="1267" spans="1:25" s="107" customFormat="1" ht="34.5" customHeight="1">
      <c r="A1267" s="320"/>
      <c r="B1267" s="238" t="s">
        <v>879</v>
      </c>
      <c r="C1267" s="747">
        <f>CEILING(110*$Z$1,0.1)</f>
        <v>137.5</v>
      </c>
      <c r="D1267" s="756"/>
      <c r="E1267" s="747">
        <f>CEILING(110*$Z$1,0.1)</f>
        <v>137.5</v>
      </c>
      <c r="F1267" s="756"/>
      <c r="G1267" s="747">
        <f>CEILING(110*$Z$1,0.1)</f>
        <v>137.5</v>
      </c>
      <c r="H1267" s="756"/>
      <c r="I1267" s="744"/>
      <c r="J1267" s="744"/>
      <c r="K1267" s="744"/>
      <c r="L1267" s="744"/>
      <c r="M1267" s="239"/>
      <c r="N1267" s="239"/>
      <c r="O1267" s="105"/>
      <c r="P1267" s="105"/>
      <c r="Q1267" s="105"/>
      <c r="R1267" s="105"/>
      <c r="S1267" s="105"/>
      <c r="T1267" s="105"/>
      <c r="U1267" s="105"/>
      <c r="V1267" s="105"/>
      <c r="W1267" s="105"/>
      <c r="X1267" s="105"/>
      <c r="Y1267" s="105"/>
    </row>
    <row r="1268" spans="1:25" s="107" customFormat="1" ht="34.5" customHeight="1">
      <c r="A1268" s="348"/>
      <c r="B1268" s="238" t="s">
        <v>880</v>
      </c>
      <c r="C1268" s="747">
        <f>CEILING((C1267+50*$Z$1),0.1)</f>
        <v>200</v>
      </c>
      <c r="D1268" s="756"/>
      <c r="E1268" s="747">
        <f>CEILING((E1267+50*$Z$1),0.1)</f>
        <v>200</v>
      </c>
      <c r="F1268" s="756"/>
      <c r="G1268" s="747">
        <f>CEILING((G1267+50*$Z$1),0.1)</f>
        <v>200</v>
      </c>
      <c r="H1268" s="756"/>
      <c r="I1268" s="744"/>
      <c r="J1268" s="744"/>
      <c r="K1268" s="744"/>
      <c r="L1268" s="744"/>
      <c r="M1268" s="239"/>
      <c r="N1268" s="239"/>
      <c r="O1268" s="105"/>
      <c r="P1268" s="105"/>
      <c r="Q1268" s="105"/>
      <c r="R1268" s="105"/>
      <c r="S1268" s="105"/>
      <c r="T1268" s="105"/>
      <c r="U1268" s="105"/>
      <c r="V1268" s="105"/>
      <c r="W1268" s="105"/>
      <c r="X1268" s="105"/>
      <c r="Y1268" s="105"/>
    </row>
    <row r="1269" spans="1:25" s="107" customFormat="1" ht="34.5" customHeight="1">
      <c r="A1269" s="692"/>
      <c r="B1269" s="238" t="s">
        <v>347</v>
      </c>
      <c r="C1269" s="747">
        <f>CEILING(130*$Z$1,0.1)</f>
        <v>162.5</v>
      </c>
      <c r="D1269" s="756"/>
      <c r="E1269" s="747">
        <f>CEILING(130*$Z$1,0.1)</f>
        <v>162.5</v>
      </c>
      <c r="F1269" s="756"/>
      <c r="G1269" s="747">
        <f>CEILING(130*$Z$1,0.1)</f>
        <v>162.5</v>
      </c>
      <c r="H1269" s="756"/>
      <c r="I1269" s="744"/>
      <c r="J1269" s="744"/>
      <c r="K1269" s="744"/>
      <c r="L1269" s="744"/>
      <c r="M1269" s="239"/>
      <c r="N1269" s="239"/>
      <c r="O1269" s="105"/>
      <c r="P1269" s="105"/>
      <c r="Q1269" s="105"/>
      <c r="R1269" s="105"/>
      <c r="S1269" s="105"/>
      <c r="T1269" s="105"/>
      <c r="U1269" s="105"/>
      <c r="V1269" s="105"/>
      <c r="W1269" s="105"/>
      <c r="X1269" s="105"/>
      <c r="Y1269" s="105"/>
    </row>
    <row r="1270" spans="1:25" s="107" customFormat="1" ht="34.5" customHeight="1" thickBot="1">
      <c r="A1270" s="757" t="s">
        <v>1023</v>
      </c>
      <c r="B1270" s="297" t="s">
        <v>346</v>
      </c>
      <c r="C1270" s="758">
        <f>CEILING((C1269+60*$Z$1),0.1)</f>
        <v>237.5</v>
      </c>
      <c r="D1270" s="759"/>
      <c r="E1270" s="758">
        <f>CEILING((E1269+60*$Z$1),0.1)</f>
        <v>237.5</v>
      </c>
      <c r="F1270" s="759"/>
      <c r="G1270" s="758">
        <f>CEILING((G1269+60*$Z$1),0.1)</f>
        <v>237.5</v>
      </c>
      <c r="H1270" s="759"/>
      <c r="I1270" s="744"/>
      <c r="J1270" s="744"/>
      <c r="K1270" s="744"/>
      <c r="L1270" s="744"/>
      <c r="M1270" s="239"/>
      <c r="N1270" s="239"/>
      <c r="O1270" s="105"/>
      <c r="P1270" s="105"/>
      <c r="Q1270" s="105"/>
      <c r="R1270" s="105"/>
      <c r="S1270" s="105"/>
      <c r="T1270" s="105"/>
      <c r="U1270" s="105"/>
      <c r="V1270" s="105"/>
      <c r="W1270" s="105"/>
      <c r="X1270" s="105"/>
      <c r="Y1270" s="105"/>
    </row>
    <row r="1271" spans="1:25" s="155" customFormat="1" ht="34.5" customHeight="1" thickTop="1">
      <c r="A1271" s="397" t="s">
        <v>751</v>
      </c>
      <c r="B1271" s="397"/>
      <c r="C1271" s="397"/>
      <c r="D1271" s="397"/>
      <c r="E1271" s="397"/>
      <c r="F1271" s="397"/>
      <c r="G1271" s="397"/>
      <c r="H1271" s="397"/>
      <c r="I1271" s="397"/>
      <c r="J1271" s="530"/>
      <c r="K1271" s="489"/>
      <c r="L1271" s="157"/>
      <c r="M1271" s="239"/>
      <c r="N1271" s="239"/>
      <c r="O1271" s="151"/>
      <c r="P1271" s="151"/>
      <c r="Q1271" s="151"/>
      <c r="R1271" s="151"/>
      <c r="S1271" s="151"/>
      <c r="T1271" s="151"/>
      <c r="U1271" s="151"/>
      <c r="V1271" s="151"/>
      <c r="W1271" s="151"/>
      <c r="X1271" s="151"/>
      <c r="Y1271" s="151"/>
    </row>
    <row r="1272" spans="1:25" s="107" customFormat="1" ht="34.5" customHeight="1">
      <c r="A1272" s="1075" t="s">
        <v>750</v>
      </c>
      <c r="B1272" s="1075"/>
      <c r="C1272" s="1075"/>
      <c r="D1272" s="1075"/>
      <c r="E1272" s="1075"/>
      <c r="F1272" s="1075"/>
      <c r="G1272" s="1075"/>
      <c r="H1272" s="1075"/>
      <c r="I1272" s="1075"/>
      <c r="J1272" s="1075"/>
      <c r="K1272" s="402"/>
      <c r="L1272" s="722"/>
      <c r="M1272" s="239"/>
      <c r="N1272" s="239"/>
      <c r="O1272" s="105"/>
      <c r="P1272" s="105"/>
      <c r="Q1272" s="105"/>
      <c r="R1272" s="105"/>
      <c r="S1272" s="105"/>
      <c r="T1272" s="105"/>
      <c r="U1272" s="105"/>
      <c r="V1272" s="105"/>
      <c r="W1272" s="105"/>
      <c r="X1272" s="105"/>
      <c r="Y1272" s="105"/>
    </row>
    <row r="1273" spans="1:25" s="167" customFormat="1" ht="34.5" customHeight="1">
      <c r="A1273" s="163" t="s">
        <v>940</v>
      </c>
      <c r="B1273" s="188"/>
      <c r="C1273" s="163"/>
      <c r="D1273" s="163"/>
      <c r="E1273" s="163"/>
      <c r="F1273" s="163"/>
      <c r="G1273" s="163"/>
      <c r="H1273" s="163"/>
      <c r="I1273" s="189"/>
      <c r="J1273" s="189"/>
      <c r="K1273" s="190"/>
      <c r="L1273" s="190"/>
      <c r="M1273" s="191"/>
      <c r="N1273" s="191"/>
      <c r="O1273" s="166"/>
      <c r="P1273" s="166"/>
      <c r="Q1273" s="166"/>
      <c r="R1273" s="166"/>
      <c r="S1273" s="166"/>
      <c r="T1273" s="166"/>
      <c r="U1273" s="166"/>
      <c r="V1273" s="166"/>
      <c r="W1273" s="166"/>
      <c r="X1273" s="166"/>
      <c r="Y1273" s="166"/>
    </row>
    <row r="1274" spans="1:12" s="114" customFormat="1" ht="34.5" customHeight="1" thickBot="1">
      <c r="A1274" s="169"/>
      <c r="B1274" s="760"/>
      <c r="C1274" s="761"/>
      <c r="D1274" s="761"/>
      <c r="E1274" s="761"/>
      <c r="F1274" s="761"/>
      <c r="G1274" s="761"/>
      <c r="H1274" s="761"/>
      <c r="I1274" s="761"/>
      <c r="J1274" s="737"/>
      <c r="K1274" s="123"/>
      <c r="L1274" s="503"/>
    </row>
    <row r="1275" spans="1:42" s="214" customFormat="1" ht="34.5" customHeight="1" thickTop="1">
      <c r="A1275" s="207" t="s">
        <v>34</v>
      </c>
      <c r="B1275" s="208" t="s">
        <v>91</v>
      </c>
      <c r="C1275" s="209" t="s">
        <v>921</v>
      </c>
      <c r="D1275" s="210"/>
      <c r="E1275" s="211" t="s">
        <v>922</v>
      </c>
      <c r="F1275" s="212"/>
      <c r="G1275" s="211" t="s">
        <v>923</v>
      </c>
      <c r="H1275" s="212"/>
      <c r="I1275" s="1070"/>
      <c r="J1275" s="1071"/>
      <c r="K1275" s="1070"/>
      <c r="L1275" s="1070"/>
      <c r="M1275" s="174"/>
      <c r="N1275" s="174"/>
      <c r="O1275" s="213"/>
      <c r="P1275" s="213"/>
      <c r="Q1275" s="213"/>
      <c r="R1275" s="213"/>
      <c r="S1275" s="213"/>
      <c r="T1275" s="213"/>
      <c r="U1275" s="213"/>
      <c r="V1275" s="213"/>
      <c r="W1275" s="213"/>
      <c r="X1275" s="213"/>
      <c r="Y1275" s="213"/>
      <c r="Z1275" s="213"/>
      <c r="AA1275" s="213"/>
      <c r="AB1275" s="213"/>
      <c r="AC1275" s="213"/>
      <c r="AD1275" s="213"/>
      <c r="AE1275" s="213"/>
      <c r="AF1275" s="213"/>
      <c r="AG1275" s="213"/>
      <c r="AH1275" s="213"/>
      <c r="AI1275" s="213"/>
      <c r="AJ1275" s="213"/>
      <c r="AK1275" s="213"/>
      <c r="AL1275" s="213"/>
      <c r="AM1275" s="213"/>
      <c r="AN1275" s="213"/>
      <c r="AO1275" s="213"/>
      <c r="AP1275" s="213"/>
    </row>
    <row r="1276" spans="1:58" s="107" customFormat="1" ht="34.5" customHeight="1">
      <c r="A1276" s="762" t="s">
        <v>122</v>
      </c>
      <c r="B1276" s="723" t="s">
        <v>230</v>
      </c>
      <c r="C1276" s="743">
        <f>CEILING(56*$Z$1,0.1)</f>
        <v>70</v>
      </c>
      <c r="D1276" s="767"/>
      <c r="E1276" s="743">
        <f>CEILING(56*$Z$1,0.1)</f>
        <v>70</v>
      </c>
      <c r="F1276" s="767"/>
      <c r="G1276" s="743">
        <f>CEILING(56*$Z$1,0.1)</f>
        <v>70</v>
      </c>
      <c r="H1276" s="767"/>
      <c r="I1276" s="744"/>
      <c r="J1276" s="744"/>
      <c r="K1276" s="744"/>
      <c r="L1276" s="744"/>
      <c r="M1276" s="114"/>
      <c r="N1276" s="158"/>
      <c r="O1276" s="158"/>
      <c r="P1276" s="158"/>
      <c r="Q1276" s="158"/>
      <c r="R1276" s="158"/>
      <c r="S1276" s="158"/>
      <c r="T1276" s="158"/>
      <c r="U1276" s="158"/>
      <c r="V1276" s="158"/>
      <c r="W1276" s="158"/>
      <c r="X1276" s="158"/>
      <c r="Y1276" s="158"/>
      <c r="Z1276" s="158"/>
      <c r="AA1276" s="158"/>
      <c r="AB1276" s="158"/>
      <c r="AC1276" s="158"/>
      <c r="AD1276" s="158"/>
      <c r="AE1276" s="158"/>
      <c r="AF1276" s="158"/>
      <c r="AG1276" s="158"/>
      <c r="AH1276" s="158"/>
      <c r="AI1276" s="158"/>
      <c r="AJ1276" s="158"/>
      <c r="AK1276" s="158"/>
      <c r="AL1276" s="158"/>
      <c r="AM1276" s="158"/>
      <c r="AN1276" s="158"/>
      <c r="AO1276" s="158"/>
      <c r="AP1276" s="158"/>
      <c r="AQ1276" s="158"/>
      <c r="AR1276" s="158"/>
      <c r="AS1276" s="158"/>
      <c r="AT1276" s="158"/>
      <c r="AU1276" s="158"/>
      <c r="AV1276" s="158"/>
      <c r="AW1276" s="158"/>
      <c r="AX1276" s="158"/>
      <c r="AY1276" s="158"/>
      <c r="AZ1276" s="158"/>
      <c r="BA1276" s="158"/>
      <c r="BB1276" s="158"/>
      <c r="BC1276" s="158"/>
      <c r="BD1276" s="158"/>
      <c r="BE1276" s="158"/>
      <c r="BF1276" s="158"/>
    </row>
    <row r="1277" spans="1:25" s="107" customFormat="1" ht="34.5" customHeight="1">
      <c r="A1277" s="763" t="s">
        <v>36</v>
      </c>
      <c r="B1277" s="330" t="s">
        <v>231</v>
      </c>
      <c r="C1277" s="746">
        <f>CEILING((C1276+30*$Z$1),0.1)</f>
        <v>107.5</v>
      </c>
      <c r="D1277" s="768"/>
      <c r="E1277" s="746">
        <f>CEILING((E1276+24*$Z$1),0.1)</f>
        <v>100</v>
      </c>
      <c r="F1277" s="768"/>
      <c r="G1277" s="746">
        <f>CEILING((G1276+24*$Z$1),0.1)</f>
        <v>100</v>
      </c>
      <c r="H1277" s="768"/>
      <c r="I1277" s="744"/>
      <c r="J1277" s="744"/>
      <c r="K1277" s="744"/>
      <c r="L1277" s="744"/>
      <c r="M1277" s="115"/>
      <c r="N1277" s="105"/>
      <c r="O1277" s="105"/>
      <c r="P1277" s="105"/>
      <c r="Q1277" s="105"/>
      <c r="R1277" s="105"/>
      <c r="S1277" s="105"/>
      <c r="T1277" s="105"/>
      <c r="U1277" s="105"/>
      <c r="V1277" s="105"/>
      <c r="W1277" s="105"/>
      <c r="X1277" s="105"/>
      <c r="Y1277" s="105"/>
    </row>
    <row r="1278" spans="1:25" s="107" customFormat="1" ht="34.5" customHeight="1">
      <c r="A1278" s="745"/>
      <c r="B1278" s="724" t="s">
        <v>70</v>
      </c>
      <c r="C1278" s="746">
        <f>CEILING((C1276*0.85),0.1)</f>
        <v>59.5</v>
      </c>
      <c r="D1278" s="768"/>
      <c r="E1278" s="746">
        <f>CEILING((E1276*0.85),0.1)</f>
        <v>59.5</v>
      </c>
      <c r="F1278" s="768"/>
      <c r="G1278" s="746">
        <f>CEILING((G1276*0.85),0.1)</f>
        <v>59.5</v>
      </c>
      <c r="H1278" s="768"/>
      <c r="I1278" s="744"/>
      <c r="J1278" s="744"/>
      <c r="K1278" s="744"/>
      <c r="L1278" s="744"/>
      <c r="M1278" s="1190"/>
      <c r="N1278" s="1190"/>
      <c r="O1278" s="105"/>
      <c r="P1278" s="105"/>
      <c r="Q1278" s="105"/>
      <c r="R1278" s="105"/>
      <c r="S1278" s="105"/>
      <c r="T1278" s="105"/>
      <c r="U1278" s="105"/>
      <c r="V1278" s="105"/>
      <c r="W1278" s="105"/>
      <c r="X1278" s="105"/>
      <c r="Y1278" s="105"/>
    </row>
    <row r="1279" spans="1:25" s="107" customFormat="1" ht="34.5" customHeight="1">
      <c r="A1279" s="301" t="s">
        <v>1057</v>
      </c>
      <c r="B1279" s="398" t="s">
        <v>764</v>
      </c>
      <c r="C1279" s="746">
        <f>CEILING((C1276*0.5),0.1)</f>
        <v>35</v>
      </c>
      <c r="D1279" s="768"/>
      <c r="E1279" s="746">
        <f>CEILING((E1276*0.5),0.1)</f>
        <v>35</v>
      </c>
      <c r="F1279" s="768"/>
      <c r="G1279" s="746">
        <f>CEILING((G1276*0.5),0.1)</f>
        <v>35</v>
      </c>
      <c r="H1279" s="768"/>
      <c r="I1279" s="744"/>
      <c r="J1279" s="744"/>
      <c r="K1279" s="744"/>
      <c r="L1279" s="744"/>
      <c r="M1279" s="737"/>
      <c r="N1279" s="737"/>
      <c r="O1279" s="105"/>
      <c r="P1279" s="105"/>
      <c r="Q1279" s="105"/>
      <c r="R1279" s="105"/>
      <c r="S1279" s="105"/>
      <c r="T1279" s="105"/>
      <c r="U1279" s="105"/>
      <c r="V1279" s="105"/>
      <c r="W1279" s="105"/>
      <c r="X1279" s="105"/>
      <c r="Y1279" s="105"/>
    </row>
    <row r="1280" spans="1:24" s="107" customFormat="1" ht="34.5" customHeight="1">
      <c r="A1280" s="287"/>
      <c r="B1280" s="330" t="s">
        <v>232</v>
      </c>
      <c r="C1280" s="746">
        <f>CEILING(64*$Z$1,0.1)</f>
        <v>80</v>
      </c>
      <c r="D1280" s="768"/>
      <c r="E1280" s="746">
        <f>CEILING(64*$Z$1,0.1)</f>
        <v>80</v>
      </c>
      <c r="F1280" s="768"/>
      <c r="G1280" s="746">
        <f>CEILING(64*$Z$1,0.1)</f>
        <v>80</v>
      </c>
      <c r="H1280" s="768"/>
      <c r="I1280" s="744"/>
      <c r="J1280" s="744"/>
      <c r="K1280" s="744"/>
      <c r="L1280" s="744"/>
      <c r="M1280" s="239"/>
      <c r="N1280" s="239"/>
      <c r="O1280" s="105"/>
      <c r="P1280" s="105"/>
      <c r="Q1280" s="105"/>
      <c r="R1280" s="105"/>
      <c r="S1280" s="105"/>
      <c r="T1280" s="105"/>
      <c r="U1280" s="105"/>
      <c r="V1280" s="105"/>
      <c r="W1280" s="105"/>
      <c r="X1280" s="105"/>
    </row>
    <row r="1281" spans="1:25" s="107" customFormat="1" ht="34.5" customHeight="1">
      <c r="A1281" s="320"/>
      <c r="B1281" s="330" t="s">
        <v>233</v>
      </c>
      <c r="C1281" s="746">
        <f>CEILING((C1280+30*$Z$1),0.1)</f>
        <v>117.5</v>
      </c>
      <c r="D1281" s="768"/>
      <c r="E1281" s="746">
        <f>CEILING((E1280+24*$Z$1),0.1)</f>
        <v>110</v>
      </c>
      <c r="F1281" s="768"/>
      <c r="G1281" s="746">
        <f>CEILING((G1280+24*$Z$1),0.1)</f>
        <v>110</v>
      </c>
      <c r="H1281" s="768"/>
      <c r="I1281" s="744"/>
      <c r="J1281" s="744"/>
      <c r="K1281" s="744"/>
      <c r="L1281" s="744"/>
      <c r="M1281" s="239"/>
      <c r="N1281" s="239"/>
      <c r="O1281" s="105"/>
      <c r="P1281" s="105"/>
      <c r="Q1281" s="105"/>
      <c r="R1281" s="105"/>
      <c r="S1281" s="105"/>
      <c r="T1281" s="105"/>
      <c r="U1281" s="105"/>
      <c r="V1281" s="105"/>
      <c r="W1281" s="105"/>
      <c r="X1281" s="105"/>
      <c r="Y1281" s="105"/>
    </row>
    <row r="1282" spans="1:25" s="107" customFormat="1" ht="34.5" customHeight="1">
      <c r="A1282" s="692"/>
      <c r="B1282" s="238" t="s">
        <v>549</v>
      </c>
      <c r="C1282" s="746">
        <f>CEILING(80*$Z$1,0.1)</f>
        <v>100</v>
      </c>
      <c r="D1282" s="768"/>
      <c r="E1282" s="746">
        <f>CEILING(80*$Z$1,0.1)</f>
        <v>100</v>
      </c>
      <c r="F1282" s="768"/>
      <c r="G1282" s="746">
        <f>CEILING(80*$Z$1,0.1)</f>
        <v>100</v>
      </c>
      <c r="H1282" s="768"/>
      <c r="I1282" s="744"/>
      <c r="J1282" s="744"/>
      <c r="K1282" s="744"/>
      <c r="L1282" s="744"/>
      <c r="M1282" s="239"/>
      <c r="N1282" s="239"/>
      <c r="O1282" s="105"/>
      <c r="P1282" s="105"/>
      <c r="Q1282" s="105"/>
      <c r="R1282" s="105"/>
      <c r="S1282" s="105"/>
      <c r="T1282" s="105"/>
      <c r="U1282" s="105"/>
      <c r="V1282" s="105"/>
      <c r="W1282" s="105"/>
      <c r="X1282" s="105"/>
      <c r="Y1282" s="105"/>
    </row>
    <row r="1283" spans="1:25" s="107" customFormat="1" ht="34.5" customHeight="1" thickBot="1">
      <c r="A1283" s="757" t="s">
        <v>1009</v>
      </c>
      <c r="B1283" s="297" t="s">
        <v>550</v>
      </c>
      <c r="C1283" s="790">
        <f>CEILING((C1282+40*$Z$1),0.1)</f>
        <v>150</v>
      </c>
      <c r="D1283" s="791"/>
      <c r="E1283" s="790">
        <f>CEILING((E1282+32*$Z$1),0.1)</f>
        <v>140</v>
      </c>
      <c r="F1283" s="791"/>
      <c r="G1283" s="790">
        <f>CEILING((G1282+32*$Z$1),0.1)</f>
        <v>140</v>
      </c>
      <c r="H1283" s="791"/>
      <c r="I1283" s="744"/>
      <c r="J1283" s="744"/>
      <c r="K1283" s="744"/>
      <c r="L1283" s="744"/>
      <c r="M1283" s="239"/>
      <c r="N1283" s="239"/>
      <c r="O1283" s="105"/>
      <c r="P1283" s="105"/>
      <c r="Q1283" s="105"/>
      <c r="R1283" s="105"/>
      <c r="S1283" s="105"/>
      <c r="T1283" s="105"/>
      <c r="U1283" s="105"/>
      <c r="V1283" s="105"/>
      <c r="W1283" s="105"/>
      <c r="X1283" s="105"/>
      <c r="Y1283" s="105"/>
    </row>
    <row r="1284" spans="1:25" s="155" customFormat="1" ht="34.5" customHeight="1" thickTop="1">
      <c r="A1284" s="397" t="s">
        <v>751</v>
      </c>
      <c r="B1284" s="397"/>
      <c r="C1284" s="397"/>
      <c r="D1284" s="397"/>
      <c r="E1284" s="397"/>
      <c r="F1284" s="397"/>
      <c r="G1284" s="397"/>
      <c r="H1284" s="397"/>
      <c r="I1284" s="397"/>
      <c r="J1284" s="530"/>
      <c r="K1284" s="489"/>
      <c r="L1284" s="157"/>
      <c r="M1284" s="239"/>
      <c r="N1284" s="239"/>
      <c r="O1284" s="151"/>
      <c r="P1284" s="151"/>
      <c r="Q1284" s="151"/>
      <c r="R1284" s="151"/>
      <c r="S1284" s="151"/>
      <c r="T1284" s="151"/>
      <c r="U1284" s="151"/>
      <c r="V1284" s="151"/>
      <c r="W1284" s="151"/>
      <c r="X1284" s="151"/>
      <c r="Y1284" s="151"/>
    </row>
    <row r="1285" spans="1:25" s="107" customFormat="1" ht="34.5" customHeight="1">
      <c r="A1285" s="397" t="s">
        <v>345</v>
      </c>
      <c r="B1285" s="764"/>
      <c r="C1285" s="764"/>
      <c r="D1285" s="764"/>
      <c r="E1285" s="764"/>
      <c r="F1285" s="764"/>
      <c r="G1285" s="764"/>
      <c r="H1285" s="764"/>
      <c r="I1285" s="764"/>
      <c r="J1285" s="765"/>
      <c r="K1285" s="113"/>
      <c r="L1285" s="113"/>
      <c r="M1285" s="239"/>
      <c r="N1285" s="239"/>
      <c r="O1285" s="105"/>
      <c r="P1285" s="105"/>
      <c r="Q1285" s="105"/>
      <c r="R1285" s="105"/>
      <c r="S1285" s="105"/>
      <c r="T1285" s="105"/>
      <c r="U1285" s="105"/>
      <c r="V1285" s="105"/>
      <c r="W1285" s="105"/>
      <c r="X1285" s="105"/>
      <c r="Y1285" s="105"/>
    </row>
    <row r="1286" spans="1:25" s="107" customFormat="1" ht="34.5" customHeight="1">
      <c r="A1286" s="1075" t="s">
        <v>234</v>
      </c>
      <c r="B1286" s="1075"/>
      <c r="C1286" s="1075"/>
      <c r="D1286" s="1075"/>
      <c r="E1286" s="1075"/>
      <c r="F1286" s="1075"/>
      <c r="G1286" s="1075"/>
      <c r="H1286" s="1075"/>
      <c r="I1286" s="1075"/>
      <c r="J1286" s="1075"/>
      <c r="K1286" s="157"/>
      <c r="L1286" s="113"/>
      <c r="M1286" s="115"/>
      <c r="N1286" s="105"/>
      <c r="O1286" s="105"/>
      <c r="P1286" s="105"/>
      <c r="Q1286" s="105"/>
      <c r="R1286" s="105"/>
      <c r="S1286" s="105"/>
      <c r="T1286" s="105"/>
      <c r="U1286" s="105"/>
      <c r="V1286" s="105"/>
      <c r="W1286" s="105"/>
      <c r="X1286" s="105"/>
      <c r="Y1286" s="105"/>
    </row>
    <row r="1287" spans="1:12" s="114" customFormat="1" ht="34.5" customHeight="1" thickBot="1">
      <c r="A1287" s="169"/>
      <c r="B1287" s="760"/>
      <c r="C1287" s="761"/>
      <c r="D1287" s="761"/>
      <c r="E1287" s="761"/>
      <c r="F1287" s="761"/>
      <c r="G1287" s="761"/>
      <c r="H1287" s="761"/>
      <c r="I1287" s="761"/>
      <c r="J1287" s="737"/>
      <c r="K1287" s="123"/>
      <c r="L1287" s="503"/>
    </row>
    <row r="1288" spans="1:42" s="214" customFormat="1" ht="34.5" customHeight="1" thickTop="1">
      <c r="A1288" s="207" t="s">
        <v>34</v>
      </c>
      <c r="B1288" s="208" t="s">
        <v>91</v>
      </c>
      <c r="C1288" s="209" t="s">
        <v>921</v>
      </c>
      <c r="D1288" s="210"/>
      <c r="E1288" s="211" t="s">
        <v>922</v>
      </c>
      <c r="F1288" s="212"/>
      <c r="G1288" s="211" t="s">
        <v>923</v>
      </c>
      <c r="H1288" s="212"/>
      <c r="I1288" s="1070"/>
      <c r="J1288" s="1071"/>
      <c r="K1288" s="1070"/>
      <c r="L1288" s="1070"/>
      <c r="M1288" s="174"/>
      <c r="N1288" s="174"/>
      <c r="O1288" s="213"/>
      <c r="P1288" s="213"/>
      <c r="Q1288" s="213"/>
      <c r="R1288" s="213"/>
      <c r="S1288" s="213"/>
      <c r="T1288" s="213"/>
      <c r="U1288" s="213"/>
      <c r="V1288" s="213"/>
      <c r="W1288" s="213"/>
      <c r="X1288" s="213"/>
      <c r="Y1288" s="213"/>
      <c r="Z1288" s="213"/>
      <c r="AA1288" s="213"/>
      <c r="AB1288" s="213"/>
      <c r="AC1288" s="213"/>
      <c r="AD1288" s="213"/>
      <c r="AE1288" s="213"/>
      <c r="AF1288" s="213"/>
      <c r="AG1288" s="213"/>
      <c r="AH1288" s="213"/>
      <c r="AI1288" s="213"/>
      <c r="AJ1288" s="213"/>
      <c r="AK1288" s="213"/>
      <c r="AL1288" s="213"/>
      <c r="AM1288" s="213"/>
      <c r="AN1288" s="213"/>
      <c r="AO1288" s="213"/>
      <c r="AP1288" s="213"/>
    </row>
    <row r="1289" spans="1:72" s="107" customFormat="1" ht="34.5" customHeight="1">
      <c r="A1289" s="766" t="s">
        <v>123</v>
      </c>
      <c r="B1289" s="241" t="s">
        <v>557</v>
      </c>
      <c r="C1289" s="743">
        <f>CEILING(44*$Z$1,0.1)</f>
        <v>55</v>
      </c>
      <c r="D1289" s="767"/>
      <c r="E1289" s="743">
        <f>CEILING(44*$Z$1,0.1)</f>
        <v>55</v>
      </c>
      <c r="F1289" s="767"/>
      <c r="G1289" s="743">
        <f>CEILING(44*$Z$1,0.1)</f>
        <v>55</v>
      </c>
      <c r="H1289" s="767"/>
      <c r="I1289" s="744"/>
      <c r="J1289" s="744"/>
      <c r="K1289" s="744"/>
      <c r="L1289" s="744"/>
      <c r="M1289" s="114"/>
      <c r="N1289" s="114"/>
      <c r="O1289" s="114"/>
      <c r="P1289" s="114"/>
      <c r="Q1289" s="114"/>
      <c r="R1289" s="114"/>
      <c r="S1289" s="114"/>
      <c r="T1289" s="114"/>
      <c r="U1289" s="114"/>
      <c r="V1289" s="114"/>
      <c r="W1289" s="114"/>
      <c r="X1289" s="114"/>
      <c r="Y1289" s="114"/>
      <c r="Z1289" s="114"/>
      <c r="AA1289" s="114"/>
      <c r="AB1289" s="114"/>
      <c r="AC1289" s="114"/>
      <c r="AD1289" s="114"/>
      <c r="AE1289" s="114"/>
      <c r="AF1289" s="114"/>
      <c r="AG1289" s="114"/>
      <c r="AH1289" s="114"/>
      <c r="AI1289" s="114"/>
      <c r="AJ1289" s="114"/>
      <c r="AK1289" s="114"/>
      <c r="AL1289" s="114"/>
      <c r="AM1289" s="114"/>
      <c r="AN1289" s="114"/>
      <c r="AO1289" s="114"/>
      <c r="AP1289" s="114"/>
      <c r="AQ1289" s="114"/>
      <c r="AR1289" s="114"/>
      <c r="AS1289" s="114"/>
      <c r="AT1289" s="114"/>
      <c r="AU1289" s="114"/>
      <c r="AV1289" s="114"/>
      <c r="AW1289" s="114"/>
      <c r="AX1289" s="114"/>
      <c r="AY1289" s="114"/>
      <c r="AZ1289" s="114"/>
      <c r="BA1289" s="114"/>
      <c r="BB1289" s="114"/>
      <c r="BC1289" s="114"/>
      <c r="BD1289" s="114"/>
      <c r="BE1289" s="114"/>
      <c r="BF1289" s="114"/>
      <c r="BG1289" s="114"/>
      <c r="BH1289" s="114"/>
      <c r="BI1289" s="114"/>
      <c r="BJ1289" s="114"/>
      <c r="BK1289" s="114"/>
      <c r="BL1289" s="114"/>
      <c r="BM1289" s="114"/>
      <c r="BN1289" s="114"/>
      <c r="BO1289" s="114"/>
      <c r="BP1289" s="114"/>
      <c r="BQ1289" s="114"/>
      <c r="BR1289" s="114"/>
      <c r="BS1289" s="114"/>
      <c r="BT1289" s="114"/>
    </row>
    <row r="1290" spans="1:25" s="107" customFormat="1" ht="34.5" customHeight="1">
      <c r="A1290" s="432" t="s">
        <v>50</v>
      </c>
      <c r="B1290" s="241" t="s">
        <v>558</v>
      </c>
      <c r="C1290" s="746">
        <f>CEILING((C1289+25*$Z$1),0.1)</f>
        <v>86.30000000000001</v>
      </c>
      <c r="D1290" s="768"/>
      <c r="E1290" s="746">
        <f>CEILING((E1289+20*$Z$1),0.1)</f>
        <v>80</v>
      </c>
      <c r="F1290" s="768"/>
      <c r="G1290" s="746">
        <f>CEILING((G1289+20*$Z$1),0.1)</f>
        <v>80</v>
      </c>
      <c r="H1290" s="768"/>
      <c r="I1290" s="744"/>
      <c r="J1290" s="744"/>
      <c r="K1290" s="744"/>
      <c r="L1290" s="744"/>
      <c r="M1290" s="1189"/>
      <c r="N1290" s="1189"/>
      <c r="O1290" s="105"/>
      <c r="P1290" s="105"/>
      <c r="Q1290" s="105"/>
      <c r="R1290" s="1189"/>
      <c r="S1290" s="1189"/>
      <c r="T1290" s="1189"/>
      <c r="U1290" s="1189"/>
      <c r="V1290" s="105"/>
      <c r="W1290" s="105"/>
      <c r="X1290" s="105"/>
      <c r="Y1290" s="105"/>
    </row>
    <row r="1291" spans="1:25" s="107" customFormat="1" ht="34.5" customHeight="1">
      <c r="A1291" s="287"/>
      <c r="B1291" s="379" t="s">
        <v>70</v>
      </c>
      <c r="C1291" s="746">
        <f>CEILING((C1289*0.85),0.1)</f>
        <v>46.800000000000004</v>
      </c>
      <c r="D1291" s="768"/>
      <c r="E1291" s="746">
        <f>CEILING((E1289*0.85),0.1)</f>
        <v>46.800000000000004</v>
      </c>
      <c r="F1291" s="768"/>
      <c r="G1291" s="746">
        <f>CEILING((G1289*0.85),0.1)</f>
        <v>46.800000000000004</v>
      </c>
      <c r="H1291" s="768"/>
      <c r="I1291" s="744"/>
      <c r="J1291" s="744"/>
      <c r="K1291" s="744"/>
      <c r="L1291" s="744"/>
      <c r="M1291" s="1189"/>
      <c r="N1291" s="1189"/>
      <c r="O1291" s="105"/>
      <c r="P1291" s="105"/>
      <c r="Q1291" s="105"/>
      <c r="R1291" s="740"/>
      <c r="S1291" s="740"/>
      <c r="T1291" s="740"/>
      <c r="U1291" s="740"/>
      <c r="V1291" s="105"/>
      <c r="W1291" s="105"/>
      <c r="X1291" s="105"/>
      <c r="Y1291" s="105"/>
    </row>
    <row r="1292" spans="1:25" s="107" customFormat="1" ht="34.5" customHeight="1">
      <c r="A1292" s="301" t="s">
        <v>1057</v>
      </c>
      <c r="B1292" s="398" t="s">
        <v>764</v>
      </c>
      <c r="C1292" s="746">
        <f>CEILING((C1289*0.5),0.1)</f>
        <v>27.5</v>
      </c>
      <c r="D1292" s="768"/>
      <c r="E1292" s="746">
        <f>CEILING((E1289*0.5),0.1)</f>
        <v>27.5</v>
      </c>
      <c r="F1292" s="768"/>
      <c r="G1292" s="746">
        <f>CEILING((G1289*0.5),0.1)</f>
        <v>27.5</v>
      </c>
      <c r="H1292" s="768"/>
      <c r="I1292" s="744"/>
      <c r="J1292" s="744"/>
      <c r="K1292" s="744"/>
      <c r="L1292" s="744"/>
      <c r="M1292" s="503"/>
      <c r="N1292" s="503"/>
      <c r="O1292" s="105"/>
      <c r="P1292" s="105"/>
      <c r="Q1292" s="105"/>
      <c r="R1292" s="740"/>
      <c r="S1292" s="740"/>
      <c r="T1292" s="740"/>
      <c r="U1292" s="740"/>
      <c r="V1292" s="105"/>
      <c r="W1292" s="105"/>
      <c r="X1292" s="105"/>
      <c r="Y1292" s="105"/>
    </row>
    <row r="1293" spans="1:25" s="107" customFormat="1" ht="34.5" customHeight="1">
      <c r="A1293" s="301"/>
      <c r="B1293" s="266" t="s">
        <v>559</v>
      </c>
      <c r="C1293" s="746">
        <f>CEILING(50.4*$Z$1,0.1)</f>
        <v>63</v>
      </c>
      <c r="D1293" s="768"/>
      <c r="E1293" s="746">
        <f>CEILING(50.4*$Z$1,0.1)</f>
        <v>63</v>
      </c>
      <c r="F1293" s="768"/>
      <c r="G1293" s="746">
        <f>CEILING(50.4*$Z$1,0.1)</f>
        <v>63</v>
      </c>
      <c r="H1293" s="768"/>
      <c r="I1293" s="744"/>
      <c r="J1293" s="744"/>
      <c r="K1293" s="744"/>
      <c r="L1293" s="744"/>
      <c r="M1293" s="737"/>
      <c r="N1293" s="737"/>
      <c r="O1293" s="105"/>
      <c r="P1293" s="105"/>
      <c r="Q1293" s="105"/>
      <c r="R1293" s="148"/>
      <c r="S1293" s="148"/>
      <c r="T1293" s="148"/>
      <c r="U1293" s="148"/>
      <c r="V1293" s="105"/>
      <c r="W1293" s="1217"/>
      <c r="X1293" s="1217"/>
      <c r="Y1293" s="1217"/>
    </row>
    <row r="1294" spans="1:25" s="107" customFormat="1" ht="34.5" customHeight="1" thickBot="1">
      <c r="A1294" s="303" t="s">
        <v>1025</v>
      </c>
      <c r="B1294" s="524" t="s">
        <v>560</v>
      </c>
      <c r="C1294" s="790">
        <f>CEILING((C1293+25*$Z$1),0.1)</f>
        <v>94.30000000000001</v>
      </c>
      <c r="D1294" s="791"/>
      <c r="E1294" s="790">
        <f>CEILING((E1293+20*$Z$1),0.1)</f>
        <v>88</v>
      </c>
      <c r="F1294" s="791"/>
      <c r="G1294" s="790">
        <f>CEILING((G1293+20*$Z$1),0.1)</f>
        <v>88</v>
      </c>
      <c r="H1294" s="791"/>
      <c r="I1294" s="744"/>
      <c r="J1294" s="744"/>
      <c r="K1294" s="744"/>
      <c r="L1294" s="744"/>
      <c r="M1294" s="148"/>
      <c r="N1294" s="148"/>
      <c r="O1294" s="105"/>
      <c r="P1294" s="105"/>
      <c r="Q1294" s="105"/>
      <c r="R1294" s="716"/>
      <c r="S1294" s="148"/>
      <c r="T1294" s="716"/>
      <c r="U1294" s="148"/>
      <c r="V1294" s="105"/>
      <c r="W1294" s="1217"/>
      <c r="X1294" s="1217"/>
      <c r="Y1294" s="1217"/>
    </row>
    <row r="1295" spans="1:25" s="155" customFormat="1" ht="34.5" customHeight="1" thickTop="1">
      <c r="A1295" s="397" t="s">
        <v>425</v>
      </c>
      <c r="B1295" s="397"/>
      <c r="C1295" s="397"/>
      <c r="D1295" s="397"/>
      <c r="E1295" s="397"/>
      <c r="F1295" s="397"/>
      <c r="G1295" s="397"/>
      <c r="H1295" s="397"/>
      <c r="I1295" s="451"/>
      <c r="J1295" s="530"/>
      <c r="K1295" s="239"/>
      <c r="L1295" s="239"/>
      <c r="M1295" s="148"/>
      <c r="N1295" s="148"/>
      <c r="O1295" s="151"/>
      <c r="P1295" s="151"/>
      <c r="Q1295" s="151"/>
      <c r="R1295" s="148"/>
      <c r="S1295" s="148"/>
      <c r="T1295" s="148"/>
      <c r="U1295" s="148"/>
      <c r="V1295" s="151"/>
      <c r="W1295" s="1217"/>
      <c r="X1295" s="1217"/>
      <c r="Y1295" s="1217"/>
    </row>
    <row r="1296" spans="1:25" s="107" customFormat="1" ht="34.5" customHeight="1">
      <c r="A1296" s="1075" t="s">
        <v>982</v>
      </c>
      <c r="B1296" s="1075"/>
      <c r="C1296" s="1075"/>
      <c r="D1296" s="1075"/>
      <c r="E1296" s="1075"/>
      <c r="F1296" s="1075"/>
      <c r="G1296" s="1075"/>
      <c r="H1296" s="1075"/>
      <c r="I1296" s="1075"/>
      <c r="J1296" s="1075"/>
      <c r="K1296" s="239"/>
      <c r="L1296" s="239"/>
      <c r="M1296" s="148"/>
      <c r="N1296" s="148"/>
      <c r="O1296" s="105"/>
      <c r="P1296" s="105"/>
      <c r="Q1296" s="105"/>
      <c r="R1296" s="148"/>
      <c r="S1296" s="148"/>
      <c r="T1296" s="148"/>
      <c r="U1296" s="148"/>
      <c r="V1296" s="105"/>
      <c r="W1296" s="1217"/>
      <c r="X1296" s="1217"/>
      <c r="Y1296" s="1217"/>
    </row>
    <row r="1297" spans="1:25" s="167" customFormat="1" ht="34.5" customHeight="1" thickBot="1">
      <c r="A1297" s="163"/>
      <c r="B1297" s="188"/>
      <c r="C1297" s="163"/>
      <c r="D1297" s="163"/>
      <c r="E1297" s="163"/>
      <c r="F1297" s="163"/>
      <c r="G1297" s="163"/>
      <c r="H1297" s="163"/>
      <c r="I1297" s="189"/>
      <c r="J1297" s="189"/>
      <c r="K1297" s="190"/>
      <c r="L1297" s="190"/>
      <c r="M1297" s="191"/>
      <c r="N1297" s="191"/>
      <c r="O1297" s="166"/>
      <c r="P1297" s="166"/>
      <c r="Q1297" s="166"/>
      <c r="R1297" s="166"/>
      <c r="S1297" s="166"/>
      <c r="T1297" s="166"/>
      <c r="U1297" s="166"/>
      <c r="V1297" s="166"/>
      <c r="W1297" s="1217"/>
      <c r="X1297" s="1217"/>
      <c r="Y1297" s="1217"/>
    </row>
    <row r="1298" spans="1:25" s="167" customFormat="1" ht="34.5" customHeight="1" thickTop="1">
      <c r="A1298" s="207" t="s">
        <v>34</v>
      </c>
      <c r="B1298" s="208" t="s">
        <v>92</v>
      </c>
      <c r="C1298" s="209" t="s">
        <v>1101</v>
      </c>
      <c r="D1298" s="210"/>
      <c r="E1298" s="163"/>
      <c r="F1298" s="163"/>
      <c r="G1298" s="163"/>
      <c r="H1298" s="163"/>
      <c r="I1298" s="189"/>
      <c r="J1298" s="189"/>
      <c r="K1298" s="190"/>
      <c r="L1298" s="190"/>
      <c r="M1298" s="191"/>
      <c r="N1298" s="191"/>
      <c r="O1298" s="166"/>
      <c r="P1298" s="166"/>
      <c r="Q1298" s="166"/>
      <c r="R1298" s="166"/>
      <c r="S1298" s="166"/>
      <c r="T1298" s="166"/>
      <c r="U1298" s="166"/>
      <c r="V1298" s="166"/>
      <c r="W1298" s="1217"/>
      <c r="X1298" s="1217"/>
      <c r="Y1298" s="1217"/>
    </row>
    <row r="1299" spans="1:25" s="167" customFormat="1" ht="34.5" customHeight="1">
      <c r="A1299" s="443" t="s">
        <v>905</v>
      </c>
      <c r="B1299" s="241" t="s">
        <v>83</v>
      </c>
      <c r="C1299" s="743">
        <f>CEILING(45*$Z$1,0.1)</f>
        <v>56.300000000000004</v>
      </c>
      <c r="D1299" s="767"/>
      <c r="E1299" s="163"/>
      <c r="F1299" s="163"/>
      <c r="G1299" s="163"/>
      <c r="H1299" s="163"/>
      <c r="I1299" s="189"/>
      <c r="J1299" s="189"/>
      <c r="K1299" s="190"/>
      <c r="L1299" s="190"/>
      <c r="M1299" s="191"/>
      <c r="N1299" s="191"/>
      <c r="O1299" s="166"/>
      <c r="P1299" s="166"/>
      <c r="Q1299" s="166"/>
      <c r="R1299" s="166"/>
      <c r="S1299" s="166"/>
      <c r="T1299" s="166"/>
      <c r="U1299" s="166"/>
      <c r="V1299" s="166"/>
      <c r="W1299" s="1217"/>
      <c r="X1299" s="1217"/>
      <c r="Y1299" s="1217"/>
    </row>
    <row r="1300" spans="1:25" s="167" customFormat="1" ht="34.5" customHeight="1">
      <c r="A1300" s="295" t="s">
        <v>36</v>
      </c>
      <c r="B1300" s="241" t="s">
        <v>8</v>
      </c>
      <c r="C1300" s="746">
        <f>CEILING((C1299+30*$Z$1),0.1)</f>
        <v>93.80000000000001</v>
      </c>
      <c r="D1300" s="768"/>
      <c r="E1300" s="163"/>
      <c r="F1300" s="163"/>
      <c r="G1300" s="163"/>
      <c r="H1300" s="163"/>
      <c r="I1300" s="189"/>
      <c r="J1300" s="189"/>
      <c r="K1300" s="190"/>
      <c r="L1300" s="190"/>
      <c r="M1300" s="191"/>
      <c r="N1300" s="191"/>
      <c r="O1300" s="166"/>
      <c r="P1300" s="166"/>
      <c r="Q1300" s="166"/>
      <c r="R1300" s="166"/>
      <c r="S1300" s="166"/>
      <c r="T1300" s="166"/>
      <c r="U1300" s="166"/>
      <c r="V1300" s="166"/>
      <c r="W1300" s="1217"/>
      <c r="X1300" s="1217"/>
      <c r="Y1300" s="1217"/>
    </row>
    <row r="1301" spans="1:25" s="167" customFormat="1" ht="34.5" customHeight="1">
      <c r="A1301" s="769" t="s">
        <v>906</v>
      </c>
      <c r="B1301" s="379" t="s">
        <v>70</v>
      </c>
      <c r="C1301" s="746">
        <f>CEILING((C1299*0.95),0.1)</f>
        <v>53.5</v>
      </c>
      <c r="D1301" s="768"/>
      <c r="E1301" s="163"/>
      <c r="F1301" s="163"/>
      <c r="G1301" s="163"/>
      <c r="H1301" s="163"/>
      <c r="I1301" s="189"/>
      <c r="J1301" s="189"/>
      <c r="K1301" s="190"/>
      <c r="L1301" s="190"/>
      <c r="M1301" s="191"/>
      <c r="N1301" s="191"/>
      <c r="O1301" s="166"/>
      <c r="P1301" s="166"/>
      <c r="Q1301" s="166"/>
      <c r="R1301" s="166"/>
      <c r="S1301" s="166"/>
      <c r="T1301" s="166"/>
      <c r="U1301" s="166"/>
      <c r="V1301" s="166"/>
      <c r="W1301" s="1217"/>
      <c r="X1301" s="1217"/>
      <c r="Y1301" s="1217"/>
    </row>
    <row r="1302" spans="1:25" s="167" customFormat="1" ht="34.5" customHeight="1" thickBot="1">
      <c r="A1302" s="303" t="s">
        <v>907</v>
      </c>
      <c r="B1302" s="770" t="s">
        <v>69</v>
      </c>
      <c r="C1302" s="771">
        <f>CEILING((C1299*0.9),0.1)</f>
        <v>50.7</v>
      </c>
      <c r="D1302" s="772"/>
      <c r="E1302" s="163"/>
      <c r="F1302" s="163"/>
      <c r="G1302" s="163"/>
      <c r="H1302" s="163"/>
      <c r="I1302" s="189"/>
      <c r="J1302" s="189"/>
      <c r="K1302" s="190"/>
      <c r="L1302" s="190"/>
      <c r="M1302" s="191"/>
      <c r="N1302" s="191"/>
      <c r="O1302" s="166"/>
      <c r="P1302" s="166"/>
      <c r="Q1302" s="166"/>
      <c r="R1302" s="166"/>
      <c r="S1302" s="166"/>
      <c r="T1302" s="166"/>
      <c r="U1302" s="166"/>
      <c r="V1302" s="166"/>
      <c r="W1302" s="1217"/>
      <c r="X1302" s="1217"/>
      <c r="Y1302" s="1217"/>
    </row>
    <row r="1303" spans="1:25" s="107" customFormat="1" ht="34.5" customHeight="1" thickTop="1">
      <c r="A1303" s="285"/>
      <c r="B1303" s="451"/>
      <c r="C1303" s="451"/>
      <c r="D1303" s="451"/>
      <c r="E1303" s="451"/>
      <c r="F1303" s="451"/>
      <c r="G1303" s="451"/>
      <c r="H1303" s="451"/>
      <c r="I1303" s="451"/>
      <c r="J1303" s="451"/>
      <c r="K1303" s="239"/>
      <c r="L1303" s="239"/>
      <c r="M1303" s="148"/>
      <c r="N1303" s="148"/>
      <c r="O1303" s="115"/>
      <c r="P1303" s="105"/>
      <c r="Q1303" s="105"/>
      <c r="R1303" s="148"/>
      <c r="S1303" s="148"/>
      <c r="T1303" s="148"/>
      <c r="U1303" s="148"/>
      <c r="V1303" s="105"/>
      <c r="W1303" s="1217"/>
      <c r="X1303" s="1217"/>
      <c r="Y1303" s="1217"/>
    </row>
    <row r="1304" spans="1:25" s="107" customFormat="1" ht="34.5" customHeight="1" thickBot="1">
      <c r="A1304" s="613"/>
      <c r="B1304" s="397"/>
      <c r="C1304" s="613"/>
      <c r="D1304" s="613"/>
      <c r="E1304" s="397"/>
      <c r="F1304" s="397"/>
      <c r="G1304" s="397"/>
      <c r="H1304" s="397"/>
      <c r="I1304" s="451"/>
      <c r="J1304" s="114"/>
      <c r="K1304" s="239"/>
      <c r="L1304" s="239"/>
      <c r="M1304" s="115"/>
      <c r="N1304" s="115"/>
      <c r="O1304" s="115"/>
      <c r="P1304" s="105"/>
      <c r="Q1304" s="105"/>
      <c r="R1304" s="105"/>
      <c r="S1304" s="105"/>
      <c r="T1304" s="105"/>
      <c r="U1304" s="105"/>
      <c r="V1304" s="105"/>
      <c r="W1304" s="1217"/>
      <c r="X1304" s="1217"/>
      <c r="Y1304" s="1217"/>
    </row>
    <row r="1305" spans="1:25" s="167" customFormat="1" ht="34.5" customHeight="1" thickTop="1">
      <c r="A1305" s="773" t="s">
        <v>34</v>
      </c>
      <c r="B1305" s="774" t="s">
        <v>91</v>
      </c>
      <c r="C1305" s="775" t="s">
        <v>984</v>
      </c>
      <c r="D1305" s="776"/>
      <c r="E1305" s="163"/>
      <c r="F1305" s="163"/>
      <c r="G1305" s="1205"/>
      <c r="H1305" s="1205"/>
      <c r="I1305" s="189"/>
      <c r="J1305" s="189"/>
      <c r="K1305" s="190"/>
      <c r="L1305" s="190"/>
      <c r="M1305" s="191"/>
      <c r="N1305" s="191"/>
      <c r="O1305" s="166"/>
      <c r="P1305" s="166"/>
      <c r="Q1305" s="166"/>
      <c r="R1305" s="166"/>
      <c r="S1305" s="166"/>
      <c r="T1305" s="166"/>
      <c r="U1305" s="166"/>
      <c r="V1305" s="166"/>
      <c r="W1305" s="1217"/>
      <c r="X1305" s="1217"/>
      <c r="Y1305" s="1217"/>
    </row>
    <row r="1306" spans="1:26" s="158" customFormat="1" ht="34.5" customHeight="1">
      <c r="A1306" s="129"/>
      <c r="B1306" s="778" t="s">
        <v>42</v>
      </c>
      <c r="C1306" s="754">
        <f>CEILING(60*$Z$1,0.1)</f>
        <v>75</v>
      </c>
      <c r="D1306" s="755"/>
      <c r="E1306" s="744"/>
      <c r="F1306" s="744"/>
      <c r="G1306" s="1205"/>
      <c r="H1306" s="1205"/>
      <c r="I1306" s="239"/>
      <c r="J1306" s="239"/>
      <c r="K1306" s="239"/>
      <c r="L1306" s="239"/>
      <c r="M1306" s="737"/>
      <c r="N1306" s="737"/>
      <c r="O1306" s="114"/>
      <c r="Q1306" s="737"/>
      <c r="R1306" s="737"/>
      <c r="T1306" s="1217"/>
      <c r="U1306" s="1217"/>
      <c r="V1306" s="1217"/>
      <c r="W1306" s="1217"/>
      <c r="X1306" s="1217"/>
      <c r="Y1306" s="1217"/>
      <c r="Z1306" s="1217"/>
    </row>
    <row r="1307" spans="1:26" s="107" customFormat="1" ht="34.5" customHeight="1">
      <c r="A1307" s="779" t="s">
        <v>892</v>
      </c>
      <c r="B1307" s="535" t="s">
        <v>43</v>
      </c>
      <c r="C1307" s="747">
        <f>CEILING((C1306+30*$Z$1),0.1)</f>
        <v>112.5</v>
      </c>
      <c r="D1307" s="756"/>
      <c r="E1307" s="744"/>
      <c r="F1307" s="744"/>
      <c r="G1307" s="1205"/>
      <c r="H1307" s="1205"/>
      <c r="I1307" s="239"/>
      <c r="J1307" s="239"/>
      <c r="K1307" s="239"/>
      <c r="L1307" s="239"/>
      <c r="M1307" s="239"/>
      <c r="N1307" s="239"/>
      <c r="O1307" s="115"/>
      <c r="P1307" s="105"/>
      <c r="Q1307" s="148"/>
      <c r="R1307" s="148"/>
      <c r="S1307" s="115"/>
      <c r="T1307" s="1217"/>
      <c r="U1307" s="1217"/>
      <c r="V1307" s="1217"/>
      <c r="W1307" s="1217"/>
      <c r="X1307" s="1217"/>
      <c r="Y1307" s="1217"/>
      <c r="Z1307" s="1217"/>
    </row>
    <row r="1308" spans="1:26" s="107" customFormat="1" ht="34.5" customHeight="1">
      <c r="A1308" s="780" t="s">
        <v>50</v>
      </c>
      <c r="B1308" s="781" t="s">
        <v>70</v>
      </c>
      <c r="C1308" s="747">
        <f>CEILING((C1306*0.95),0.1)</f>
        <v>71.3</v>
      </c>
      <c r="D1308" s="756"/>
      <c r="E1308" s="744"/>
      <c r="F1308" s="744"/>
      <c r="G1308" s="1205"/>
      <c r="H1308" s="1205"/>
      <c r="I1308" s="239"/>
      <c r="J1308" s="239"/>
      <c r="K1308" s="239"/>
      <c r="L1308" s="239"/>
      <c r="M1308" s="239"/>
      <c r="N1308" s="239"/>
      <c r="O1308" s="115"/>
      <c r="P1308" s="105"/>
      <c r="Q1308" s="148"/>
      <c r="R1308" s="148"/>
      <c r="S1308" s="115"/>
      <c r="T1308" s="1217"/>
      <c r="U1308" s="1217"/>
      <c r="V1308" s="1217"/>
      <c r="W1308" s="1217"/>
      <c r="X1308" s="1217"/>
      <c r="Y1308" s="1217"/>
      <c r="Z1308" s="1217"/>
    </row>
    <row r="1309" spans="1:26" s="107" customFormat="1" ht="34.5" customHeight="1">
      <c r="A1309" s="782"/>
      <c r="B1309" s="398" t="s">
        <v>69</v>
      </c>
      <c r="C1309" s="747">
        <f>CEILING((C1306*0.9),0.1)</f>
        <v>67.5</v>
      </c>
      <c r="D1309" s="756"/>
      <c r="E1309" s="744"/>
      <c r="F1309" s="744"/>
      <c r="G1309" s="1205"/>
      <c r="H1309" s="1205"/>
      <c r="I1309" s="239"/>
      <c r="J1309" s="239"/>
      <c r="K1309" s="239"/>
      <c r="L1309" s="239"/>
      <c r="M1309" s="239"/>
      <c r="N1309" s="239"/>
      <c r="O1309" s="115"/>
      <c r="P1309" s="105"/>
      <c r="Q1309" s="148"/>
      <c r="R1309" s="148"/>
      <c r="S1309" s="115"/>
      <c r="T1309" s="1217"/>
      <c r="U1309" s="1217"/>
      <c r="V1309" s="1217"/>
      <c r="W1309" s="1217"/>
      <c r="X1309" s="1217"/>
      <c r="Y1309" s="1217"/>
      <c r="Z1309" s="1217"/>
    </row>
    <row r="1310" spans="1:26" s="107" customFormat="1" ht="34.5" customHeight="1">
      <c r="A1310" s="782"/>
      <c r="B1310" s="398" t="s">
        <v>881</v>
      </c>
      <c r="C1310" s="747">
        <f>CEILING(70*$Z$1,0.1)</f>
        <v>87.5</v>
      </c>
      <c r="D1310" s="756"/>
      <c r="E1310" s="744"/>
      <c r="F1310" s="744"/>
      <c r="G1310" s="1205"/>
      <c r="H1310" s="1205"/>
      <c r="I1310" s="239"/>
      <c r="J1310" s="239"/>
      <c r="K1310" s="123"/>
      <c r="L1310" s="139"/>
      <c r="M1310" s="239"/>
      <c r="N1310" s="239"/>
      <c r="O1310" s="115"/>
      <c r="P1310" s="105"/>
      <c r="Q1310" s="148"/>
      <c r="R1310" s="148"/>
      <c r="S1310" s="115"/>
      <c r="T1310" s="1217"/>
      <c r="U1310" s="1217"/>
      <c r="V1310" s="1217"/>
      <c r="W1310" s="1217"/>
      <c r="X1310" s="1217"/>
      <c r="Y1310" s="1217"/>
      <c r="Z1310" s="1217"/>
    </row>
    <row r="1311" spans="1:26" s="107" customFormat="1" ht="34.5" customHeight="1">
      <c r="A1311" s="783" t="s">
        <v>1030</v>
      </c>
      <c r="B1311" s="784" t="s">
        <v>882</v>
      </c>
      <c r="C1311" s="785">
        <f>CEILING((C1310+30*$Z$1),0.1)</f>
        <v>125</v>
      </c>
      <c r="D1311" s="786"/>
      <c r="E1311" s="744"/>
      <c r="F1311" s="744"/>
      <c r="G1311" s="1205"/>
      <c r="H1311" s="1205"/>
      <c r="I1311" s="239"/>
      <c r="J1311" s="239"/>
      <c r="K1311" s="787"/>
      <c r="L1311" s="787"/>
      <c r="M1311" s="239"/>
      <c r="N1311" s="239"/>
      <c r="O1311" s="115"/>
      <c r="P1311" s="105"/>
      <c r="Q1311" s="148"/>
      <c r="R1311" s="148"/>
      <c r="S1311" s="115"/>
      <c r="T1311" s="1217"/>
      <c r="U1311" s="1217"/>
      <c r="V1311" s="1217"/>
      <c r="W1311" s="1217"/>
      <c r="X1311" s="1217"/>
      <c r="Y1311" s="1217"/>
      <c r="Z1311" s="1217"/>
    </row>
    <row r="1312" spans="1:26" s="155" customFormat="1" ht="34.5" customHeight="1">
      <c r="A1312" s="397" t="s">
        <v>425</v>
      </c>
      <c r="B1312" s="397"/>
      <c r="C1312" s="397"/>
      <c r="D1312" s="397"/>
      <c r="E1312" s="397"/>
      <c r="F1312" s="397"/>
      <c r="G1312" s="397"/>
      <c r="H1312" s="397"/>
      <c r="I1312" s="451"/>
      <c r="J1312" s="530"/>
      <c r="K1312" s="239"/>
      <c r="L1312" s="239"/>
      <c r="M1312" s="148"/>
      <c r="N1312" s="148"/>
      <c r="O1312" s="151"/>
      <c r="P1312" s="151"/>
      <c r="Q1312" s="151"/>
      <c r="R1312" s="148"/>
      <c r="S1312" s="148"/>
      <c r="T1312" s="1217"/>
      <c r="U1312" s="1217"/>
      <c r="V1312" s="1217"/>
      <c r="W1312" s="1217"/>
      <c r="X1312" s="1217"/>
      <c r="Y1312" s="1217"/>
      <c r="Z1312" s="1217"/>
    </row>
    <row r="1313" spans="1:26" s="167" customFormat="1" ht="29.25" customHeight="1">
      <c r="A1313" s="163"/>
      <c r="B1313" s="188"/>
      <c r="C1313" s="163"/>
      <c r="D1313" s="163"/>
      <c r="E1313" s="163"/>
      <c r="F1313" s="163"/>
      <c r="G1313" s="163"/>
      <c r="H1313" s="163"/>
      <c r="I1313" s="189"/>
      <c r="J1313" s="189"/>
      <c r="K1313" s="190"/>
      <c r="L1313" s="190"/>
      <c r="M1313" s="191"/>
      <c r="N1313" s="191"/>
      <c r="O1313" s="166"/>
      <c r="P1313" s="166"/>
      <c r="Q1313" s="166"/>
      <c r="R1313" s="166"/>
      <c r="S1313" s="166"/>
      <c r="T1313" s="1217"/>
      <c r="U1313" s="1217"/>
      <c r="V1313" s="1217"/>
      <c r="W1313" s="1217"/>
      <c r="X1313" s="1217"/>
      <c r="Y1313" s="1217"/>
      <c r="Z1313" s="1217"/>
    </row>
    <row r="1314" spans="1:26" s="140" customFormat="1" ht="34.5" customHeight="1" thickBot="1">
      <c r="A1314" s="285"/>
      <c r="B1314" s="451"/>
      <c r="C1314" s="451"/>
      <c r="D1314" s="451"/>
      <c r="E1314" s="451"/>
      <c r="F1314" s="451"/>
      <c r="G1314" s="451"/>
      <c r="H1314" s="451"/>
      <c r="I1314" s="451"/>
      <c r="J1314" s="451"/>
      <c r="K1314" s="239"/>
      <c r="L1314" s="239"/>
      <c r="M1314" s="239"/>
      <c r="N1314" s="239"/>
      <c r="O1314" s="115"/>
      <c r="P1314" s="115"/>
      <c r="Q1314" s="115"/>
      <c r="R1314" s="115"/>
      <c r="S1314" s="115"/>
      <c r="T1314" s="1217"/>
      <c r="U1314" s="1217"/>
      <c r="V1314" s="1217"/>
      <c r="W1314" s="1217"/>
      <c r="X1314" s="1217"/>
      <c r="Y1314" s="1217"/>
      <c r="Z1314" s="1217"/>
    </row>
    <row r="1315" spans="1:42" s="214" customFormat="1" ht="34.5" customHeight="1" thickTop="1">
      <c r="A1315" s="207" t="s">
        <v>34</v>
      </c>
      <c r="B1315" s="208" t="s">
        <v>91</v>
      </c>
      <c r="C1315" s="209" t="s">
        <v>921</v>
      </c>
      <c r="D1315" s="210"/>
      <c r="E1315" s="211" t="s">
        <v>922</v>
      </c>
      <c r="F1315" s="212"/>
      <c r="G1315" s="211" t="s">
        <v>923</v>
      </c>
      <c r="H1315" s="212"/>
      <c r="I1315" s="1070"/>
      <c r="J1315" s="1071"/>
      <c r="K1315" s="1070"/>
      <c r="L1315" s="1070"/>
      <c r="M1315" s="174"/>
      <c r="N1315" s="174"/>
      <c r="O1315" s="213"/>
      <c r="P1315" s="213"/>
      <c r="Q1315" s="213"/>
      <c r="R1315" s="213"/>
      <c r="S1315" s="213"/>
      <c r="T1315" s="1217"/>
      <c r="U1315" s="1217"/>
      <c r="V1315" s="1217"/>
      <c r="W1315" s="1217"/>
      <c r="X1315" s="1217"/>
      <c r="Y1315" s="1217"/>
      <c r="Z1315" s="1217"/>
      <c r="AA1315" s="213"/>
      <c r="AB1315" s="213"/>
      <c r="AC1315" s="213"/>
      <c r="AD1315" s="213"/>
      <c r="AE1315" s="213"/>
      <c r="AF1315" s="213"/>
      <c r="AG1315" s="213"/>
      <c r="AH1315" s="213"/>
      <c r="AI1315" s="213"/>
      <c r="AJ1315" s="213"/>
      <c r="AK1315" s="213"/>
      <c r="AL1315" s="213"/>
      <c r="AM1315" s="213"/>
      <c r="AN1315" s="213"/>
      <c r="AO1315" s="213"/>
      <c r="AP1315" s="213"/>
    </row>
    <row r="1316" spans="1:26" s="107" customFormat="1" ht="34.5" customHeight="1">
      <c r="A1316" s="293" t="s">
        <v>454</v>
      </c>
      <c r="B1316" s="466" t="s">
        <v>42</v>
      </c>
      <c r="C1316" s="747">
        <f>CEILING(60*$Z$1,0.1)</f>
        <v>75</v>
      </c>
      <c r="D1316" s="756"/>
      <c r="E1316" s="747">
        <f>CEILING(65*$Z$1,0.1)</f>
        <v>81.30000000000001</v>
      </c>
      <c r="F1316" s="756"/>
      <c r="G1316" s="747">
        <f>CEILING(60*$Z$1,0.1)</f>
        <v>75</v>
      </c>
      <c r="H1316" s="756"/>
      <c r="I1316" s="744"/>
      <c r="J1316" s="744"/>
      <c r="K1316" s="744"/>
      <c r="L1316" s="744"/>
      <c r="M1316" s="744"/>
      <c r="N1316" s="744"/>
      <c r="O1316" s="115"/>
      <c r="P1316" s="105"/>
      <c r="Q1316" s="105"/>
      <c r="R1316" s="115"/>
      <c r="S1316" s="115"/>
      <c r="T1316" s="1217"/>
      <c r="U1316" s="1217"/>
      <c r="V1316" s="1217"/>
      <c r="W1316" s="1217"/>
      <c r="X1316" s="1217"/>
      <c r="Y1316" s="1217"/>
      <c r="Z1316" s="1217"/>
    </row>
    <row r="1317" spans="1:26" s="107" customFormat="1" ht="34.5" customHeight="1">
      <c r="A1317" s="295" t="s">
        <v>50</v>
      </c>
      <c r="B1317" s="398" t="s">
        <v>43</v>
      </c>
      <c r="C1317" s="747">
        <f>CEILING((C1316+30*$Z$1),0.1)</f>
        <v>112.5</v>
      </c>
      <c r="D1317" s="756"/>
      <c r="E1317" s="747">
        <f>CEILING((E1316+30*$Z$1),0.1)</f>
        <v>118.80000000000001</v>
      </c>
      <c r="F1317" s="756"/>
      <c r="G1317" s="747">
        <f>CEILING((G1316+30*$Z$1),0.1)</f>
        <v>112.5</v>
      </c>
      <c r="H1317" s="756"/>
      <c r="I1317" s="744"/>
      <c r="J1317" s="744"/>
      <c r="K1317" s="744"/>
      <c r="L1317" s="744"/>
      <c r="M1317" s="744"/>
      <c r="N1317" s="744"/>
      <c r="O1317" s="115"/>
      <c r="P1317" s="105"/>
      <c r="Q1317" s="105"/>
      <c r="R1317" s="115"/>
      <c r="S1317" s="115"/>
      <c r="T1317" s="1217"/>
      <c r="U1317" s="1217"/>
      <c r="V1317" s="1217"/>
      <c r="W1317" s="1217"/>
      <c r="X1317" s="1217"/>
      <c r="Y1317" s="1217"/>
      <c r="Z1317" s="1217"/>
    </row>
    <row r="1318" spans="1:26" s="107" customFormat="1" ht="34.5" customHeight="1">
      <c r="A1318" s="788"/>
      <c r="B1318" s="781" t="s">
        <v>70</v>
      </c>
      <c r="C1318" s="747">
        <f>CEILING((C1316*0.85),0.1)</f>
        <v>63.800000000000004</v>
      </c>
      <c r="D1318" s="756"/>
      <c r="E1318" s="747">
        <f>CEILING((E1316*0.85),0.1)</f>
        <v>69.2</v>
      </c>
      <c r="F1318" s="756"/>
      <c r="G1318" s="747">
        <f>CEILING((G1316*0.85),0.1)</f>
        <v>63.800000000000004</v>
      </c>
      <c r="H1318" s="756"/>
      <c r="I1318" s="744"/>
      <c r="J1318" s="744"/>
      <c r="K1318" s="744"/>
      <c r="L1318" s="744"/>
      <c r="M1318" s="744"/>
      <c r="N1318" s="744"/>
      <c r="O1318" s="115"/>
      <c r="P1318" s="105"/>
      <c r="Q1318" s="105"/>
      <c r="R1318" s="115"/>
      <c r="S1318" s="115"/>
      <c r="T1318" s="1217"/>
      <c r="U1318" s="1217"/>
      <c r="V1318" s="1217"/>
      <c r="W1318" s="1217"/>
      <c r="X1318" s="1217"/>
      <c r="Y1318" s="1217"/>
      <c r="Z1318" s="1217"/>
    </row>
    <row r="1319" spans="1:26" s="107" customFormat="1" ht="34.5" customHeight="1">
      <c r="A1319" s="163"/>
      <c r="B1319" s="398" t="s">
        <v>62</v>
      </c>
      <c r="C1319" s="747">
        <f>CEILING((C1316*0.5),0.1)</f>
        <v>37.5</v>
      </c>
      <c r="D1319" s="756"/>
      <c r="E1319" s="747">
        <f>CEILING((E1316*0.5),0.1)</f>
        <v>40.7</v>
      </c>
      <c r="F1319" s="756"/>
      <c r="G1319" s="747">
        <f>CEILING((G1316*0.5),0.1)</f>
        <v>37.5</v>
      </c>
      <c r="H1319" s="756"/>
      <c r="I1319" s="744"/>
      <c r="J1319" s="744"/>
      <c r="K1319" s="744"/>
      <c r="L1319" s="744"/>
      <c r="M1319" s="744"/>
      <c r="N1319" s="744"/>
      <c r="O1319" s="115"/>
      <c r="P1319" s="105"/>
      <c r="Q1319" s="105"/>
      <c r="R1319" s="115"/>
      <c r="S1319" s="115"/>
      <c r="T1319" s="1217"/>
      <c r="U1319" s="1217"/>
      <c r="V1319" s="1217"/>
      <c r="W1319" s="1217"/>
      <c r="X1319" s="1217"/>
      <c r="Y1319" s="1217"/>
      <c r="Z1319" s="1217"/>
    </row>
    <row r="1320" spans="1:26" s="107" customFormat="1" ht="34.5" customHeight="1">
      <c r="A1320" s="134"/>
      <c r="B1320" s="398" t="s">
        <v>5</v>
      </c>
      <c r="C1320" s="747">
        <f>CEILING(67*$Z$1,0.1)</f>
        <v>83.80000000000001</v>
      </c>
      <c r="D1320" s="756"/>
      <c r="E1320" s="747">
        <f>CEILING(72*$Z$1,0.1)</f>
        <v>90</v>
      </c>
      <c r="F1320" s="756"/>
      <c r="G1320" s="747">
        <f>CEILING(67*$Z$1,0.1)</f>
        <v>83.80000000000001</v>
      </c>
      <c r="H1320" s="756"/>
      <c r="I1320" s="744"/>
      <c r="J1320" s="744"/>
      <c r="K1320" s="744"/>
      <c r="L1320" s="744"/>
      <c r="M1320" s="744"/>
      <c r="N1320" s="744"/>
      <c r="O1320" s="115"/>
      <c r="P1320" s="105"/>
      <c r="Q1320" s="105"/>
      <c r="R1320" s="115"/>
      <c r="S1320" s="115"/>
      <c r="T1320" s="1217"/>
      <c r="U1320" s="1217"/>
      <c r="V1320" s="1217"/>
      <c r="W1320" s="1217"/>
      <c r="X1320" s="1217"/>
      <c r="Y1320" s="1217"/>
      <c r="Z1320" s="1217"/>
    </row>
    <row r="1321" spans="1:26" s="107" customFormat="1" ht="34.5" customHeight="1">
      <c r="A1321" s="295"/>
      <c r="B1321" s="398" t="s">
        <v>6</v>
      </c>
      <c r="C1321" s="747">
        <f>CEILING((C1320+30*$Z$1),0.1)</f>
        <v>121.30000000000001</v>
      </c>
      <c r="D1321" s="756"/>
      <c r="E1321" s="747">
        <f>CEILING((E1320+30*$Z$1),0.1)</f>
        <v>127.5</v>
      </c>
      <c r="F1321" s="756"/>
      <c r="G1321" s="747">
        <f>CEILING((G1320+30*$Z$1),0.1)</f>
        <v>121.30000000000001</v>
      </c>
      <c r="H1321" s="756"/>
      <c r="I1321" s="744"/>
      <c r="J1321" s="744"/>
      <c r="K1321" s="744"/>
      <c r="L1321" s="744"/>
      <c r="M1321" s="744"/>
      <c r="N1321" s="744"/>
      <c r="O1321" s="115"/>
      <c r="P1321" s="105"/>
      <c r="Q1321" s="105"/>
      <c r="R1321" s="148"/>
      <c r="S1321" s="148"/>
      <c r="T1321" s="1217"/>
      <c r="U1321" s="1217"/>
      <c r="V1321" s="1217"/>
      <c r="W1321" s="1217"/>
      <c r="X1321" s="1217"/>
      <c r="Y1321" s="1217"/>
      <c r="Z1321" s="1217"/>
    </row>
    <row r="1322" spans="1:26" s="107" customFormat="1" ht="34.5" customHeight="1">
      <c r="A1322" s="788"/>
      <c r="B1322" s="398" t="s">
        <v>162</v>
      </c>
      <c r="C1322" s="747">
        <f>CEILING(75*$Z$1,0.1)</f>
        <v>93.80000000000001</v>
      </c>
      <c r="D1322" s="756"/>
      <c r="E1322" s="747">
        <f>CEILING(80*$Z$1,0.1)</f>
        <v>100</v>
      </c>
      <c r="F1322" s="756"/>
      <c r="G1322" s="747">
        <f>CEILING(75*$Z$1,0.1)</f>
        <v>93.80000000000001</v>
      </c>
      <c r="H1322" s="756"/>
      <c r="I1322" s="744"/>
      <c r="J1322" s="744"/>
      <c r="K1322" s="744"/>
      <c r="L1322" s="744"/>
      <c r="M1322" s="744"/>
      <c r="N1322" s="744"/>
      <c r="O1322" s="115"/>
      <c r="P1322" s="105"/>
      <c r="Q1322" s="105"/>
      <c r="R1322" s="1216"/>
      <c r="S1322" s="1216"/>
      <c r="T1322" s="1217"/>
      <c r="U1322" s="1217"/>
      <c r="V1322" s="1217"/>
      <c r="W1322" s="1217"/>
      <c r="X1322" s="1217"/>
      <c r="Y1322" s="1217"/>
      <c r="Z1322" s="1217"/>
    </row>
    <row r="1323" spans="1:26" s="107" customFormat="1" ht="34.5" customHeight="1" thickBot="1">
      <c r="A1323" s="789" t="s">
        <v>883</v>
      </c>
      <c r="B1323" s="469" t="s">
        <v>163</v>
      </c>
      <c r="C1323" s="758">
        <f>CEILING((C1322+40*$Z$1),0.1)</f>
        <v>143.8</v>
      </c>
      <c r="D1323" s="759"/>
      <c r="E1323" s="758">
        <f>CEILING((E1322+40*$Z$1),0.1)</f>
        <v>150</v>
      </c>
      <c r="F1323" s="759"/>
      <c r="G1323" s="758">
        <f>CEILING((G1322+40*$Z$1),0.1)</f>
        <v>143.8</v>
      </c>
      <c r="H1323" s="759"/>
      <c r="I1323" s="744"/>
      <c r="J1323" s="744"/>
      <c r="K1323" s="744"/>
      <c r="L1323" s="744"/>
      <c r="M1323" s="744"/>
      <c r="N1323" s="744"/>
      <c r="O1323" s="115"/>
      <c r="P1323" s="105"/>
      <c r="Q1323" s="105"/>
      <c r="R1323" s="740"/>
      <c r="S1323" s="740"/>
      <c r="T1323" s="1217"/>
      <c r="U1323" s="1217"/>
      <c r="V1323" s="1217"/>
      <c r="W1323" s="1217"/>
      <c r="X1323" s="1217"/>
      <c r="Y1323" s="1217"/>
      <c r="Z1323" s="1217"/>
    </row>
    <row r="1324" spans="1:26" s="107" customFormat="1" ht="34.5" customHeight="1" thickTop="1">
      <c r="A1324" s="447" t="s">
        <v>884</v>
      </c>
      <c r="B1324" s="103"/>
      <c r="C1324" s="148"/>
      <c r="D1324" s="148"/>
      <c r="E1324" s="148"/>
      <c r="F1324" s="148"/>
      <c r="G1324" s="148"/>
      <c r="H1324" s="148"/>
      <c r="I1324" s="148"/>
      <c r="J1324" s="148"/>
      <c r="K1324" s="148"/>
      <c r="L1324" s="148"/>
      <c r="M1324" s="148"/>
      <c r="N1324" s="148"/>
      <c r="O1324" s="105"/>
      <c r="P1324" s="105"/>
      <c r="Q1324" s="105"/>
      <c r="R1324" s="148"/>
      <c r="S1324" s="148"/>
      <c r="T1324" s="1217"/>
      <c r="U1324" s="1217"/>
      <c r="V1324" s="1217"/>
      <c r="W1324" s="1217"/>
      <c r="X1324" s="1217"/>
      <c r="Y1324" s="1217"/>
      <c r="Z1324" s="1217"/>
    </row>
    <row r="1325" spans="1:26" s="167" customFormat="1" ht="29.25" customHeight="1">
      <c r="A1325" s="163"/>
      <c r="B1325" s="188"/>
      <c r="C1325" s="163"/>
      <c r="D1325" s="163"/>
      <c r="E1325" s="163"/>
      <c r="F1325" s="163"/>
      <c r="G1325" s="163"/>
      <c r="H1325" s="163"/>
      <c r="I1325" s="189"/>
      <c r="J1325" s="189"/>
      <c r="K1325" s="190"/>
      <c r="L1325" s="190"/>
      <c r="M1325" s="191"/>
      <c r="N1325" s="191"/>
      <c r="O1325" s="166"/>
      <c r="P1325" s="166"/>
      <c r="Q1325" s="166"/>
      <c r="R1325" s="166"/>
      <c r="S1325" s="166"/>
      <c r="T1325" s="1217"/>
      <c r="U1325" s="1217"/>
      <c r="V1325" s="1217"/>
      <c r="W1325" s="1217"/>
      <c r="X1325" s="1217"/>
      <c r="Y1325" s="1217"/>
      <c r="Z1325" s="1217"/>
    </row>
    <row r="1326" spans="1:26" s="107" customFormat="1" ht="34.5" customHeight="1" thickBot="1">
      <c r="A1326" s="613"/>
      <c r="B1326" s="613"/>
      <c r="C1326" s="397"/>
      <c r="D1326" s="397"/>
      <c r="E1326" s="397"/>
      <c r="F1326" s="397"/>
      <c r="G1326" s="397"/>
      <c r="H1326" s="397"/>
      <c r="I1326" s="397"/>
      <c r="J1326" s="397"/>
      <c r="K1326" s="148"/>
      <c r="L1326" s="148"/>
      <c r="M1326" s="148"/>
      <c r="N1326" s="148"/>
      <c r="O1326" s="105"/>
      <c r="P1326" s="105"/>
      <c r="Q1326" s="105"/>
      <c r="R1326" s="148"/>
      <c r="S1326" s="148"/>
      <c r="T1326" s="1217"/>
      <c r="U1326" s="1217"/>
      <c r="V1326" s="1217"/>
      <c r="W1326" s="1217"/>
      <c r="X1326" s="1217"/>
      <c r="Y1326" s="1217"/>
      <c r="Z1326" s="1217"/>
    </row>
    <row r="1327" spans="1:42" s="214" customFormat="1" ht="34.5" customHeight="1" thickTop="1">
      <c r="A1327" s="207" t="s">
        <v>34</v>
      </c>
      <c r="B1327" s="208" t="s">
        <v>91</v>
      </c>
      <c r="C1327" s="209" t="s">
        <v>921</v>
      </c>
      <c r="D1327" s="210"/>
      <c r="E1327" s="211" t="s">
        <v>922</v>
      </c>
      <c r="F1327" s="212"/>
      <c r="G1327" s="211" t="s">
        <v>996</v>
      </c>
      <c r="H1327" s="212"/>
      <c r="I1327" s="1070"/>
      <c r="J1327" s="1071"/>
      <c r="K1327" s="1070"/>
      <c r="L1327" s="1070"/>
      <c r="M1327" s="174"/>
      <c r="N1327" s="174"/>
      <c r="O1327" s="213"/>
      <c r="P1327" s="213"/>
      <c r="Q1327" s="213"/>
      <c r="R1327" s="213"/>
      <c r="S1327" s="213"/>
      <c r="T1327" s="1217"/>
      <c r="U1327" s="1217"/>
      <c r="V1327" s="1217"/>
      <c r="W1327" s="1217"/>
      <c r="X1327" s="1217"/>
      <c r="Y1327" s="1217"/>
      <c r="Z1327" s="1217"/>
      <c r="AA1327" s="213"/>
      <c r="AB1327" s="213"/>
      <c r="AC1327" s="213"/>
      <c r="AD1327" s="213"/>
      <c r="AE1327" s="213"/>
      <c r="AF1327" s="213"/>
      <c r="AG1327" s="213"/>
      <c r="AH1327" s="213"/>
      <c r="AI1327" s="213"/>
      <c r="AJ1327" s="213"/>
      <c r="AK1327" s="213"/>
      <c r="AL1327" s="213"/>
      <c r="AM1327" s="213"/>
      <c r="AN1327" s="213"/>
      <c r="AO1327" s="213"/>
      <c r="AP1327" s="213"/>
    </row>
    <row r="1328" spans="1:26" s="107" customFormat="1" ht="34.5" customHeight="1">
      <c r="A1328" s="263" t="s">
        <v>124</v>
      </c>
      <c r="B1328" s="264" t="s">
        <v>42</v>
      </c>
      <c r="C1328" s="746">
        <f>CEILING(56*$Z$1,0.1)</f>
        <v>70</v>
      </c>
      <c r="D1328" s="768"/>
      <c r="E1328" s="746">
        <f>CEILING(56*$Z$1,0.1)</f>
        <v>70</v>
      </c>
      <c r="F1328" s="768"/>
      <c r="G1328" s="746">
        <f>CEILING(56*$Z$1,0.1)</f>
        <v>70</v>
      </c>
      <c r="H1328" s="768"/>
      <c r="I1328" s="744"/>
      <c r="J1328" s="744"/>
      <c r="K1328" s="744"/>
      <c r="L1328" s="744"/>
      <c r="M1328" s="105"/>
      <c r="N1328" s="105"/>
      <c r="O1328" s="105"/>
      <c r="P1328" s="105"/>
      <c r="Q1328" s="105"/>
      <c r="R1328" s="148"/>
      <c r="S1328" s="148"/>
      <c r="T1328" s="1217"/>
      <c r="U1328" s="1217"/>
      <c r="V1328" s="1217"/>
      <c r="W1328" s="1217"/>
      <c r="X1328" s="1217"/>
      <c r="Y1328" s="1217"/>
      <c r="Z1328" s="1217"/>
    </row>
    <row r="1329" spans="1:26" s="107" customFormat="1" ht="34.5" customHeight="1">
      <c r="A1329" s="265" t="s">
        <v>36</v>
      </c>
      <c r="B1329" s="241" t="s">
        <v>43</v>
      </c>
      <c r="C1329" s="746">
        <f>CEILING((C1328+28*$Z$1),0.1)</f>
        <v>105</v>
      </c>
      <c r="D1329" s="768"/>
      <c r="E1329" s="746">
        <f>CEILING((E1328+28*$Z$1),0.1)</f>
        <v>105</v>
      </c>
      <c r="F1329" s="768"/>
      <c r="G1329" s="746">
        <f>CEILING((G1328+19*$Z$1),0.1)</f>
        <v>93.80000000000001</v>
      </c>
      <c r="H1329" s="768"/>
      <c r="I1329" s="744"/>
      <c r="J1329" s="744"/>
      <c r="K1329" s="744"/>
      <c r="L1329" s="744"/>
      <c r="M1329" s="105"/>
      <c r="N1329" s="105"/>
      <c r="O1329" s="105"/>
      <c r="P1329" s="105"/>
      <c r="Q1329" s="105"/>
      <c r="R1329" s="148"/>
      <c r="S1329" s="148"/>
      <c r="T1329" s="1217"/>
      <c r="U1329" s="1217"/>
      <c r="V1329" s="1217"/>
      <c r="W1329" s="1217"/>
      <c r="X1329" s="1217"/>
      <c r="Y1329" s="1217"/>
      <c r="Z1329" s="1217"/>
    </row>
    <row r="1330" spans="1:26" s="107" customFormat="1" ht="34.5" customHeight="1">
      <c r="A1330" s="143" t="s">
        <v>1112</v>
      </c>
      <c r="B1330" s="379" t="s">
        <v>70</v>
      </c>
      <c r="C1330" s="746">
        <f>CEILING((C1328*0.85),0.1)</f>
        <v>59.5</v>
      </c>
      <c r="D1330" s="768"/>
      <c r="E1330" s="746">
        <f>CEILING((E1328*0.85),0.1)</f>
        <v>59.5</v>
      </c>
      <c r="F1330" s="768"/>
      <c r="G1330" s="746">
        <f>CEILING((G1328*0.85),0.1)</f>
        <v>59.5</v>
      </c>
      <c r="H1330" s="768"/>
      <c r="I1330" s="744"/>
      <c r="J1330" s="744"/>
      <c r="K1330" s="744"/>
      <c r="L1330" s="744"/>
      <c r="M1330" s="115"/>
      <c r="N1330" s="105"/>
      <c r="O1330" s="105"/>
      <c r="P1330" s="105"/>
      <c r="Q1330" s="105"/>
      <c r="R1330" s="105"/>
      <c r="S1330" s="105"/>
      <c r="T1330" s="1217"/>
      <c r="U1330" s="1217"/>
      <c r="V1330" s="1217"/>
      <c r="W1330" s="1217"/>
      <c r="X1330" s="1217"/>
      <c r="Y1330" s="1217"/>
      <c r="Z1330" s="1217"/>
    </row>
    <row r="1331" spans="1:26" s="107" customFormat="1" ht="34.5" customHeight="1" thickBot="1">
      <c r="A1331" s="715" t="s">
        <v>309</v>
      </c>
      <c r="B1331" s="243" t="s">
        <v>62</v>
      </c>
      <c r="C1331" s="746">
        <f>CEILING((C1328*0.5),0.1)</f>
        <v>35</v>
      </c>
      <c r="D1331" s="768"/>
      <c r="E1331" s="746">
        <f>CEILING((E1328*0.5),0.1)</f>
        <v>35</v>
      </c>
      <c r="F1331" s="768"/>
      <c r="G1331" s="790">
        <f>CEILING((G1328*0),0.1)</f>
        <v>0</v>
      </c>
      <c r="H1331" s="791"/>
      <c r="I1331" s="744"/>
      <c r="J1331" s="744"/>
      <c r="K1331" s="744"/>
      <c r="L1331" s="744"/>
      <c r="M1331" s="115"/>
      <c r="N1331" s="105"/>
      <c r="O1331" s="105"/>
      <c r="P1331" s="105"/>
      <c r="Q1331" s="105"/>
      <c r="R1331" s="1216"/>
      <c r="S1331" s="1216"/>
      <c r="T1331" s="1217"/>
      <c r="U1331" s="1217"/>
      <c r="V1331" s="1217"/>
      <c r="W1331" s="1217"/>
      <c r="X1331" s="1217"/>
      <c r="Y1331" s="1217"/>
      <c r="Z1331" s="1217"/>
    </row>
    <row r="1332" spans="1:26" s="107" customFormat="1" ht="34.5" customHeight="1" thickTop="1">
      <c r="A1332" s="397" t="s">
        <v>1031</v>
      </c>
      <c r="B1332" s="792"/>
      <c r="C1332" s="792"/>
      <c r="D1332" s="792"/>
      <c r="E1332" s="792"/>
      <c r="F1332" s="792"/>
      <c r="G1332" s="792"/>
      <c r="H1332" s="792"/>
      <c r="I1332" s="793"/>
      <c r="J1332" s="794"/>
      <c r="K1332" s="795"/>
      <c r="L1332" s="795"/>
      <c r="M1332" s="105"/>
      <c r="N1332" s="105"/>
      <c r="O1332" s="105"/>
      <c r="P1332" s="105"/>
      <c r="Q1332" s="105"/>
      <c r="R1332" s="740"/>
      <c r="S1332" s="740"/>
      <c r="T1332" s="1217"/>
      <c r="U1332" s="1217"/>
      <c r="V1332" s="1217"/>
      <c r="W1332" s="1217"/>
      <c r="X1332" s="1217"/>
      <c r="Y1332" s="1217"/>
      <c r="Z1332" s="1217"/>
    </row>
    <row r="1333" spans="1:37" s="107" customFormat="1" ht="34.5" customHeight="1">
      <c r="A1333" s="285" t="s">
        <v>1108</v>
      </c>
      <c r="B1333" s="162"/>
      <c r="C1333" s="162"/>
      <c r="D1333" s="162"/>
      <c r="E1333" s="162"/>
      <c r="F1333" s="162"/>
      <c r="G1333" s="162"/>
      <c r="H1333" s="162"/>
      <c r="I1333" s="162"/>
      <c r="J1333" s="162"/>
      <c r="K1333" s="108"/>
      <c r="L1333" s="108"/>
      <c r="M1333" s="148"/>
      <c r="N1333" s="148"/>
      <c r="O1333" s="114"/>
      <c r="P1333" s="114"/>
      <c r="Q1333" s="114"/>
      <c r="R1333" s="114"/>
      <c r="S1333" s="114"/>
      <c r="T1333" s="1217"/>
      <c r="U1333" s="1217"/>
      <c r="V1333" s="1217"/>
      <c r="W1333" s="1217"/>
      <c r="X1333" s="1217"/>
      <c r="Y1333" s="1217"/>
      <c r="Z1333" s="1217"/>
      <c r="AA1333" s="158"/>
      <c r="AB1333" s="158"/>
      <c r="AC1333" s="158"/>
      <c r="AD1333" s="158"/>
      <c r="AE1333" s="158"/>
      <c r="AF1333" s="158"/>
      <c r="AG1333" s="158"/>
      <c r="AH1333" s="158"/>
      <c r="AI1333" s="158"/>
      <c r="AJ1333" s="158"/>
      <c r="AK1333" s="158"/>
    </row>
    <row r="1334" spans="1:37" s="369" customFormat="1" ht="34.5" customHeight="1">
      <c r="A1334" s="1001" t="s">
        <v>1109</v>
      </c>
      <c r="B1334" s="1001"/>
      <c r="C1334" s="1041"/>
      <c r="D1334" s="1041"/>
      <c r="E1334" s="1041"/>
      <c r="F1334" s="1041"/>
      <c r="G1334" s="1041"/>
      <c r="H1334" s="1041"/>
      <c r="I1334" s="1041"/>
      <c r="J1334" s="1041"/>
      <c r="K1334" s="581"/>
      <c r="L1334" s="581"/>
      <c r="M1334" s="582"/>
      <c r="N1334" s="582"/>
      <c r="O1334" s="1053"/>
      <c r="P1334" s="1053"/>
      <c r="Q1334" s="1053"/>
      <c r="R1334" s="1053"/>
      <c r="S1334" s="1053"/>
      <c r="T1334" s="1217"/>
      <c r="U1334" s="1217"/>
      <c r="V1334" s="1217"/>
      <c r="W1334" s="1217"/>
      <c r="X1334" s="1217"/>
      <c r="Y1334" s="1217"/>
      <c r="Z1334" s="1217"/>
      <c r="AA1334" s="368"/>
      <c r="AB1334" s="368"/>
      <c r="AC1334" s="368"/>
      <c r="AD1334" s="368"/>
      <c r="AE1334" s="368"/>
      <c r="AF1334" s="368"/>
      <c r="AG1334" s="368"/>
      <c r="AH1334" s="368"/>
      <c r="AI1334" s="368"/>
      <c r="AJ1334" s="368"/>
      <c r="AK1334" s="368"/>
    </row>
    <row r="1335" spans="1:37" s="107" customFormat="1" ht="34.5" customHeight="1">
      <c r="A1335" s="1054" t="s">
        <v>1110</v>
      </c>
      <c r="B1335" s="997"/>
      <c r="C1335" s="1039"/>
      <c r="D1335" s="1039"/>
      <c r="E1335" s="1039"/>
      <c r="F1335" s="1039"/>
      <c r="G1335" s="1039"/>
      <c r="H1335" s="1039"/>
      <c r="I1335" s="1039"/>
      <c r="J1335" s="1039"/>
      <c r="K1335" s="108"/>
      <c r="L1335" s="108"/>
      <c r="M1335" s="1038"/>
      <c r="N1335" s="1038"/>
      <c r="O1335" s="114"/>
      <c r="P1335" s="114"/>
      <c r="Q1335" s="114"/>
      <c r="R1335" s="114"/>
      <c r="S1335" s="114"/>
      <c r="T1335" s="1217"/>
      <c r="U1335" s="1217"/>
      <c r="V1335" s="1217"/>
      <c r="W1335" s="1217"/>
      <c r="X1335" s="1217"/>
      <c r="Y1335" s="1217"/>
      <c r="Z1335" s="1217"/>
      <c r="AA1335" s="158"/>
      <c r="AB1335" s="158"/>
      <c r="AC1335" s="158"/>
      <c r="AD1335" s="158"/>
      <c r="AE1335" s="158"/>
      <c r="AF1335" s="158"/>
      <c r="AG1335" s="158"/>
      <c r="AH1335" s="158"/>
      <c r="AI1335" s="158"/>
      <c r="AJ1335" s="158"/>
      <c r="AK1335" s="158"/>
    </row>
    <row r="1336" spans="1:37" s="107" customFormat="1" ht="34.5" customHeight="1">
      <c r="A1336" s="1054" t="s">
        <v>1111</v>
      </c>
      <c r="B1336" s="997"/>
      <c r="C1336" s="1039"/>
      <c r="D1336" s="1039"/>
      <c r="E1336" s="1039"/>
      <c r="F1336" s="1039"/>
      <c r="G1336" s="1039"/>
      <c r="H1336" s="1039"/>
      <c r="I1336" s="1039"/>
      <c r="J1336" s="1039"/>
      <c r="K1336" s="108"/>
      <c r="L1336" s="108"/>
      <c r="M1336" s="1038"/>
      <c r="N1336" s="1038"/>
      <c r="O1336" s="114"/>
      <c r="P1336" s="114"/>
      <c r="Q1336" s="114"/>
      <c r="R1336" s="114"/>
      <c r="S1336" s="114"/>
      <c r="T1336" s="1217"/>
      <c r="U1336" s="1217"/>
      <c r="V1336" s="1217"/>
      <c r="W1336" s="1217"/>
      <c r="X1336" s="1217"/>
      <c r="Y1336" s="1217"/>
      <c r="Z1336" s="1217"/>
      <c r="AA1336" s="158"/>
      <c r="AB1336" s="158"/>
      <c r="AC1336" s="158"/>
      <c r="AD1336" s="158"/>
      <c r="AE1336" s="158"/>
      <c r="AF1336" s="158"/>
      <c r="AG1336" s="158"/>
      <c r="AH1336" s="158"/>
      <c r="AI1336" s="158"/>
      <c r="AJ1336" s="158"/>
      <c r="AK1336" s="158"/>
    </row>
    <row r="1337" spans="1:37" s="107" customFormat="1" ht="34.5" customHeight="1">
      <c r="A1337" s="1054"/>
      <c r="B1337" s="997"/>
      <c r="C1337" s="1039"/>
      <c r="D1337" s="1039"/>
      <c r="E1337" s="1039"/>
      <c r="F1337" s="1039"/>
      <c r="G1337" s="1039"/>
      <c r="H1337" s="1039"/>
      <c r="I1337" s="1039"/>
      <c r="J1337" s="1039"/>
      <c r="K1337" s="108"/>
      <c r="L1337" s="108"/>
      <c r="M1337" s="1038"/>
      <c r="N1337" s="1038"/>
      <c r="O1337" s="114"/>
      <c r="P1337" s="114"/>
      <c r="Q1337" s="114"/>
      <c r="R1337" s="114"/>
      <c r="S1337" s="114"/>
      <c r="T1337" s="1217"/>
      <c r="U1337" s="1217"/>
      <c r="V1337" s="1217"/>
      <c r="W1337" s="1217"/>
      <c r="X1337" s="1217"/>
      <c r="Y1337" s="1217"/>
      <c r="Z1337" s="1217"/>
      <c r="AA1337" s="158"/>
      <c r="AB1337" s="158"/>
      <c r="AC1337" s="158"/>
      <c r="AD1337" s="158"/>
      <c r="AE1337" s="158"/>
      <c r="AF1337" s="158"/>
      <c r="AG1337" s="158"/>
      <c r="AH1337" s="158"/>
      <c r="AI1337" s="158"/>
      <c r="AJ1337" s="158"/>
      <c r="AK1337" s="158"/>
    </row>
    <row r="1338" spans="1:37" s="107" customFormat="1" ht="34.5" customHeight="1">
      <c r="A1338" s="285"/>
      <c r="B1338" s="1039"/>
      <c r="C1338" s="1039"/>
      <c r="D1338" s="1039"/>
      <c r="E1338" s="1039"/>
      <c r="F1338" s="1039"/>
      <c r="G1338" s="1039"/>
      <c r="H1338" s="1039"/>
      <c r="I1338" s="1039"/>
      <c r="J1338" s="1039"/>
      <c r="K1338" s="108"/>
      <c r="L1338" s="108"/>
      <c r="M1338" s="1038"/>
      <c r="N1338" s="1038"/>
      <c r="O1338" s="114"/>
      <c r="P1338" s="114"/>
      <c r="Q1338" s="114"/>
      <c r="R1338" s="114"/>
      <c r="S1338" s="114"/>
      <c r="T1338" s="1217"/>
      <c r="U1338" s="1217"/>
      <c r="V1338" s="1217"/>
      <c r="W1338" s="1217"/>
      <c r="X1338" s="1217"/>
      <c r="Y1338" s="1217"/>
      <c r="Z1338" s="1217"/>
      <c r="AA1338" s="158"/>
      <c r="AB1338" s="158"/>
      <c r="AC1338" s="158"/>
      <c r="AD1338" s="158"/>
      <c r="AE1338" s="158"/>
      <c r="AF1338" s="158"/>
      <c r="AG1338" s="158"/>
      <c r="AH1338" s="158"/>
      <c r="AI1338" s="158"/>
      <c r="AJ1338" s="158"/>
      <c r="AK1338" s="158"/>
    </row>
    <row r="1339" spans="1:26" s="107" customFormat="1" ht="34.5" customHeight="1" thickBot="1">
      <c r="A1339" s="285"/>
      <c r="B1339" s="124"/>
      <c r="C1339" s="148"/>
      <c r="D1339" s="148"/>
      <c r="E1339" s="148"/>
      <c r="F1339" s="148"/>
      <c r="G1339" s="148"/>
      <c r="H1339" s="148"/>
      <c r="I1339" s="148"/>
      <c r="J1339" s="148"/>
      <c r="K1339" s="157"/>
      <c r="L1339" s="157"/>
      <c r="M1339" s="110"/>
      <c r="N1339" s="111"/>
      <c r="O1339" s="105"/>
      <c r="P1339" s="105"/>
      <c r="Q1339" s="105"/>
      <c r="R1339" s="148"/>
      <c r="S1339" s="148"/>
      <c r="T1339" s="1217"/>
      <c r="U1339" s="1217"/>
      <c r="V1339" s="1217"/>
      <c r="W1339" s="1217"/>
      <c r="X1339" s="1217"/>
      <c r="Y1339" s="1217"/>
      <c r="Z1339" s="1217"/>
    </row>
    <row r="1340" spans="1:42" s="214" customFormat="1" ht="34.5" customHeight="1" thickTop="1">
      <c r="A1340" s="207" t="s">
        <v>34</v>
      </c>
      <c r="B1340" s="208" t="s">
        <v>91</v>
      </c>
      <c r="C1340" s="209" t="s">
        <v>986</v>
      </c>
      <c r="D1340" s="210"/>
      <c r="E1340" s="211" t="s">
        <v>922</v>
      </c>
      <c r="F1340" s="212"/>
      <c r="G1340" s="211" t="s">
        <v>923</v>
      </c>
      <c r="H1340" s="212"/>
      <c r="I1340" s="1070"/>
      <c r="J1340" s="1071"/>
      <c r="K1340" s="1070"/>
      <c r="L1340" s="1070"/>
      <c r="M1340" s="174"/>
      <c r="N1340" s="174"/>
      <c r="O1340" s="213"/>
      <c r="P1340" s="213"/>
      <c r="Q1340" s="213"/>
      <c r="R1340" s="213"/>
      <c r="S1340" s="213"/>
      <c r="T1340" s="114"/>
      <c r="U1340" s="114"/>
      <c r="V1340" s="114"/>
      <c r="W1340" s="114"/>
      <c r="X1340" s="114"/>
      <c r="Y1340" s="114"/>
      <c r="Z1340" s="114"/>
      <c r="AA1340" s="213"/>
      <c r="AB1340" s="213"/>
      <c r="AC1340" s="213"/>
      <c r="AD1340" s="213"/>
      <c r="AE1340" s="213"/>
      <c r="AF1340" s="213"/>
      <c r="AG1340" s="213"/>
      <c r="AH1340" s="213"/>
      <c r="AI1340" s="213"/>
      <c r="AJ1340" s="213"/>
      <c r="AK1340" s="213"/>
      <c r="AL1340" s="213"/>
      <c r="AM1340" s="213"/>
      <c r="AN1340" s="213"/>
      <c r="AO1340" s="213"/>
      <c r="AP1340" s="213"/>
    </row>
    <row r="1341" spans="1:25" s="107" customFormat="1" ht="34.5" customHeight="1">
      <c r="A1341" s="796" t="s">
        <v>336</v>
      </c>
      <c r="B1341" s="264" t="s">
        <v>42</v>
      </c>
      <c r="C1341" s="797">
        <f>CEILING(70*$Z$1,0.1)</f>
        <v>87.5</v>
      </c>
      <c r="D1341" s="798"/>
      <c r="E1341" s="797">
        <f>CEILING(70*$Z$1,0.1)</f>
        <v>87.5</v>
      </c>
      <c r="F1341" s="798"/>
      <c r="G1341" s="797">
        <f>CEILING(70*$Z$1,0.1)</f>
        <v>87.5</v>
      </c>
      <c r="H1341" s="798"/>
      <c r="I1341" s="744"/>
      <c r="J1341" s="744"/>
      <c r="K1341" s="744"/>
      <c r="L1341" s="744"/>
      <c r="M1341" s="110"/>
      <c r="N1341" s="111"/>
      <c r="O1341" s="105"/>
      <c r="P1341" s="105"/>
      <c r="Q1341" s="105"/>
      <c r="R1341" s="105"/>
      <c r="S1341" s="105"/>
      <c r="T1341" s="105"/>
      <c r="U1341" s="105"/>
      <c r="V1341" s="105"/>
      <c r="W1341" s="105"/>
      <c r="X1341" s="105"/>
      <c r="Y1341" s="105"/>
    </row>
    <row r="1342" spans="1:25" s="107" customFormat="1" ht="34.5" customHeight="1">
      <c r="A1342" s="432" t="s">
        <v>567</v>
      </c>
      <c r="B1342" s="241" t="s">
        <v>43</v>
      </c>
      <c r="C1342" s="799">
        <f>CEILING((C1341+32*$Z$1),0.1)</f>
        <v>127.5</v>
      </c>
      <c r="D1342" s="800"/>
      <c r="E1342" s="799">
        <f>CEILING((E1341+32*$Z$1),0.1)</f>
        <v>127.5</v>
      </c>
      <c r="F1342" s="800"/>
      <c r="G1342" s="799">
        <f>CEILING((G1341+32*$Z$1),0.1)</f>
        <v>127.5</v>
      </c>
      <c r="H1342" s="800"/>
      <c r="I1342" s="744"/>
      <c r="J1342" s="744"/>
      <c r="K1342" s="744"/>
      <c r="L1342" s="744"/>
      <c r="M1342" s="110"/>
      <c r="N1342" s="111"/>
      <c r="O1342" s="105"/>
      <c r="P1342" s="105"/>
      <c r="Q1342" s="105"/>
      <c r="R1342" s="105"/>
      <c r="S1342" s="105"/>
      <c r="T1342" s="105"/>
      <c r="U1342" s="105"/>
      <c r="V1342" s="105"/>
      <c r="W1342" s="105"/>
      <c r="X1342" s="105"/>
      <c r="Y1342" s="105"/>
    </row>
    <row r="1343" spans="1:25" s="135" customFormat="1" ht="34.5" customHeight="1">
      <c r="A1343" s="132" t="s">
        <v>985</v>
      </c>
      <c r="B1343" s="379" t="s">
        <v>70</v>
      </c>
      <c r="C1343" s="799">
        <f>CEILING((C1341*0.85),0.1)</f>
        <v>74.4</v>
      </c>
      <c r="D1343" s="800"/>
      <c r="E1343" s="799">
        <f>CEILING((E1341*0.85),0.1)</f>
        <v>74.4</v>
      </c>
      <c r="F1343" s="800"/>
      <c r="G1343" s="799">
        <f>CEILING((G1341*0.85),0.1)</f>
        <v>74.4</v>
      </c>
      <c r="H1343" s="800"/>
      <c r="I1343" s="744"/>
      <c r="J1343" s="744"/>
      <c r="K1343" s="744"/>
      <c r="L1343" s="744"/>
      <c r="M1343" s="184"/>
      <c r="N1343" s="185"/>
      <c r="O1343" s="136"/>
      <c r="P1343" s="136"/>
      <c r="Q1343" s="136"/>
      <c r="R1343" s="136"/>
      <c r="S1343" s="136"/>
      <c r="T1343" s="136"/>
      <c r="U1343" s="136"/>
      <c r="V1343" s="136"/>
      <c r="W1343" s="136"/>
      <c r="X1343" s="136"/>
      <c r="Y1343" s="136"/>
    </row>
    <row r="1344" spans="1:25" s="107" customFormat="1" ht="34.5" customHeight="1" thickBot="1">
      <c r="A1344" s="461" t="s">
        <v>470</v>
      </c>
      <c r="B1344" s="757" t="s">
        <v>601</v>
      </c>
      <c r="C1344" s="801">
        <f>CEILING((C1341*0),0.1)</f>
        <v>0</v>
      </c>
      <c r="D1344" s="802"/>
      <c r="E1344" s="801">
        <f>CEILING((E1341*0),0.1)</f>
        <v>0</v>
      </c>
      <c r="F1344" s="802"/>
      <c r="G1344" s="801">
        <f>CEILING((G1341*0),0.1)</f>
        <v>0</v>
      </c>
      <c r="H1344" s="802"/>
      <c r="I1344" s="744"/>
      <c r="J1344" s="744"/>
      <c r="K1344" s="744"/>
      <c r="L1344" s="744"/>
      <c r="M1344" s="124"/>
      <c r="N1344" s="111"/>
      <c r="O1344" s="105"/>
      <c r="P1344" s="105"/>
      <c r="Q1344" s="105"/>
      <c r="R1344" s="105"/>
      <c r="S1344" s="105"/>
      <c r="T1344" s="105"/>
      <c r="U1344" s="105"/>
      <c r="V1344" s="105"/>
      <c r="W1344" s="105"/>
      <c r="X1344" s="105"/>
      <c r="Y1344" s="105"/>
    </row>
    <row r="1345" spans="1:25" s="107" customFormat="1" ht="34.5" customHeight="1" thickTop="1">
      <c r="A1345" s="447" t="s">
        <v>885</v>
      </c>
      <c r="B1345" s="124"/>
      <c r="C1345" s="148"/>
      <c r="D1345" s="148"/>
      <c r="E1345" s="148"/>
      <c r="F1345" s="148"/>
      <c r="G1345" s="148"/>
      <c r="H1345" s="148"/>
      <c r="I1345" s="148"/>
      <c r="J1345" s="148"/>
      <c r="K1345" s="239"/>
      <c r="L1345" s="239"/>
      <c r="M1345" s="124"/>
      <c r="N1345" s="111"/>
      <c r="O1345" s="105"/>
      <c r="P1345" s="105"/>
      <c r="Q1345" s="105"/>
      <c r="R1345" s="105"/>
      <c r="S1345" s="105"/>
      <c r="T1345" s="105"/>
      <c r="U1345" s="105"/>
      <c r="V1345" s="105"/>
      <c r="W1345" s="105"/>
      <c r="X1345" s="105"/>
      <c r="Y1345" s="105"/>
    </row>
    <row r="1346" spans="1:25" s="155" customFormat="1" ht="34.5" customHeight="1">
      <c r="A1346" s="397" t="s">
        <v>752</v>
      </c>
      <c r="B1346" s="124"/>
      <c r="C1346" s="148"/>
      <c r="D1346" s="148"/>
      <c r="E1346" s="148"/>
      <c r="F1346" s="148"/>
      <c r="G1346" s="148"/>
      <c r="H1346" s="148"/>
      <c r="I1346" s="148"/>
      <c r="J1346" s="148"/>
      <c r="K1346" s="239"/>
      <c r="L1346" s="239"/>
      <c r="M1346" s="124"/>
      <c r="N1346" s="111"/>
      <c r="O1346" s="151"/>
      <c r="P1346" s="151"/>
      <c r="Q1346" s="151"/>
      <c r="R1346" s="151"/>
      <c r="S1346" s="151"/>
      <c r="T1346" s="151"/>
      <c r="U1346" s="151"/>
      <c r="V1346" s="151"/>
      <c r="W1346" s="151"/>
      <c r="X1346" s="151"/>
      <c r="Y1346" s="151"/>
    </row>
    <row r="1347" spans="1:26" s="167" customFormat="1" ht="29.25" customHeight="1">
      <c r="A1347" s="163"/>
      <c r="B1347" s="188"/>
      <c r="C1347" s="163"/>
      <c r="D1347" s="163"/>
      <c r="E1347" s="163"/>
      <c r="F1347" s="163"/>
      <c r="G1347" s="163"/>
      <c r="H1347" s="163"/>
      <c r="I1347" s="189"/>
      <c r="J1347" s="189"/>
      <c r="K1347" s="190"/>
      <c r="L1347" s="190"/>
      <c r="M1347" s="191"/>
      <c r="N1347" s="191"/>
      <c r="O1347" s="166"/>
      <c r="P1347" s="166"/>
      <c r="Q1347" s="166"/>
      <c r="R1347" s="166"/>
      <c r="S1347" s="166"/>
      <c r="T1347" s="388"/>
      <c r="U1347" s="388"/>
      <c r="V1347" s="388"/>
      <c r="W1347" s="388"/>
      <c r="X1347" s="388"/>
      <c r="Y1347" s="388"/>
      <c r="Z1347" s="371"/>
    </row>
    <row r="1348" spans="1:25" s="371" customFormat="1" ht="34.5" customHeight="1" thickBot="1">
      <c r="A1348" s="163"/>
      <c r="B1348" s="164"/>
      <c r="C1348" s="164"/>
      <c r="D1348" s="164"/>
      <c r="E1348" s="164"/>
      <c r="F1348" s="164"/>
      <c r="G1348" s="164"/>
      <c r="H1348" s="164"/>
      <c r="I1348" s="164"/>
      <c r="J1348" s="164"/>
      <c r="K1348" s="370"/>
      <c r="L1348" s="370"/>
      <c r="M1348" s="166"/>
      <c r="N1348" s="388"/>
      <c r="O1348" s="388"/>
      <c r="P1348" s="388"/>
      <c r="Q1348" s="388"/>
      <c r="R1348" s="388"/>
      <c r="S1348" s="388"/>
      <c r="T1348" s="388"/>
      <c r="U1348" s="388"/>
      <c r="V1348" s="388"/>
      <c r="W1348" s="388"/>
      <c r="X1348" s="388"/>
      <c r="Y1348" s="388"/>
    </row>
    <row r="1349" spans="1:42" s="214" customFormat="1" ht="34.5" customHeight="1" thickTop="1">
      <c r="A1349" s="207" t="s">
        <v>34</v>
      </c>
      <c r="B1349" s="208" t="s">
        <v>91</v>
      </c>
      <c r="C1349" s="209" t="s">
        <v>986</v>
      </c>
      <c r="D1349" s="210"/>
      <c r="E1349" s="211" t="s">
        <v>922</v>
      </c>
      <c r="F1349" s="212"/>
      <c r="G1349" s="211" t="s">
        <v>923</v>
      </c>
      <c r="H1349" s="212"/>
      <c r="I1349" s="1070"/>
      <c r="J1349" s="1071"/>
      <c r="K1349" s="1070"/>
      <c r="L1349" s="1070"/>
      <c r="M1349" s="174"/>
      <c r="N1349" s="174"/>
      <c r="O1349" s="213"/>
      <c r="P1349" s="213"/>
      <c r="Q1349" s="213"/>
      <c r="R1349" s="213"/>
      <c r="S1349" s="213"/>
      <c r="T1349" s="114"/>
      <c r="U1349" s="114"/>
      <c r="V1349" s="114"/>
      <c r="W1349" s="114"/>
      <c r="X1349" s="114"/>
      <c r="Y1349" s="114"/>
      <c r="Z1349" s="114"/>
      <c r="AA1349" s="213"/>
      <c r="AB1349" s="213"/>
      <c r="AC1349" s="213"/>
      <c r="AD1349" s="213"/>
      <c r="AE1349" s="213"/>
      <c r="AF1349" s="213"/>
      <c r="AG1349" s="213"/>
      <c r="AH1349" s="213"/>
      <c r="AI1349" s="213"/>
      <c r="AJ1349" s="213"/>
      <c r="AK1349" s="213"/>
      <c r="AL1349" s="213"/>
      <c r="AM1349" s="213"/>
      <c r="AN1349" s="213"/>
      <c r="AO1349" s="213"/>
      <c r="AP1349" s="213"/>
    </row>
    <row r="1350" spans="1:25" s="107" customFormat="1" ht="34.5" customHeight="1">
      <c r="A1350" s="796" t="s">
        <v>1048</v>
      </c>
      <c r="B1350" s="270" t="s">
        <v>42</v>
      </c>
      <c r="C1350" s="754">
        <f>CEILING(60*$Z$1,0.1)</f>
        <v>75</v>
      </c>
      <c r="D1350" s="755"/>
      <c r="E1350" s="754">
        <f>CEILING(60*$Z$1,0.1)</f>
        <v>75</v>
      </c>
      <c r="F1350" s="755"/>
      <c r="G1350" s="754">
        <f>CEILING(60*$Z$1,0.1)</f>
        <v>75</v>
      </c>
      <c r="H1350" s="755"/>
      <c r="I1350" s="744"/>
      <c r="J1350" s="744"/>
      <c r="K1350" s="744"/>
      <c r="L1350" s="744"/>
      <c r="M1350" s="148"/>
      <c r="N1350" s="148"/>
      <c r="O1350" s="105"/>
      <c r="P1350" s="105"/>
      <c r="Q1350" s="105"/>
      <c r="R1350" s="105"/>
      <c r="S1350" s="105"/>
      <c r="T1350" s="105"/>
      <c r="U1350" s="105"/>
      <c r="V1350" s="105"/>
      <c r="W1350" s="105"/>
      <c r="X1350" s="105"/>
      <c r="Y1350" s="105"/>
    </row>
    <row r="1351" spans="1:25" s="107" customFormat="1" ht="34.5" customHeight="1">
      <c r="A1351" s="204" t="s">
        <v>50</v>
      </c>
      <c r="B1351" s="266" t="s">
        <v>43</v>
      </c>
      <c r="C1351" s="747">
        <f>CEILING((C1350+16*$Z$1),0.1)</f>
        <v>95</v>
      </c>
      <c r="D1351" s="756"/>
      <c r="E1351" s="747">
        <f>CEILING((E1350+16*$Z$1),0.1)</f>
        <v>95</v>
      </c>
      <c r="F1351" s="756"/>
      <c r="G1351" s="747">
        <f>CEILING((G1350+16*$Z$1),0.1)</f>
        <v>95</v>
      </c>
      <c r="H1351" s="756"/>
      <c r="I1351" s="744"/>
      <c r="J1351" s="744"/>
      <c r="K1351" s="744"/>
      <c r="L1351" s="744"/>
      <c r="M1351" s="148"/>
      <c r="N1351" s="148"/>
      <c r="O1351" s="105"/>
      <c r="P1351" s="105"/>
      <c r="Q1351" s="105"/>
      <c r="R1351" s="105"/>
      <c r="S1351" s="105"/>
      <c r="T1351" s="105"/>
      <c r="U1351" s="105"/>
      <c r="V1351" s="105"/>
      <c r="W1351" s="105"/>
      <c r="X1351" s="105"/>
      <c r="Y1351" s="105"/>
    </row>
    <row r="1352" spans="1:25" s="107" customFormat="1" ht="34.5" customHeight="1">
      <c r="A1352" s="133" t="s">
        <v>987</v>
      </c>
      <c r="B1352" s="379" t="s">
        <v>70</v>
      </c>
      <c r="C1352" s="747">
        <f>CEILING((C1350*0.85),0.1)</f>
        <v>63.800000000000004</v>
      </c>
      <c r="D1352" s="756"/>
      <c r="E1352" s="747">
        <f>CEILING((E1350*0.85),0.1)</f>
        <v>63.800000000000004</v>
      </c>
      <c r="F1352" s="756"/>
      <c r="G1352" s="747">
        <f>CEILING((G1350*0.85),0.1)</f>
        <v>63.800000000000004</v>
      </c>
      <c r="H1352" s="756"/>
      <c r="I1352" s="744"/>
      <c r="J1352" s="744"/>
      <c r="K1352" s="744"/>
      <c r="L1352" s="744"/>
      <c r="M1352" s="148"/>
      <c r="N1352" s="148"/>
      <c r="O1352" s="105"/>
      <c r="P1352" s="105"/>
      <c r="Q1352" s="105"/>
      <c r="R1352" s="105"/>
      <c r="S1352" s="105"/>
      <c r="T1352" s="105"/>
      <c r="U1352" s="105"/>
      <c r="V1352" s="105"/>
      <c r="W1352" s="105"/>
      <c r="X1352" s="105"/>
      <c r="Y1352" s="105"/>
    </row>
    <row r="1353" spans="1:25" s="107" customFormat="1" ht="34.5" customHeight="1" thickBot="1">
      <c r="A1353" s="459" t="s">
        <v>665</v>
      </c>
      <c r="B1353" s="243" t="s">
        <v>601</v>
      </c>
      <c r="C1353" s="758">
        <f>CEILING((C1350*0.5),0.1)</f>
        <v>37.5</v>
      </c>
      <c r="D1353" s="759"/>
      <c r="E1353" s="758">
        <f>CEILING((E1350*0.5),0.1)</f>
        <v>37.5</v>
      </c>
      <c r="F1353" s="759"/>
      <c r="G1353" s="758">
        <f>CEILING((G1350*0.5),0.1)</f>
        <v>37.5</v>
      </c>
      <c r="H1353" s="759"/>
      <c r="I1353" s="744"/>
      <c r="J1353" s="744"/>
      <c r="K1353" s="744"/>
      <c r="L1353" s="744"/>
      <c r="M1353" s="148"/>
      <c r="N1353" s="148"/>
      <c r="O1353" s="105"/>
      <c r="P1353" s="105"/>
      <c r="Q1353" s="105"/>
      <c r="R1353" s="105"/>
      <c r="S1353" s="105"/>
      <c r="T1353" s="105"/>
      <c r="U1353" s="105"/>
      <c r="V1353" s="105"/>
      <c r="W1353" s="105"/>
      <c r="X1353" s="105"/>
      <c r="Y1353" s="105"/>
    </row>
    <row r="1354" spans="1:25" s="155" customFormat="1" ht="34.5" customHeight="1" thickTop="1">
      <c r="A1354" s="397" t="s">
        <v>752</v>
      </c>
      <c r="B1354" s="124"/>
      <c r="C1354" s="148"/>
      <c r="D1354" s="148"/>
      <c r="E1354" s="148"/>
      <c r="F1354" s="148"/>
      <c r="G1354" s="148"/>
      <c r="H1354" s="148"/>
      <c r="I1354" s="148"/>
      <c r="J1354" s="148"/>
      <c r="K1354" s="239"/>
      <c r="L1354" s="239"/>
      <c r="M1354" s="124"/>
      <c r="N1354" s="111"/>
      <c r="O1354" s="151"/>
      <c r="P1354" s="151"/>
      <c r="Q1354" s="151"/>
      <c r="R1354" s="151"/>
      <c r="S1354" s="151"/>
      <c r="T1354" s="151"/>
      <c r="U1354" s="151"/>
      <c r="V1354" s="151"/>
      <c r="W1354" s="151"/>
      <c r="X1354" s="151"/>
      <c r="Y1354" s="151"/>
    </row>
    <row r="1355" spans="1:25" s="155" customFormat="1" ht="34.5" customHeight="1">
      <c r="A1355" s="397"/>
      <c r="B1355" s="124"/>
      <c r="C1355" s="148"/>
      <c r="D1355" s="148"/>
      <c r="E1355" s="148"/>
      <c r="F1355" s="148"/>
      <c r="G1355" s="148"/>
      <c r="H1355" s="148"/>
      <c r="I1355" s="148"/>
      <c r="J1355" s="148"/>
      <c r="K1355" s="239"/>
      <c r="L1355" s="239"/>
      <c r="M1355" s="124"/>
      <c r="N1355" s="111"/>
      <c r="O1355" s="151"/>
      <c r="P1355" s="151"/>
      <c r="Q1355" s="151"/>
      <c r="R1355" s="151"/>
      <c r="S1355" s="151"/>
      <c r="T1355" s="151"/>
      <c r="U1355" s="151"/>
      <c r="V1355" s="151"/>
      <c r="W1355" s="151"/>
      <c r="X1355" s="151"/>
      <c r="Y1355" s="151"/>
    </row>
    <row r="1356" spans="1:25" s="107" customFormat="1" ht="34.5" customHeight="1" thickBot="1">
      <c r="A1356" s="803"/>
      <c r="B1356" s="437"/>
      <c r="C1356" s="437"/>
      <c r="D1356" s="437"/>
      <c r="E1356" s="437"/>
      <c r="F1356" s="437"/>
      <c r="G1356" s="437"/>
      <c r="H1356" s="437"/>
      <c r="I1356" s="438"/>
      <c r="J1356" s="140"/>
      <c r="K1356" s="737"/>
      <c r="L1356" s="737"/>
      <c r="M1356" s="110"/>
      <c r="N1356" s="111"/>
      <c r="O1356" s="105"/>
      <c r="P1356" s="105"/>
      <c r="Q1356" s="105"/>
      <c r="R1356" s="105"/>
      <c r="S1356" s="105"/>
      <c r="T1356" s="105"/>
      <c r="U1356" s="105"/>
      <c r="V1356" s="105"/>
      <c r="W1356" s="105"/>
      <c r="X1356" s="105"/>
      <c r="Y1356" s="105"/>
    </row>
    <row r="1357" spans="1:42" s="214" customFormat="1" ht="34.5" customHeight="1" thickTop="1">
      <c r="A1357" s="207" t="s">
        <v>34</v>
      </c>
      <c r="B1357" s="208" t="s">
        <v>91</v>
      </c>
      <c r="C1357" s="209" t="s">
        <v>921</v>
      </c>
      <c r="D1357" s="210"/>
      <c r="E1357" s="211" t="s">
        <v>922</v>
      </c>
      <c r="F1357" s="212"/>
      <c r="G1357" s="211" t="s">
        <v>923</v>
      </c>
      <c r="H1357" s="212"/>
      <c r="I1357" s="1070"/>
      <c r="J1357" s="1071"/>
      <c r="K1357" s="1070"/>
      <c r="L1357" s="1070"/>
      <c r="M1357" s="174"/>
      <c r="N1357" s="174"/>
      <c r="O1357" s="213"/>
      <c r="P1357" s="213"/>
      <c r="Q1357" s="213"/>
      <c r="R1357" s="213"/>
      <c r="S1357" s="213"/>
      <c r="T1357" s="114"/>
      <c r="U1357" s="114"/>
      <c r="V1357" s="114"/>
      <c r="W1357" s="114"/>
      <c r="X1357" s="114"/>
      <c r="Y1357" s="114"/>
      <c r="Z1357" s="114"/>
      <c r="AA1357" s="213"/>
      <c r="AB1357" s="213"/>
      <c r="AC1357" s="213"/>
      <c r="AD1357" s="213"/>
      <c r="AE1357" s="213"/>
      <c r="AF1357" s="213"/>
      <c r="AG1357" s="213"/>
      <c r="AH1357" s="213"/>
      <c r="AI1357" s="213"/>
      <c r="AJ1357" s="213"/>
      <c r="AK1357" s="213"/>
      <c r="AL1357" s="213"/>
      <c r="AM1357" s="213"/>
      <c r="AN1357" s="213"/>
      <c r="AO1357" s="213"/>
      <c r="AP1357" s="213"/>
    </row>
    <row r="1358" spans="1:25" s="107" customFormat="1" ht="34.5" customHeight="1">
      <c r="A1358" s="441" t="s">
        <v>200</v>
      </c>
      <c r="B1358" s="238" t="s">
        <v>56</v>
      </c>
      <c r="C1358" s="743">
        <f>CEILING(40*$Z$1,0.1)</f>
        <v>50</v>
      </c>
      <c r="D1358" s="767"/>
      <c r="E1358" s="743">
        <f>CEILING(40*$Z$1,0.1)</f>
        <v>50</v>
      </c>
      <c r="F1358" s="767"/>
      <c r="G1358" s="743">
        <f>CEILING(40*$Z$1,0.1)</f>
        <v>50</v>
      </c>
      <c r="H1358" s="767"/>
      <c r="I1358" s="744"/>
      <c r="J1358" s="744"/>
      <c r="K1358" s="744"/>
      <c r="L1358" s="744"/>
      <c r="M1358" s="110"/>
      <c r="N1358" s="124"/>
      <c r="O1358" s="105"/>
      <c r="P1358" s="105"/>
      <c r="Q1358" s="105"/>
      <c r="R1358" s="105"/>
      <c r="S1358" s="105"/>
      <c r="T1358" s="105"/>
      <c r="U1358" s="105"/>
      <c r="V1358" s="105"/>
      <c r="W1358" s="105"/>
      <c r="X1358" s="105"/>
      <c r="Y1358" s="105"/>
    </row>
    <row r="1359" spans="1:25" s="107" customFormat="1" ht="34.5" customHeight="1">
      <c r="A1359" s="265" t="s">
        <v>50</v>
      </c>
      <c r="B1359" s="238" t="s">
        <v>57</v>
      </c>
      <c r="C1359" s="746">
        <f>CEILING((C1358+20*$Z$1),0.1)</f>
        <v>75</v>
      </c>
      <c r="D1359" s="768"/>
      <c r="E1359" s="746">
        <f>CEILING((E1358+20*$Z$1),0.1)</f>
        <v>75</v>
      </c>
      <c r="F1359" s="768"/>
      <c r="G1359" s="746">
        <f>CEILING((G1358+20*$Z$1),0.1)</f>
        <v>75</v>
      </c>
      <c r="H1359" s="768"/>
      <c r="I1359" s="744"/>
      <c r="J1359" s="744"/>
      <c r="K1359" s="744"/>
      <c r="L1359" s="744"/>
      <c r="M1359" s="110"/>
      <c r="N1359" s="124"/>
      <c r="O1359" s="105"/>
      <c r="P1359" s="105"/>
      <c r="Q1359" s="105"/>
      <c r="R1359" s="105"/>
      <c r="S1359" s="105"/>
      <c r="T1359" s="105"/>
      <c r="U1359" s="105"/>
      <c r="V1359" s="105"/>
      <c r="W1359" s="105"/>
      <c r="X1359" s="105"/>
      <c r="Y1359" s="105"/>
    </row>
    <row r="1360" spans="1:25" s="107" customFormat="1" ht="34.5" customHeight="1">
      <c r="A1360" s="314"/>
      <c r="B1360" s="238" t="s">
        <v>246</v>
      </c>
      <c r="C1360" s="746">
        <f>CEILING((C1358*0.85),0.1)</f>
        <v>42.5</v>
      </c>
      <c r="D1360" s="768"/>
      <c r="E1360" s="746">
        <f>CEILING((E1358*0.85),0.1)</f>
        <v>42.5</v>
      </c>
      <c r="F1360" s="768"/>
      <c r="G1360" s="746">
        <f>CEILING((G1358*0.85),0.1)</f>
        <v>42.5</v>
      </c>
      <c r="H1360" s="768"/>
      <c r="I1360" s="744"/>
      <c r="J1360" s="744"/>
      <c r="K1360" s="744"/>
      <c r="L1360" s="744"/>
      <c r="M1360" s="110"/>
      <c r="N1360" s="124"/>
      <c r="O1360" s="105"/>
      <c r="P1360" s="105"/>
      <c r="Q1360" s="105"/>
      <c r="R1360" s="105"/>
      <c r="S1360" s="1217"/>
      <c r="T1360" s="1217"/>
      <c r="U1360" s="1217"/>
      <c r="V1360" s="1217"/>
      <c r="W1360" s="1217"/>
      <c r="X1360" s="1217"/>
      <c r="Y1360" s="1217"/>
    </row>
    <row r="1361" spans="1:25" s="107" customFormat="1" ht="34.5" customHeight="1">
      <c r="A1361" s="314" t="s">
        <v>1063</v>
      </c>
      <c r="B1361" s="238" t="s">
        <v>62</v>
      </c>
      <c r="C1361" s="746">
        <f>CEILING((C1358*0),0.1)</f>
        <v>0</v>
      </c>
      <c r="D1361" s="768"/>
      <c r="E1361" s="746">
        <f>CEILING((E1358*0),0.1)</f>
        <v>0</v>
      </c>
      <c r="F1361" s="768"/>
      <c r="G1361" s="746">
        <f>CEILING((G1358*0),0.1)</f>
        <v>0</v>
      </c>
      <c r="H1361" s="768"/>
      <c r="I1361" s="744"/>
      <c r="J1361" s="744"/>
      <c r="K1361" s="744"/>
      <c r="L1361" s="744"/>
      <c r="M1361" s="110"/>
      <c r="N1361" s="124"/>
      <c r="O1361" s="105"/>
      <c r="P1361" s="105"/>
      <c r="Q1361" s="105"/>
      <c r="R1361" s="105"/>
      <c r="S1361" s="1217"/>
      <c r="T1361" s="1217"/>
      <c r="U1361" s="1217"/>
      <c r="V1361" s="1217"/>
      <c r="W1361" s="1217"/>
      <c r="X1361" s="1217"/>
      <c r="Y1361" s="1217"/>
    </row>
    <row r="1362" spans="1:25" s="107" customFormat="1" ht="34.5" customHeight="1">
      <c r="A1362" s="324"/>
      <c r="B1362" s="238" t="s">
        <v>174</v>
      </c>
      <c r="C1362" s="747">
        <f>CEILING(60*$Z$1,0.1)</f>
        <v>75</v>
      </c>
      <c r="D1362" s="756"/>
      <c r="E1362" s="747">
        <f>CEILING(60*$Z$1,0.1)</f>
        <v>75</v>
      </c>
      <c r="F1362" s="756"/>
      <c r="G1362" s="747">
        <f>CEILING(60*$Z$1,0.1)</f>
        <v>75</v>
      </c>
      <c r="H1362" s="756"/>
      <c r="I1362" s="744"/>
      <c r="J1362" s="744"/>
      <c r="K1362" s="744"/>
      <c r="L1362" s="744"/>
      <c r="M1362" s="110"/>
      <c r="N1362" s="124"/>
      <c r="O1362" s="105"/>
      <c r="P1362" s="105"/>
      <c r="Q1362" s="105"/>
      <c r="R1362" s="105"/>
      <c r="S1362" s="1217"/>
      <c r="T1362" s="1217"/>
      <c r="U1362" s="1217"/>
      <c r="V1362" s="1217"/>
      <c r="W1362" s="1217"/>
      <c r="X1362" s="1217"/>
      <c r="Y1362" s="1217"/>
    </row>
    <row r="1363" spans="1:25" s="107" customFormat="1" ht="34.5" customHeight="1" thickBot="1">
      <c r="A1363" s="715" t="s">
        <v>319</v>
      </c>
      <c r="B1363" s="297" t="s">
        <v>175</v>
      </c>
      <c r="C1363" s="758">
        <f>CEILING((C1362+30*$Z$1),0.1)</f>
        <v>112.5</v>
      </c>
      <c r="D1363" s="759"/>
      <c r="E1363" s="758">
        <f>CEILING((E1362+30*$Z$1),0.1)</f>
        <v>112.5</v>
      </c>
      <c r="F1363" s="759"/>
      <c r="G1363" s="758">
        <f>CEILING((G1362+30*$Z$1),0.1)</f>
        <v>112.5</v>
      </c>
      <c r="H1363" s="759"/>
      <c r="I1363" s="744"/>
      <c r="J1363" s="744"/>
      <c r="K1363" s="744"/>
      <c r="L1363" s="744"/>
      <c r="M1363" s="110"/>
      <c r="N1363" s="124"/>
      <c r="O1363" s="105"/>
      <c r="P1363" s="105"/>
      <c r="Q1363" s="105"/>
      <c r="R1363" s="105"/>
      <c r="S1363" s="1217"/>
      <c r="T1363" s="1217"/>
      <c r="U1363" s="1217"/>
      <c r="V1363" s="1217"/>
      <c r="W1363" s="1217"/>
      <c r="X1363" s="1217"/>
      <c r="Y1363" s="1217"/>
    </row>
    <row r="1364" spans="1:25" s="107" customFormat="1" ht="34.5" customHeight="1" thickTop="1">
      <c r="A1364" s="447" t="s">
        <v>753</v>
      </c>
      <c r="B1364" s="124"/>
      <c r="C1364" s="744"/>
      <c r="D1364" s="744"/>
      <c r="E1364" s="744"/>
      <c r="F1364" s="744"/>
      <c r="G1364" s="744"/>
      <c r="H1364" s="744"/>
      <c r="I1364" s="744"/>
      <c r="J1364" s="744"/>
      <c r="K1364" s="744"/>
      <c r="L1364" s="744"/>
      <c r="M1364" s="110"/>
      <c r="N1364" s="124"/>
      <c r="O1364" s="105"/>
      <c r="P1364" s="105"/>
      <c r="Q1364" s="105"/>
      <c r="R1364" s="105"/>
      <c r="S1364" s="1217"/>
      <c r="T1364" s="1217"/>
      <c r="U1364" s="1217"/>
      <c r="V1364" s="1217"/>
      <c r="W1364" s="1217"/>
      <c r="X1364" s="1217"/>
      <c r="Y1364" s="1217"/>
    </row>
    <row r="1365" spans="1:25" s="107" customFormat="1" ht="34.5" customHeight="1">
      <c r="A1365" s="804" t="s">
        <v>752</v>
      </c>
      <c r="B1365" s="124"/>
      <c r="C1365" s="148"/>
      <c r="D1365" s="148"/>
      <c r="E1365" s="148"/>
      <c r="F1365" s="148"/>
      <c r="G1365" s="148"/>
      <c r="H1365" s="148"/>
      <c r="I1365" s="148"/>
      <c r="J1365" s="148"/>
      <c r="K1365" s="157"/>
      <c r="L1365" s="157"/>
      <c r="M1365" s="110"/>
      <c r="N1365" s="124"/>
      <c r="O1365" s="105"/>
      <c r="P1365" s="105"/>
      <c r="Q1365" s="105"/>
      <c r="R1365" s="105"/>
      <c r="S1365" s="1217"/>
      <c r="T1365" s="1217"/>
      <c r="U1365" s="1217"/>
      <c r="V1365" s="1217"/>
      <c r="W1365" s="1217"/>
      <c r="X1365" s="1217"/>
      <c r="Y1365" s="1217"/>
    </row>
    <row r="1366" spans="1:25" s="107" customFormat="1" ht="34.5" customHeight="1" thickBot="1">
      <c r="A1366" s="805"/>
      <c r="B1366" s="805"/>
      <c r="C1366" s="805"/>
      <c r="D1366" s="805"/>
      <c r="E1366" s="805"/>
      <c r="F1366" s="805"/>
      <c r="G1366" s="805"/>
      <c r="H1366" s="805"/>
      <c r="I1366" s="386"/>
      <c r="J1366" s="492"/>
      <c r="K1366" s="157"/>
      <c r="L1366" s="157"/>
      <c r="M1366" s="110"/>
      <c r="N1366" s="124"/>
      <c r="O1366" s="105"/>
      <c r="P1366" s="105"/>
      <c r="Q1366" s="105"/>
      <c r="R1366" s="105"/>
      <c r="S1366" s="1217"/>
      <c r="T1366" s="1217"/>
      <c r="U1366" s="1217"/>
      <c r="V1366" s="1217"/>
      <c r="W1366" s="1217"/>
      <c r="X1366" s="1217"/>
      <c r="Y1366" s="1217"/>
    </row>
    <row r="1367" spans="1:42" s="214" customFormat="1" ht="34.5" customHeight="1" thickTop="1">
      <c r="A1367" s="207" t="s">
        <v>34</v>
      </c>
      <c r="B1367" s="208" t="s">
        <v>91</v>
      </c>
      <c r="C1367" s="209" t="s">
        <v>921</v>
      </c>
      <c r="D1367" s="210"/>
      <c r="E1367" s="211" t="s">
        <v>922</v>
      </c>
      <c r="F1367" s="212"/>
      <c r="G1367" s="211" t="s">
        <v>923</v>
      </c>
      <c r="H1367" s="212"/>
      <c r="I1367" s="1070"/>
      <c r="J1367" s="1071"/>
      <c r="K1367" s="1070"/>
      <c r="L1367" s="1070"/>
      <c r="M1367" s="174"/>
      <c r="N1367" s="174"/>
      <c r="O1367" s="213"/>
      <c r="P1367" s="213"/>
      <c r="Q1367" s="213"/>
      <c r="R1367" s="213"/>
      <c r="S1367" s="1217"/>
      <c r="T1367" s="1217"/>
      <c r="U1367" s="1217"/>
      <c r="V1367" s="1217"/>
      <c r="W1367" s="1217"/>
      <c r="X1367" s="1217"/>
      <c r="Y1367" s="1217"/>
      <c r="Z1367" s="114"/>
      <c r="AA1367" s="213"/>
      <c r="AB1367" s="213"/>
      <c r="AC1367" s="213"/>
      <c r="AD1367" s="213"/>
      <c r="AE1367" s="213"/>
      <c r="AF1367" s="213"/>
      <c r="AG1367" s="213"/>
      <c r="AH1367" s="213"/>
      <c r="AI1367" s="213"/>
      <c r="AJ1367" s="213"/>
      <c r="AK1367" s="213"/>
      <c r="AL1367" s="213"/>
      <c r="AM1367" s="213"/>
      <c r="AN1367" s="213"/>
      <c r="AO1367" s="213"/>
      <c r="AP1367" s="213"/>
    </row>
    <row r="1368" spans="1:25" s="107" customFormat="1" ht="34.5" customHeight="1">
      <c r="A1368" s="806" t="s">
        <v>247</v>
      </c>
      <c r="B1368" s="398" t="s">
        <v>42</v>
      </c>
      <c r="C1368" s="754">
        <f>CEILING(40*$Z$1,0.1)</f>
        <v>50</v>
      </c>
      <c r="D1368" s="755"/>
      <c r="E1368" s="754">
        <f>CEILING(40*$Z$1,0.1)</f>
        <v>50</v>
      </c>
      <c r="F1368" s="755"/>
      <c r="G1368" s="754">
        <f>CEILING(40*$Z$1,0.1)</f>
        <v>50</v>
      </c>
      <c r="H1368" s="755"/>
      <c r="I1368" s="744"/>
      <c r="J1368" s="744"/>
      <c r="K1368" s="744"/>
      <c r="L1368" s="744"/>
      <c r="M1368" s="110"/>
      <c r="N1368" s="124"/>
      <c r="O1368" s="105"/>
      <c r="P1368" s="105"/>
      <c r="Q1368" s="105"/>
      <c r="R1368" s="105"/>
      <c r="S1368" s="1217"/>
      <c r="T1368" s="1217"/>
      <c r="U1368" s="1217"/>
      <c r="V1368" s="1217"/>
      <c r="W1368" s="1217"/>
      <c r="X1368" s="1217"/>
      <c r="Y1368" s="1217"/>
    </row>
    <row r="1369" spans="1:25" s="107" customFormat="1" ht="34.5" customHeight="1">
      <c r="A1369" s="534" t="s">
        <v>80</v>
      </c>
      <c r="B1369" s="398" t="s">
        <v>43</v>
      </c>
      <c r="C1369" s="747">
        <f>CEILING((C1368+20*$Z$1),0.1)</f>
        <v>75</v>
      </c>
      <c r="D1369" s="756"/>
      <c r="E1369" s="747">
        <f>CEILING((E1368+20*$Z$1),0.1)</f>
        <v>75</v>
      </c>
      <c r="F1369" s="756"/>
      <c r="G1369" s="747">
        <f>CEILING((G1368+20*$Z$1),0.1)</f>
        <v>75</v>
      </c>
      <c r="H1369" s="756"/>
      <c r="I1369" s="744"/>
      <c r="J1369" s="744"/>
      <c r="K1369" s="744"/>
      <c r="L1369" s="744"/>
      <c r="M1369" s="110"/>
      <c r="N1369" s="124"/>
      <c r="O1369" s="105"/>
      <c r="P1369" s="105"/>
      <c r="Q1369" s="105"/>
      <c r="R1369" s="105"/>
      <c r="S1369" s="1217"/>
      <c r="T1369" s="1217"/>
      <c r="U1369" s="1217"/>
      <c r="V1369" s="1217"/>
      <c r="W1369" s="1217"/>
      <c r="X1369" s="1217"/>
      <c r="Y1369" s="1217"/>
    </row>
    <row r="1370" spans="1:25" s="107" customFormat="1" ht="34.5" customHeight="1">
      <c r="A1370" s="807"/>
      <c r="B1370" s="238" t="s">
        <v>38</v>
      </c>
      <c r="C1370" s="747">
        <f>CEILING((C1368*0.85),0.1)</f>
        <v>42.5</v>
      </c>
      <c r="D1370" s="756"/>
      <c r="E1370" s="747">
        <f>CEILING((E1368*0.85),0.1)</f>
        <v>42.5</v>
      </c>
      <c r="F1370" s="756"/>
      <c r="G1370" s="747">
        <f>CEILING((G1368*0.85),0.1)</f>
        <v>42.5</v>
      </c>
      <c r="H1370" s="756"/>
      <c r="I1370" s="744"/>
      <c r="J1370" s="744"/>
      <c r="K1370" s="744"/>
      <c r="L1370" s="744"/>
      <c r="M1370" s="110"/>
      <c r="N1370" s="124"/>
      <c r="O1370" s="105"/>
      <c r="P1370" s="105"/>
      <c r="Q1370" s="105"/>
      <c r="R1370" s="105"/>
      <c r="S1370" s="1217"/>
      <c r="T1370" s="1217"/>
      <c r="U1370" s="1217"/>
      <c r="V1370" s="1217"/>
      <c r="W1370" s="1217"/>
      <c r="X1370" s="1217"/>
      <c r="Y1370" s="1217"/>
    </row>
    <row r="1371" spans="1:25" s="107" customFormat="1" ht="34.5" customHeight="1">
      <c r="A1371" s="922" t="s">
        <v>1049</v>
      </c>
      <c r="B1371" s="398" t="s">
        <v>62</v>
      </c>
      <c r="C1371" s="747">
        <f>CEILING((C1368*0),0.1)</f>
        <v>0</v>
      </c>
      <c r="D1371" s="756"/>
      <c r="E1371" s="747">
        <f>CEILING((E1368*0),0.1)</f>
        <v>0</v>
      </c>
      <c r="F1371" s="756"/>
      <c r="G1371" s="747">
        <f>CEILING((G1368*0),0.1)</f>
        <v>0</v>
      </c>
      <c r="H1371" s="756"/>
      <c r="I1371" s="744"/>
      <c r="J1371" s="744"/>
      <c r="K1371" s="744"/>
      <c r="L1371" s="744"/>
      <c r="M1371" s="110"/>
      <c r="N1371" s="124"/>
      <c r="O1371" s="105"/>
      <c r="P1371" s="105"/>
      <c r="Q1371" s="105"/>
      <c r="R1371" s="105"/>
      <c r="S1371" s="1217"/>
      <c r="T1371" s="1217"/>
      <c r="U1371" s="1217"/>
      <c r="V1371" s="1217"/>
      <c r="W1371" s="1217"/>
      <c r="X1371" s="1217"/>
      <c r="Y1371" s="1217"/>
    </row>
    <row r="1372" spans="1:25" s="107" customFormat="1" ht="34.5" customHeight="1">
      <c r="A1372" s="807"/>
      <c r="B1372" s="219" t="s">
        <v>35</v>
      </c>
      <c r="C1372" s="747">
        <f>CEILING(50*$Z$1,0.1)</f>
        <v>62.5</v>
      </c>
      <c r="D1372" s="756"/>
      <c r="E1372" s="747">
        <f>CEILING(50*$Z$1,0.1)</f>
        <v>62.5</v>
      </c>
      <c r="F1372" s="756"/>
      <c r="G1372" s="747">
        <f>CEILING(50*$Z$1,0.1)</f>
        <v>62.5</v>
      </c>
      <c r="H1372" s="756"/>
      <c r="I1372" s="744"/>
      <c r="J1372" s="744"/>
      <c r="K1372" s="744"/>
      <c r="L1372" s="744"/>
      <c r="M1372" s="110"/>
      <c r="N1372" s="124"/>
      <c r="O1372" s="105"/>
      <c r="P1372" s="105"/>
      <c r="Q1372" s="105"/>
      <c r="R1372" s="105"/>
      <c r="S1372" s="1217"/>
      <c r="T1372" s="1217"/>
      <c r="U1372" s="1217"/>
      <c r="V1372" s="1217"/>
      <c r="W1372" s="1217"/>
      <c r="X1372" s="1217"/>
      <c r="Y1372" s="1217"/>
    </row>
    <row r="1373" spans="1:25" s="107" customFormat="1" ht="34.5" customHeight="1" thickBot="1">
      <c r="A1373" s="715" t="s">
        <v>318</v>
      </c>
      <c r="B1373" s="401" t="s">
        <v>37</v>
      </c>
      <c r="C1373" s="758">
        <f>CEILING((C1372+20*$Z$1),0.1)</f>
        <v>87.5</v>
      </c>
      <c r="D1373" s="759"/>
      <c r="E1373" s="758">
        <f>CEILING((E1372+20*$Z$1),0.1)</f>
        <v>87.5</v>
      </c>
      <c r="F1373" s="759"/>
      <c r="G1373" s="758">
        <f>CEILING((G1372+20*$Z$1),0.1)</f>
        <v>87.5</v>
      </c>
      <c r="H1373" s="759"/>
      <c r="I1373" s="744"/>
      <c r="J1373" s="744"/>
      <c r="K1373" s="744"/>
      <c r="L1373" s="744"/>
      <c r="M1373" s="115"/>
      <c r="N1373" s="105"/>
      <c r="O1373" s="105"/>
      <c r="P1373" s="105"/>
      <c r="Q1373" s="105"/>
      <c r="R1373" s="105"/>
      <c r="S1373" s="1217"/>
      <c r="T1373" s="1217"/>
      <c r="U1373" s="1217"/>
      <c r="V1373" s="1217"/>
      <c r="W1373" s="1217"/>
      <c r="X1373" s="1217"/>
      <c r="Y1373" s="1217"/>
    </row>
    <row r="1374" spans="1:25" s="107" customFormat="1" ht="34.5" customHeight="1" thickTop="1">
      <c r="A1374" s="447" t="s">
        <v>753</v>
      </c>
      <c r="B1374" s="124"/>
      <c r="C1374" s="744"/>
      <c r="D1374" s="744"/>
      <c r="E1374" s="744"/>
      <c r="F1374" s="744"/>
      <c r="G1374" s="744"/>
      <c r="H1374" s="744"/>
      <c r="I1374" s="744"/>
      <c r="J1374" s="744"/>
      <c r="K1374" s="744"/>
      <c r="L1374" s="744"/>
      <c r="M1374" s="110"/>
      <c r="N1374" s="124"/>
      <c r="O1374" s="105"/>
      <c r="P1374" s="105"/>
      <c r="Q1374" s="105"/>
      <c r="R1374" s="105"/>
      <c r="S1374" s="1217"/>
      <c r="T1374" s="1217"/>
      <c r="U1374" s="1217"/>
      <c r="V1374" s="1217"/>
      <c r="W1374" s="1217"/>
      <c r="X1374" s="1217"/>
      <c r="Y1374" s="1217"/>
    </row>
    <row r="1375" spans="1:25" s="107" customFormat="1" ht="34.5" customHeight="1">
      <c r="A1375" s="804" t="s">
        <v>752</v>
      </c>
      <c r="B1375" s="124"/>
      <c r="C1375" s="148"/>
      <c r="D1375" s="148"/>
      <c r="E1375" s="148"/>
      <c r="F1375" s="148"/>
      <c r="G1375" s="148"/>
      <c r="H1375" s="148"/>
      <c r="I1375" s="148"/>
      <c r="J1375" s="148"/>
      <c r="K1375" s="157"/>
      <c r="L1375" s="157"/>
      <c r="M1375" s="110"/>
      <c r="N1375" s="124"/>
      <c r="O1375" s="105"/>
      <c r="P1375" s="105"/>
      <c r="Q1375" s="105"/>
      <c r="R1375" s="105"/>
      <c r="S1375" s="1217"/>
      <c r="T1375" s="1217"/>
      <c r="U1375" s="1217"/>
      <c r="V1375" s="1217"/>
      <c r="W1375" s="1217"/>
      <c r="X1375" s="1217"/>
      <c r="Y1375" s="1217"/>
    </row>
    <row r="1376" spans="1:25" s="107" customFormat="1" ht="34.5" customHeight="1" thickBot="1">
      <c r="A1376" s="397"/>
      <c r="B1376" s="613"/>
      <c r="C1376" s="397"/>
      <c r="D1376" s="397"/>
      <c r="E1376" s="397"/>
      <c r="F1376" s="397"/>
      <c r="G1376" s="397"/>
      <c r="H1376" s="397"/>
      <c r="I1376" s="397"/>
      <c r="J1376" s="397"/>
      <c r="K1376" s="104"/>
      <c r="L1376" s="104"/>
      <c r="M1376" s="105"/>
      <c r="N1376" s="105"/>
      <c r="O1376" s="105"/>
      <c r="P1376" s="105"/>
      <c r="Q1376" s="105"/>
      <c r="R1376" s="105"/>
      <c r="S1376" s="1217"/>
      <c r="T1376" s="1217"/>
      <c r="U1376" s="1217"/>
      <c r="V1376" s="1217"/>
      <c r="W1376" s="1217"/>
      <c r="X1376" s="1217"/>
      <c r="Y1376" s="1217"/>
    </row>
    <row r="1377" spans="1:42" s="214" customFormat="1" ht="34.5" customHeight="1" thickTop="1">
      <c r="A1377" s="207" t="s">
        <v>34</v>
      </c>
      <c r="B1377" s="208" t="s">
        <v>91</v>
      </c>
      <c r="C1377" s="209" t="s">
        <v>921</v>
      </c>
      <c r="D1377" s="210"/>
      <c r="E1377" s="211" t="s">
        <v>922</v>
      </c>
      <c r="F1377" s="212"/>
      <c r="G1377" s="211" t="s">
        <v>923</v>
      </c>
      <c r="H1377" s="212"/>
      <c r="I1377" s="1070"/>
      <c r="J1377" s="1071"/>
      <c r="K1377" s="1070"/>
      <c r="L1377" s="1070"/>
      <c r="M1377" s="174"/>
      <c r="N1377" s="174"/>
      <c r="O1377" s="213"/>
      <c r="P1377" s="213"/>
      <c r="Q1377" s="213"/>
      <c r="R1377" s="213"/>
      <c r="S1377" s="1217"/>
      <c r="T1377" s="1217"/>
      <c r="U1377" s="1217"/>
      <c r="V1377" s="1217"/>
      <c r="W1377" s="1217"/>
      <c r="X1377" s="1217"/>
      <c r="Y1377" s="1217"/>
      <c r="Z1377" s="114"/>
      <c r="AA1377" s="213"/>
      <c r="AB1377" s="213"/>
      <c r="AC1377" s="213"/>
      <c r="AD1377" s="213"/>
      <c r="AE1377" s="213"/>
      <c r="AF1377" s="213"/>
      <c r="AG1377" s="213"/>
      <c r="AH1377" s="213"/>
      <c r="AI1377" s="213"/>
      <c r="AJ1377" s="213"/>
      <c r="AK1377" s="213"/>
      <c r="AL1377" s="213"/>
      <c r="AM1377" s="213"/>
      <c r="AN1377" s="213"/>
      <c r="AO1377" s="213"/>
      <c r="AP1377" s="213"/>
    </row>
    <row r="1378" spans="1:25" s="107" customFormat="1" ht="34.5" customHeight="1">
      <c r="A1378" s="554" t="s">
        <v>125</v>
      </c>
      <c r="B1378" s="236" t="s">
        <v>42</v>
      </c>
      <c r="C1378" s="754">
        <f>CEILING(35*$Z$1,0.1)</f>
        <v>43.800000000000004</v>
      </c>
      <c r="D1378" s="755"/>
      <c r="E1378" s="754">
        <f>CEILING(35*$Z$1,0.1)</f>
        <v>43.800000000000004</v>
      </c>
      <c r="F1378" s="755"/>
      <c r="G1378" s="754">
        <f>CEILING(35*$Z$1,0.1)</f>
        <v>43.800000000000004</v>
      </c>
      <c r="H1378" s="755"/>
      <c r="I1378" s="744"/>
      <c r="J1378" s="744"/>
      <c r="K1378" s="744"/>
      <c r="L1378" s="744"/>
      <c r="M1378" s="105"/>
      <c r="N1378" s="105"/>
      <c r="O1378" s="105"/>
      <c r="P1378" s="105"/>
      <c r="Q1378" s="105"/>
      <c r="R1378" s="105"/>
      <c r="S1378" s="1217"/>
      <c r="T1378" s="1217"/>
      <c r="U1378" s="1217"/>
      <c r="V1378" s="1217"/>
      <c r="W1378" s="1217"/>
      <c r="X1378" s="1217"/>
      <c r="Y1378" s="1217"/>
    </row>
    <row r="1379" spans="1:25" s="107" customFormat="1" ht="34.5" customHeight="1">
      <c r="A1379" s="351" t="s">
        <v>50</v>
      </c>
      <c r="B1379" s="238" t="s">
        <v>43</v>
      </c>
      <c r="C1379" s="747">
        <f>CEILING((C1378+9*$Z$1),0.1)</f>
        <v>55.1</v>
      </c>
      <c r="D1379" s="756"/>
      <c r="E1379" s="747">
        <f>CEILING((E1378+9*$Z$1),0.1)</f>
        <v>55.1</v>
      </c>
      <c r="F1379" s="756"/>
      <c r="G1379" s="747">
        <f>CEILING((G1378+9*$Z$1),0.1)</f>
        <v>55.1</v>
      </c>
      <c r="H1379" s="756"/>
      <c r="I1379" s="744"/>
      <c r="J1379" s="744"/>
      <c r="K1379" s="744"/>
      <c r="L1379" s="744"/>
      <c r="M1379" s="105"/>
      <c r="N1379" s="105"/>
      <c r="O1379" s="105"/>
      <c r="P1379" s="105"/>
      <c r="Q1379" s="105"/>
      <c r="R1379" s="105"/>
      <c r="S1379" s="1217"/>
      <c r="T1379" s="1217"/>
      <c r="U1379" s="1217"/>
      <c r="V1379" s="1217"/>
      <c r="W1379" s="1217"/>
      <c r="X1379" s="1217"/>
      <c r="Y1379" s="1217"/>
    </row>
    <row r="1380" spans="1:25" s="107" customFormat="1" ht="34.5" customHeight="1">
      <c r="A1380" s="351"/>
      <c r="B1380" s="353" t="s">
        <v>70</v>
      </c>
      <c r="C1380" s="747">
        <f>CEILING((C1378*0.8),0.1)</f>
        <v>35.1</v>
      </c>
      <c r="D1380" s="756"/>
      <c r="E1380" s="747">
        <f>CEILING((E1378*0.8),0.1)</f>
        <v>35.1</v>
      </c>
      <c r="F1380" s="756"/>
      <c r="G1380" s="747">
        <f>CEILING((G1378*0.8),0.1)</f>
        <v>35.1</v>
      </c>
      <c r="H1380" s="756"/>
      <c r="I1380" s="744"/>
      <c r="J1380" s="744"/>
      <c r="K1380" s="744"/>
      <c r="L1380" s="744"/>
      <c r="M1380" s="115"/>
      <c r="N1380" s="105"/>
      <c r="O1380" s="105"/>
      <c r="P1380" s="115"/>
      <c r="Q1380" s="148"/>
      <c r="R1380" s="148"/>
      <c r="S1380" s="1217"/>
      <c r="T1380" s="1217"/>
      <c r="U1380" s="1217"/>
      <c r="V1380" s="1217"/>
      <c r="W1380" s="1217"/>
      <c r="X1380" s="1217"/>
      <c r="Y1380" s="1217"/>
    </row>
    <row r="1381" spans="1:25" s="107" customFormat="1" ht="34.5" customHeight="1">
      <c r="A1381" s="305"/>
      <c r="B1381" s="353" t="s">
        <v>75</v>
      </c>
      <c r="C1381" s="747">
        <f>CEILING((C1378*0),0.1)</f>
        <v>0</v>
      </c>
      <c r="D1381" s="756"/>
      <c r="E1381" s="747">
        <f>CEILING((E1378*0),0.1)</f>
        <v>0</v>
      </c>
      <c r="F1381" s="756"/>
      <c r="G1381" s="747">
        <f>CEILING((G1378*0),0.1)</f>
        <v>0</v>
      </c>
      <c r="H1381" s="756"/>
      <c r="I1381" s="744"/>
      <c r="J1381" s="744"/>
      <c r="K1381" s="744"/>
      <c r="L1381" s="744"/>
      <c r="M1381" s="115"/>
      <c r="N1381" s="105"/>
      <c r="O1381" s="105"/>
      <c r="P1381" s="115"/>
      <c r="Q1381" s="148"/>
      <c r="R1381" s="148"/>
      <c r="S1381" s="1217"/>
      <c r="T1381" s="1217"/>
      <c r="U1381" s="1217"/>
      <c r="V1381" s="1217"/>
      <c r="W1381" s="1217"/>
      <c r="X1381" s="1217"/>
      <c r="Y1381" s="1217"/>
    </row>
    <row r="1382" spans="1:25" s="107" customFormat="1" ht="34.5" customHeight="1" thickBot="1">
      <c r="A1382" s="715" t="s">
        <v>317</v>
      </c>
      <c r="B1382" s="243" t="s">
        <v>76</v>
      </c>
      <c r="C1382" s="758">
        <f>CEILING((C1379*0.5),0.1)</f>
        <v>27.6</v>
      </c>
      <c r="D1382" s="759"/>
      <c r="E1382" s="758">
        <f>CEILING((E1379*0.5),0.1)</f>
        <v>27.6</v>
      </c>
      <c r="F1382" s="759"/>
      <c r="G1382" s="758">
        <f>CEILING((G1379*0.5),0.1)</f>
        <v>27.6</v>
      </c>
      <c r="H1382" s="759"/>
      <c r="I1382" s="744"/>
      <c r="J1382" s="744"/>
      <c r="K1382" s="744"/>
      <c r="L1382" s="744"/>
      <c r="M1382" s="105"/>
      <c r="N1382" s="105"/>
      <c r="O1382" s="105"/>
      <c r="P1382" s="115"/>
      <c r="Q1382" s="115"/>
      <c r="R1382" s="115"/>
      <c r="S1382" s="1217"/>
      <c r="T1382" s="1217"/>
      <c r="U1382" s="1217"/>
      <c r="V1382" s="1217"/>
      <c r="W1382" s="1217"/>
      <c r="X1382" s="1217"/>
      <c r="Y1382" s="1217"/>
    </row>
    <row r="1383" spans="1:25" s="107" customFormat="1" ht="34.5" customHeight="1" thickTop="1">
      <c r="A1383" s="559" t="s">
        <v>282</v>
      </c>
      <c r="B1383" s="238" t="s">
        <v>283</v>
      </c>
      <c r="C1383" s="808">
        <f>CEILING(45*$Z$1,0.1)</f>
        <v>56.300000000000004</v>
      </c>
      <c r="D1383" s="809"/>
      <c r="E1383" s="808">
        <f>CEILING(45*$Z$1,0.1)</f>
        <v>56.300000000000004</v>
      </c>
      <c r="F1383" s="809"/>
      <c r="G1383" s="808">
        <f>CEILING(45*$Z$1,0.1)</f>
        <v>56.300000000000004</v>
      </c>
      <c r="H1383" s="809"/>
      <c r="I1383" s="744"/>
      <c r="J1383" s="744"/>
      <c r="K1383" s="744"/>
      <c r="L1383" s="744"/>
      <c r="M1383" s="105"/>
      <c r="N1383" s="105"/>
      <c r="O1383" s="105"/>
      <c r="P1383" s="105"/>
      <c r="Q1383" s="105"/>
      <c r="R1383" s="105"/>
      <c r="S1383" s="1217"/>
      <c r="T1383" s="1217"/>
      <c r="U1383" s="1217"/>
      <c r="V1383" s="1217"/>
      <c r="W1383" s="1217"/>
      <c r="X1383" s="1217"/>
      <c r="Y1383" s="1217"/>
    </row>
    <row r="1384" spans="1:25" s="107" customFormat="1" ht="34.5" customHeight="1">
      <c r="A1384" s="351" t="s">
        <v>50</v>
      </c>
      <c r="B1384" s="238" t="s">
        <v>284</v>
      </c>
      <c r="C1384" s="747">
        <f>CEILING((C1383+9*$Z$1),0.1)</f>
        <v>67.60000000000001</v>
      </c>
      <c r="D1384" s="756"/>
      <c r="E1384" s="747">
        <f>CEILING((E1383+9*$Z$1),0.1)</f>
        <v>67.60000000000001</v>
      </c>
      <c r="F1384" s="756"/>
      <c r="G1384" s="747">
        <f>CEILING((G1383+9*$Z$1),0.1)</f>
        <v>67.60000000000001</v>
      </c>
      <c r="H1384" s="756"/>
      <c r="I1384" s="744"/>
      <c r="J1384" s="744"/>
      <c r="K1384" s="744"/>
      <c r="L1384" s="744"/>
      <c r="M1384" s="105"/>
      <c r="N1384" s="105"/>
      <c r="O1384" s="105"/>
      <c r="P1384" s="105"/>
      <c r="Q1384" s="105"/>
      <c r="R1384" s="105"/>
      <c r="S1384" s="1217"/>
      <c r="T1384" s="1217"/>
      <c r="U1384" s="1217"/>
      <c r="V1384" s="1217"/>
      <c r="W1384" s="1217"/>
      <c r="X1384" s="1217"/>
      <c r="Y1384" s="1217"/>
    </row>
    <row r="1385" spans="1:25" s="107" customFormat="1" ht="34.5" customHeight="1">
      <c r="A1385" s="305"/>
      <c r="B1385" s="353" t="s">
        <v>75</v>
      </c>
      <c r="C1385" s="747">
        <f>CEILING((C1383*0),0.1)</f>
        <v>0</v>
      </c>
      <c r="D1385" s="756"/>
      <c r="E1385" s="747">
        <f>CEILING((E1383*0),0.1)</f>
        <v>0</v>
      </c>
      <c r="F1385" s="756"/>
      <c r="G1385" s="747">
        <f>CEILING((G1383*0),0.1)</f>
        <v>0</v>
      </c>
      <c r="H1385" s="756"/>
      <c r="I1385" s="744"/>
      <c r="J1385" s="744"/>
      <c r="K1385" s="744"/>
      <c r="L1385" s="744"/>
      <c r="M1385" s="105"/>
      <c r="N1385" s="105"/>
      <c r="O1385" s="105"/>
      <c r="P1385" s="105"/>
      <c r="Q1385" s="105"/>
      <c r="R1385" s="105"/>
      <c r="S1385" s="1217"/>
      <c r="T1385" s="1217"/>
      <c r="U1385" s="1217"/>
      <c r="V1385" s="1217"/>
      <c r="W1385" s="1217"/>
      <c r="X1385" s="1217"/>
      <c r="Y1385" s="1217"/>
    </row>
    <row r="1386" spans="1:25" s="107" customFormat="1" ht="34.5" customHeight="1">
      <c r="A1386" s="305"/>
      <c r="B1386" s="353" t="s">
        <v>76</v>
      </c>
      <c r="C1386" s="747">
        <f>CEILING((C1383*0.5),0.1)</f>
        <v>28.200000000000003</v>
      </c>
      <c r="D1386" s="756"/>
      <c r="E1386" s="747">
        <f>CEILING((E1383*0.5),0.1)</f>
        <v>28.200000000000003</v>
      </c>
      <c r="F1386" s="756"/>
      <c r="G1386" s="747">
        <f>CEILING((G1383*0.5),0.1)</f>
        <v>28.200000000000003</v>
      </c>
      <c r="H1386" s="756"/>
      <c r="I1386" s="744"/>
      <c r="J1386" s="744"/>
      <c r="K1386" s="744"/>
      <c r="L1386" s="744"/>
      <c r="M1386" s="115"/>
      <c r="N1386" s="105"/>
      <c r="O1386" s="105"/>
      <c r="P1386" s="105"/>
      <c r="Q1386" s="105"/>
      <c r="R1386" s="105"/>
      <c r="S1386" s="105"/>
      <c r="T1386" s="105"/>
      <c r="U1386" s="105"/>
      <c r="V1386" s="105"/>
      <c r="W1386" s="105"/>
      <c r="X1386" s="105"/>
      <c r="Y1386" s="105"/>
    </row>
    <row r="1387" spans="1:25" s="107" customFormat="1" ht="34.5" customHeight="1" thickBot="1">
      <c r="A1387" s="715" t="s">
        <v>317</v>
      </c>
      <c r="B1387" s="297" t="s">
        <v>1032</v>
      </c>
      <c r="C1387" s="758">
        <f>CEILING(156*$Z$1,0.1)</f>
        <v>195</v>
      </c>
      <c r="D1387" s="759"/>
      <c r="E1387" s="758">
        <f>CEILING(156*$Z$1,0.1)</f>
        <v>195</v>
      </c>
      <c r="F1387" s="759"/>
      <c r="G1387" s="758">
        <f>CEILING(156*$Z$1,0.1)</f>
        <v>195</v>
      </c>
      <c r="H1387" s="759"/>
      <c r="I1387" s="744"/>
      <c r="J1387" s="744"/>
      <c r="K1387" s="744"/>
      <c r="L1387" s="744"/>
      <c r="M1387" s="115"/>
      <c r="N1387" s="105"/>
      <c r="O1387" s="105"/>
      <c r="P1387" s="105"/>
      <c r="Q1387" s="105"/>
      <c r="R1387" s="105"/>
      <c r="S1387" s="105"/>
      <c r="T1387" s="105"/>
      <c r="U1387" s="105"/>
      <c r="V1387" s="105"/>
      <c r="W1387" s="105"/>
      <c r="X1387" s="105"/>
      <c r="Y1387" s="105"/>
    </row>
    <row r="1388" spans="1:25" s="107" customFormat="1" ht="34.5" customHeight="1" thickTop="1">
      <c r="A1388" s="559" t="s">
        <v>267</v>
      </c>
      <c r="B1388" s="238" t="s">
        <v>283</v>
      </c>
      <c r="C1388" s="808">
        <f>CEILING(56*$Z$1,0.1)</f>
        <v>70</v>
      </c>
      <c r="D1388" s="809"/>
      <c r="E1388" s="808">
        <f>CEILING(56*$Z$1,0.1)</f>
        <v>70</v>
      </c>
      <c r="F1388" s="809"/>
      <c r="G1388" s="808">
        <f>CEILING(56*$Z$1,0.1)</f>
        <v>70</v>
      </c>
      <c r="H1388" s="809"/>
      <c r="I1388" s="744"/>
      <c r="J1388" s="744"/>
      <c r="K1388" s="744"/>
      <c r="L1388" s="744"/>
      <c r="M1388" s="115"/>
      <c r="N1388" s="105"/>
      <c r="O1388" s="105"/>
      <c r="P1388" s="105"/>
      <c r="Q1388" s="105"/>
      <c r="R1388" s="105"/>
      <c r="S1388" s="105"/>
      <c r="T1388" s="105"/>
      <c r="U1388" s="105"/>
      <c r="V1388" s="105"/>
      <c r="W1388" s="105"/>
      <c r="X1388" s="105"/>
      <c r="Y1388" s="105"/>
    </row>
    <row r="1389" spans="1:22" s="107" customFormat="1" ht="34.5" customHeight="1">
      <c r="A1389" s="351" t="s">
        <v>50</v>
      </c>
      <c r="B1389" s="238" t="s">
        <v>284</v>
      </c>
      <c r="C1389" s="747">
        <f>CEILING((C1388+9*$Z$1),0.1)</f>
        <v>81.30000000000001</v>
      </c>
      <c r="D1389" s="756"/>
      <c r="E1389" s="747">
        <f>CEILING((E1388+9*$Z$1),0.1)</f>
        <v>81.30000000000001</v>
      </c>
      <c r="F1389" s="756"/>
      <c r="G1389" s="747">
        <f>CEILING((G1388+9*$Z$1),0.1)</f>
        <v>81.30000000000001</v>
      </c>
      <c r="H1389" s="756"/>
      <c r="I1389" s="744"/>
      <c r="J1389" s="744"/>
      <c r="K1389" s="744"/>
      <c r="L1389" s="744"/>
      <c r="M1389" s="105"/>
      <c r="N1389" s="105"/>
      <c r="O1389" s="105"/>
      <c r="P1389" s="105"/>
      <c r="Q1389" s="105"/>
      <c r="R1389" s="105"/>
      <c r="S1389" s="105"/>
      <c r="T1389" s="105"/>
      <c r="U1389" s="105"/>
      <c r="V1389" s="105"/>
    </row>
    <row r="1390" spans="1:22" s="107" customFormat="1" ht="34.5" customHeight="1">
      <c r="A1390" s="305"/>
      <c r="B1390" s="353" t="s">
        <v>75</v>
      </c>
      <c r="C1390" s="747">
        <f>CEILING((C1388*0),0.1)</f>
        <v>0</v>
      </c>
      <c r="D1390" s="756"/>
      <c r="E1390" s="747">
        <f>CEILING((E1388*0),0.1)</f>
        <v>0</v>
      </c>
      <c r="F1390" s="756"/>
      <c r="G1390" s="747">
        <f>CEILING((G1388*0),0.1)</f>
        <v>0</v>
      </c>
      <c r="H1390" s="756"/>
      <c r="I1390" s="744"/>
      <c r="J1390" s="744"/>
      <c r="K1390" s="744"/>
      <c r="L1390" s="744"/>
      <c r="M1390" s="105"/>
      <c r="N1390" s="105"/>
      <c r="O1390" s="105"/>
      <c r="P1390" s="105"/>
      <c r="Q1390" s="105"/>
      <c r="R1390" s="105"/>
      <c r="S1390" s="105"/>
      <c r="T1390" s="105"/>
      <c r="U1390" s="105"/>
      <c r="V1390" s="105"/>
    </row>
    <row r="1391" spans="1:22" s="107" customFormat="1" ht="34.5" customHeight="1">
      <c r="A1391" s="305"/>
      <c r="B1391" s="353" t="s">
        <v>76</v>
      </c>
      <c r="C1391" s="747">
        <f>CEILING((C1388*0.5),0.1)</f>
        <v>35</v>
      </c>
      <c r="D1391" s="756"/>
      <c r="E1391" s="747">
        <f>CEILING((E1388*0.5),0.1)</f>
        <v>35</v>
      </c>
      <c r="F1391" s="756"/>
      <c r="G1391" s="747">
        <f>CEILING((G1388*0.5),0.1)</f>
        <v>35</v>
      </c>
      <c r="H1391" s="756"/>
      <c r="I1391" s="744"/>
      <c r="J1391" s="744"/>
      <c r="K1391" s="744"/>
      <c r="L1391" s="744"/>
      <c r="M1391" s="105"/>
      <c r="N1391" s="105"/>
      <c r="O1391" s="105"/>
      <c r="P1391" s="105"/>
      <c r="Q1391" s="105"/>
      <c r="R1391" s="105"/>
      <c r="S1391" s="105"/>
      <c r="T1391" s="105"/>
      <c r="U1391" s="105"/>
      <c r="V1391" s="105"/>
    </row>
    <row r="1392" spans="1:22" s="107" customFormat="1" ht="34.5" customHeight="1" thickBot="1">
      <c r="A1392" s="715" t="s">
        <v>316</v>
      </c>
      <c r="B1392" s="243" t="s">
        <v>1033</v>
      </c>
      <c r="C1392" s="758">
        <f>CEILING(215*$Z$1,0.1)</f>
        <v>268.8</v>
      </c>
      <c r="D1392" s="759"/>
      <c r="E1392" s="758">
        <f>CEILING(215*$Z$1,0.1)</f>
        <v>268.8</v>
      </c>
      <c r="F1392" s="759"/>
      <c r="G1392" s="758">
        <f>CEILING(215*$Z$1,0.1)</f>
        <v>268.8</v>
      </c>
      <c r="H1392" s="759"/>
      <c r="I1392" s="744"/>
      <c r="J1392" s="744"/>
      <c r="K1392" s="744"/>
      <c r="L1392" s="744"/>
      <c r="M1392" s="105"/>
      <c r="N1392" s="105"/>
      <c r="O1392" s="105"/>
      <c r="P1392" s="105"/>
      <c r="Q1392" s="105"/>
      <c r="R1392" s="105"/>
      <c r="S1392" s="105"/>
      <c r="T1392" s="105"/>
      <c r="U1392" s="105"/>
      <c r="V1392" s="105"/>
    </row>
    <row r="1393" spans="1:22" s="107" customFormat="1" ht="34.5" customHeight="1" thickTop="1">
      <c r="A1393" s="447" t="s">
        <v>649</v>
      </c>
      <c r="B1393" s="124"/>
      <c r="C1393" s="744"/>
      <c r="D1393" s="744"/>
      <c r="E1393" s="744"/>
      <c r="F1393" s="744"/>
      <c r="G1393" s="744"/>
      <c r="H1393" s="744"/>
      <c r="I1393" s="744"/>
      <c r="J1393" s="744"/>
      <c r="K1393" s="744"/>
      <c r="L1393" s="744"/>
      <c r="M1393" s="105"/>
      <c r="N1393" s="105"/>
      <c r="O1393" s="105"/>
      <c r="P1393" s="105"/>
      <c r="Q1393" s="105"/>
      <c r="R1393" s="105"/>
      <c r="S1393" s="105"/>
      <c r="T1393" s="105"/>
      <c r="U1393" s="105"/>
      <c r="V1393" s="105"/>
    </row>
    <row r="1394" spans="1:25" s="107" customFormat="1" ht="34.5" customHeight="1" thickBot="1">
      <c r="A1394" s="810"/>
      <c r="B1394" s="428"/>
      <c r="C1394" s="148"/>
      <c r="D1394" s="148"/>
      <c r="E1394" s="148"/>
      <c r="F1394" s="148"/>
      <c r="G1394" s="148"/>
      <c r="H1394" s="148"/>
      <c r="I1394" s="148"/>
      <c r="J1394" s="148"/>
      <c r="K1394" s="157"/>
      <c r="L1394" s="157"/>
      <c r="M1394" s="124"/>
      <c r="N1394" s="105"/>
      <c r="O1394" s="105"/>
      <c r="P1394" s="105"/>
      <c r="Q1394" s="148"/>
      <c r="R1394" s="148"/>
      <c r="S1394" s="115"/>
      <c r="T1394" s="105"/>
      <c r="U1394" s="105"/>
      <c r="V1394" s="105"/>
      <c r="W1394" s="105"/>
      <c r="X1394" s="105"/>
      <c r="Y1394" s="105"/>
    </row>
    <row r="1395" spans="1:42" s="214" customFormat="1" ht="34.5" customHeight="1" thickTop="1">
      <c r="A1395" s="207" t="s">
        <v>34</v>
      </c>
      <c r="B1395" s="208" t="s">
        <v>91</v>
      </c>
      <c r="C1395" s="209" t="s">
        <v>921</v>
      </c>
      <c r="D1395" s="210"/>
      <c r="E1395" s="211" t="s">
        <v>922</v>
      </c>
      <c r="F1395" s="212"/>
      <c r="G1395" s="211" t="s">
        <v>923</v>
      </c>
      <c r="H1395" s="212"/>
      <c r="I1395" s="1070"/>
      <c r="J1395" s="1071"/>
      <c r="K1395" s="1070"/>
      <c r="L1395" s="1070"/>
      <c r="M1395" s="174"/>
      <c r="N1395" s="174"/>
      <c r="O1395" s="213"/>
      <c r="P1395" s="213"/>
      <c r="Q1395" s="213"/>
      <c r="R1395" s="213"/>
      <c r="S1395" s="114"/>
      <c r="T1395" s="105"/>
      <c r="U1395" s="105"/>
      <c r="V1395" s="105"/>
      <c r="W1395" s="105"/>
      <c r="X1395" s="105"/>
      <c r="Y1395" s="105"/>
      <c r="Z1395" s="114"/>
      <c r="AA1395" s="213"/>
      <c r="AB1395" s="213"/>
      <c r="AC1395" s="213"/>
      <c r="AD1395" s="213"/>
      <c r="AE1395" s="213"/>
      <c r="AF1395" s="213"/>
      <c r="AG1395" s="213"/>
      <c r="AH1395" s="213"/>
      <c r="AI1395" s="213"/>
      <c r="AJ1395" s="213"/>
      <c r="AK1395" s="213"/>
      <c r="AL1395" s="213"/>
      <c r="AM1395" s="213"/>
      <c r="AN1395" s="213"/>
      <c r="AO1395" s="213"/>
      <c r="AP1395" s="213"/>
    </row>
    <row r="1396" spans="1:25" s="107" customFormat="1" ht="34.5" customHeight="1">
      <c r="A1396" s="796" t="s">
        <v>894</v>
      </c>
      <c r="B1396" s="236" t="s">
        <v>42</v>
      </c>
      <c r="C1396" s="743">
        <f>CEILING(13*$Z$1,0.1)</f>
        <v>16.3</v>
      </c>
      <c r="D1396" s="767"/>
      <c r="E1396" s="743">
        <f>CEILING(13*$Z$1,0.1)</f>
        <v>16.3</v>
      </c>
      <c r="F1396" s="767"/>
      <c r="G1396" s="743">
        <f>CEILING(13*$Z$1,0.1)</f>
        <v>16.3</v>
      </c>
      <c r="H1396" s="767"/>
      <c r="I1396" s="744"/>
      <c r="J1396" s="744"/>
      <c r="K1396" s="744"/>
      <c r="L1396" s="744"/>
      <c r="M1396" s="811"/>
      <c r="N1396" s="111"/>
      <c r="O1396" s="105"/>
      <c r="P1396" s="105"/>
      <c r="Q1396" s="105"/>
      <c r="R1396" s="105"/>
      <c r="S1396" s="105"/>
      <c r="T1396" s="105"/>
      <c r="U1396" s="105"/>
      <c r="V1396" s="105"/>
      <c r="W1396" s="105"/>
      <c r="X1396" s="105"/>
      <c r="Y1396" s="105"/>
    </row>
    <row r="1397" spans="1:25" s="107" customFormat="1" ht="34.5" customHeight="1">
      <c r="A1397" s="143"/>
      <c r="B1397" s="238" t="s">
        <v>43</v>
      </c>
      <c r="C1397" s="746">
        <f>CEILING((C1396+6*$Z$1),0.1)</f>
        <v>23.8</v>
      </c>
      <c r="D1397" s="768"/>
      <c r="E1397" s="746">
        <f>CEILING((E1396+6*$Z$1),0.1)</f>
        <v>23.8</v>
      </c>
      <c r="F1397" s="768"/>
      <c r="G1397" s="746">
        <f>CEILING((G1396+6*$Z$1),0.1)</f>
        <v>23.8</v>
      </c>
      <c r="H1397" s="768"/>
      <c r="I1397" s="744"/>
      <c r="J1397" s="744"/>
      <c r="K1397" s="744"/>
      <c r="L1397" s="744"/>
      <c r="M1397" s="811"/>
      <c r="N1397" s="103"/>
      <c r="O1397" s="115"/>
      <c r="P1397" s="115"/>
      <c r="Q1397" s="115"/>
      <c r="R1397" s="115"/>
      <c r="S1397" s="115"/>
      <c r="T1397" s="115"/>
      <c r="U1397" s="115"/>
      <c r="V1397" s="105"/>
      <c r="W1397" s="105"/>
      <c r="X1397" s="105"/>
      <c r="Y1397" s="105"/>
    </row>
    <row r="1398" spans="1:25" s="107" customFormat="1" ht="34.5" customHeight="1">
      <c r="A1398" s="143" t="s">
        <v>1112</v>
      </c>
      <c r="B1398" s="238" t="s">
        <v>38</v>
      </c>
      <c r="C1398" s="746">
        <f>CEILING((C1396*0.85),0.1)</f>
        <v>13.9</v>
      </c>
      <c r="D1398" s="768"/>
      <c r="E1398" s="746">
        <f>CEILING((E1396*0.85),0.1)</f>
        <v>13.9</v>
      </c>
      <c r="F1398" s="768"/>
      <c r="G1398" s="746">
        <f>CEILING((G1396*0.85),0.1)</f>
        <v>13.9</v>
      </c>
      <c r="H1398" s="768"/>
      <c r="I1398" s="744"/>
      <c r="J1398" s="744"/>
      <c r="K1398" s="744"/>
      <c r="L1398" s="744"/>
      <c r="M1398" s="811"/>
      <c r="N1398" s="103"/>
      <c r="O1398" s="115"/>
      <c r="P1398" s="115"/>
      <c r="Q1398" s="115"/>
      <c r="R1398" s="115"/>
      <c r="S1398" s="115"/>
      <c r="T1398" s="115"/>
      <c r="U1398" s="115"/>
      <c r="V1398" s="105"/>
      <c r="W1398" s="105"/>
      <c r="X1398" s="105"/>
      <c r="Y1398" s="105"/>
    </row>
    <row r="1399" spans="1:25" s="107" customFormat="1" ht="34.5" customHeight="1" thickBot="1">
      <c r="A1399" s="461" t="s">
        <v>315</v>
      </c>
      <c r="B1399" s="243" t="s">
        <v>62</v>
      </c>
      <c r="C1399" s="790">
        <f>CEILING((C1396*0.5),0.1)</f>
        <v>8.200000000000001</v>
      </c>
      <c r="D1399" s="791"/>
      <c r="E1399" s="790">
        <f>CEILING((E1396*0.5),0.1)</f>
        <v>8.200000000000001</v>
      </c>
      <c r="F1399" s="791"/>
      <c r="G1399" s="790">
        <f>CEILING((G1396*0.5),0.1)</f>
        <v>8.200000000000001</v>
      </c>
      <c r="H1399" s="791"/>
      <c r="I1399" s="744"/>
      <c r="J1399" s="744"/>
      <c r="K1399" s="744"/>
      <c r="L1399" s="744"/>
      <c r="M1399" s="811"/>
      <c r="N1399" s="103"/>
      <c r="O1399" s="115"/>
      <c r="P1399" s="115"/>
      <c r="Q1399" s="115"/>
      <c r="R1399" s="115"/>
      <c r="S1399" s="115"/>
      <c r="T1399" s="115"/>
      <c r="U1399" s="115"/>
      <c r="V1399" s="105"/>
      <c r="W1399" s="105"/>
      <c r="X1399" s="105"/>
      <c r="Y1399" s="105"/>
    </row>
    <row r="1400" spans="1:25" s="155" customFormat="1" ht="34.5" customHeight="1" thickTop="1">
      <c r="A1400" s="397" t="s">
        <v>754</v>
      </c>
      <c r="B1400" s="124"/>
      <c r="C1400" s="148"/>
      <c r="D1400" s="239"/>
      <c r="E1400" s="239"/>
      <c r="F1400" s="239"/>
      <c r="G1400" s="239"/>
      <c r="H1400" s="239"/>
      <c r="I1400" s="148"/>
      <c r="J1400" s="148"/>
      <c r="K1400" s="157"/>
      <c r="L1400" s="157"/>
      <c r="M1400" s="811"/>
      <c r="N1400" s="103"/>
      <c r="O1400" s="812"/>
      <c r="P1400" s="812"/>
      <c r="Q1400" s="812"/>
      <c r="R1400" s="812"/>
      <c r="S1400" s="812"/>
      <c r="T1400" s="812"/>
      <c r="U1400" s="812"/>
      <c r="V1400" s="151"/>
      <c r="W1400" s="151"/>
      <c r="X1400" s="151"/>
      <c r="Y1400" s="151"/>
    </row>
    <row r="1401" spans="1:25" s="107" customFormat="1" ht="34.5" customHeight="1">
      <c r="A1401" s="397" t="s">
        <v>988</v>
      </c>
      <c r="B1401" s="397"/>
      <c r="C1401" s="397"/>
      <c r="D1401" s="397"/>
      <c r="E1401" s="397"/>
      <c r="F1401" s="397"/>
      <c r="G1401" s="397"/>
      <c r="H1401" s="397"/>
      <c r="I1401" s="124"/>
      <c r="J1401" s="105"/>
      <c r="K1401" s="138"/>
      <c r="L1401" s="138"/>
      <c r="M1401" s="115"/>
      <c r="N1401" s="115"/>
      <c r="O1401" s="115"/>
      <c r="P1401" s="115"/>
      <c r="Q1401" s="115"/>
      <c r="R1401" s="115"/>
      <c r="S1401" s="115"/>
      <c r="T1401" s="115"/>
      <c r="U1401" s="115"/>
      <c r="V1401" s="105"/>
      <c r="W1401" s="105"/>
      <c r="X1401" s="105"/>
      <c r="Y1401" s="105"/>
    </row>
    <row r="1402" spans="1:25" s="107" customFormat="1" ht="34.5" customHeight="1" thickBot="1">
      <c r="A1402" s="397"/>
      <c r="B1402" s="397"/>
      <c r="C1402" s="397"/>
      <c r="D1402" s="397"/>
      <c r="E1402" s="397"/>
      <c r="F1402" s="397"/>
      <c r="G1402" s="397"/>
      <c r="H1402" s="397"/>
      <c r="I1402" s="124"/>
      <c r="J1402" s="105"/>
      <c r="K1402" s="138"/>
      <c r="L1402" s="138"/>
      <c r="M1402" s="105"/>
      <c r="N1402" s="105"/>
      <c r="O1402" s="105"/>
      <c r="P1402" s="105"/>
      <c r="Q1402" s="105"/>
      <c r="R1402" s="105"/>
      <c r="S1402" s="105"/>
      <c r="T1402" s="105"/>
      <c r="U1402" s="105"/>
      <c r="V1402" s="105"/>
      <c r="W1402" s="105"/>
      <c r="X1402" s="105"/>
      <c r="Y1402" s="105"/>
    </row>
    <row r="1403" spans="1:42" s="214" customFormat="1" ht="34.5" customHeight="1" thickTop="1">
      <c r="A1403" s="207" t="s">
        <v>34</v>
      </c>
      <c r="B1403" s="208" t="s">
        <v>91</v>
      </c>
      <c r="C1403" s="209" t="s">
        <v>921</v>
      </c>
      <c r="D1403" s="210"/>
      <c r="E1403" s="211" t="s">
        <v>922</v>
      </c>
      <c r="F1403" s="212"/>
      <c r="G1403" s="211" t="s">
        <v>923</v>
      </c>
      <c r="H1403" s="212"/>
      <c r="I1403" s="1070"/>
      <c r="J1403" s="1071"/>
      <c r="K1403" s="1070"/>
      <c r="L1403" s="1070"/>
      <c r="M1403" s="174"/>
      <c r="N1403" s="174"/>
      <c r="O1403" s="213"/>
      <c r="P1403" s="213"/>
      <c r="Q1403" s="213"/>
      <c r="R1403" s="213"/>
      <c r="S1403" s="114"/>
      <c r="T1403" s="105"/>
      <c r="U1403" s="105"/>
      <c r="V1403" s="105"/>
      <c r="W1403" s="105"/>
      <c r="X1403" s="105"/>
      <c r="Y1403" s="105"/>
      <c r="Z1403" s="114"/>
      <c r="AA1403" s="213"/>
      <c r="AB1403" s="213"/>
      <c r="AC1403" s="213"/>
      <c r="AD1403" s="213"/>
      <c r="AE1403" s="213"/>
      <c r="AF1403" s="213"/>
      <c r="AG1403" s="213"/>
      <c r="AH1403" s="213"/>
      <c r="AI1403" s="213"/>
      <c r="AJ1403" s="213"/>
      <c r="AK1403" s="213"/>
      <c r="AL1403" s="213"/>
      <c r="AM1403" s="213"/>
      <c r="AN1403" s="213"/>
      <c r="AO1403" s="213"/>
      <c r="AP1403" s="213"/>
    </row>
    <row r="1404" spans="1:25" s="107" customFormat="1" ht="34.5" customHeight="1">
      <c r="A1404" s="796" t="s">
        <v>902</v>
      </c>
      <c r="B1404" s="236" t="s">
        <v>899</v>
      </c>
      <c r="C1404" s="743">
        <f>CEILING(17*$Z$1,0.1)</f>
        <v>21.3</v>
      </c>
      <c r="D1404" s="767"/>
      <c r="E1404" s="743">
        <f>CEILING(17*$Z$1,0.1)</f>
        <v>21.3</v>
      </c>
      <c r="F1404" s="767"/>
      <c r="G1404" s="743">
        <f>CEILING(17*$Z$1,0.1)</f>
        <v>21.3</v>
      </c>
      <c r="H1404" s="767"/>
      <c r="I1404" s="744"/>
      <c r="J1404" s="744"/>
      <c r="K1404" s="744"/>
      <c r="L1404" s="744"/>
      <c r="M1404" s="105"/>
      <c r="N1404" s="105"/>
      <c r="O1404" s="105"/>
      <c r="P1404" s="105"/>
      <c r="Q1404" s="105"/>
      <c r="R1404" s="105"/>
      <c r="S1404" s="105"/>
      <c r="T1404" s="105"/>
      <c r="U1404" s="105"/>
      <c r="V1404" s="105"/>
      <c r="W1404" s="105"/>
      <c r="X1404" s="105"/>
      <c r="Y1404" s="105"/>
    </row>
    <row r="1405" spans="1:25" s="107" customFormat="1" ht="34.5" customHeight="1">
      <c r="A1405" s="143" t="s">
        <v>1112</v>
      </c>
      <c r="B1405" s="238" t="s">
        <v>900</v>
      </c>
      <c r="C1405" s="746">
        <f>CEILING((C1404+11*$Z$1),0.1)</f>
        <v>35.1</v>
      </c>
      <c r="D1405" s="768"/>
      <c r="E1405" s="746">
        <f>CEILING((E1404+11*$Z$1),0.1)</f>
        <v>35.1</v>
      </c>
      <c r="F1405" s="768"/>
      <c r="G1405" s="746">
        <f>CEILING((G1404+11*$Z$1),0.1)</f>
        <v>35.1</v>
      </c>
      <c r="H1405" s="768"/>
      <c r="I1405" s="744"/>
      <c r="J1405" s="744"/>
      <c r="K1405" s="744"/>
      <c r="L1405" s="744"/>
      <c r="M1405" s="105"/>
      <c r="N1405" s="105"/>
      <c r="O1405" s="105"/>
      <c r="P1405" s="105"/>
      <c r="Q1405" s="105"/>
      <c r="R1405" s="105"/>
      <c r="S1405" s="105"/>
      <c r="T1405" s="105"/>
      <c r="U1405" s="105"/>
      <c r="V1405" s="105"/>
      <c r="W1405" s="105"/>
      <c r="X1405" s="105"/>
      <c r="Y1405" s="105"/>
    </row>
    <row r="1406" spans="1:25" s="107" customFormat="1" ht="34.5" customHeight="1" thickBot="1">
      <c r="A1406" s="461" t="s">
        <v>423</v>
      </c>
      <c r="B1406" s="243" t="s">
        <v>62</v>
      </c>
      <c r="C1406" s="790">
        <f>CEILING((C1404*0.5),0.1)</f>
        <v>10.700000000000001</v>
      </c>
      <c r="D1406" s="791"/>
      <c r="E1406" s="790">
        <f>CEILING((E1404*0.5),0.1)</f>
        <v>10.700000000000001</v>
      </c>
      <c r="F1406" s="791"/>
      <c r="G1406" s="790">
        <f>CEILING((G1404*0.5),0.1)</f>
        <v>10.700000000000001</v>
      </c>
      <c r="H1406" s="791"/>
      <c r="I1406" s="744"/>
      <c r="J1406" s="744"/>
      <c r="K1406" s="744"/>
      <c r="L1406" s="744"/>
      <c r="M1406" s="105"/>
      <c r="N1406" s="105"/>
      <c r="O1406" s="105"/>
      <c r="P1406" s="105"/>
      <c r="Q1406" s="105"/>
      <c r="R1406" s="105"/>
      <c r="S1406" s="105"/>
      <c r="T1406" s="105"/>
      <c r="U1406" s="105"/>
      <c r="V1406" s="105"/>
      <c r="W1406" s="105"/>
      <c r="X1406" s="105"/>
      <c r="Y1406" s="105"/>
    </row>
    <row r="1407" spans="1:25" s="107" customFormat="1" ht="34.5" customHeight="1" thickTop="1">
      <c r="A1407" s="397" t="s">
        <v>743</v>
      </c>
      <c r="B1407" s="397"/>
      <c r="C1407" s="397"/>
      <c r="D1407" s="397"/>
      <c r="E1407" s="397"/>
      <c r="F1407" s="397"/>
      <c r="G1407" s="397"/>
      <c r="H1407" s="397"/>
      <c r="I1407" s="451"/>
      <c r="J1407" s="811"/>
      <c r="K1407" s="811"/>
      <c r="L1407" s="811"/>
      <c r="M1407" s="105"/>
      <c r="N1407" s="105"/>
      <c r="O1407" s="105"/>
      <c r="P1407" s="105"/>
      <c r="Q1407" s="105"/>
      <c r="R1407" s="105"/>
      <c r="S1407" s="105"/>
      <c r="T1407" s="105"/>
      <c r="U1407" s="105"/>
      <c r="V1407" s="105"/>
      <c r="W1407" s="105"/>
      <c r="X1407" s="105"/>
      <c r="Y1407" s="105"/>
    </row>
    <row r="1408" spans="1:25" s="107" customFormat="1" ht="34.5" customHeight="1">
      <c r="A1408" s="397" t="s">
        <v>755</v>
      </c>
      <c r="B1408" s="397"/>
      <c r="C1408" s="397"/>
      <c r="D1408" s="397"/>
      <c r="E1408" s="397"/>
      <c r="F1408" s="397"/>
      <c r="G1408" s="397"/>
      <c r="H1408" s="397"/>
      <c r="I1408" s="451"/>
      <c r="J1408" s="811"/>
      <c r="K1408" s="811"/>
      <c r="L1408" s="811"/>
      <c r="M1408" s="105"/>
      <c r="N1408" s="105"/>
      <c r="O1408" s="105"/>
      <c r="P1408" s="105"/>
      <c r="Q1408" s="105"/>
      <c r="R1408" s="105"/>
      <c r="S1408" s="105"/>
      <c r="T1408" s="105"/>
      <c r="U1408" s="105"/>
      <c r="V1408" s="105"/>
      <c r="W1408" s="105"/>
      <c r="X1408" s="105"/>
      <c r="Y1408" s="105"/>
    </row>
    <row r="1409" spans="1:51" s="107" customFormat="1" ht="34.5" customHeight="1" thickBot="1">
      <c r="A1409" s="555"/>
      <c r="B1409" s="428"/>
      <c r="C1409" s="405"/>
      <c r="D1409" s="405"/>
      <c r="E1409" s="405"/>
      <c r="F1409" s="405"/>
      <c r="G1409" s="405"/>
      <c r="H1409" s="405"/>
      <c r="I1409" s="148"/>
      <c r="J1409" s="811"/>
      <c r="K1409" s="811"/>
      <c r="L1409" s="811"/>
      <c r="M1409" s="777"/>
      <c r="N1409" s="777"/>
      <c r="O1409" s="777"/>
      <c r="P1409" s="777"/>
      <c r="Q1409" s="777"/>
      <c r="R1409" s="777"/>
      <c r="S1409" s="115"/>
      <c r="T1409" s="115"/>
      <c r="U1409" s="115"/>
      <c r="V1409" s="115"/>
      <c r="W1409" s="115"/>
      <c r="X1409" s="115"/>
      <c r="Y1409" s="115"/>
      <c r="Z1409" s="140"/>
      <c r="AA1409" s="140"/>
      <c r="AB1409" s="140"/>
      <c r="AC1409" s="140"/>
      <c r="AD1409" s="140"/>
      <c r="AE1409" s="140"/>
      <c r="AF1409" s="140"/>
      <c r="AG1409" s="140"/>
      <c r="AH1409" s="140"/>
      <c r="AI1409" s="140"/>
      <c r="AJ1409" s="140"/>
      <c r="AK1409" s="140"/>
      <c r="AL1409" s="140"/>
      <c r="AM1409" s="140"/>
      <c r="AN1409" s="140"/>
      <c r="AO1409" s="140"/>
      <c r="AP1409" s="140"/>
      <c r="AQ1409" s="140"/>
      <c r="AR1409" s="140"/>
      <c r="AS1409" s="140"/>
      <c r="AT1409" s="140"/>
      <c r="AU1409" s="140"/>
      <c r="AV1409" s="140"/>
      <c r="AW1409" s="140"/>
      <c r="AX1409" s="140"/>
      <c r="AY1409" s="140"/>
    </row>
    <row r="1410" spans="1:42" s="214" customFormat="1" ht="34.5" customHeight="1" thickTop="1">
      <c r="A1410" s="207" t="s">
        <v>34</v>
      </c>
      <c r="B1410" s="208" t="s">
        <v>91</v>
      </c>
      <c r="C1410" s="209" t="s">
        <v>986</v>
      </c>
      <c r="D1410" s="210"/>
      <c r="E1410" s="211" t="s">
        <v>922</v>
      </c>
      <c r="F1410" s="212"/>
      <c r="G1410" s="211" t="s">
        <v>923</v>
      </c>
      <c r="H1410" s="212"/>
      <c r="I1410" s="1070"/>
      <c r="J1410" s="1071"/>
      <c r="K1410" s="1070"/>
      <c r="L1410" s="1070"/>
      <c r="M1410" s="174"/>
      <c r="N1410" s="174"/>
      <c r="O1410" s="213"/>
      <c r="P1410" s="213"/>
      <c r="Q1410" s="213"/>
      <c r="R1410" s="213"/>
      <c r="S1410" s="114"/>
      <c r="T1410" s="105"/>
      <c r="U1410" s="105"/>
      <c r="V1410" s="105"/>
      <c r="W1410" s="105"/>
      <c r="X1410" s="105"/>
      <c r="Y1410" s="105"/>
      <c r="Z1410" s="114"/>
      <c r="AA1410" s="213"/>
      <c r="AB1410" s="213"/>
      <c r="AC1410" s="213"/>
      <c r="AD1410" s="213"/>
      <c r="AE1410" s="213"/>
      <c r="AF1410" s="213"/>
      <c r="AG1410" s="213"/>
      <c r="AH1410" s="213"/>
      <c r="AI1410" s="213"/>
      <c r="AJ1410" s="213"/>
      <c r="AK1410" s="213"/>
      <c r="AL1410" s="213"/>
      <c r="AM1410" s="213"/>
      <c r="AN1410" s="213"/>
      <c r="AO1410" s="213"/>
      <c r="AP1410" s="213"/>
    </row>
    <row r="1411" spans="1:51" s="107" customFormat="1" ht="34.5" customHeight="1">
      <c r="A1411" s="796" t="s">
        <v>893</v>
      </c>
      <c r="B1411" s="236" t="s">
        <v>595</v>
      </c>
      <c r="C1411" s="754"/>
      <c r="D1411" s="755"/>
      <c r="E1411" s="754"/>
      <c r="F1411" s="755"/>
      <c r="G1411" s="754"/>
      <c r="H1411" s="755"/>
      <c r="I1411" s="744"/>
      <c r="J1411" s="744"/>
      <c r="K1411" s="744"/>
      <c r="L1411" s="744"/>
      <c r="M1411" s="777"/>
      <c r="N1411" s="777"/>
      <c r="O1411" s="777"/>
      <c r="P1411" s="777"/>
      <c r="Q1411" s="777"/>
      <c r="R1411" s="777"/>
      <c r="S1411" s="115"/>
      <c r="T1411" s="115"/>
      <c r="U1411" s="115"/>
      <c r="V1411" s="115"/>
      <c r="W1411" s="115"/>
      <c r="X1411" s="115"/>
      <c r="Y1411" s="115"/>
      <c r="Z1411" s="140"/>
      <c r="AA1411" s="140"/>
      <c r="AB1411" s="140"/>
      <c r="AC1411" s="140"/>
      <c r="AD1411" s="140"/>
      <c r="AE1411" s="140"/>
      <c r="AF1411" s="140"/>
      <c r="AG1411" s="140"/>
      <c r="AH1411" s="140"/>
      <c r="AI1411" s="140"/>
      <c r="AJ1411" s="140"/>
      <c r="AK1411" s="140"/>
      <c r="AL1411" s="140"/>
      <c r="AM1411" s="140"/>
      <c r="AN1411" s="140"/>
      <c r="AO1411" s="140"/>
      <c r="AP1411" s="140"/>
      <c r="AQ1411" s="140"/>
      <c r="AR1411" s="140"/>
      <c r="AS1411" s="140"/>
      <c r="AT1411" s="140"/>
      <c r="AU1411" s="140"/>
      <c r="AV1411" s="140"/>
      <c r="AW1411" s="140"/>
      <c r="AX1411" s="140"/>
      <c r="AY1411" s="140"/>
    </row>
    <row r="1412" spans="1:51" s="107" customFormat="1" ht="34.5" customHeight="1">
      <c r="A1412" s="143"/>
      <c r="B1412" s="238" t="s">
        <v>507</v>
      </c>
      <c r="C1412" s="747"/>
      <c r="D1412" s="756"/>
      <c r="E1412" s="747"/>
      <c r="F1412" s="756"/>
      <c r="G1412" s="747"/>
      <c r="H1412" s="756"/>
      <c r="I1412" s="744"/>
      <c r="J1412" s="744"/>
      <c r="K1412" s="744"/>
      <c r="L1412" s="744"/>
      <c r="M1412" s="777"/>
      <c r="N1412" s="777"/>
      <c r="O1412" s="777"/>
      <c r="P1412" s="777"/>
      <c r="Q1412" s="777"/>
      <c r="R1412" s="777"/>
      <c r="S1412" s="115"/>
      <c r="T1412" s="115"/>
      <c r="U1412" s="115"/>
      <c r="V1412" s="115"/>
      <c r="W1412" s="115"/>
      <c r="X1412" s="115"/>
      <c r="Y1412" s="115"/>
      <c r="Z1412" s="140"/>
      <c r="AA1412" s="140"/>
      <c r="AB1412" s="140"/>
      <c r="AC1412" s="140"/>
      <c r="AD1412" s="140"/>
      <c r="AE1412" s="140"/>
      <c r="AF1412" s="140"/>
      <c r="AG1412" s="140"/>
      <c r="AH1412" s="140"/>
      <c r="AI1412" s="140"/>
      <c r="AJ1412" s="140"/>
      <c r="AK1412" s="140"/>
      <c r="AL1412" s="140"/>
      <c r="AM1412" s="140"/>
      <c r="AN1412" s="140"/>
      <c r="AO1412" s="140"/>
      <c r="AP1412" s="140"/>
      <c r="AQ1412" s="140"/>
      <c r="AR1412" s="140"/>
      <c r="AS1412" s="140"/>
      <c r="AT1412" s="140"/>
      <c r="AU1412" s="140"/>
      <c r="AV1412" s="140"/>
      <c r="AW1412" s="140"/>
      <c r="AX1412" s="140"/>
      <c r="AY1412" s="140"/>
    </row>
    <row r="1413" spans="1:51" s="107" customFormat="1" ht="34.5" customHeight="1">
      <c r="A1413" s="133" t="s">
        <v>989</v>
      </c>
      <c r="B1413" s="238" t="s">
        <v>38</v>
      </c>
      <c r="C1413" s="747"/>
      <c r="D1413" s="756"/>
      <c r="E1413" s="747"/>
      <c r="F1413" s="756"/>
      <c r="G1413" s="747"/>
      <c r="H1413" s="756"/>
      <c r="I1413" s="744"/>
      <c r="J1413" s="744"/>
      <c r="K1413" s="744"/>
      <c r="L1413" s="744"/>
      <c r="M1413" s="777"/>
      <c r="N1413" s="777"/>
      <c r="O1413" s="777"/>
      <c r="P1413" s="777"/>
      <c r="Q1413" s="777"/>
      <c r="R1413" s="777"/>
      <c r="S1413" s="115"/>
      <c r="T1413" s="115"/>
      <c r="U1413" s="115"/>
      <c r="V1413" s="115"/>
      <c r="W1413" s="115"/>
      <c r="X1413" s="115"/>
      <c r="Y1413" s="115"/>
      <c r="Z1413" s="140"/>
      <c r="AA1413" s="140"/>
      <c r="AB1413" s="140"/>
      <c r="AC1413" s="140"/>
      <c r="AD1413" s="140"/>
      <c r="AE1413" s="140"/>
      <c r="AF1413" s="140"/>
      <c r="AG1413" s="140"/>
      <c r="AH1413" s="140"/>
      <c r="AI1413" s="140"/>
      <c r="AJ1413" s="140"/>
      <c r="AK1413" s="140"/>
      <c r="AL1413" s="140"/>
      <c r="AM1413" s="140"/>
      <c r="AN1413" s="140"/>
      <c r="AO1413" s="140"/>
      <c r="AP1413" s="140"/>
      <c r="AQ1413" s="140"/>
      <c r="AR1413" s="140"/>
      <c r="AS1413" s="140"/>
      <c r="AT1413" s="140"/>
      <c r="AU1413" s="140"/>
      <c r="AV1413" s="140"/>
      <c r="AW1413" s="140"/>
      <c r="AX1413" s="140"/>
      <c r="AY1413" s="140"/>
    </row>
    <row r="1414" spans="1:51" s="107" customFormat="1" ht="34.5" customHeight="1" thickBot="1">
      <c r="A1414" s="461" t="s">
        <v>315</v>
      </c>
      <c r="B1414" s="243" t="s">
        <v>62</v>
      </c>
      <c r="C1414" s="758"/>
      <c r="D1414" s="759"/>
      <c r="E1414" s="758"/>
      <c r="F1414" s="759"/>
      <c r="G1414" s="758"/>
      <c r="H1414" s="759"/>
      <c r="I1414" s="744"/>
      <c r="J1414" s="744"/>
      <c r="K1414" s="744"/>
      <c r="L1414" s="744"/>
      <c r="M1414" s="777"/>
      <c r="N1414" s="777"/>
      <c r="O1414" s="777"/>
      <c r="P1414" s="777"/>
      <c r="Q1414" s="777"/>
      <c r="R1414" s="777"/>
      <c r="S1414" s="115"/>
      <c r="T1414" s="115"/>
      <c r="U1414" s="115"/>
      <c r="V1414" s="115"/>
      <c r="W1414" s="115"/>
      <c r="X1414" s="115"/>
      <c r="Y1414" s="115"/>
      <c r="Z1414" s="140"/>
      <c r="AA1414" s="140"/>
      <c r="AB1414" s="140"/>
      <c r="AC1414" s="140"/>
      <c r="AD1414" s="140"/>
      <c r="AE1414" s="140"/>
      <c r="AF1414" s="140"/>
      <c r="AG1414" s="140"/>
      <c r="AH1414" s="140"/>
      <c r="AI1414" s="140"/>
      <c r="AJ1414" s="140"/>
      <c r="AK1414" s="140"/>
      <c r="AL1414" s="140"/>
      <c r="AM1414" s="140"/>
      <c r="AN1414" s="140"/>
      <c r="AO1414" s="140"/>
      <c r="AP1414" s="140"/>
      <c r="AQ1414" s="140"/>
      <c r="AR1414" s="140"/>
      <c r="AS1414" s="140"/>
      <c r="AT1414" s="140"/>
      <c r="AU1414" s="140"/>
      <c r="AV1414" s="140"/>
      <c r="AW1414" s="140"/>
      <c r="AX1414" s="140"/>
      <c r="AY1414" s="140"/>
    </row>
    <row r="1415" spans="1:51" s="107" customFormat="1" ht="34.5" customHeight="1" thickTop="1">
      <c r="A1415" s="397" t="s">
        <v>743</v>
      </c>
      <c r="B1415" s="397"/>
      <c r="C1415" s="397"/>
      <c r="D1415" s="397"/>
      <c r="E1415" s="397"/>
      <c r="F1415" s="397"/>
      <c r="G1415" s="397"/>
      <c r="H1415" s="397"/>
      <c r="I1415" s="124"/>
      <c r="J1415" s="105"/>
      <c r="K1415" s="113"/>
      <c r="L1415" s="138"/>
      <c r="M1415" s="105"/>
      <c r="N1415" s="115"/>
      <c r="O1415" s="115"/>
      <c r="P1415" s="115"/>
      <c r="Q1415" s="115"/>
      <c r="R1415" s="115"/>
      <c r="S1415" s="115"/>
      <c r="T1415" s="115"/>
      <c r="U1415" s="115"/>
      <c r="V1415" s="115"/>
      <c r="W1415" s="115"/>
      <c r="X1415" s="115"/>
      <c r="Y1415" s="115"/>
      <c r="Z1415" s="140"/>
      <c r="AA1415" s="140"/>
      <c r="AB1415" s="140"/>
      <c r="AC1415" s="140"/>
      <c r="AD1415" s="140"/>
      <c r="AE1415" s="140"/>
      <c r="AF1415" s="140"/>
      <c r="AG1415" s="140"/>
      <c r="AH1415" s="140"/>
      <c r="AI1415" s="140"/>
      <c r="AJ1415" s="140"/>
      <c r="AK1415" s="140"/>
      <c r="AL1415" s="140"/>
      <c r="AM1415" s="140"/>
      <c r="AN1415" s="140"/>
      <c r="AO1415" s="140"/>
      <c r="AP1415" s="140"/>
      <c r="AQ1415" s="140"/>
      <c r="AR1415" s="140"/>
      <c r="AS1415" s="140"/>
      <c r="AT1415" s="140"/>
      <c r="AU1415" s="140"/>
      <c r="AV1415" s="140"/>
      <c r="AW1415" s="140"/>
      <c r="AX1415" s="140"/>
      <c r="AY1415" s="140"/>
    </row>
    <row r="1416" spans="1:51" s="107" customFormat="1" ht="34.5" customHeight="1">
      <c r="A1416" s="397" t="s">
        <v>887</v>
      </c>
      <c r="B1416" s="397"/>
      <c r="C1416" s="397"/>
      <c r="D1416" s="397"/>
      <c r="E1416" s="397"/>
      <c r="F1416" s="397"/>
      <c r="G1416" s="397"/>
      <c r="H1416" s="397"/>
      <c r="I1416" s="124"/>
      <c r="J1416" s="105"/>
      <c r="K1416" s="113"/>
      <c r="L1416" s="138"/>
      <c r="M1416" s="105"/>
      <c r="N1416" s="115"/>
      <c r="O1416" s="115"/>
      <c r="P1416" s="115"/>
      <c r="Q1416" s="115"/>
      <c r="R1416" s="115"/>
      <c r="S1416" s="115"/>
      <c r="T1416" s="115"/>
      <c r="U1416" s="115"/>
      <c r="V1416" s="115"/>
      <c r="W1416" s="115"/>
      <c r="X1416" s="115"/>
      <c r="Y1416" s="115"/>
      <c r="Z1416" s="140"/>
      <c r="AA1416" s="140"/>
      <c r="AB1416" s="140"/>
      <c r="AC1416" s="140"/>
      <c r="AD1416" s="140"/>
      <c r="AE1416" s="140"/>
      <c r="AF1416" s="140"/>
      <c r="AG1416" s="140"/>
      <c r="AH1416" s="140"/>
      <c r="AI1416" s="140"/>
      <c r="AJ1416" s="140"/>
      <c r="AK1416" s="140"/>
      <c r="AL1416" s="140"/>
      <c r="AM1416" s="140"/>
      <c r="AN1416" s="140"/>
      <c r="AO1416" s="140"/>
      <c r="AP1416" s="140"/>
      <c r="AQ1416" s="140"/>
      <c r="AR1416" s="140"/>
      <c r="AS1416" s="140"/>
      <c r="AT1416" s="140"/>
      <c r="AU1416" s="140"/>
      <c r="AV1416" s="140"/>
      <c r="AW1416" s="140"/>
      <c r="AX1416" s="140"/>
      <c r="AY1416" s="140"/>
    </row>
    <row r="1417" spans="1:25" s="107" customFormat="1" ht="34.5" customHeight="1" thickBot="1">
      <c r="A1417" s="285"/>
      <c r="B1417" s="124"/>
      <c r="C1417" s="148"/>
      <c r="D1417" s="148"/>
      <c r="E1417" s="148"/>
      <c r="F1417" s="148"/>
      <c r="G1417" s="148"/>
      <c r="H1417" s="148"/>
      <c r="I1417" s="148"/>
      <c r="J1417" s="148"/>
      <c r="K1417" s="113"/>
      <c r="L1417" s="138"/>
      <c r="M1417" s="105"/>
      <c r="N1417" s="105"/>
      <c r="O1417" s="105"/>
      <c r="P1417" s="105"/>
      <c r="Q1417" s="105"/>
      <c r="R1417" s="105"/>
      <c r="S1417" s="105"/>
      <c r="T1417" s="105"/>
      <c r="U1417" s="105"/>
      <c r="V1417" s="105"/>
      <c r="W1417" s="105"/>
      <c r="X1417" s="105"/>
      <c r="Y1417" s="105"/>
    </row>
    <row r="1418" spans="1:42" s="214" customFormat="1" ht="34.5" customHeight="1" thickTop="1">
      <c r="A1418" s="207" t="s">
        <v>34</v>
      </c>
      <c r="B1418" s="208" t="s">
        <v>91</v>
      </c>
      <c r="C1418" s="209" t="s">
        <v>1061</v>
      </c>
      <c r="D1418" s="210"/>
      <c r="E1418" s="211" t="s">
        <v>922</v>
      </c>
      <c r="F1418" s="212"/>
      <c r="G1418" s="211" t="s">
        <v>923</v>
      </c>
      <c r="H1418" s="212"/>
      <c r="I1418" s="1070"/>
      <c r="J1418" s="1071"/>
      <c r="K1418" s="1070"/>
      <c r="L1418" s="1070"/>
      <c r="M1418" s="174"/>
      <c r="N1418" s="174"/>
      <c r="O1418" s="213"/>
      <c r="P1418" s="213"/>
      <c r="Q1418" s="213"/>
      <c r="R1418" s="213"/>
      <c r="S1418" s="114"/>
      <c r="T1418" s="105"/>
      <c r="U1418" s="105"/>
      <c r="V1418" s="105"/>
      <c r="W1418" s="105"/>
      <c r="X1418" s="105"/>
      <c r="Y1418" s="105"/>
      <c r="Z1418" s="114"/>
      <c r="AA1418" s="213"/>
      <c r="AB1418" s="213"/>
      <c r="AC1418" s="213"/>
      <c r="AD1418" s="213"/>
      <c r="AE1418" s="213"/>
      <c r="AF1418" s="213"/>
      <c r="AG1418" s="213"/>
      <c r="AH1418" s="213"/>
      <c r="AI1418" s="213"/>
      <c r="AJ1418" s="213"/>
      <c r="AK1418" s="213"/>
      <c r="AL1418" s="213"/>
      <c r="AM1418" s="213"/>
      <c r="AN1418" s="213"/>
      <c r="AO1418" s="213"/>
      <c r="AP1418" s="213"/>
    </row>
    <row r="1419" spans="1:25" s="107" customFormat="1" ht="34.5" customHeight="1">
      <c r="A1419" s="796" t="s">
        <v>513</v>
      </c>
      <c r="B1419" s="236" t="s">
        <v>42</v>
      </c>
      <c r="C1419" s="743">
        <f>CEILING(37*$Z$1,0.1)</f>
        <v>46.300000000000004</v>
      </c>
      <c r="D1419" s="767"/>
      <c r="E1419" s="743">
        <f>CEILING(36.4*$Z$1,0.1)</f>
        <v>45.5</v>
      </c>
      <c r="F1419" s="767"/>
      <c r="G1419" s="743">
        <f>CEILING(37*$Z$1,0.1)</f>
        <v>46.300000000000004</v>
      </c>
      <c r="H1419" s="767"/>
      <c r="I1419" s="744"/>
      <c r="J1419" s="744"/>
      <c r="K1419" s="744"/>
      <c r="L1419" s="744"/>
      <c r="M1419" s="105"/>
      <c r="N1419" s="105"/>
      <c r="O1419" s="105"/>
      <c r="P1419" s="105"/>
      <c r="Q1419" s="105"/>
      <c r="R1419" s="105"/>
      <c r="S1419" s="105"/>
      <c r="T1419" s="105"/>
      <c r="U1419" s="105"/>
      <c r="V1419" s="105"/>
      <c r="W1419" s="105"/>
      <c r="X1419" s="105"/>
      <c r="Y1419" s="105"/>
    </row>
    <row r="1420" spans="1:25" s="107" customFormat="1" ht="34.5" customHeight="1">
      <c r="A1420" s="455" t="s">
        <v>1098</v>
      </c>
      <c r="B1420" s="238" t="s">
        <v>43</v>
      </c>
      <c r="C1420" s="746">
        <f>CEILING((C1419+15*$Z$1),0.1)</f>
        <v>65.10000000000001</v>
      </c>
      <c r="D1420" s="768"/>
      <c r="E1420" s="746">
        <f>CEILING((E1419+15*$Z$1),0.1)</f>
        <v>64.3</v>
      </c>
      <c r="F1420" s="768"/>
      <c r="G1420" s="746">
        <f>CEILING((G1419+15*$Z$1),0.1)</f>
        <v>65.10000000000001</v>
      </c>
      <c r="H1420" s="768"/>
      <c r="I1420" s="744"/>
      <c r="J1420" s="744"/>
      <c r="K1420" s="744"/>
      <c r="L1420" s="744"/>
      <c r="M1420" s="105"/>
      <c r="N1420" s="105"/>
      <c r="O1420" s="105"/>
      <c r="P1420" s="105"/>
      <c r="Q1420" s="105"/>
      <c r="R1420" s="105"/>
      <c r="S1420" s="105"/>
      <c r="T1420" s="105"/>
      <c r="U1420" s="105"/>
      <c r="V1420" s="105"/>
      <c r="W1420" s="105"/>
      <c r="X1420" s="105"/>
      <c r="Y1420" s="105"/>
    </row>
    <row r="1421" spans="1:25" s="107" customFormat="1" ht="34.5" customHeight="1" thickBot="1">
      <c r="A1421" s="555" t="s">
        <v>508</v>
      </c>
      <c r="B1421" s="297" t="s">
        <v>409</v>
      </c>
      <c r="C1421" s="790">
        <f>CEILING((C1419*0),0.1)</f>
        <v>0</v>
      </c>
      <c r="D1421" s="791"/>
      <c r="E1421" s="790">
        <f>CEILING((E1419*0),0.1)</f>
        <v>0</v>
      </c>
      <c r="F1421" s="791"/>
      <c r="G1421" s="790">
        <f>CEILING((G1419*0),0.1)</f>
        <v>0</v>
      </c>
      <c r="H1421" s="791"/>
      <c r="I1421" s="744"/>
      <c r="J1421" s="744"/>
      <c r="K1421" s="744"/>
      <c r="L1421" s="744"/>
      <c r="M1421" s="105"/>
      <c r="N1421" s="105"/>
      <c r="O1421" s="105"/>
      <c r="P1421" s="105"/>
      <c r="Q1421" s="105"/>
      <c r="R1421" s="105"/>
      <c r="S1421" s="105"/>
      <c r="T1421" s="105"/>
      <c r="U1421" s="105"/>
      <c r="V1421" s="105"/>
      <c r="W1421" s="105"/>
      <c r="X1421" s="105"/>
      <c r="Y1421" s="105"/>
    </row>
    <row r="1422" spans="1:25" s="107" customFormat="1" ht="34.5" customHeight="1" thickTop="1">
      <c r="A1422" s="397" t="s">
        <v>743</v>
      </c>
      <c r="B1422" s="397"/>
      <c r="C1422" s="397"/>
      <c r="D1422" s="397"/>
      <c r="E1422" s="397"/>
      <c r="F1422" s="397"/>
      <c r="G1422" s="397"/>
      <c r="H1422" s="397"/>
      <c r="I1422" s="451"/>
      <c r="J1422" s="811"/>
      <c r="K1422" s="811"/>
      <c r="L1422" s="811"/>
      <c r="M1422" s="105"/>
      <c r="N1422" s="105"/>
      <c r="O1422" s="105"/>
      <c r="P1422" s="105"/>
      <c r="Q1422" s="105"/>
      <c r="R1422" s="105"/>
      <c r="S1422" s="105"/>
      <c r="T1422" s="105"/>
      <c r="U1422" s="105"/>
      <c r="V1422" s="105"/>
      <c r="W1422" s="105"/>
      <c r="X1422" s="105"/>
      <c r="Y1422" s="105"/>
    </row>
    <row r="1423" spans="1:26" s="167" customFormat="1" ht="29.25" customHeight="1">
      <c r="A1423" s="163"/>
      <c r="B1423" s="188"/>
      <c r="C1423" s="163"/>
      <c r="D1423" s="163"/>
      <c r="E1423" s="163"/>
      <c r="F1423" s="163"/>
      <c r="G1423" s="163"/>
      <c r="H1423" s="163"/>
      <c r="I1423" s="189"/>
      <c r="J1423" s="189"/>
      <c r="K1423" s="190"/>
      <c r="L1423" s="190"/>
      <c r="M1423" s="191"/>
      <c r="N1423" s="191"/>
      <c r="O1423" s="166"/>
      <c r="P1423" s="166"/>
      <c r="Q1423" s="166"/>
      <c r="R1423" s="166"/>
      <c r="S1423" s="166"/>
      <c r="T1423" s="105"/>
      <c r="U1423" s="105"/>
      <c r="V1423" s="105"/>
      <c r="W1423" s="105"/>
      <c r="X1423" s="105"/>
      <c r="Y1423" s="105"/>
      <c r="Z1423" s="107"/>
    </row>
    <row r="1424" spans="1:15" s="140" customFormat="1" ht="34.5" customHeight="1" thickBot="1">
      <c r="A1424" s="397"/>
      <c r="B1424" s="397"/>
      <c r="C1424" s="397"/>
      <c r="D1424" s="397"/>
      <c r="E1424" s="397"/>
      <c r="F1424" s="397"/>
      <c r="G1424" s="397"/>
      <c r="H1424" s="397"/>
      <c r="I1424" s="397"/>
      <c r="J1424" s="813"/>
      <c r="K1424" s="114"/>
      <c r="L1424" s="114"/>
      <c r="M1424" s="814"/>
      <c r="N1424" s="814"/>
      <c r="O1424" s="814"/>
    </row>
    <row r="1425" spans="1:42" s="214" customFormat="1" ht="34.5" customHeight="1" thickTop="1">
      <c r="A1425" s="207" t="s">
        <v>34</v>
      </c>
      <c r="B1425" s="208" t="s">
        <v>91</v>
      </c>
      <c r="C1425" s="209" t="s">
        <v>921</v>
      </c>
      <c r="D1425" s="210"/>
      <c r="E1425" s="211" t="s">
        <v>922</v>
      </c>
      <c r="F1425" s="212"/>
      <c r="G1425" s="211" t="s">
        <v>923</v>
      </c>
      <c r="H1425" s="212"/>
      <c r="I1425" s="1070"/>
      <c r="J1425" s="1071"/>
      <c r="K1425" s="1070"/>
      <c r="L1425" s="1070"/>
      <c r="M1425" s="174"/>
      <c r="N1425" s="174"/>
      <c r="O1425" s="213"/>
      <c r="P1425" s="213"/>
      <c r="Q1425" s="213"/>
      <c r="R1425" s="213"/>
      <c r="S1425" s="114"/>
      <c r="T1425" s="105"/>
      <c r="U1425" s="105"/>
      <c r="V1425" s="105"/>
      <c r="W1425" s="105"/>
      <c r="X1425" s="105"/>
      <c r="Y1425" s="105"/>
      <c r="Z1425" s="114"/>
      <c r="AA1425" s="213"/>
      <c r="AB1425" s="213"/>
      <c r="AC1425" s="213"/>
      <c r="AD1425" s="213"/>
      <c r="AE1425" s="213"/>
      <c r="AF1425" s="213"/>
      <c r="AG1425" s="213"/>
      <c r="AH1425" s="213"/>
      <c r="AI1425" s="213"/>
      <c r="AJ1425" s="213"/>
      <c r="AK1425" s="213"/>
      <c r="AL1425" s="213"/>
      <c r="AM1425" s="213"/>
      <c r="AN1425" s="213"/>
      <c r="AO1425" s="213"/>
      <c r="AP1425" s="213"/>
    </row>
    <row r="1426" spans="1:15" s="107" customFormat="1" ht="34.5" customHeight="1">
      <c r="A1426" s="815" t="s">
        <v>523</v>
      </c>
      <c r="B1426" s="236" t="s">
        <v>42</v>
      </c>
      <c r="C1426" s="754">
        <f>CEILING(32*$Z$1,0.1)</f>
        <v>40</v>
      </c>
      <c r="D1426" s="755"/>
      <c r="E1426" s="754">
        <f>CEILING(32*$Z$1,0.1)</f>
        <v>40</v>
      </c>
      <c r="F1426" s="755"/>
      <c r="G1426" s="754">
        <f>CEILING(32*$Z$1,0.1)</f>
        <v>40</v>
      </c>
      <c r="H1426" s="755"/>
      <c r="I1426" s="744"/>
      <c r="J1426" s="744"/>
      <c r="K1426" s="744"/>
      <c r="L1426" s="744"/>
      <c r="M1426" s="137"/>
      <c r="N1426" s="137"/>
      <c r="O1426" s="137"/>
    </row>
    <row r="1427" spans="1:15" s="107" customFormat="1" ht="34.5" customHeight="1">
      <c r="A1427" s="378" t="s">
        <v>139</v>
      </c>
      <c r="B1427" s="238" t="s">
        <v>43</v>
      </c>
      <c r="C1427" s="747">
        <f>CEILING((C1426+5*$Z$1),0.1)</f>
        <v>46.300000000000004</v>
      </c>
      <c r="D1427" s="756"/>
      <c r="E1427" s="747">
        <f>CEILING((E1426+5*$Z$1),0.1)</f>
        <v>46.300000000000004</v>
      </c>
      <c r="F1427" s="756"/>
      <c r="G1427" s="747">
        <f>CEILING((G1426+5*$Z$1),0.1)</f>
        <v>46.300000000000004</v>
      </c>
      <c r="H1427" s="756"/>
      <c r="I1427" s="744"/>
      <c r="J1427" s="744"/>
      <c r="K1427" s="744"/>
      <c r="L1427" s="744"/>
      <c r="M1427" s="137"/>
      <c r="N1427" s="137"/>
      <c r="O1427" s="137"/>
    </row>
    <row r="1428" spans="1:15" s="107" customFormat="1" ht="34.5" customHeight="1" thickBot="1">
      <c r="A1428" s="555" t="s">
        <v>521</v>
      </c>
      <c r="B1428" s="297" t="s">
        <v>756</v>
      </c>
      <c r="C1428" s="758">
        <f>CEILING((C1426*0),0.1)</f>
        <v>0</v>
      </c>
      <c r="D1428" s="759"/>
      <c r="E1428" s="758">
        <f>CEILING((E1426*0),0.1)</f>
        <v>0</v>
      </c>
      <c r="F1428" s="759"/>
      <c r="G1428" s="758">
        <f>CEILING((G1426*0),0.1)</f>
        <v>0</v>
      </c>
      <c r="H1428" s="759"/>
      <c r="I1428" s="744"/>
      <c r="J1428" s="744"/>
      <c r="K1428" s="744"/>
      <c r="L1428" s="744"/>
      <c r="M1428" s="137"/>
      <c r="N1428" s="137"/>
      <c r="O1428" s="137"/>
    </row>
    <row r="1429" spans="1:25" s="817" customFormat="1" ht="34.5" customHeight="1" thickTop="1">
      <c r="A1429" s="816"/>
      <c r="B1429" s="793"/>
      <c r="C1429" s="397"/>
      <c r="D1429" s="397"/>
      <c r="E1429" s="397"/>
      <c r="F1429" s="397"/>
      <c r="G1429" s="397"/>
      <c r="H1429" s="397"/>
      <c r="I1429" s="397"/>
      <c r="J1429" s="292"/>
      <c r="K1429" s="157"/>
      <c r="L1429" s="157"/>
      <c r="M1429" s="105"/>
      <c r="N1429" s="105"/>
      <c r="O1429" s="105"/>
      <c r="P1429" s="105"/>
      <c r="Q1429" s="105"/>
      <c r="R1429" s="105"/>
      <c r="S1429" s="105"/>
      <c r="T1429" s="105"/>
      <c r="U1429" s="105"/>
      <c r="V1429" s="105"/>
      <c r="W1429" s="105"/>
      <c r="X1429" s="105"/>
      <c r="Y1429" s="105"/>
    </row>
    <row r="1430" spans="1:15" s="15" customFormat="1" ht="34.5" customHeight="1">
      <c r="A1430" s="57"/>
      <c r="B1430" s="51"/>
      <c r="C1430" s="74"/>
      <c r="D1430" s="74"/>
      <c r="E1430" s="74"/>
      <c r="F1430" s="74"/>
      <c r="G1430" s="74"/>
      <c r="H1430" s="74"/>
      <c r="I1430" s="7"/>
      <c r="J1430" s="7"/>
      <c r="K1430" s="9"/>
      <c r="L1430" s="9"/>
      <c r="M1430" s="83"/>
      <c r="N1430" s="83"/>
      <c r="O1430" s="83"/>
    </row>
    <row r="1431" spans="1:15" s="15" customFormat="1" ht="34.5" customHeight="1">
      <c r="A1431" s="1110" t="s">
        <v>126</v>
      </c>
      <c r="B1431" s="1110"/>
      <c r="C1431" s="1110"/>
      <c r="D1431" s="1110"/>
      <c r="E1431" s="1110"/>
      <c r="F1431" s="1110"/>
      <c r="G1431" s="1110"/>
      <c r="H1431" s="1110"/>
      <c r="I1431" s="1110"/>
      <c r="J1431" s="14"/>
      <c r="K1431" s="9"/>
      <c r="L1431" s="9"/>
      <c r="M1431" s="83"/>
      <c r="N1431" s="83"/>
      <c r="O1431" s="83"/>
    </row>
    <row r="1432" spans="1:15" s="15" customFormat="1" ht="34.5" customHeight="1" thickBot="1">
      <c r="A1432" s="4"/>
      <c r="B1432" s="4"/>
      <c r="C1432" s="4"/>
      <c r="D1432" s="4"/>
      <c r="E1432" s="4"/>
      <c r="F1432" s="4"/>
      <c r="G1432" s="4"/>
      <c r="H1432" s="4"/>
      <c r="I1432" s="4"/>
      <c r="J1432" s="14"/>
      <c r="K1432" s="9"/>
      <c r="L1432" s="9"/>
      <c r="M1432" s="83"/>
      <c r="N1432" s="83"/>
      <c r="O1432" s="83"/>
    </row>
    <row r="1433" spans="1:42" s="214" customFormat="1" ht="34.5" customHeight="1" thickTop="1">
      <c r="A1433" s="207" t="s">
        <v>34</v>
      </c>
      <c r="B1433" s="208" t="s">
        <v>888</v>
      </c>
      <c r="C1433" s="209" t="s">
        <v>973</v>
      </c>
      <c r="D1433" s="210"/>
      <c r="E1433" s="211" t="s">
        <v>990</v>
      </c>
      <c r="F1433" s="212"/>
      <c r="G1433" s="211" t="s">
        <v>975</v>
      </c>
      <c r="H1433" s="212"/>
      <c r="I1433" s="1070"/>
      <c r="J1433" s="1071"/>
      <c r="K1433" s="1070"/>
      <c r="L1433" s="1070"/>
      <c r="M1433" s="174"/>
      <c r="N1433" s="174"/>
      <c r="O1433" s="213"/>
      <c r="P1433" s="213"/>
      <c r="Q1433" s="213"/>
      <c r="R1433" s="213"/>
      <c r="S1433" s="114"/>
      <c r="T1433" s="105"/>
      <c r="U1433" s="105"/>
      <c r="V1433" s="105"/>
      <c r="W1433" s="105"/>
      <c r="X1433" s="105"/>
      <c r="Y1433" s="105"/>
      <c r="Z1433" s="114"/>
      <c r="AA1433" s="213"/>
      <c r="AB1433" s="213"/>
      <c r="AC1433" s="213"/>
      <c r="AD1433" s="213"/>
      <c r="AE1433" s="213"/>
      <c r="AF1433" s="213"/>
      <c r="AG1433" s="213"/>
      <c r="AH1433" s="213"/>
      <c r="AI1433" s="213"/>
      <c r="AJ1433" s="213"/>
      <c r="AK1433" s="213"/>
      <c r="AL1433" s="213"/>
      <c r="AM1433" s="213"/>
      <c r="AN1433" s="213"/>
      <c r="AO1433" s="213"/>
      <c r="AP1433" s="213"/>
    </row>
    <row r="1434" spans="1:60" s="107" customFormat="1" ht="34.5" customHeight="1">
      <c r="A1434" s="818" t="s">
        <v>288</v>
      </c>
      <c r="B1434" s="723" t="s">
        <v>289</v>
      </c>
      <c r="C1434" s="754">
        <f>CEILING(165*$Z$1,0.1)</f>
        <v>206.3</v>
      </c>
      <c r="D1434" s="755"/>
      <c r="E1434" s="754">
        <f>CEILING(140*$Z$1,0.1)</f>
        <v>175</v>
      </c>
      <c r="F1434" s="755"/>
      <c r="G1434" s="754">
        <f>CEILING(165*$Z$1,0.1)</f>
        <v>206.3</v>
      </c>
      <c r="H1434" s="755"/>
      <c r="I1434" s="744"/>
      <c r="J1434" s="744"/>
      <c r="K1434" s="744"/>
      <c r="L1434" s="744"/>
      <c r="M1434" s="158"/>
      <c r="N1434" s="158"/>
      <c r="O1434" s="158"/>
      <c r="P1434" s="158"/>
      <c r="Q1434" s="158"/>
      <c r="R1434" s="158"/>
      <c r="S1434" s="158"/>
      <c r="T1434" s="158"/>
      <c r="U1434" s="158"/>
      <c r="V1434" s="158"/>
      <c r="W1434" s="158"/>
      <c r="X1434" s="158"/>
      <c r="Y1434" s="158"/>
      <c r="Z1434" s="158"/>
      <c r="AA1434" s="158"/>
      <c r="AB1434" s="158"/>
      <c r="AC1434" s="158"/>
      <c r="AD1434" s="158"/>
      <c r="AE1434" s="158"/>
      <c r="AF1434" s="158"/>
      <c r="AG1434" s="158"/>
      <c r="AH1434" s="158"/>
      <c r="AI1434" s="158"/>
      <c r="AJ1434" s="158"/>
      <c r="AK1434" s="158"/>
      <c r="AL1434" s="158"/>
      <c r="AM1434" s="158"/>
      <c r="AN1434" s="158"/>
      <c r="AO1434" s="158"/>
      <c r="AP1434" s="158"/>
      <c r="AQ1434" s="158"/>
      <c r="AR1434" s="158"/>
      <c r="AS1434" s="158"/>
      <c r="AT1434" s="158"/>
      <c r="AU1434" s="158"/>
      <c r="AV1434" s="158"/>
      <c r="AW1434" s="158"/>
      <c r="AX1434" s="158"/>
      <c r="AY1434" s="158"/>
      <c r="AZ1434" s="158"/>
      <c r="BA1434" s="158"/>
      <c r="BB1434" s="158"/>
      <c r="BC1434" s="158"/>
      <c r="BD1434" s="158"/>
      <c r="BE1434" s="158"/>
      <c r="BF1434" s="158"/>
      <c r="BG1434" s="158"/>
      <c r="BH1434" s="158"/>
    </row>
    <row r="1435" spans="1:60" s="107" customFormat="1" ht="34.5" customHeight="1">
      <c r="A1435" s="380" t="s">
        <v>36</v>
      </c>
      <c r="B1435" s="611" t="s">
        <v>290</v>
      </c>
      <c r="C1435" s="747">
        <f>CEILING(330*$Z$1,0.1)</f>
        <v>412.5</v>
      </c>
      <c r="D1435" s="756"/>
      <c r="E1435" s="747">
        <f>CEILING(280*$Z$1,0.1)</f>
        <v>350</v>
      </c>
      <c r="F1435" s="756"/>
      <c r="G1435" s="747">
        <f>CEILING(330*$Z$1,0.1)</f>
        <v>412.5</v>
      </c>
      <c r="H1435" s="756"/>
      <c r="I1435" s="744"/>
      <c r="J1435" s="744"/>
      <c r="K1435" s="744"/>
      <c r="L1435" s="744"/>
      <c r="M1435" s="158"/>
      <c r="N1435" s="158"/>
      <c r="O1435" s="158"/>
      <c r="P1435" s="158"/>
      <c r="Q1435" s="158"/>
      <c r="R1435" s="158"/>
      <c r="S1435" s="158"/>
      <c r="T1435" s="158"/>
      <c r="U1435" s="158"/>
      <c r="V1435" s="158"/>
      <c r="W1435" s="158"/>
      <c r="X1435" s="158"/>
      <c r="Y1435" s="158"/>
      <c r="Z1435" s="158"/>
      <c r="AA1435" s="158"/>
      <c r="AB1435" s="158"/>
      <c r="AC1435" s="158"/>
      <c r="AD1435" s="158"/>
      <c r="AE1435" s="158"/>
      <c r="AF1435" s="158"/>
      <c r="AG1435" s="158"/>
      <c r="AH1435" s="158"/>
      <c r="AI1435" s="158"/>
      <c r="AJ1435" s="158"/>
      <c r="AK1435" s="158"/>
      <c r="AL1435" s="158"/>
      <c r="AM1435" s="158"/>
      <c r="AN1435" s="158"/>
      <c r="AO1435" s="158"/>
      <c r="AP1435" s="158"/>
      <c r="AQ1435" s="158"/>
      <c r="AR1435" s="158"/>
      <c r="AS1435" s="158"/>
      <c r="AT1435" s="158"/>
      <c r="AU1435" s="158"/>
      <c r="AV1435" s="158"/>
      <c r="AW1435" s="158"/>
      <c r="AX1435" s="158"/>
      <c r="AY1435" s="158"/>
      <c r="AZ1435" s="158"/>
      <c r="BA1435" s="158"/>
      <c r="BB1435" s="158"/>
      <c r="BC1435" s="158"/>
      <c r="BD1435" s="158"/>
      <c r="BE1435" s="158"/>
      <c r="BF1435" s="158"/>
      <c r="BG1435" s="158"/>
      <c r="BH1435" s="158"/>
    </row>
    <row r="1436" spans="1:19" s="107" customFormat="1" ht="34.5" customHeight="1">
      <c r="A1436" s="378"/>
      <c r="B1436" s="611" t="s">
        <v>67</v>
      </c>
      <c r="C1436" s="747">
        <f>CEILING(175*$Z$1,0.1)</f>
        <v>218.8</v>
      </c>
      <c r="D1436" s="756"/>
      <c r="E1436" s="747">
        <f>CEILING(150*$Z$1,0.1)</f>
        <v>187.5</v>
      </c>
      <c r="F1436" s="756"/>
      <c r="G1436" s="747">
        <f>CEILING(175*$Z$1,0.1)</f>
        <v>218.8</v>
      </c>
      <c r="H1436" s="756"/>
      <c r="I1436" s="744"/>
      <c r="J1436" s="744"/>
      <c r="K1436" s="744"/>
      <c r="L1436" s="744"/>
      <c r="M1436" s="105"/>
      <c r="N1436" s="105"/>
      <c r="O1436" s="105"/>
      <c r="P1436" s="105"/>
      <c r="Q1436" s="105"/>
      <c r="R1436" s="105"/>
      <c r="S1436" s="105"/>
    </row>
    <row r="1437" spans="1:19" s="107" customFormat="1" ht="34.5" customHeight="1">
      <c r="A1437" s="378"/>
      <c r="B1437" s="611" t="s">
        <v>68</v>
      </c>
      <c r="C1437" s="747">
        <f>CEILING(350*$Z$1,0.1)</f>
        <v>437.5</v>
      </c>
      <c r="D1437" s="756"/>
      <c r="E1437" s="747">
        <f>CEILING(300*$Z$1,0.1)</f>
        <v>375</v>
      </c>
      <c r="F1437" s="756"/>
      <c r="G1437" s="747">
        <f>CEILING(350*$Z$1,0.1)</f>
        <v>437.5</v>
      </c>
      <c r="H1437" s="756"/>
      <c r="I1437" s="744"/>
      <c r="J1437" s="744"/>
      <c r="K1437" s="744"/>
      <c r="L1437" s="744"/>
      <c r="M1437" s="105"/>
      <c r="N1437" s="105"/>
      <c r="O1437" s="105"/>
      <c r="P1437" s="105"/>
      <c r="Q1437" s="105"/>
      <c r="R1437" s="105"/>
      <c r="S1437" s="105"/>
    </row>
    <row r="1438" spans="1:19" s="107" customFormat="1" ht="34.5" customHeight="1">
      <c r="A1438" s="819"/>
      <c r="B1438" s="611" t="s">
        <v>291</v>
      </c>
      <c r="C1438" s="747">
        <f>CEILING(190*$Z$1,0.1)</f>
        <v>237.5</v>
      </c>
      <c r="D1438" s="756"/>
      <c r="E1438" s="747">
        <f>CEILING(165*$Z$1,0.1)</f>
        <v>206.3</v>
      </c>
      <c r="F1438" s="756"/>
      <c r="G1438" s="747">
        <f>CEILING(190*$Z$1,0.1)</f>
        <v>237.5</v>
      </c>
      <c r="H1438" s="756"/>
      <c r="I1438" s="744"/>
      <c r="J1438" s="744"/>
      <c r="K1438" s="744"/>
      <c r="L1438" s="744"/>
      <c r="M1438" s="105"/>
      <c r="N1438" s="105"/>
      <c r="O1438" s="105"/>
      <c r="P1438" s="105"/>
      <c r="Q1438" s="105"/>
      <c r="R1438" s="105"/>
      <c r="S1438" s="105"/>
    </row>
    <row r="1439" spans="1:18" s="107" customFormat="1" ht="34.5" customHeight="1">
      <c r="A1439" s="820"/>
      <c r="B1439" s="611" t="s">
        <v>292</v>
      </c>
      <c r="C1439" s="747">
        <f>CEILING(380*$Z$1,0.1)</f>
        <v>475</v>
      </c>
      <c r="D1439" s="756"/>
      <c r="E1439" s="747">
        <f>CEILING(330*$Z$1,0.1)</f>
        <v>412.5</v>
      </c>
      <c r="F1439" s="756"/>
      <c r="G1439" s="747">
        <f>CEILING(380*$Z$1,0.1)</f>
        <v>475</v>
      </c>
      <c r="H1439" s="756"/>
      <c r="I1439" s="744"/>
      <c r="J1439" s="744"/>
      <c r="K1439" s="744"/>
      <c r="L1439" s="744"/>
      <c r="M1439" s="105"/>
      <c r="N1439" s="105"/>
      <c r="O1439" s="105"/>
      <c r="P1439" s="105"/>
      <c r="Q1439" s="105"/>
      <c r="R1439" s="105"/>
    </row>
    <row r="1440" spans="1:20" s="107" customFormat="1" ht="34.5" customHeight="1">
      <c r="A1440" s="984" t="s">
        <v>1066</v>
      </c>
      <c r="B1440" s="611" t="s">
        <v>293</v>
      </c>
      <c r="C1440" s="747">
        <f>CEILING(200*$Z$1,0.1)</f>
        <v>250</v>
      </c>
      <c r="D1440" s="756"/>
      <c r="E1440" s="747">
        <f>CEILING(175*$Z$1,0.1)</f>
        <v>218.8</v>
      </c>
      <c r="F1440" s="756"/>
      <c r="G1440" s="747">
        <f>CEILING(200*$Z$1,0.1)</f>
        <v>250</v>
      </c>
      <c r="H1440" s="756"/>
      <c r="I1440" s="744"/>
      <c r="J1440" s="744"/>
      <c r="K1440" s="744"/>
      <c r="L1440" s="744"/>
      <c r="M1440" s="105"/>
      <c r="N1440" s="105"/>
      <c r="O1440" s="105"/>
      <c r="P1440" s="105"/>
      <c r="Q1440" s="105"/>
      <c r="R1440" s="105"/>
      <c r="S1440" s="105"/>
      <c r="T1440" s="105"/>
    </row>
    <row r="1441" spans="1:21" s="107" customFormat="1" ht="34.5" customHeight="1">
      <c r="A1441" s="984" t="s">
        <v>1067</v>
      </c>
      <c r="B1441" s="611" t="s">
        <v>294</v>
      </c>
      <c r="C1441" s="747">
        <f>CEILING(400*$Z$1,0.1)</f>
        <v>500</v>
      </c>
      <c r="D1441" s="756"/>
      <c r="E1441" s="747">
        <f>CEILING(350*$Z$1,0.1)</f>
        <v>437.5</v>
      </c>
      <c r="F1441" s="756"/>
      <c r="G1441" s="747">
        <f>CEILING(400*$Z$1,0.1)</f>
        <v>500</v>
      </c>
      <c r="H1441" s="756"/>
      <c r="I1441" s="744"/>
      <c r="J1441" s="744"/>
      <c r="K1441" s="744"/>
      <c r="L1441" s="744"/>
      <c r="M1441" s="105"/>
      <c r="N1441" s="105"/>
      <c r="O1441" s="105"/>
      <c r="P1441" s="105"/>
      <c r="Q1441" s="105"/>
      <c r="R1441" s="105"/>
      <c r="S1441" s="105"/>
      <c r="T1441" s="105"/>
      <c r="U1441" s="105"/>
    </row>
    <row r="1442" spans="1:21" s="107" customFormat="1" ht="34.5" customHeight="1">
      <c r="A1442" s="984" t="s">
        <v>1068</v>
      </c>
      <c r="B1442" s="611" t="s">
        <v>295</v>
      </c>
      <c r="C1442" s="747">
        <f>CEILING(232.5*$Z$1,0.1)</f>
        <v>290.7</v>
      </c>
      <c r="D1442" s="756"/>
      <c r="E1442" s="747">
        <f>CEILING(205*$Z$1,0.1)</f>
        <v>256.3</v>
      </c>
      <c r="F1442" s="756"/>
      <c r="G1442" s="747">
        <f>CEILING(232.5*$Z$1,0.1)</f>
        <v>290.7</v>
      </c>
      <c r="H1442" s="756"/>
      <c r="I1442" s="744"/>
      <c r="J1442" s="744"/>
      <c r="K1442" s="744"/>
      <c r="L1442" s="744"/>
      <c r="M1442" s="110"/>
      <c r="N1442" s="124"/>
      <c r="O1442" s="105"/>
      <c r="P1442" s="105"/>
      <c r="Q1442" s="105"/>
      <c r="R1442" s="105"/>
      <c r="S1442" s="105"/>
      <c r="T1442" s="105"/>
      <c r="U1442" s="105"/>
    </row>
    <row r="1443" spans="1:21" s="107" customFormat="1" ht="34.5" customHeight="1">
      <c r="A1443" s="984" t="s">
        <v>1069</v>
      </c>
      <c r="B1443" s="611" t="s">
        <v>565</v>
      </c>
      <c r="C1443" s="747">
        <f>CEILING(465*$Z$1,0.1)</f>
        <v>581.3000000000001</v>
      </c>
      <c r="D1443" s="756"/>
      <c r="E1443" s="747">
        <f>CEILING(410*$Z$1,0.1)</f>
        <v>512.5</v>
      </c>
      <c r="F1443" s="756"/>
      <c r="G1443" s="747">
        <f>CEILING(465*$Z$1,0.1)</f>
        <v>581.3000000000001</v>
      </c>
      <c r="H1443" s="756"/>
      <c r="I1443" s="744"/>
      <c r="J1443" s="744"/>
      <c r="K1443" s="744"/>
      <c r="L1443" s="744"/>
      <c r="M1443" s="716"/>
      <c r="N1443" s="716"/>
      <c r="O1443" s="105"/>
      <c r="P1443" s="105"/>
      <c r="Q1443" s="105"/>
      <c r="R1443" s="105"/>
      <c r="S1443" s="105"/>
      <c r="T1443" s="105"/>
      <c r="U1443" s="105"/>
    </row>
    <row r="1444" spans="1:21" s="107" customFormat="1" ht="34.5" customHeight="1">
      <c r="A1444" s="985" t="s">
        <v>1071</v>
      </c>
      <c r="B1444" s="611" t="s">
        <v>403</v>
      </c>
      <c r="C1444" s="747">
        <f>CEILING(250*$Z$1,0.1)</f>
        <v>312.5</v>
      </c>
      <c r="D1444" s="756"/>
      <c r="E1444" s="747">
        <f>CEILING(225*$Z$1,0.1)</f>
        <v>281.3</v>
      </c>
      <c r="F1444" s="756"/>
      <c r="G1444" s="747">
        <f>CEILING(250*$Z$1,0.1)</f>
        <v>312.5</v>
      </c>
      <c r="H1444" s="756"/>
      <c r="I1444" s="744"/>
      <c r="J1444" s="744"/>
      <c r="K1444" s="744"/>
      <c r="L1444" s="744"/>
      <c r="M1444" s="105"/>
      <c r="N1444" s="105"/>
      <c r="O1444" s="105"/>
      <c r="P1444" s="105"/>
      <c r="Q1444" s="105"/>
      <c r="R1444" s="105"/>
      <c r="S1444" s="105"/>
      <c r="T1444" s="105"/>
      <c r="U1444" s="105"/>
    </row>
    <row r="1445" spans="1:21" s="316" customFormat="1" ht="34.5" customHeight="1">
      <c r="A1445" s="985" t="s">
        <v>1070</v>
      </c>
      <c r="B1445" s="611" t="s">
        <v>296</v>
      </c>
      <c r="C1445" s="747">
        <f>CEILING(262.5*$Z$1,0.1)</f>
        <v>328.20000000000005</v>
      </c>
      <c r="D1445" s="756"/>
      <c r="E1445" s="747">
        <f>CEILING(238*$Z$1,0.1)</f>
        <v>297.5</v>
      </c>
      <c r="F1445" s="756"/>
      <c r="G1445" s="747">
        <f>CEILING(262.5*$Z$1,0.1)</f>
        <v>328.20000000000005</v>
      </c>
      <c r="H1445" s="756"/>
      <c r="I1445" s="744"/>
      <c r="J1445" s="744"/>
      <c r="K1445" s="744"/>
      <c r="L1445" s="744"/>
      <c r="M1445" s="315"/>
      <c r="N1445" s="315"/>
      <c r="O1445" s="315"/>
      <c r="P1445" s="315"/>
      <c r="Q1445" s="315"/>
      <c r="R1445" s="315"/>
      <c r="S1445" s="315"/>
      <c r="T1445" s="315"/>
      <c r="U1445" s="315"/>
    </row>
    <row r="1446" spans="1:21" s="107" customFormat="1" ht="34.5" customHeight="1">
      <c r="A1446" s="820"/>
      <c r="B1446" s="330" t="s">
        <v>297</v>
      </c>
      <c r="C1446" s="747">
        <f>CEILING(525*$Z$1,0.1)</f>
        <v>656.3000000000001</v>
      </c>
      <c r="D1446" s="756"/>
      <c r="E1446" s="747">
        <f>CEILING(475*$Z$1,0.1)</f>
        <v>593.8000000000001</v>
      </c>
      <c r="F1446" s="756"/>
      <c r="G1446" s="747">
        <f>CEILING(525*$Z$1,0.1)</f>
        <v>656.3000000000001</v>
      </c>
      <c r="H1446" s="756"/>
      <c r="I1446" s="744"/>
      <c r="J1446" s="744"/>
      <c r="K1446" s="744"/>
      <c r="L1446" s="744"/>
      <c r="M1446" s="105"/>
      <c r="N1446" s="105"/>
      <c r="O1446" s="105"/>
      <c r="P1446" s="105"/>
      <c r="Q1446" s="105"/>
      <c r="R1446" s="105"/>
      <c r="S1446" s="105"/>
      <c r="T1446" s="105"/>
      <c r="U1446" s="105"/>
    </row>
    <row r="1447" spans="1:21" s="107" customFormat="1" ht="34.5" customHeight="1">
      <c r="A1447" s="986" t="s">
        <v>1073</v>
      </c>
      <c r="B1447" s="611" t="s">
        <v>298</v>
      </c>
      <c r="C1447" s="747">
        <f>CEILING(505*$Z$1,0.1)</f>
        <v>631.3000000000001</v>
      </c>
      <c r="D1447" s="756"/>
      <c r="E1447" s="747">
        <f>CEILING(480*$Z$1,0.1)</f>
        <v>600</v>
      </c>
      <c r="F1447" s="756"/>
      <c r="G1447" s="747">
        <f>CEILING(505*$Z$1,0.1)</f>
        <v>631.3000000000001</v>
      </c>
      <c r="H1447" s="756"/>
      <c r="I1447" s="744"/>
      <c r="J1447" s="744"/>
      <c r="K1447" s="744"/>
      <c r="L1447" s="744"/>
      <c r="M1447" s="105"/>
      <c r="N1447" s="105"/>
      <c r="O1447" s="105"/>
      <c r="P1447" s="105"/>
      <c r="Q1447" s="105"/>
      <c r="R1447" s="105"/>
      <c r="S1447" s="105"/>
      <c r="T1447" s="105"/>
      <c r="U1447" s="105"/>
    </row>
    <row r="1448" spans="1:21" s="107" customFormat="1" ht="34.5" customHeight="1">
      <c r="A1448" s="987" t="s">
        <v>1072</v>
      </c>
      <c r="B1448" s="611" t="s">
        <v>299</v>
      </c>
      <c r="C1448" s="747">
        <f>CEILING(1010*$Z$1,0.1)</f>
        <v>1262.5</v>
      </c>
      <c r="D1448" s="756"/>
      <c r="E1448" s="747">
        <f>CEILING(960*$Z$1,0.1)</f>
        <v>1200</v>
      </c>
      <c r="F1448" s="756"/>
      <c r="G1448" s="747">
        <f>CEILING(1010*$Z$1,0.1)</f>
        <v>1262.5</v>
      </c>
      <c r="H1448" s="756"/>
      <c r="I1448" s="744"/>
      <c r="J1448" s="744"/>
      <c r="K1448" s="744"/>
      <c r="L1448" s="744"/>
      <c r="M1448" s="105"/>
      <c r="N1448" s="105"/>
      <c r="O1448" s="105"/>
      <c r="P1448" s="105"/>
      <c r="Q1448" s="105"/>
      <c r="R1448" s="105"/>
      <c r="S1448" s="105"/>
      <c r="T1448" s="105"/>
      <c r="U1448" s="105"/>
    </row>
    <row r="1449" spans="1:21" s="107" customFormat="1" ht="34.5" customHeight="1">
      <c r="A1449" s="988" t="s">
        <v>1074</v>
      </c>
      <c r="B1449" s="330" t="s">
        <v>300</v>
      </c>
      <c r="C1449" s="821">
        <v>0</v>
      </c>
      <c r="D1449" s="822"/>
      <c r="E1449" s="821">
        <v>0</v>
      </c>
      <c r="F1449" s="822"/>
      <c r="G1449" s="821">
        <v>0</v>
      </c>
      <c r="H1449" s="822"/>
      <c r="I1449" s="823"/>
      <c r="J1449" s="823"/>
      <c r="K1449" s="823"/>
      <c r="L1449" s="823"/>
      <c r="M1449" s="105"/>
      <c r="N1449" s="105"/>
      <c r="O1449" s="105"/>
      <c r="P1449" s="105"/>
      <c r="Q1449" s="105"/>
      <c r="R1449" s="105"/>
      <c r="S1449" s="105"/>
      <c r="T1449" s="105"/>
      <c r="U1449" s="105"/>
    </row>
    <row r="1450" spans="1:21" s="107" customFormat="1" ht="34.5" customHeight="1">
      <c r="A1450" s="824"/>
      <c r="B1450" s="330" t="s">
        <v>784</v>
      </c>
      <c r="C1450" s="747">
        <f>CEILING(45*$Z$1,0.1)</f>
        <v>56.300000000000004</v>
      </c>
      <c r="D1450" s="756"/>
      <c r="E1450" s="747">
        <f>CEILING(45*$Z$1,0.1)</f>
        <v>56.300000000000004</v>
      </c>
      <c r="F1450" s="756"/>
      <c r="G1450" s="747">
        <f>CEILING(45*$Z$1,0.1)</f>
        <v>56.300000000000004</v>
      </c>
      <c r="H1450" s="756"/>
      <c r="I1450" s="744"/>
      <c r="J1450" s="744"/>
      <c r="K1450" s="744"/>
      <c r="L1450" s="744"/>
      <c r="M1450" s="105"/>
      <c r="N1450" s="105"/>
      <c r="O1450" s="105"/>
      <c r="P1450" s="105"/>
      <c r="Q1450" s="105"/>
      <c r="R1450" s="105"/>
      <c r="S1450" s="105"/>
      <c r="T1450" s="105"/>
      <c r="U1450" s="105"/>
    </row>
    <row r="1451" spans="1:21" s="107" customFormat="1" ht="34.5" customHeight="1" thickBot="1">
      <c r="A1451" s="825" t="s">
        <v>580</v>
      </c>
      <c r="B1451" s="481" t="s">
        <v>70</v>
      </c>
      <c r="C1451" s="758">
        <f>CEILING(90*$Z$1,0.1)</f>
        <v>112.5</v>
      </c>
      <c r="D1451" s="759"/>
      <c r="E1451" s="758">
        <f>CEILING(90*$Z$1,0.1)</f>
        <v>112.5</v>
      </c>
      <c r="F1451" s="759"/>
      <c r="G1451" s="758">
        <f>CEILING(90*$Z$1,0.1)</f>
        <v>112.5</v>
      </c>
      <c r="H1451" s="759"/>
      <c r="I1451" s="744"/>
      <c r="J1451" s="744"/>
      <c r="K1451" s="744"/>
      <c r="L1451" s="744"/>
      <c r="M1451" s="105"/>
      <c r="N1451" s="105"/>
      <c r="O1451" s="105"/>
      <c r="P1451" s="105"/>
      <c r="Q1451" s="105"/>
      <c r="R1451" s="105"/>
      <c r="S1451" s="105"/>
      <c r="T1451" s="105"/>
      <c r="U1451" s="105"/>
    </row>
    <row r="1452" spans="1:21" s="107" customFormat="1" ht="34.5" customHeight="1" thickTop="1">
      <c r="A1452" s="1090" t="s">
        <v>301</v>
      </c>
      <c r="B1452" s="1090"/>
      <c r="C1452" s="1091"/>
      <c r="D1452" s="1091"/>
      <c r="E1452" s="1090"/>
      <c r="F1452" s="1090"/>
      <c r="G1452" s="1091"/>
      <c r="H1452" s="1091"/>
      <c r="I1452" s="137"/>
      <c r="J1452" s="158"/>
      <c r="K1452" s="157"/>
      <c r="L1452" s="157"/>
      <c r="M1452" s="105"/>
      <c r="N1452" s="105"/>
      <c r="O1452" s="105"/>
      <c r="P1452" s="105"/>
      <c r="Q1452" s="105"/>
      <c r="R1452" s="105"/>
      <c r="S1452" s="105"/>
      <c r="T1452" s="105"/>
      <c r="U1452" s="105"/>
    </row>
    <row r="1453" spans="1:21" s="107" customFormat="1" ht="34.5" customHeight="1">
      <c r="A1453" s="826" t="s">
        <v>302</v>
      </c>
      <c r="B1453" s="827"/>
      <c r="C1453" s="827"/>
      <c r="D1453" s="827"/>
      <c r="E1453" s="827"/>
      <c r="F1453" s="827"/>
      <c r="G1453" s="827"/>
      <c r="H1453" s="827"/>
      <c r="I1453" s="137"/>
      <c r="J1453" s="158"/>
      <c r="K1453" s="157"/>
      <c r="L1453" s="157"/>
      <c r="M1453" s="105"/>
      <c r="N1453" s="105"/>
      <c r="O1453" s="105"/>
      <c r="P1453" s="105"/>
      <c r="Q1453" s="105"/>
      <c r="R1453" s="105"/>
      <c r="S1453" s="105"/>
      <c r="T1453" s="105"/>
      <c r="U1453" s="105"/>
    </row>
    <row r="1454" spans="1:21" s="107" customFormat="1" ht="34.5" customHeight="1">
      <c r="A1454" s="828" t="s">
        <v>566</v>
      </c>
      <c r="B1454" s="829"/>
      <c r="C1454" s="829"/>
      <c r="D1454" s="829"/>
      <c r="E1454" s="829"/>
      <c r="F1454" s="829"/>
      <c r="G1454" s="827"/>
      <c r="H1454" s="827"/>
      <c r="I1454" s="137"/>
      <c r="J1454" s="158"/>
      <c r="K1454" s="157"/>
      <c r="L1454" s="157"/>
      <c r="M1454" s="105"/>
      <c r="N1454" s="105"/>
      <c r="O1454" s="105"/>
      <c r="P1454" s="105"/>
      <c r="Q1454" s="105"/>
      <c r="R1454" s="105"/>
      <c r="S1454" s="105"/>
      <c r="T1454" s="105"/>
      <c r="U1454" s="105"/>
    </row>
    <row r="1455" spans="1:21" s="107" customFormat="1" ht="34.5" customHeight="1" thickBot="1">
      <c r="A1455" s="828"/>
      <c r="B1455" s="829"/>
      <c r="C1455" s="829"/>
      <c r="D1455" s="829"/>
      <c r="E1455" s="829"/>
      <c r="F1455" s="829"/>
      <c r="G1455" s="827"/>
      <c r="H1455" s="827"/>
      <c r="I1455" s="137"/>
      <c r="J1455" s="158"/>
      <c r="K1455" s="157"/>
      <c r="L1455" s="157"/>
      <c r="M1455" s="105"/>
      <c r="N1455" s="105"/>
      <c r="O1455" s="105"/>
      <c r="P1455" s="105"/>
      <c r="Q1455" s="105"/>
      <c r="R1455" s="105"/>
      <c r="S1455" s="105"/>
      <c r="T1455" s="105"/>
      <c r="U1455" s="105"/>
    </row>
    <row r="1456" spans="1:42" s="214" customFormat="1" ht="34.5" customHeight="1" thickTop="1">
      <c r="A1456" s="207" t="s">
        <v>34</v>
      </c>
      <c r="B1456" s="208" t="s">
        <v>888</v>
      </c>
      <c r="C1456" s="209" t="s">
        <v>973</v>
      </c>
      <c r="D1456" s="210"/>
      <c r="E1456" s="211" t="s">
        <v>990</v>
      </c>
      <c r="F1456" s="212"/>
      <c r="G1456" s="211" t="s">
        <v>975</v>
      </c>
      <c r="H1456" s="212"/>
      <c r="I1456" s="1070"/>
      <c r="J1456" s="1071"/>
      <c r="K1456" s="1070"/>
      <c r="L1456" s="1070"/>
      <c r="M1456" s="174"/>
      <c r="N1456" s="174"/>
      <c r="O1456" s="213"/>
      <c r="P1456" s="213"/>
      <c r="Q1456" s="213"/>
      <c r="R1456" s="213"/>
      <c r="S1456" s="114"/>
      <c r="T1456" s="105"/>
      <c r="U1456" s="105"/>
      <c r="V1456" s="105"/>
      <c r="W1456" s="105"/>
      <c r="X1456" s="105"/>
      <c r="Y1456" s="105"/>
      <c r="Z1456" s="114"/>
      <c r="AA1456" s="213"/>
      <c r="AB1456" s="213"/>
      <c r="AC1456" s="213"/>
      <c r="AD1456" s="213"/>
      <c r="AE1456" s="213"/>
      <c r="AF1456" s="213"/>
      <c r="AG1456" s="213"/>
      <c r="AH1456" s="213"/>
      <c r="AI1456" s="213"/>
      <c r="AJ1456" s="213"/>
      <c r="AK1456" s="213"/>
      <c r="AL1456" s="213"/>
      <c r="AM1456" s="213"/>
      <c r="AN1456" s="213"/>
      <c r="AO1456" s="213"/>
      <c r="AP1456" s="213"/>
    </row>
    <row r="1457" spans="1:21" s="107" customFormat="1" ht="34.5" customHeight="1">
      <c r="A1457" s="818" t="s">
        <v>774</v>
      </c>
      <c r="B1457" s="723" t="s">
        <v>773</v>
      </c>
      <c r="C1457" s="743">
        <f>CEILING(94*$Z$1,0.1)</f>
        <v>117.5</v>
      </c>
      <c r="D1457" s="767"/>
      <c r="E1457" s="754">
        <f>CEILING(90*$Z$1,0.1)</f>
        <v>112.5</v>
      </c>
      <c r="F1457" s="755"/>
      <c r="G1457" s="754">
        <f>CEILING(110*$Z$1,0.1)</f>
        <v>137.5</v>
      </c>
      <c r="H1457" s="755"/>
      <c r="I1457" s="744"/>
      <c r="J1457" s="744"/>
      <c r="K1457" s="744"/>
      <c r="L1457" s="744"/>
      <c r="M1457" s="105"/>
      <c r="N1457" s="105"/>
      <c r="O1457" s="105"/>
      <c r="P1457" s="105"/>
      <c r="Q1457" s="105"/>
      <c r="R1457" s="105"/>
      <c r="S1457" s="105"/>
      <c r="T1457" s="105"/>
      <c r="U1457" s="105"/>
    </row>
    <row r="1458" spans="1:21" s="107" customFormat="1" ht="34.5" customHeight="1">
      <c r="A1458" s="380" t="s">
        <v>36</v>
      </c>
      <c r="B1458" s="611" t="s">
        <v>775</v>
      </c>
      <c r="C1458" s="746">
        <f>CEILING(187*$Z$1,0.1)</f>
        <v>233.8</v>
      </c>
      <c r="D1458" s="768"/>
      <c r="E1458" s="747">
        <f>CEILING(180*$Z$1,0.1)</f>
        <v>225</v>
      </c>
      <c r="F1458" s="756"/>
      <c r="G1458" s="747">
        <f>CEILING(220*$Z$1,0.1)</f>
        <v>275</v>
      </c>
      <c r="H1458" s="756"/>
      <c r="I1458" s="744"/>
      <c r="J1458" s="744"/>
      <c r="K1458" s="744"/>
      <c r="L1458" s="744"/>
      <c r="M1458" s="105"/>
      <c r="N1458" s="105"/>
      <c r="O1458" s="105"/>
      <c r="P1458" s="105"/>
      <c r="Q1458" s="105"/>
      <c r="R1458" s="105"/>
      <c r="S1458" s="105"/>
      <c r="T1458" s="105"/>
      <c r="U1458" s="105"/>
    </row>
    <row r="1459" spans="1:21" s="107" customFormat="1" ht="34.5" customHeight="1">
      <c r="A1459" s="378"/>
      <c r="B1459" s="611" t="s">
        <v>776</v>
      </c>
      <c r="C1459" s="746">
        <f>CEILING(106.5*$Z$1,0.1)</f>
        <v>133.20000000000002</v>
      </c>
      <c r="D1459" s="768"/>
      <c r="E1459" s="747">
        <f>CEILING(100*$Z$1,0.1)</f>
        <v>125</v>
      </c>
      <c r="F1459" s="756"/>
      <c r="G1459" s="747">
        <f>CEILING(125*$Z$1,0.1)</f>
        <v>156.3</v>
      </c>
      <c r="H1459" s="756"/>
      <c r="I1459" s="744"/>
      <c r="J1459" s="744"/>
      <c r="K1459" s="744"/>
      <c r="L1459" s="744"/>
      <c r="M1459" s="105"/>
      <c r="N1459" s="105"/>
      <c r="O1459" s="105"/>
      <c r="P1459" s="105"/>
      <c r="Q1459" s="105"/>
      <c r="R1459" s="105"/>
      <c r="S1459" s="105"/>
      <c r="T1459" s="105"/>
      <c r="U1459" s="105"/>
    </row>
    <row r="1460" spans="1:21" s="107" customFormat="1" ht="34.5" customHeight="1">
      <c r="A1460" s="378"/>
      <c r="B1460" s="611" t="s">
        <v>777</v>
      </c>
      <c r="C1460" s="746">
        <f>CEILING(212.5*$Z$1,0.1)</f>
        <v>265.7</v>
      </c>
      <c r="D1460" s="768"/>
      <c r="E1460" s="747">
        <f>CEILING(200*$Z$1,0.1)</f>
        <v>250</v>
      </c>
      <c r="F1460" s="756"/>
      <c r="G1460" s="747">
        <f>CEILING(250*$Z$1,0.1)</f>
        <v>312.5</v>
      </c>
      <c r="H1460" s="756"/>
      <c r="I1460" s="744"/>
      <c r="J1460" s="744"/>
      <c r="K1460" s="744"/>
      <c r="L1460" s="744"/>
      <c r="M1460" s="105"/>
      <c r="N1460" s="105"/>
      <c r="O1460" s="105"/>
      <c r="P1460" s="105"/>
      <c r="Q1460" s="105"/>
      <c r="R1460" s="105"/>
      <c r="S1460" s="105"/>
      <c r="T1460" s="105"/>
      <c r="U1460" s="105"/>
    </row>
    <row r="1461" spans="1:21" s="107" customFormat="1" ht="34.5" customHeight="1">
      <c r="A1461" s="819"/>
      <c r="B1461" s="611" t="s">
        <v>778</v>
      </c>
      <c r="C1461" s="746">
        <f>CEILING(119*$Z$1,0.1)</f>
        <v>148.8</v>
      </c>
      <c r="D1461" s="768"/>
      <c r="E1461" s="747">
        <f>CEILING(115*$Z$1,0.1)</f>
        <v>143.8</v>
      </c>
      <c r="F1461" s="756"/>
      <c r="G1461" s="747">
        <f>CEILING(140*$Z$1,0.1)</f>
        <v>175</v>
      </c>
      <c r="H1461" s="756"/>
      <c r="I1461" s="744"/>
      <c r="J1461" s="744"/>
      <c r="K1461" s="744"/>
      <c r="L1461" s="744"/>
      <c r="M1461" s="105"/>
      <c r="N1461" s="105"/>
      <c r="O1461" s="105"/>
      <c r="P1461" s="105"/>
      <c r="Q1461" s="105"/>
      <c r="R1461" s="105"/>
      <c r="S1461" s="105"/>
      <c r="T1461" s="105"/>
      <c r="U1461" s="105"/>
    </row>
    <row r="1462" spans="1:21" s="107" customFormat="1" ht="34.5" customHeight="1">
      <c r="A1462" s="820"/>
      <c r="B1462" s="611" t="s">
        <v>779</v>
      </c>
      <c r="C1462" s="746">
        <f>CEILING(238*$Z$1,0.1)</f>
        <v>297.5</v>
      </c>
      <c r="D1462" s="768"/>
      <c r="E1462" s="747">
        <f>CEILING(230*$Z$1,0.1)</f>
        <v>287.5</v>
      </c>
      <c r="F1462" s="756"/>
      <c r="G1462" s="747">
        <f>CEILING(280*$Z$1,0.1)</f>
        <v>350</v>
      </c>
      <c r="H1462" s="756"/>
      <c r="I1462" s="744"/>
      <c r="J1462" s="744"/>
      <c r="K1462" s="744"/>
      <c r="L1462" s="744"/>
      <c r="M1462" s="105"/>
      <c r="N1462" s="105"/>
      <c r="O1462" s="105"/>
      <c r="P1462" s="105"/>
      <c r="Q1462" s="105"/>
      <c r="R1462" s="105"/>
      <c r="S1462" s="105"/>
      <c r="T1462" s="105"/>
      <c r="U1462" s="105"/>
    </row>
    <row r="1463" spans="1:21" s="107" customFormat="1" ht="34.5" customHeight="1">
      <c r="A1463" s="820"/>
      <c r="B1463" s="611" t="s">
        <v>780</v>
      </c>
      <c r="C1463" s="746">
        <f>CEILING(132*$Z$1,0.1)</f>
        <v>165</v>
      </c>
      <c r="D1463" s="768"/>
      <c r="E1463" s="747">
        <f>CEILING(130*$Z$1,0.1)</f>
        <v>162.5</v>
      </c>
      <c r="F1463" s="756"/>
      <c r="G1463" s="747">
        <f>CEILING(155*$Z$1,0.1)</f>
        <v>193.8</v>
      </c>
      <c r="H1463" s="756"/>
      <c r="I1463" s="744"/>
      <c r="J1463" s="744"/>
      <c r="K1463" s="744"/>
      <c r="L1463" s="744"/>
      <c r="M1463" s="105"/>
      <c r="N1463" s="105"/>
      <c r="O1463" s="105"/>
      <c r="P1463" s="105"/>
      <c r="Q1463" s="105"/>
      <c r="R1463" s="105"/>
      <c r="S1463" s="105"/>
      <c r="T1463" s="105"/>
      <c r="U1463" s="105"/>
    </row>
    <row r="1464" spans="1:21" s="107" customFormat="1" ht="34.5" customHeight="1">
      <c r="A1464" s="820"/>
      <c r="B1464" s="611" t="s">
        <v>781</v>
      </c>
      <c r="C1464" s="746">
        <f>CEILING(264*$Z$1,0.1)</f>
        <v>330</v>
      </c>
      <c r="D1464" s="768"/>
      <c r="E1464" s="747">
        <f>CEILING(260*$Z$1,0.1)</f>
        <v>325</v>
      </c>
      <c r="F1464" s="756"/>
      <c r="G1464" s="747">
        <f>CEILING(310*$Z$1,0.1)</f>
        <v>387.5</v>
      </c>
      <c r="H1464" s="756"/>
      <c r="I1464" s="744"/>
      <c r="J1464" s="744"/>
      <c r="K1464" s="744"/>
      <c r="L1464" s="744"/>
      <c r="M1464" s="105"/>
      <c r="N1464" s="105"/>
      <c r="O1464" s="105"/>
      <c r="P1464" s="105"/>
      <c r="Q1464" s="105"/>
      <c r="R1464" s="105"/>
      <c r="S1464" s="105"/>
      <c r="T1464" s="105"/>
      <c r="U1464" s="105"/>
    </row>
    <row r="1465" spans="1:21" s="107" customFormat="1" ht="34.5" customHeight="1">
      <c r="A1465" s="820"/>
      <c r="B1465" s="611" t="s">
        <v>272</v>
      </c>
      <c r="C1465" s="746">
        <f>CEILING(145*$Z$1,0.1)</f>
        <v>181.3</v>
      </c>
      <c r="D1465" s="768"/>
      <c r="E1465" s="747">
        <f>CEILING(145*$Z$1,0.1)</f>
        <v>181.3</v>
      </c>
      <c r="F1465" s="756"/>
      <c r="G1465" s="747">
        <f>CEILING(170*$Z$1,0.1)</f>
        <v>212.5</v>
      </c>
      <c r="H1465" s="756"/>
      <c r="I1465" s="744"/>
      <c r="J1465" s="744"/>
      <c r="K1465" s="744"/>
      <c r="L1465" s="744"/>
      <c r="M1465" s="105"/>
      <c r="N1465" s="105"/>
      <c r="O1465" s="105"/>
      <c r="P1465" s="105"/>
      <c r="Q1465" s="105"/>
      <c r="R1465" s="105"/>
      <c r="S1465" s="105"/>
      <c r="T1465" s="105"/>
      <c r="U1465" s="105"/>
    </row>
    <row r="1466" spans="1:21" s="107" customFormat="1" ht="34.5" customHeight="1">
      <c r="A1466" s="820"/>
      <c r="B1466" s="611" t="s">
        <v>510</v>
      </c>
      <c r="C1466" s="746">
        <f>CEILING(289*$Z$1,0.1)</f>
        <v>361.3</v>
      </c>
      <c r="D1466" s="768"/>
      <c r="E1466" s="747">
        <f>CEILING(290*$Z$1,0.1)</f>
        <v>362.5</v>
      </c>
      <c r="F1466" s="756"/>
      <c r="G1466" s="747">
        <f>CEILING(340*$Z$1,0.1)</f>
        <v>425</v>
      </c>
      <c r="H1466" s="756"/>
      <c r="I1466" s="744"/>
      <c r="J1466" s="744"/>
      <c r="K1466" s="744"/>
      <c r="L1466" s="744"/>
      <c r="M1466" s="105"/>
      <c r="N1466" s="105"/>
      <c r="O1466" s="105"/>
      <c r="P1466" s="105"/>
      <c r="Q1466" s="105"/>
      <c r="R1466" s="105"/>
      <c r="S1466" s="105"/>
      <c r="T1466" s="105"/>
      <c r="U1466" s="105"/>
    </row>
    <row r="1467" spans="1:21" s="107" customFormat="1" ht="34.5" customHeight="1">
      <c r="A1467" s="830"/>
      <c r="B1467" s="611" t="s">
        <v>782</v>
      </c>
      <c r="C1467" s="746">
        <f>CEILING(187*$Z$1,0.1)</f>
        <v>233.8</v>
      </c>
      <c r="D1467" s="768"/>
      <c r="E1467" s="747">
        <f>CEILING(190*$Z$1,0.1)</f>
        <v>237.5</v>
      </c>
      <c r="F1467" s="756"/>
      <c r="G1467" s="747">
        <f>CEILING(220*$Z$1,0.1)</f>
        <v>275</v>
      </c>
      <c r="H1467" s="756"/>
      <c r="I1467" s="744"/>
      <c r="J1467" s="744"/>
      <c r="K1467" s="744"/>
      <c r="L1467" s="744"/>
      <c r="M1467" s="105"/>
      <c r="N1467" s="105"/>
      <c r="O1467" s="105"/>
      <c r="P1467" s="105"/>
      <c r="Q1467" s="105"/>
      <c r="R1467" s="105"/>
      <c r="S1467" s="105"/>
      <c r="T1467" s="105"/>
      <c r="U1467" s="105"/>
    </row>
    <row r="1468" spans="1:21" s="107" customFormat="1" ht="34.5" customHeight="1">
      <c r="A1468" s="831"/>
      <c r="B1468" s="611" t="s">
        <v>783</v>
      </c>
      <c r="C1468" s="746">
        <f>CEILING(374*$Z$1,0.1)</f>
        <v>467.5</v>
      </c>
      <c r="D1468" s="768"/>
      <c r="E1468" s="747">
        <f>CEILING(380*$Z$1,0.1)</f>
        <v>475</v>
      </c>
      <c r="F1468" s="756"/>
      <c r="G1468" s="747">
        <f>CEILING(440*$Z$1,0.1)</f>
        <v>550</v>
      </c>
      <c r="H1468" s="756"/>
      <c r="I1468" s="744"/>
      <c r="J1468" s="744"/>
      <c r="K1468" s="744"/>
      <c r="L1468" s="744"/>
      <c r="M1468" s="105"/>
      <c r="N1468" s="105"/>
      <c r="O1468" s="105"/>
      <c r="P1468" s="105"/>
      <c r="Q1468" s="105"/>
      <c r="R1468" s="105"/>
      <c r="S1468" s="105"/>
      <c r="T1468" s="105"/>
      <c r="U1468" s="105"/>
    </row>
    <row r="1469" spans="1:21" s="107" customFormat="1" ht="34.5" customHeight="1">
      <c r="A1469" s="832"/>
      <c r="B1469" s="330" t="s">
        <v>1034</v>
      </c>
      <c r="C1469" s="746" t="s">
        <v>817</v>
      </c>
      <c r="D1469" s="768"/>
      <c r="E1469" s="747"/>
      <c r="F1469" s="756"/>
      <c r="G1469" s="747"/>
      <c r="H1469" s="756"/>
      <c r="I1469" s="744"/>
      <c r="J1469" s="744"/>
      <c r="K1469" s="744"/>
      <c r="L1469" s="744"/>
      <c r="M1469" s="105"/>
      <c r="N1469" s="105"/>
      <c r="O1469" s="105"/>
      <c r="P1469" s="105"/>
      <c r="Q1469" s="105"/>
      <c r="R1469" s="105"/>
      <c r="S1469" s="105"/>
      <c r="T1469" s="105"/>
      <c r="U1469" s="105"/>
    </row>
    <row r="1470" spans="1:21" s="107" customFormat="1" ht="34.5" customHeight="1">
      <c r="A1470" s="378"/>
      <c r="B1470" s="330" t="s">
        <v>300</v>
      </c>
      <c r="C1470" s="833">
        <v>0</v>
      </c>
      <c r="D1470" s="834"/>
      <c r="E1470" s="821">
        <v>0</v>
      </c>
      <c r="F1470" s="822"/>
      <c r="G1470" s="821">
        <v>0</v>
      </c>
      <c r="H1470" s="822"/>
      <c r="I1470" s="823"/>
      <c r="J1470" s="823"/>
      <c r="K1470" s="823"/>
      <c r="L1470" s="823"/>
      <c r="M1470" s="105"/>
      <c r="N1470" s="105"/>
      <c r="O1470" s="105"/>
      <c r="P1470" s="105"/>
      <c r="Q1470" s="105"/>
      <c r="R1470" s="105"/>
      <c r="S1470" s="105"/>
      <c r="T1470" s="105"/>
      <c r="U1470" s="105"/>
    </row>
    <row r="1471" spans="1:21" s="107" customFormat="1" ht="34.5" customHeight="1">
      <c r="A1471" s="378"/>
      <c r="B1471" s="330" t="s">
        <v>784</v>
      </c>
      <c r="C1471" s="746">
        <f>CEILING(35*$Z$1,0.1)</f>
        <v>43.800000000000004</v>
      </c>
      <c r="D1471" s="768"/>
      <c r="E1471" s="747">
        <f>CEILING(35*$Z$1,0.1)</f>
        <v>43.800000000000004</v>
      </c>
      <c r="F1471" s="756"/>
      <c r="G1471" s="747">
        <f>CEILING(35*$Z$1,0.1)</f>
        <v>43.800000000000004</v>
      </c>
      <c r="H1471" s="756"/>
      <c r="I1471" s="744"/>
      <c r="J1471" s="744"/>
      <c r="K1471" s="744"/>
      <c r="L1471" s="744"/>
      <c r="M1471" s="105"/>
      <c r="N1471" s="105"/>
      <c r="O1471" s="105"/>
      <c r="P1471" s="105"/>
      <c r="Q1471" s="105"/>
      <c r="R1471" s="105"/>
      <c r="S1471" s="105"/>
      <c r="T1471" s="105"/>
      <c r="U1471" s="105"/>
    </row>
    <row r="1472" spans="1:21" s="107" customFormat="1" ht="34.5" customHeight="1" thickBot="1">
      <c r="A1472" s="825" t="s">
        <v>580</v>
      </c>
      <c r="B1472" s="481" t="s">
        <v>70</v>
      </c>
      <c r="C1472" s="790">
        <f>CEILING(70*$Z$1,0.1)</f>
        <v>87.5</v>
      </c>
      <c r="D1472" s="791"/>
      <c r="E1472" s="758">
        <f>CEILING(70*$Z$1,0.1)</f>
        <v>87.5</v>
      </c>
      <c r="F1472" s="759"/>
      <c r="G1472" s="758">
        <f>CEILING(70*$Z$1,0.1)</f>
        <v>87.5</v>
      </c>
      <c r="H1472" s="759"/>
      <c r="I1472" s="744"/>
      <c r="J1472" s="744"/>
      <c r="K1472" s="744"/>
      <c r="L1472" s="744"/>
      <c r="M1472" s="105"/>
      <c r="N1472" s="105"/>
      <c r="O1472" s="105"/>
      <c r="P1472" s="105"/>
      <c r="Q1472" s="105"/>
      <c r="R1472" s="105"/>
      <c r="S1472" s="105"/>
      <c r="T1472" s="105"/>
      <c r="U1472" s="105"/>
    </row>
    <row r="1473" spans="1:21" s="107" customFormat="1" ht="34.5" customHeight="1" thickTop="1">
      <c r="A1473" s="828" t="s">
        <v>818</v>
      </c>
      <c r="B1473" s="829"/>
      <c r="C1473" s="829"/>
      <c r="D1473" s="829"/>
      <c r="E1473" s="829"/>
      <c r="F1473" s="829"/>
      <c r="G1473" s="827"/>
      <c r="H1473" s="827"/>
      <c r="I1473" s="137"/>
      <c r="J1473" s="158"/>
      <c r="K1473" s="157"/>
      <c r="L1473" s="157"/>
      <c r="M1473" s="105"/>
      <c r="N1473" s="105"/>
      <c r="O1473" s="105"/>
      <c r="P1473" s="105"/>
      <c r="Q1473" s="105"/>
      <c r="R1473" s="105"/>
      <c r="S1473" s="105"/>
      <c r="T1473" s="105"/>
      <c r="U1473" s="105"/>
    </row>
    <row r="1474" spans="1:21" s="107" customFormat="1" ht="34.5" customHeight="1">
      <c r="A1474" s="826" t="s">
        <v>302</v>
      </c>
      <c r="B1474" s="827"/>
      <c r="C1474" s="827"/>
      <c r="D1474" s="827"/>
      <c r="E1474" s="827"/>
      <c r="F1474" s="827"/>
      <c r="G1474" s="827"/>
      <c r="H1474" s="827"/>
      <c r="I1474" s="137"/>
      <c r="J1474" s="158"/>
      <c r="K1474" s="157"/>
      <c r="L1474" s="157"/>
      <c r="M1474" s="105"/>
      <c r="N1474" s="105"/>
      <c r="O1474" s="105"/>
      <c r="P1474" s="105"/>
      <c r="Q1474" s="105"/>
      <c r="R1474" s="105"/>
      <c r="S1474" s="105"/>
      <c r="T1474" s="105"/>
      <c r="U1474" s="105"/>
    </row>
    <row r="1475" spans="1:21" s="107" customFormat="1" ht="34.5" customHeight="1">
      <c r="A1475" s="828" t="s">
        <v>819</v>
      </c>
      <c r="B1475" s="829"/>
      <c r="C1475" s="829"/>
      <c r="D1475" s="829"/>
      <c r="E1475" s="829"/>
      <c r="F1475" s="829"/>
      <c r="G1475" s="827"/>
      <c r="H1475" s="827"/>
      <c r="I1475" s="137"/>
      <c r="J1475" s="158"/>
      <c r="K1475" s="157"/>
      <c r="L1475" s="157"/>
      <c r="M1475" s="105"/>
      <c r="N1475" s="105"/>
      <c r="O1475" s="105"/>
      <c r="P1475" s="105"/>
      <c r="Q1475" s="105"/>
      <c r="R1475" s="105"/>
      <c r="S1475" s="105"/>
      <c r="T1475" s="105"/>
      <c r="U1475" s="105"/>
    </row>
    <row r="1476" spans="1:25" s="107" customFormat="1" ht="34.5" customHeight="1" thickBot="1">
      <c r="A1476" s="838"/>
      <c r="B1476" s="839"/>
      <c r="C1476" s="840"/>
      <c r="D1476" s="840"/>
      <c r="E1476" s="840"/>
      <c r="F1476" s="840"/>
      <c r="G1476" s="840"/>
      <c r="H1476" s="840"/>
      <c r="I1476" s="841"/>
      <c r="J1476" s="647"/>
      <c r="K1476" s="113"/>
      <c r="L1476" s="113"/>
      <c r="M1476" s="110"/>
      <c r="N1476" s="124"/>
      <c r="O1476" s="105"/>
      <c r="P1476" s="105"/>
      <c r="Q1476" s="105"/>
      <c r="R1476" s="105"/>
      <c r="S1476" s="105"/>
      <c r="T1476" s="105"/>
      <c r="U1476" s="105"/>
      <c r="V1476" s="105"/>
      <c r="W1476" s="105"/>
      <c r="X1476" s="105"/>
      <c r="Y1476" s="105"/>
    </row>
    <row r="1477" spans="1:42" s="214" customFormat="1" ht="34.5" customHeight="1" thickTop="1">
      <c r="A1477" s="207" t="s">
        <v>34</v>
      </c>
      <c r="B1477" s="208" t="s">
        <v>888</v>
      </c>
      <c r="C1477" s="209" t="s">
        <v>921</v>
      </c>
      <c r="D1477" s="210"/>
      <c r="E1477" s="211" t="s">
        <v>922</v>
      </c>
      <c r="F1477" s="212"/>
      <c r="G1477" s="211" t="s">
        <v>923</v>
      </c>
      <c r="H1477" s="212"/>
      <c r="I1477" s="1070"/>
      <c r="J1477" s="1071"/>
      <c r="K1477" s="1070"/>
      <c r="L1477" s="1070"/>
      <c r="M1477" s="174"/>
      <c r="N1477" s="174"/>
      <c r="O1477" s="213"/>
      <c r="P1477" s="213"/>
      <c r="Q1477" s="213"/>
      <c r="R1477" s="213"/>
      <c r="S1477" s="114"/>
      <c r="T1477" s="105"/>
      <c r="U1477" s="105"/>
      <c r="V1477" s="105"/>
      <c r="W1477" s="105"/>
      <c r="X1477" s="105"/>
      <c r="Y1477" s="105"/>
      <c r="Z1477" s="114"/>
      <c r="AA1477" s="213"/>
      <c r="AB1477" s="213"/>
      <c r="AC1477" s="213"/>
      <c r="AD1477" s="213"/>
      <c r="AE1477" s="213"/>
      <c r="AF1477" s="213"/>
      <c r="AG1477" s="213"/>
      <c r="AH1477" s="213"/>
      <c r="AI1477" s="213"/>
      <c r="AJ1477" s="213"/>
      <c r="AK1477" s="213"/>
      <c r="AL1477" s="213"/>
      <c r="AM1477" s="213"/>
      <c r="AN1477" s="213"/>
      <c r="AO1477" s="213"/>
      <c r="AP1477" s="213"/>
    </row>
    <row r="1478" spans="1:25" s="107" customFormat="1" ht="34.5" customHeight="1">
      <c r="A1478" s="842" t="s">
        <v>127</v>
      </c>
      <c r="B1478" s="723" t="s">
        <v>18</v>
      </c>
      <c r="C1478" s="743">
        <f>CEILING(55.25*$Z$1,0.1)</f>
        <v>69.10000000000001</v>
      </c>
      <c r="D1478" s="767"/>
      <c r="E1478" s="743">
        <f>CEILING(60*$Z$1,0.1)</f>
        <v>75</v>
      </c>
      <c r="F1478" s="767"/>
      <c r="G1478" s="743">
        <f>CEILING(55.25*$Z$1,0.1)</f>
        <v>69.10000000000001</v>
      </c>
      <c r="H1478" s="767"/>
      <c r="I1478" s="744"/>
      <c r="J1478" s="744"/>
      <c r="K1478" s="744"/>
      <c r="L1478" s="744"/>
      <c r="M1478" s="124"/>
      <c r="N1478" s="111"/>
      <c r="O1478" s="105"/>
      <c r="P1478" s="105"/>
      <c r="Q1478" s="105"/>
      <c r="R1478" s="115"/>
      <c r="S1478" s="115"/>
      <c r="T1478" s="105"/>
      <c r="U1478" s="105"/>
      <c r="V1478" s="105"/>
      <c r="W1478" s="105"/>
      <c r="X1478" s="105"/>
      <c r="Y1478" s="105"/>
    </row>
    <row r="1479" spans="1:25" s="107" customFormat="1" ht="34.5" customHeight="1">
      <c r="A1479" s="432" t="s">
        <v>36</v>
      </c>
      <c r="B1479" s="330" t="s">
        <v>19</v>
      </c>
      <c r="C1479" s="746">
        <f>CEILING((C1478+39*$Z$1),0.1)</f>
        <v>117.9</v>
      </c>
      <c r="D1479" s="768"/>
      <c r="E1479" s="746">
        <f>CEILING((E1478+42*$Z$1),0.1)</f>
        <v>127.5</v>
      </c>
      <c r="F1479" s="768"/>
      <c r="G1479" s="746">
        <f>CEILING((G1478+39*$Z$1),0.1)</f>
        <v>117.9</v>
      </c>
      <c r="H1479" s="768"/>
      <c r="I1479" s="744"/>
      <c r="J1479" s="744"/>
      <c r="K1479" s="744"/>
      <c r="L1479" s="744"/>
      <c r="M1479" s="124"/>
      <c r="N1479" s="111"/>
      <c r="O1479" s="105"/>
      <c r="P1479" s="105"/>
      <c r="Q1479" s="105"/>
      <c r="R1479" s="115"/>
      <c r="S1479" s="115"/>
      <c r="T1479" s="105"/>
      <c r="U1479" s="105"/>
      <c r="V1479" s="105"/>
      <c r="W1479" s="105"/>
      <c r="X1479" s="105"/>
      <c r="Y1479" s="105"/>
    </row>
    <row r="1480" spans="1:21" s="107" customFormat="1" ht="34.5" customHeight="1">
      <c r="A1480" s="432"/>
      <c r="B1480" s="353" t="s">
        <v>70</v>
      </c>
      <c r="C1480" s="746">
        <f>CEILING((C1478*0.85),0.1)</f>
        <v>58.800000000000004</v>
      </c>
      <c r="D1480" s="768"/>
      <c r="E1480" s="746">
        <f>CEILING((E1478*0.85),0.1)</f>
        <v>63.800000000000004</v>
      </c>
      <c r="F1480" s="768"/>
      <c r="G1480" s="746">
        <f>CEILING((G1478*0.85),0.1)</f>
        <v>58.800000000000004</v>
      </c>
      <c r="H1480" s="768"/>
      <c r="I1480" s="744"/>
      <c r="J1480" s="744"/>
      <c r="K1480" s="744"/>
      <c r="L1480" s="744"/>
      <c r="M1480" s="105"/>
      <c r="N1480" s="105"/>
      <c r="O1480" s="105"/>
      <c r="P1480" s="105"/>
      <c r="Q1480" s="105"/>
      <c r="R1480" s="105"/>
      <c r="S1480" s="105"/>
      <c r="T1480" s="105"/>
      <c r="U1480" s="105"/>
    </row>
    <row r="1481" spans="1:21" s="107" customFormat="1" ht="34.5" customHeight="1">
      <c r="A1481" s="432"/>
      <c r="B1481" s="843" t="s">
        <v>764</v>
      </c>
      <c r="C1481" s="746">
        <f>CEILING((C1478*0.3),0.1)</f>
        <v>20.8</v>
      </c>
      <c r="D1481" s="768"/>
      <c r="E1481" s="746">
        <f>CEILING((E1478*0.3),0.1)</f>
        <v>22.5</v>
      </c>
      <c r="F1481" s="768"/>
      <c r="G1481" s="746">
        <f>CEILING((G1478*0.3),0.1)</f>
        <v>20.8</v>
      </c>
      <c r="H1481" s="768"/>
      <c r="I1481" s="744"/>
      <c r="J1481" s="744"/>
      <c r="K1481" s="744"/>
      <c r="L1481" s="744"/>
      <c r="M1481" s="105"/>
      <c r="N1481" s="105"/>
      <c r="O1481" s="105"/>
      <c r="P1481" s="105"/>
      <c r="Q1481" s="105"/>
      <c r="R1481" s="105"/>
      <c r="S1481" s="105"/>
      <c r="T1481" s="105"/>
      <c r="U1481" s="105"/>
    </row>
    <row r="1482" spans="1:21" s="107" customFormat="1" ht="34.5" customHeight="1">
      <c r="A1482" s="432"/>
      <c r="B1482" s="238" t="s">
        <v>22</v>
      </c>
      <c r="C1482" s="746">
        <f>CEILING(80*$Z$1,0.1)</f>
        <v>100</v>
      </c>
      <c r="D1482" s="768"/>
      <c r="E1482" s="746">
        <f>CEILING(85*$Z$1,0.1)</f>
        <v>106.30000000000001</v>
      </c>
      <c r="F1482" s="768"/>
      <c r="G1482" s="746">
        <f>CEILING(80*$Z$1,0.1)</f>
        <v>100</v>
      </c>
      <c r="H1482" s="768"/>
      <c r="I1482" s="744"/>
      <c r="J1482" s="744"/>
      <c r="K1482" s="744"/>
      <c r="L1482" s="744"/>
      <c r="M1482" s="105"/>
      <c r="N1482" s="105"/>
      <c r="O1482" s="105"/>
      <c r="P1482" s="105"/>
      <c r="Q1482" s="105"/>
      <c r="R1482" s="105"/>
      <c r="S1482" s="105"/>
      <c r="T1482" s="105"/>
      <c r="U1482" s="105"/>
    </row>
    <row r="1483" spans="1:21" s="107" customFormat="1" ht="34.5" customHeight="1">
      <c r="A1483" s="432"/>
      <c r="B1483" s="238" t="s">
        <v>23</v>
      </c>
      <c r="C1483" s="746">
        <f>CEILING((C1482+0*$Z$1),0.1)</f>
        <v>100</v>
      </c>
      <c r="D1483" s="768"/>
      <c r="E1483" s="746">
        <f>CEILING((E1482+0*$Z$1),0.1)</f>
        <v>106.30000000000001</v>
      </c>
      <c r="F1483" s="768"/>
      <c r="G1483" s="746">
        <f>CEILING((G1482+0*$Z$1),0.1)</f>
        <v>100</v>
      </c>
      <c r="H1483" s="768"/>
      <c r="I1483" s="744"/>
      <c r="J1483" s="744"/>
      <c r="K1483" s="744"/>
      <c r="L1483" s="744"/>
      <c r="M1483" s="105"/>
      <c r="N1483" s="105"/>
      <c r="O1483" s="105"/>
      <c r="P1483" s="105"/>
      <c r="Q1483" s="105"/>
      <c r="R1483" s="105"/>
      <c r="S1483" s="105"/>
      <c r="T1483" s="105"/>
      <c r="U1483" s="105"/>
    </row>
    <row r="1484" spans="1:21" s="107" customFormat="1" ht="34.5" customHeight="1">
      <c r="A1484" s="432"/>
      <c r="B1484" s="238" t="s">
        <v>26</v>
      </c>
      <c r="C1484" s="746">
        <f>CEILING(83.3*$Z$1,0.1)</f>
        <v>104.2</v>
      </c>
      <c r="D1484" s="768"/>
      <c r="E1484" s="746">
        <f>CEILING(88.2*$Z$1,0.1)</f>
        <v>110.30000000000001</v>
      </c>
      <c r="F1484" s="768"/>
      <c r="G1484" s="746">
        <f>CEILING(83.3*$Z$1,0.1)</f>
        <v>104.2</v>
      </c>
      <c r="H1484" s="768"/>
      <c r="I1484" s="744"/>
      <c r="J1484" s="744"/>
      <c r="K1484" s="744"/>
      <c r="L1484" s="744"/>
      <c r="M1484" s="105"/>
      <c r="N1484" s="105"/>
      <c r="O1484" s="105"/>
      <c r="P1484" s="105"/>
      <c r="Q1484" s="105"/>
      <c r="R1484" s="105"/>
      <c r="S1484" s="105"/>
      <c r="T1484" s="105"/>
      <c r="U1484" s="105"/>
    </row>
    <row r="1485" spans="1:21" s="107" customFormat="1" ht="34.5" customHeight="1">
      <c r="A1485" s="844" t="s">
        <v>1064</v>
      </c>
      <c r="B1485" s="331" t="s">
        <v>27</v>
      </c>
      <c r="C1485" s="746">
        <f>CEILING((C1484+0*$Z$1),0.1)</f>
        <v>104.2</v>
      </c>
      <c r="D1485" s="768"/>
      <c r="E1485" s="746">
        <f>CEILING((E1484+0*$Z$1),0.1)</f>
        <v>110.30000000000001</v>
      </c>
      <c r="F1485" s="768"/>
      <c r="G1485" s="746">
        <f>CEILING((G1484+0*$Z$1),0.1)</f>
        <v>104.2</v>
      </c>
      <c r="H1485" s="768"/>
      <c r="I1485" s="744"/>
      <c r="J1485" s="744"/>
      <c r="K1485" s="744"/>
      <c r="L1485" s="744"/>
      <c r="M1485" s="105"/>
      <c r="N1485" s="105"/>
      <c r="O1485" s="105"/>
      <c r="P1485" s="105"/>
      <c r="Q1485" s="105"/>
      <c r="R1485" s="105"/>
      <c r="S1485" s="105"/>
      <c r="T1485" s="105"/>
      <c r="U1485" s="105"/>
    </row>
    <row r="1486" spans="1:21" s="107" customFormat="1" ht="34.5" customHeight="1">
      <c r="A1486" s="844" t="s">
        <v>1042</v>
      </c>
      <c r="B1486" s="238" t="s">
        <v>20</v>
      </c>
      <c r="C1486" s="743">
        <f>CEILING(71*$Z$1,0.1)</f>
        <v>88.80000000000001</v>
      </c>
      <c r="D1486" s="767"/>
      <c r="E1486" s="743">
        <f>CEILING(75.2*$Z$1,0.1)</f>
        <v>94</v>
      </c>
      <c r="F1486" s="767"/>
      <c r="G1486" s="743">
        <f>CEILING(71*$Z$1,0.1)</f>
        <v>88.80000000000001</v>
      </c>
      <c r="H1486" s="767"/>
      <c r="I1486" s="744"/>
      <c r="J1486" s="744"/>
      <c r="K1486" s="744"/>
      <c r="L1486" s="744"/>
      <c r="M1486" s="105"/>
      <c r="N1486" s="105"/>
      <c r="O1486" s="105"/>
      <c r="P1486" s="105"/>
      <c r="Q1486" s="105"/>
      <c r="R1486" s="105"/>
      <c r="S1486" s="105"/>
      <c r="T1486" s="105"/>
      <c r="U1486" s="105"/>
    </row>
    <row r="1487" spans="1:21" s="107" customFormat="1" ht="34.5" customHeight="1">
      <c r="A1487" s="432"/>
      <c r="B1487" s="238" t="s">
        <v>21</v>
      </c>
      <c r="C1487" s="746">
        <f>CEILING((C1486+35.2*$Z$1),0.1)</f>
        <v>132.8</v>
      </c>
      <c r="D1487" s="768"/>
      <c r="E1487" s="746">
        <f>CEILING((E1486+37.6*$Z$1),0.1)</f>
        <v>141</v>
      </c>
      <c r="F1487" s="768"/>
      <c r="G1487" s="746">
        <f>CEILING((G1486+35.2*$Z$1),0.1)</f>
        <v>132.8</v>
      </c>
      <c r="H1487" s="768"/>
      <c r="I1487" s="744"/>
      <c r="J1487" s="744"/>
      <c r="K1487" s="744"/>
      <c r="L1487" s="744"/>
      <c r="M1487" s="105"/>
      <c r="N1487" s="105"/>
      <c r="O1487" s="105"/>
      <c r="P1487" s="105"/>
      <c r="Q1487" s="105"/>
      <c r="R1487" s="105"/>
      <c r="S1487" s="105"/>
      <c r="T1487" s="105"/>
      <c r="U1487" s="105"/>
    </row>
    <row r="1488" spans="1:21" s="107" customFormat="1" ht="34.5" customHeight="1">
      <c r="A1488" s="132" t="s">
        <v>1058</v>
      </c>
      <c r="B1488" s="238" t="s">
        <v>38</v>
      </c>
      <c r="C1488" s="746">
        <f>CEILING((C1486*0.85),0.1)</f>
        <v>75.5</v>
      </c>
      <c r="D1488" s="768"/>
      <c r="E1488" s="746">
        <f>CEILING((E1486*0.85),0.1)</f>
        <v>79.9</v>
      </c>
      <c r="F1488" s="768"/>
      <c r="G1488" s="746">
        <f>CEILING((G1486*0.85),0.1)</f>
        <v>75.5</v>
      </c>
      <c r="H1488" s="768"/>
      <c r="I1488" s="744"/>
      <c r="J1488" s="744"/>
      <c r="K1488" s="744"/>
      <c r="L1488" s="744"/>
      <c r="M1488" s="105"/>
      <c r="N1488" s="105"/>
      <c r="O1488" s="105"/>
      <c r="P1488" s="105"/>
      <c r="Q1488" s="105"/>
      <c r="R1488" s="105"/>
      <c r="S1488" s="105"/>
      <c r="T1488" s="105"/>
      <c r="U1488" s="105"/>
    </row>
    <row r="1489" spans="1:21" s="107" customFormat="1" ht="34.5" customHeight="1">
      <c r="A1489" s="432"/>
      <c r="B1489" s="843" t="s">
        <v>764</v>
      </c>
      <c r="C1489" s="746">
        <f>CEILING((C1486*0.3),0.1)</f>
        <v>26.700000000000003</v>
      </c>
      <c r="D1489" s="768"/>
      <c r="E1489" s="746">
        <f>CEILING((E1486*0.3),0.1)</f>
        <v>28.200000000000003</v>
      </c>
      <c r="F1489" s="768"/>
      <c r="G1489" s="746">
        <f>CEILING((G1486*0.3),0.1)</f>
        <v>26.700000000000003</v>
      </c>
      <c r="H1489" s="768"/>
      <c r="I1489" s="744"/>
      <c r="J1489" s="744"/>
      <c r="K1489" s="744"/>
      <c r="L1489" s="744"/>
      <c r="M1489" s="105"/>
      <c r="N1489" s="105"/>
      <c r="O1489" s="105"/>
      <c r="P1489" s="105"/>
      <c r="Q1489" s="105"/>
      <c r="R1489" s="105"/>
      <c r="S1489" s="105"/>
      <c r="T1489" s="105"/>
      <c r="U1489" s="105"/>
    </row>
    <row r="1490" spans="1:21" s="107" customFormat="1" ht="34.5" customHeight="1">
      <c r="A1490" s="432"/>
      <c r="B1490" s="238" t="s">
        <v>477</v>
      </c>
      <c r="C1490" s="746">
        <f>CEILING(73.5*$Z$1,0.1)</f>
        <v>91.9</v>
      </c>
      <c r="D1490" s="768"/>
      <c r="E1490" s="746">
        <f>CEILING(78.4*$Z$1,0.1)</f>
        <v>98</v>
      </c>
      <c r="F1490" s="768"/>
      <c r="G1490" s="746">
        <f>CEILING(73.5*$Z$1,0.1)</f>
        <v>91.9</v>
      </c>
      <c r="H1490" s="768"/>
      <c r="I1490" s="744"/>
      <c r="J1490" s="744"/>
      <c r="K1490" s="744"/>
      <c r="L1490" s="744"/>
      <c r="M1490" s="105"/>
      <c r="N1490" s="105"/>
      <c r="O1490" s="105"/>
      <c r="P1490" s="105"/>
      <c r="Q1490" s="105"/>
      <c r="R1490" s="105"/>
      <c r="S1490" s="105"/>
      <c r="T1490" s="105"/>
      <c r="U1490" s="105"/>
    </row>
    <row r="1491" spans="1:21" s="107" customFormat="1" ht="34.5" customHeight="1">
      <c r="A1491" s="132"/>
      <c r="B1491" s="238" t="s">
        <v>478</v>
      </c>
      <c r="C1491" s="746">
        <f>CEILING((C1490+37*$Z$1),0.1)</f>
        <v>138.20000000000002</v>
      </c>
      <c r="D1491" s="768"/>
      <c r="E1491" s="746">
        <f>CEILING((E1490+39.2*$Z$1),0.1)</f>
        <v>147</v>
      </c>
      <c r="F1491" s="768"/>
      <c r="G1491" s="746">
        <f>CEILING((G1490+37*$Z$1),0.1)</f>
        <v>138.20000000000002</v>
      </c>
      <c r="H1491" s="768"/>
      <c r="I1491" s="744"/>
      <c r="J1491" s="744"/>
      <c r="K1491" s="744"/>
      <c r="L1491" s="744"/>
      <c r="M1491" s="105"/>
      <c r="N1491" s="105"/>
      <c r="O1491" s="105"/>
      <c r="P1491" s="105"/>
      <c r="Q1491" s="105"/>
      <c r="R1491" s="105"/>
      <c r="S1491" s="105"/>
      <c r="T1491" s="105"/>
      <c r="U1491" s="105"/>
    </row>
    <row r="1492" spans="1:25" s="107" customFormat="1" ht="34.5" customHeight="1">
      <c r="A1492" s="132"/>
      <c r="B1492" s="238" t="s">
        <v>38</v>
      </c>
      <c r="C1492" s="746">
        <f>CEILING((C1490*0.85),0.1)</f>
        <v>78.2</v>
      </c>
      <c r="D1492" s="768"/>
      <c r="E1492" s="746">
        <f>CEILING((E1490*0.85),0.1)</f>
        <v>83.30000000000001</v>
      </c>
      <c r="F1492" s="768"/>
      <c r="G1492" s="746">
        <f>CEILING((G1490*0.85),0.1)</f>
        <v>78.2</v>
      </c>
      <c r="H1492" s="768"/>
      <c r="I1492" s="744"/>
      <c r="J1492" s="744"/>
      <c r="K1492" s="744"/>
      <c r="L1492" s="744"/>
      <c r="M1492" s="105"/>
      <c r="N1492" s="105"/>
      <c r="O1492" s="105"/>
      <c r="P1492" s="105"/>
      <c r="Q1492" s="105"/>
      <c r="R1492" s="105"/>
      <c r="S1492" s="105"/>
      <c r="T1492" s="105"/>
      <c r="U1492" s="105"/>
      <c r="V1492" s="105"/>
      <c r="W1492" s="105"/>
      <c r="X1492" s="105"/>
      <c r="Y1492" s="105"/>
    </row>
    <row r="1493" spans="1:25" s="107" customFormat="1" ht="34.5" customHeight="1">
      <c r="A1493" s="432"/>
      <c r="B1493" s="843" t="s">
        <v>764</v>
      </c>
      <c r="C1493" s="746">
        <f>CEILING((C1490*0.3),0.1)</f>
        <v>27.6</v>
      </c>
      <c r="D1493" s="768"/>
      <c r="E1493" s="746">
        <f>CEILING((E1490*0.3),0.1)</f>
        <v>29.400000000000002</v>
      </c>
      <c r="F1493" s="768"/>
      <c r="G1493" s="746">
        <f>CEILING((G1490*0.3),0.1)</f>
        <v>27.6</v>
      </c>
      <c r="H1493" s="768"/>
      <c r="I1493" s="744"/>
      <c r="J1493" s="744"/>
      <c r="K1493" s="744"/>
      <c r="L1493" s="744"/>
      <c r="M1493" s="105"/>
      <c r="N1493" s="105"/>
      <c r="O1493" s="105"/>
      <c r="P1493" s="105"/>
      <c r="Q1493" s="105"/>
      <c r="R1493" s="105"/>
      <c r="S1493" s="105"/>
      <c r="T1493" s="105"/>
      <c r="U1493" s="105"/>
      <c r="V1493" s="105"/>
      <c r="W1493" s="105"/>
      <c r="X1493" s="105"/>
      <c r="Y1493" s="105"/>
    </row>
    <row r="1494" spans="1:25" s="107" customFormat="1" ht="34.5" customHeight="1">
      <c r="A1494" s="132"/>
      <c r="B1494" s="238" t="s">
        <v>24</v>
      </c>
      <c r="C1494" s="747">
        <f>CEILING(102*$Z$1,0.1)</f>
        <v>127.5</v>
      </c>
      <c r="D1494" s="756"/>
      <c r="E1494" s="747">
        <f>CEILING(102*$Z$1,0.1)</f>
        <v>127.5</v>
      </c>
      <c r="F1494" s="756"/>
      <c r="G1494" s="747">
        <f>CEILING(102*$Z$1,0.1)</f>
        <v>127.5</v>
      </c>
      <c r="H1494" s="756"/>
      <c r="I1494" s="744"/>
      <c r="J1494" s="744"/>
      <c r="K1494" s="744"/>
      <c r="L1494" s="744"/>
      <c r="M1494" s="105"/>
      <c r="N1494" s="105"/>
      <c r="O1494" s="105"/>
      <c r="P1494" s="105"/>
      <c r="Q1494" s="105"/>
      <c r="R1494" s="105"/>
      <c r="S1494" s="105"/>
      <c r="T1494" s="105"/>
      <c r="U1494" s="105"/>
      <c r="V1494" s="105"/>
      <c r="W1494" s="105"/>
      <c r="X1494" s="105"/>
      <c r="Y1494" s="105"/>
    </row>
    <row r="1495" spans="1:25" s="107" customFormat="1" ht="34.5" customHeight="1">
      <c r="A1495" s="432"/>
      <c r="B1495" s="238" t="s">
        <v>25</v>
      </c>
      <c r="C1495" s="747">
        <f>CEILING((C1494+71.4*$Z$1),0.1)</f>
        <v>216.8</v>
      </c>
      <c r="D1495" s="756"/>
      <c r="E1495" s="747">
        <f>CEILING((E1494+71.4*$Z$1),0.1)</f>
        <v>216.8</v>
      </c>
      <c r="F1495" s="756"/>
      <c r="G1495" s="747">
        <f>CEILING((G1494+71.4*$Z$1),0.1)</f>
        <v>216.8</v>
      </c>
      <c r="H1495" s="756"/>
      <c r="I1495" s="744"/>
      <c r="J1495" s="744"/>
      <c r="K1495" s="744"/>
      <c r="L1495" s="744"/>
      <c r="M1495" s="105"/>
      <c r="N1495" s="105"/>
      <c r="O1495" s="105"/>
      <c r="P1495" s="105"/>
      <c r="Q1495" s="105"/>
      <c r="R1495" s="105"/>
      <c r="S1495" s="105"/>
      <c r="T1495" s="105"/>
      <c r="U1495" s="105"/>
      <c r="V1495" s="105"/>
      <c r="W1495" s="105"/>
      <c r="X1495" s="105"/>
      <c r="Y1495" s="105"/>
    </row>
    <row r="1496" spans="1:25" s="107" customFormat="1" ht="34.5" customHeight="1">
      <c r="A1496" s="432"/>
      <c r="B1496" s="238" t="s">
        <v>475</v>
      </c>
      <c r="C1496" s="747">
        <f>CEILING(106*$Z$1,0.1)</f>
        <v>132.5</v>
      </c>
      <c r="D1496" s="756"/>
      <c r="E1496" s="747">
        <f>CEILING(106*$Z$1,0.1)</f>
        <v>132.5</v>
      </c>
      <c r="F1496" s="756"/>
      <c r="G1496" s="747">
        <f>CEILING(106*$Z$1,0.1)</f>
        <v>132.5</v>
      </c>
      <c r="H1496" s="756"/>
      <c r="I1496" s="744"/>
      <c r="J1496" s="744"/>
      <c r="K1496" s="744"/>
      <c r="L1496" s="744"/>
      <c r="M1496" s="105"/>
      <c r="N1496" s="105"/>
      <c r="O1496" s="105"/>
      <c r="P1496" s="105"/>
      <c r="Q1496" s="105"/>
      <c r="R1496" s="105"/>
      <c r="S1496" s="105"/>
      <c r="T1496" s="105"/>
      <c r="U1496" s="105"/>
      <c r="V1496" s="105"/>
      <c r="W1496" s="105"/>
      <c r="X1496" s="105"/>
      <c r="Y1496" s="105"/>
    </row>
    <row r="1497" spans="1:25" s="107" customFormat="1" ht="34.5" customHeight="1">
      <c r="A1497" s="844"/>
      <c r="B1497" s="238" t="s">
        <v>476</v>
      </c>
      <c r="C1497" s="747">
        <f>CEILING((C1496+74.2*$Z$1),0.1)</f>
        <v>225.3</v>
      </c>
      <c r="D1497" s="756"/>
      <c r="E1497" s="747">
        <f>CEILING((E1496+74.2*$Z$1),0.1)</f>
        <v>225.3</v>
      </c>
      <c r="F1497" s="756"/>
      <c r="G1497" s="747">
        <f>CEILING((G1496+74.2*$Z$1),0.1)</f>
        <v>225.3</v>
      </c>
      <c r="H1497" s="756"/>
      <c r="I1497" s="744"/>
      <c r="J1497" s="744"/>
      <c r="K1497" s="744"/>
      <c r="L1497" s="744"/>
      <c r="M1497" s="105"/>
      <c r="N1497" s="105"/>
      <c r="O1497" s="105"/>
      <c r="P1497" s="105"/>
      <c r="Q1497" s="105"/>
      <c r="R1497" s="105"/>
      <c r="S1497" s="105"/>
      <c r="T1497" s="105"/>
      <c r="U1497" s="105"/>
      <c r="V1497" s="105"/>
      <c r="W1497" s="105"/>
      <c r="X1497" s="105"/>
      <c r="Y1497" s="105"/>
    </row>
    <row r="1498" spans="1:25" s="107" customFormat="1" ht="34.5" customHeight="1">
      <c r="A1498" s="432"/>
      <c r="B1498" s="238" t="s">
        <v>28</v>
      </c>
      <c r="C1498" s="747">
        <f>CEILING(111*$Z$1,0.1)</f>
        <v>138.8</v>
      </c>
      <c r="D1498" s="756"/>
      <c r="E1498" s="747">
        <f>CEILING(111*$Z$1,0.1)</f>
        <v>138.8</v>
      </c>
      <c r="F1498" s="756"/>
      <c r="G1498" s="747">
        <f>CEILING(111*$Z$1,0.1)</f>
        <v>138.8</v>
      </c>
      <c r="H1498" s="756"/>
      <c r="I1498" s="744"/>
      <c r="J1498" s="744"/>
      <c r="K1498" s="744"/>
      <c r="L1498" s="744"/>
      <c r="M1498" s="110"/>
      <c r="N1498" s="124"/>
      <c r="O1498" s="105"/>
      <c r="P1498" s="105"/>
      <c r="Q1498" s="105"/>
      <c r="R1498" s="105"/>
      <c r="S1498" s="105"/>
      <c r="T1498" s="105"/>
      <c r="U1498" s="105"/>
      <c r="V1498" s="105"/>
      <c r="W1498" s="105"/>
      <c r="X1498" s="105"/>
      <c r="Y1498" s="105"/>
    </row>
    <row r="1499" spans="1:25" s="107" customFormat="1" ht="34.5" customHeight="1">
      <c r="A1499" s="432"/>
      <c r="B1499" s="238" t="s">
        <v>29</v>
      </c>
      <c r="C1499" s="747">
        <f>CEILING((C1498+78*$Z$1),0.1)</f>
        <v>236.3</v>
      </c>
      <c r="D1499" s="756"/>
      <c r="E1499" s="747">
        <f>CEILING((E1498+78*$Z$1),0.1)</f>
        <v>236.3</v>
      </c>
      <c r="F1499" s="756"/>
      <c r="G1499" s="747">
        <f>CEILING((G1498+78*$Z$1),0.1)</f>
        <v>236.3</v>
      </c>
      <c r="H1499" s="756"/>
      <c r="I1499" s="744"/>
      <c r="J1499" s="744"/>
      <c r="K1499" s="744"/>
      <c r="L1499" s="744"/>
      <c r="M1499" s="110"/>
      <c r="N1499" s="124"/>
      <c r="O1499" s="105"/>
      <c r="P1499" s="105"/>
      <c r="Q1499" s="105"/>
      <c r="R1499" s="105"/>
      <c r="S1499" s="105"/>
      <c r="T1499" s="105"/>
      <c r="U1499" s="105"/>
      <c r="V1499" s="105"/>
      <c r="W1499" s="105"/>
      <c r="X1499" s="105"/>
      <c r="Y1499" s="105"/>
    </row>
    <row r="1500" spans="1:25" s="107" customFormat="1" ht="34.5" customHeight="1">
      <c r="A1500" s="132"/>
      <c r="B1500" s="238" t="s">
        <v>473</v>
      </c>
      <c r="C1500" s="747">
        <f>CEILING(115*$Z$1,0.1)</f>
        <v>143.8</v>
      </c>
      <c r="D1500" s="756"/>
      <c r="E1500" s="747">
        <f>CEILING(115*$Z$1,0.1)</f>
        <v>143.8</v>
      </c>
      <c r="F1500" s="756"/>
      <c r="G1500" s="747">
        <f>CEILING(115*$Z$1,0.1)</f>
        <v>143.8</v>
      </c>
      <c r="H1500" s="756"/>
      <c r="I1500" s="744"/>
      <c r="J1500" s="744"/>
      <c r="K1500" s="744"/>
      <c r="L1500" s="744"/>
      <c r="M1500" s="110"/>
      <c r="N1500" s="124"/>
      <c r="O1500" s="105"/>
      <c r="P1500" s="105"/>
      <c r="Q1500" s="105"/>
      <c r="R1500" s="105"/>
      <c r="S1500" s="105"/>
      <c r="T1500" s="105"/>
      <c r="U1500" s="105"/>
      <c r="V1500" s="105"/>
      <c r="W1500" s="105"/>
      <c r="X1500" s="105"/>
      <c r="Y1500" s="105"/>
    </row>
    <row r="1501" spans="1:25" s="107" customFormat="1" ht="34.5" customHeight="1" thickBot="1">
      <c r="A1501" s="845" t="s">
        <v>735</v>
      </c>
      <c r="B1501" s="846" t="s">
        <v>474</v>
      </c>
      <c r="C1501" s="847">
        <f>CEILING((C1500+81*$Z$1),0.1)</f>
        <v>245.10000000000002</v>
      </c>
      <c r="D1501" s="848"/>
      <c r="E1501" s="847">
        <f>CEILING((E1500+81*$Z$1),0.1)</f>
        <v>245.10000000000002</v>
      </c>
      <c r="F1501" s="848"/>
      <c r="G1501" s="847">
        <f>CEILING((G1500+81*$Z$1),0.1)</f>
        <v>245.10000000000002</v>
      </c>
      <c r="H1501" s="848"/>
      <c r="I1501" s="744"/>
      <c r="J1501" s="744"/>
      <c r="K1501" s="744"/>
      <c r="L1501" s="744"/>
      <c r="M1501" s="110"/>
      <c r="N1501" s="124"/>
      <c r="O1501" s="105"/>
      <c r="P1501" s="105"/>
      <c r="Q1501" s="105"/>
      <c r="R1501" s="105"/>
      <c r="S1501" s="105"/>
      <c r="T1501" s="105"/>
      <c r="U1501" s="105"/>
      <c r="V1501" s="105"/>
      <c r="W1501" s="105"/>
      <c r="X1501" s="105"/>
      <c r="Y1501" s="105"/>
    </row>
    <row r="1502" spans="1:61" s="107" customFormat="1" ht="34.5" customHeight="1" thickTop="1">
      <c r="A1502" s="1090" t="s">
        <v>765</v>
      </c>
      <c r="B1502" s="1090"/>
      <c r="C1502" s="1091"/>
      <c r="D1502" s="1091"/>
      <c r="E1502" s="1090"/>
      <c r="F1502" s="1090"/>
      <c r="G1502" s="1091"/>
      <c r="H1502" s="1091"/>
      <c r="I1502" s="137"/>
      <c r="J1502" s="158"/>
      <c r="K1502" s="157"/>
      <c r="L1502" s="157"/>
      <c r="M1502" s="158"/>
      <c r="N1502" s="158"/>
      <c r="O1502" s="158"/>
      <c r="P1502" s="158"/>
      <c r="Q1502" s="158"/>
      <c r="R1502" s="158"/>
      <c r="S1502" s="158"/>
      <c r="T1502" s="158"/>
      <c r="U1502" s="158"/>
      <c r="V1502" s="158"/>
      <c r="W1502" s="158"/>
      <c r="X1502" s="158"/>
      <c r="Y1502" s="158"/>
      <c r="Z1502" s="158"/>
      <c r="AA1502" s="158"/>
      <c r="AB1502" s="158"/>
      <c r="AC1502" s="158"/>
      <c r="AD1502" s="158"/>
      <c r="AE1502" s="158"/>
      <c r="AF1502" s="158"/>
      <c r="AG1502" s="158"/>
      <c r="AH1502" s="158"/>
      <c r="AI1502" s="158"/>
      <c r="AJ1502" s="158"/>
      <c r="AK1502" s="158"/>
      <c r="AL1502" s="158"/>
      <c r="AM1502" s="158"/>
      <c r="AN1502" s="158"/>
      <c r="AO1502" s="158"/>
      <c r="AP1502" s="158"/>
      <c r="AQ1502" s="158"/>
      <c r="AR1502" s="158"/>
      <c r="AS1502" s="158"/>
      <c r="AT1502" s="158"/>
      <c r="AU1502" s="158"/>
      <c r="AV1502" s="158"/>
      <c r="AW1502" s="158"/>
      <c r="AX1502" s="158"/>
      <c r="AY1502" s="158"/>
      <c r="AZ1502" s="158"/>
      <c r="BA1502" s="158"/>
      <c r="BB1502" s="158"/>
      <c r="BC1502" s="158"/>
      <c r="BD1502" s="158"/>
      <c r="BE1502" s="158"/>
      <c r="BF1502" s="158"/>
      <c r="BG1502" s="158"/>
      <c r="BH1502" s="158"/>
      <c r="BI1502" s="158"/>
    </row>
    <row r="1503" spans="1:21" s="107" customFormat="1" ht="34.5" customHeight="1">
      <c r="A1503" s="828" t="s">
        <v>903</v>
      </c>
      <c r="B1503" s="829"/>
      <c r="C1503" s="829"/>
      <c r="D1503" s="829"/>
      <c r="E1503" s="829"/>
      <c r="F1503" s="829"/>
      <c r="G1503" s="827"/>
      <c r="H1503" s="827"/>
      <c r="I1503" s="137"/>
      <c r="J1503" s="158"/>
      <c r="K1503" s="157"/>
      <c r="L1503" s="157"/>
      <c r="M1503" s="105"/>
      <c r="N1503" s="105"/>
      <c r="O1503" s="105"/>
      <c r="P1503" s="105"/>
      <c r="Q1503" s="105"/>
      <c r="R1503" s="105"/>
      <c r="S1503" s="105"/>
      <c r="T1503" s="105"/>
      <c r="U1503" s="105"/>
    </row>
    <row r="1504" spans="1:21" s="107" customFormat="1" ht="34.5" customHeight="1" thickBot="1">
      <c r="A1504" s="828"/>
      <c r="B1504" s="829"/>
      <c r="C1504" s="829"/>
      <c r="D1504" s="829"/>
      <c r="E1504" s="829"/>
      <c r="F1504" s="829"/>
      <c r="G1504" s="827"/>
      <c r="H1504" s="827"/>
      <c r="I1504" s="137"/>
      <c r="J1504" s="158"/>
      <c r="K1504" s="157"/>
      <c r="L1504" s="157"/>
      <c r="M1504" s="105"/>
      <c r="N1504" s="105"/>
      <c r="O1504" s="105"/>
      <c r="P1504" s="105"/>
      <c r="Q1504" s="105"/>
      <c r="R1504" s="105"/>
      <c r="S1504" s="105"/>
      <c r="T1504" s="105"/>
      <c r="U1504" s="105"/>
    </row>
    <row r="1505" spans="1:42" s="214" customFormat="1" ht="34.5" customHeight="1" thickTop="1">
      <c r="A1505" s="207" t="s">
        <v>34</v>
      </c>
      <c r="B1505" s="208" t="s">
        <v>888</v>
      </c>
      <c r="C1505" s="209" t="s">
        <v>921</v>
      </c>
      <c r="D1505" s="210"/>
      <c r="E1505" s="211" t="s">
        <v>922</v>
      </c>
      <c r="F1505" s="212"/>
      <c r="G1505" s="211" t="s">
        <v>923</v>
      </c>
      <c r="H1505" s="212"/>
      <c r="I1505" s="1070"/>
      <c r="J1505" s="1071"/>
      <c r="K1505" s="1070"/>
      <c r="L1505" s="1070"/>
      <c r="M1505" s="174"/>
      <c r="N1505" s="174"/>
      <c r="O1505" s="213"/>
      <c r="P1505" s="213"/>
      <c r="Q1505" s="213"/>
      <c r="R1505" s="213"/>
      <c r="S1505" s="114"/>
      <c r="T1505" s="105"/>
      <c r="U1505" s="105"/>
      <c r="V1505" s="105"/>
      <c r="W1505" s="105"/>
      <c r="X1505" s="105"/>
      <c r="Y1505" s="105"/>
      <c r="Z1505" s="114"/>
      <c r="AA1505" s="213"/>
      <c r="AB1505" s="213"/>
      <c r="AC1505" s="213"/>
      <c r="AD1505" s="213"/>
      <c r="AE1505" s="213"/>
      <c r="AF1505" s="213"/>
      <c r="AG1505" s="213"/>
      <c r="AH1505" s="213"/>
      <c r="AI1505" s="213"/>
      <c r="AJ1505" s="213"/>
      <c r="AK1505" s="213"/>
      <c r="AL1505" s="213"/>
      <c r="AM1505" s="213"/>
      <c r="AN1505" s="213"/>
      <c r="AO1505" s="213"/>
      <c r="AP1505" s="213"/>
    </row>
    <row r="1506" spans="1:21" s="107" customFormat="1" ht="34.5" customHeight="1">
      <c r="A1506" s="796" t="s">
        <v>337</v>
      </c>
      <c r="B1506" s="723" t="s">
        <v>17</v>
      </c>
      <c r="C1506" s="743">
        <f>CEILING(72*$Z$1,0.1)</f>
        <v>90</v>
      </c>
      <c r="D1506" s="767"/>
      <c r="E1506" s="743">
        <f>CEILING(77*$Z$1,0.1)</f>
        <v>96.30000000000001</v>
      </c>
      <c r="F1506" s="767"/>
      <c r="G1506" s="743">
        <f>CEILING(72*$Z$1,0.1)</f>
        <v>90</v>
      </c>
      <c r="H1506" s="767"/>
      <c r="I1506" s="744"/>
      <c r="J1506" s="744"/>
      <c r="K1506" s="744"/>
      <c r="L1506" s="744"/>
      <c r="M1506" s="124"/>
      <c r="N1506" s="124"/>
      <c r="O1506" s="105"/>
      <c r="P1506" s="105"/>
      <c r="Q1506" s="105"/>
      <c r="R1506" s="105"/>
      <c r="S1506" s="105"/>
      <c r="T1506" s="105"/>
      <c r="U1506" s="105"/>
    </row>
    <row r="1507" spans="1:21" s="107" customFormat="1" ht="34.5" customHeight="1">
      <c r="A1507" s="432" t="s">
        <v>36</v>
      </c>
      <c r="B1507" s="330" t="s">
        <v>479</v>
      </c>
      <c r="C1507" s="746">
        <f>CEILING((C1506+36*$Z$1),0.1)</f>
        <v>135</v>
      </c>
      <c r="D1507" s="768"/>
      <c r="E1507" s="746">
        <f>CEILING((E1506+38.5*$Z$1),0.1)</f>
        <v>144.5</v>
      </c>
      <c r="F1507" s="768"/>
      <c r="G1507" s="746">
        <f>CEILING((G1506+36*$Z$1),0.1)</f>
        <v>135</v>
      </c>
      <c r="H1507" s="768"/>
      <c r="I1507" s="744"/>
      <c r="J1507" s="744"/>
      <c r="K1507" s="744"/>
      <c r="L1507" s="744"/>
      <c r="M1507" s="124"/>
      <c r="N1507" s="124"/>
      <c r="O1507" s="105"/>
      <c r="P1507" s="105"/>
      <c r="Q1507" s="105"/>
      <c r="R1507" s="109"/>
      <c r="S1507" s="109"/>
      <c r="T1507" s="105"/>
      <c r="U1507" s="105"/>
    </row>
    <row r="1508" spans="1:21" s="107" customFormat="1" ht="34.5" customHeight="1">
      <c r="A1508" s="432"/>
      <c r="B1508" s="353" t="s">
        <v>70</v>
      </c>
      <c r="C1508" s="746">
        <f>CEILING((C1506*0.85),0.1)</f>
        <v>76.5</v>
      </c>
      <c r="D1508" s="768"/>
      <c r="E1508" s="746">
        <f>CEILING((E1506*0.85),0.1)</f>
        <v>81.9</v>
      </c>
      <c r="F1508" s="768"/>
      <c r="G1508" s="746">
        <f>CEILING((G1506*0.85),0.1)</f>
        <v>76.5</v>
      </c>
      <c r="H1508" s="768"/>
      <c r="I1508" s="744"/>
      <c r="J1508" s="744"/>
      <c r="K1508" s="744"/>
      <c r="L1508" s="744"/>
      <c r="M1508" s="124"/>
      <c r="N1508" s="105"/>
      <c r="O1508" s="105"/>
      <c r="P1508" s="105"/>
      <c r="Q1508" s="105"/>
      <c r="R1508" s="740"/>
      <c r="S1508" s="740"/>
      <c r="T1508" s="105"/>
      <c r="U1508" s="105"/>
    </row>
    <row r="1509" spans="1:21" s="107" customFormat="1" ht="34.5" customHeight="1">
      <c r="A1509" s="844"/>
      <c r="B1509" s="843" t="s">
        <v>764</v>
      </c>
      <c r="C1509" s="746">
        <f>CEILING((C1506*0.3),0.1)</f>
        <v>27</v>
      </c>
      <c r="D1509" s="957"/>
      <c r="E1509" s="746">
        <f>CEILING((E1506*0.3),0.1)</f>
        <v>28.900000000000002</v>
      </c>
      <c r="F1509" s="768"/>
      <c r="G1509" s="746">
        <f>CEILING((G1506*0.3),0.1)</f>
        <v>27</v>
      </c>
      <c r="H1509" s="768"/>
      <c r="I1509" s="744"/>
      <c r="J1509" s="744"/>
      <c r="K1509" s="744"/>
      <c r="L1509" s="744"/>
      <c r="M1509" s="105"/>
      <c r="N1509" s="105"/>
      <c r="O1509" s="105"/>
      <c r="P1509" s="105"/>
      <c r="Q1509" s="105"/>
      <c r="R1509" s="148"/>
      <c r="S1509" s="148"/>
      <c r="T1509" s="105"/>
      <c r="U1509" s="105"/>
    </row>
    <row r="1510" spans="1:21" s="107" customFormat="1" ht="34.5" customHeight="1">
      <c r="A1510" s="844"/>
      <c r="B1510" s="843" t="s">
        <v>1046</v>
      </c>
      <c r="C1510" s="746">
        <f>CEILING(87*$Z$1,0.1)</f>
        <v>108.80000000000001</v>
      </c>
      <c r="D1510" s="957"/>
      <c r="E1510" s="746">
        <f>CEILING(92.8*$Z$1,0.1)</f>
        <v>116</v>
      </c>
      <c r="F1510" s="768"/>
      <c r="G1510" s="746">
        <f>CEILING(87*$Z$1,0.1)</f>
        <v>108.80000000000001</v>
      </c>
      <c r="H1510" s="768"/>
      <c r="I1510" s="744"/>
      <c r="J1510" s="744"/>
      <c r="K1510" s="744"/>
      <c r="L1510" s="744"/>
      <c r="M1510" s="105"/>
      <c r="N1510" s="105"/>
      <c r="O1510" s="105"/>
      <c r="P1510" s="105"/>
      <c r="Q1510" s="105"/>
      <c r="R1510" s="952"/>
      <c r="S1510" s="952"/>
      <c r="T1510" s="105"/>
      <c r="U1510" s="105"/>
    </row>
    <row r="1511" spans="1:21" s="107" customFormat="1" ht="34.5" customHeight="1">
      <c r="A1511" s="844"/>
      <c r="B1511" s="843" t="s">
        <v>1047</v>
      </c>
      <c r="C1511" s="746">
        <f>CEILING((C1510+67*$Z$1),0.1)</f>
        <v>192.60000000000002</v>
      </c>
      <c r="D1511" s="957"/>
      <c r="E1511" s="746">
        <f>CEILING((E1510+74.2*$Z$1),0.1)</f>
        <v>208.8</v>
      </c>
      <c r="F1511" s="768"/>
      <c r="G1511" s="746">
        <f>CEILING((G1510+67*$Z$1),0.1)</f>
        <v>192.60000000000002</v>
      </c>
      <c r="H1511" s="768"/>
      <c r="I1511" s="744"/>
      <c r="J1511" s="744"/>
      <c r="K1511" s="744"/>
      <c r="L1511" s="744"/>
      <c r="M1511" s="105"/>
      <c r="N1511" s="105"/>
      <c r="O1511" s="105"/>
      <c r="P1511" s="105"/>
      <c r="Q1511" s="105"/>
      <c r="R1511" s="952"/>
      <c r="S1511" s="952"/>
      <c r="T1511" s="105"/>
      <c r="U1511" s="105"/>
    </row>
    <row r="1512" spans="1:21" s="107" customFormat="1" ht="34.5" customHeight="1">
      <c r="A1512" s="844"/>
      <c r="B1512" s="843" t="s">
        <v>480</v>
      </c>
      <c r="C1512" s="746">
        <f>CEILING(87*$Z$1,0.1)</f>
        <v>108.80000000000001</v>
      </c>
      <c r="D1512" s="957"/>
      <c r="E1512" s="746">
        <f>CEILING(92.8*$Z$1,0.1)</f>
        <v>116</v>
      </c>
      <c r="F1512" s="768"/>
      <c r="G1512" s="746">
        <f>CEILING(87*$Z$1,0.1)</f>
        <v>108.80000000000001</v>
      </c>
      <c r="H1512" s="768"/>
      <c r="I1512" s="744"/>
      <c r="J1512" s="744"/>
      <c r="K1512" s="744"/>
      <c r="L1512" s="744"/>
      <c r="M1512" s="105"/>
      <c r="N1512" s="105"/>
      <c r="O1512" s="105"/>
      <c r="P1512" s="105"/>
      <c r="Q1512" s="105"/>
      <c r="R1512" s="952"/>
      <c r="S1512" s="952"/>
      <c r="T1512" s="105"/>
      <c r="U1512" s="105"/>
    </row>
    <row r="1513" spans="1:21" s="107" customFormat="1" ht="34.5" customHeight="1">
      <c r="A1513" s="844"/>
      <c r="B1513" s="843" t="s">
        <v>1045</v>
      </c>
      <c r="C1513" s="746">
        <f>CEILING((C1512+0*$Z$1),0.1)</f>
        <v>108.80000000000001</v>
      </c>
      <c r="D1513" s="768"/>
      <c r="E1513" s="746">
        <f>CEILING((E1512+0*$Z$1),0.1)</f>
        <v>116</v>
      </c>
      <c r="F1513" s="768"/>
      <c r="G1513" s="746">
        <f>CEILING((G1512+0*$Z$1),0.1)</f>
        <v>108.80000000000001</v>
      </c>
      <c r="H1513" s="768"/>
      <c r="I1513" s="744"/>
      <c r="J1513" s="744"/>
      <c r="K1513" s="744"/>
      <c r="L1513" s="744"/>
      <c r="M1513" s="105"/>
      <c r="N1513" s="105"/>
      <c r="O1513" s="105"/>
      <c r="P1513" s="105"/>
      <c r="Q1513" s="105"/>
      <c r="R1513" s="952"/>
      <c r="S1513" s="952"/>
      <c r="T1513" s="105"/>
      <c r="U1513" s="105"/>
    </row>
    <row r="1514" spans="1:256" s="107" customFormat="1" ht="34.5" customHeight="1" thickBot="1">
      <c r="A1514" s="844" t="s">
        <v>1064</v>
      </c>
      <c r="B1514" s="238" t="s">
        <v>1043</v>
      </c>
      <c r="C1514" s="746">
        <f>CEILING(91*$Z$1,0.1)</f>
        <v>113.80000000000001</v>
      </c>
      <c r="D1514" s="768"/>
      <c r="E1514" s="746">
        <f>CEILING(96.8*$Z$1,0.1)</f>
        <v>121</v>
      </c>
      <c r="F1514" s="768"/>
      <c r="G1514" s="746">
        <f>CEILING(91*$Z$1,0.1)</f>
        <v>113.80000000000001</v>
      </c>
      <c r="H1514" s="768"/>
      <c r="I1514" s="744"/>
      <c r="J1514" s="744"/>
      <c r="K1514" s="744"/>
      <c r="L1514" s="744"/>
      <c r="M1514" s="148"/>
      <c r="N1514" s="148"/>
      <c r="O1514" s="148"/>
      <c r="P1514" s="148"/>
      <c r="Q1514" s="849"/>
      <c r="R1514" s="850"/>
      <c r="S1514" s="850"/>
      <c r="T1514" s="850"/>
      <c r="U1514" s="148"/>
      <c r="V1514" s="148"/>
      <c r="W1514" s="148"/>
      <c r="X1514" s="148"/>
      <c r="Y1514" s="849" t="s">
        <v>424</v>
      </c>
      <c r="Z1514" s="850"/>
      <c r="AA1514" s="850"/>
      <c r="AB1514" s="850"/>
      <c r="AC1514" s="148"/>
      <c r="AD1514" s="148"/>
      <c r="AE1514" s="148"/>
      <c r="AF1514" s="148"/>
      <c r="AG1514" s="849" t="s">
        <v>424</v>
      </c>
      <c r="AH1514" s="850"/>
      <c r="AI1514" s="850"/>
      <c r="AJ1514" s="850"/>
      <c r="AK1514" s="148"/>
      <c r="AL1514" s="148"/>
      <c r="AM1514" s="148"/>
      <c r="AN1514" s="148"/>
      <c r="AO1514" s="849" t="s">
        <v>424</v>
      </c>
      <c r="AP1514" s="850"/>
      <c r="AQ1514" s="850"/>
      <c r="AR1514" s="850"/>
      <c r="AS1514" s="148"/>
      <c r="AT1514" s="148"/>
      <c r="AU1514" s="851"/>
      <c r="AV1514" s="851"/>
      <c r="AW1514" s="726" t="s">
        <v>424</v>
      </c>
      <c r="AX1514" s="852"/>
      <c r="AY1514" s="853"/>
      <c r="AZ1514" s="852"/>
      <c r="BA1514" s="851"/>
      <c r="BB1514" s="851"/>
      <c r="BC1514" s="851"/>
      <c r="BD1514" s="851"/>
      <c r="BE1514" s="726" t="s">
        <v>424</v>
      </c>
      <c r="BF1514" s="852"/>
      <c r="BG1514" s="853"/>
      <c r="BH1514" s="852"/>
      <c r="BI1514" s="851"/>
      <c r="BJ1514" s="851"/>
      <c r="BK1514" s="851"/>
      <c r="BL1514" s="851"/>
      <c r="BM1514" s="726" t="s">
        <v>424</v>
      </c>
      <c r="BN1514" s="852"/>
      <c r="BO1514" s="853"/>
      <c r="BP1514" s="852"/>
      <c r="BQ1514" s="851"/>
      <c r="BR1514" s="851"/>
      <c r="BS1514" s="851"/>
      <c r="BT1514" s="851"/>
      <c r="BU1514" s="726" t="s">
        <v>424</v>
      </c>
      <c r="BV1514" s="852"/>
      <c r="BW1514" s="853"/>
      <c r="BX1514" s="852"/>
      <c r="BY1514" s="851"/>
      <c r="BZ1514" s="851"/>
      <c r="CA1514" s="851"/>
      <c r="CB1514" s="851"/>
      <c r="CC1514" s="726" t="s">
        <v>424</v>
      </c>
      <c r="CD1514" s="852"/>
      <c r="CE1514" s="853"/>
      <c r="CF1514" s="852"/>
      <c r="CG1514" s="851"/>
      <c r="CH1514" s="851"/>
      <c r="CI1514" s="851"/>
      <c r="CJ1514" s="851"/>
      <c r="CK1514" s="726" t="s">
        <v>424</v>
      </c>
      <c r="CL1514" s="852"/>
      <c r="CM1514" s="853"/>
      <c r="CN1514" s="852"/>
      <c r="CO1514" s="851"/>
      <c r="CP1514" s="851"/>
      <c r="CQ1514" s="851"/>
      <c r="CR1514" s="851"/>
      <c r="CS1514" s="726" t="s">
        <v>424</v>
      </c>
      <c r="CT1514" s="852"/>
      <c r="CU1514" s="853"/>
      <c r="CV1514" s="852"/>
      <c r="CW1514" s="851"/>
      <c r="CX1514" s="851"/>
      <c r="CY1514" s="851"/>
      <c r="CZ1514" s="851"/>
      <c r="DA1514" s="726" t="s">
        <v>424</v>
      </c>
      <c r="DB1514" s="852"/>
      <c r="DC1514" s="853"/>
      <c r="DD1514" s="852"/>
      <c r="DE1514" s="851"/>
      <c r="DF1514" s="851"/>
      <c r="DG1514" s="851"/>
      <c r="DH1514" s="851"/>
      <c r="DI1514" s="726" t="s">
        <v>424</v>
      </c>
      <c r="DJ1514" s="852"/>
      <c r="DK1514" s="853"/>
      <c r="DL1514" s="852"/>
      <c r="DM1514" s="851"/>
      <c r="DN1514" s="851"/>
      <c r="DO1514" s="851"/>
      <c r="DP1514" s="851"/>
      <c r="DQ1514" s="726" t="s">
        <v>424</v>
      </c>
      <c r="DR1514" s="852"/>
      <c r="DS1514" s="853"/>
      <c r="DT1514" s="852"/>
      <c r="DU1514" s="851"/>
      <c r="DV1514" s="851"/>
      <c r="DW1514" s="851"/>
      <c r="DX1514" s="851"/>
      <c r="DY1514" s="726" t="s">
        <v>424</v>
      </c>
      <c r="DZ1514" s="852"/>
      <c r="EA1514" s="853"/>
      <c r="EB1514" s="852"/>
      <c r="EC1514" s="851"/>
      <c r="ED1514" s="851"/>
      <c r="EE1514" s="851"/>
      <c r="EF1514" s="851"/>
      <c r="EG1514" s="726" t="s">
        <v>424</v>
      </c>
      <c r="EH1514" s="852"/>
      <c r="EI1514" s="853"/>
      <c r="EJ1514" s="852"/>
      <c r="EK1514" s="851"/>
      <c r="EL1514" s="851"/>
      <c r="EM1514" s="851"/>
      <c r="EN1514" s="851"/>
      <c r="EO1514" s="726" t="s">
        <v>424</v>
      </c>
      <c r="EP1514" s="852"/>
      <c r="EQ1514" s="853"/>
      <c r="ER1514" s="852"/>
      <c r="ES1514" s="851"/>
      <c r="ET1514" s="851"/>
      <c r="EU1514" s="851"/>
      <c r="EV1514" s="851"/>
      <c r="EW1514" s="726" t="s">
        <v>424</v>
      </c>
      <c r="EX1514" s="852"/>
      <c r="EY1514" s="853"/>
      <c r="EZ1514" s="852"/>
      <c r="FA1514" s="851"/>
      <c r="FB1514" s="851"/>
      <c r="FC1514" s="851"/>
      <c r="FD1514" s="851"/>
      <c r="FE1514" s="726" t="s">
        <v>424</v>
      </c>
      <c r="FF1514" s="852"/>
      <c r="FG1514" s="853"/>
      <c r="FH1514" s="852"/>
      <c r="FI1514" s="851"/>
      <c r="FJ1514" s="851"/>
      <c r="FK1514" s="851"/>
      <c r="FL1514" s="851"/>
      <c r="FM1514" s="726" t="s">
        <v>424</v>
      </c>
      <c r="FN1514" s="852"/>
      <c r="FO1514" s="853"/>
      <c r="FP1514" s="852"/>
      <c r="FQ1514" s="851"/>
      <c r="FR1514" s="851"/>
      <c r="FS1514" s="851"/>
      <c r="FT1514" s="851"/>
      <c r="FU1514" s="726" t="s">
        <v>424</v>
      </c>
      <c r="FV1514" s="852"/>
      <c r="FW1514" s="853"/>
      <c r="FX1514" s="852"/>
      <c r="FY1514" s="851"/>
      <c r="FZ1514" s="851"/>
      <c r="GA1514" s="851"/>
      <c r="GB1514" s="851"/>
      <c r="GC1514" s="726" t="s">
        <v>424</v>
      </c>
      <c r="GD1514" s="852"/>
      <c r="GE1514" s="853"/>
      <c r="GF1514" s="852"/>
      <c r="GG1514" s="851"/>
      <c r="GH1514" s="851"/>
      <c r="GI1514" s="851"/>
      <c r="GJ1514" s="851"/>
      <c r="GK1514" s="726" t="s">
        <v>424</v>
      </c>
      <c r="GL1514" s="852"/>
      <c r="GM1514" s="853"/>
      <c r="GN1514" s="852"/>
      <c r="GO1514" s="851"/>
      <c r="GP1514" s="851"/>
      <c r="GQ1514" s="851"/>
      <c r="GR1514" s="851"/>
      <c r="GS1514" s="726" t="s">
        <v>424</v>
      </c>
      <c r="GT1514" s="852"/>
      <c r="GU1514" s="853"/>
      <c r="GV1514" s="852"/>
      <c r="GW1514" s="851"/>
      <c r="GX1514" s="851"/>
      <c r="GY1514" s="851"/>
      <c r="GZ1514" s="851"/>
      <c r="HA1514" s="726" t="s">
        <v>424</v>
      </c>
      <c r="HB1514" s="852"/>
      <c r="HC1514" s="853"/>
      <c r="HD1514" s="852"/>
      <c r="HE1514" s="851"/>
      <c r="HF1514" s="851"/>
      <c r="HG1514" s="851"/>
      <c r="HH1514" s="851"/>
      <c r="HI1514" s="726" t="s">
        <v>424</v>
      </c>
      <c r="HJ1514" s="852"/>
      <c r="HK1514" s="853"/>
      <c r="HL1514" s="852"/>
      <c r="HM1514" s="851"/>
      <c r="HN1514" s="851"/>
      <c r="HO1514" s="851"/>
      <c r="HP1514" s="851"/>
      <c r="HQ1514" s="726" t="s">
        <v>424</v>
      </c>
      <c r="HR1514" s="852"/>
      <c r="HS1514" s="853"/>
      <c r="HT1514" s="852"/>
      <c r="HU1514" s="851"/>
      <c r="HV1514" s="851"/>
      <c r="HW1514" s="851"/>
      <c r="HX1514" s="851"/>
      <c r="HY1514" s="726" t="s">
        <v>424</v>
      </c>
      <c r="HZ1514" s="852"/>
      <c r="IA1514" s="853"/>
      <c r="IB1514" s="852"/>
      <c r="IC1514" s="851"/>
      <c r="ID1514" s="851"/>
      <c r="IE1514" s="851"/>
      <c r="IF1514" s="851"/>
      <c r="IG1514" s="726" t="s">
        <v>424</v>
      </c>
      <c r="IH1514" s="852"/>
      <c r="II1514" s="853"/>
      <c r="IJ1514" s="852"/>
      <c r="IK1514" s="851"/>
      <c r="IL1514" s="851"/>
      <c r="IM1514" s="851"/>
      <c r="IN1514" s="851"/>
      <c r="IO1514" s="726" t="s">
        <v>424</v>
      </c>
      <c r="IP1514" s="852"/>
      <c r="IQ1514" s="853"/>
      <c r="IR1514" s="852"/>
      <c r="IS1514" s="851"/>
      <c r="IT1514" s="851"/>
      <c r="IU1514" s="851"/>
      <c r="IV1514" s="851"/>
    </row>
    <row r="1515" spans="1:46" s="107" customFormat="1" ht="34.5" customHeight="1" thickTop="1">
      <c r="A1515" s="844" t="s">
        <v>1042</v>
      </c>
      <c r="B1515" s="238" t="s">
        <v>1044</v>
      </c>
      <c r="C1515" s="746">
        <f>CEILING((C1514+0*$Z$1),0.1)</f>
        <v>113.80000000000001</v>
      </c>
      <c r="D1515" s="768"/>
      <c r="E1515" s="746">
        <f>CEILING((E1514+0*$Z$1),0.1)</f>
        <v>121</v>
      </c>
      <c r="F1515" s="768"/>
      <c r="G1515" s="746">
        <f>CEILING((G1514+0*$Z$1),0.1)</f>
        <v>113.80000000000001</v>
      </c>
      <c r="H1515" s="768"/>
      <c r="I1515" s="744"/>
      <c r="J1515" s="744"/>
      <c r="K1515" s="744"/>
      <c r="L1515" s="744"/>
      <c r="M1515" s="114"/>
      <c r="N1515" s="114"/>
      <c r="O1515" s="114"/>
      <c r="P1515" s="114"/>
      <c r="Q1515" s="114"/>
      <c r="R1515" s="148"/>
      <c r="S1515" s="148"/>
      <c r="T1515" s="114"/>
      <c r="U1515" s="114"/>
      <c r="V1515" s="114"/>
      <c r="W1515" s="114"/>
      <c r="X1515" s="114"/>
      <c r="Y1515" s="114"/>
      <c r="Z1515" s="114"/>
      <c r="AA1515" s="114"/>
      <c r="AB1515" s="114"/>
      <c r="AC1515" s="114"/>
      <c r="AD1515" s="114"/>
      <c r="AE1515" s="114"/>
      <c r="AF1515" s="114"/>
      <c r="AG1515" s="114"/>
      <c r="AH1515" s="114"/>
      <c r="AI1515" s="114"/>
      <c r="AJ1515" s="114"/>
      <c r="AK1515" s="114"/>
      <c r="AL1515" s="114"/>
      <c r="AM1515" s="114"/>
      <c r="AN1515" s="114"/>
      <c r="AO1515" s="114"/>
      <c r="AP1515" s="114"/>
      <c r="AQ1515" s="114"/>
      <c r="AR1515" s="114"/>
      <c r="AS1515" s="114"/>
      <c r="AT1515" s="114"/>
    </row>
    <row r="1516" spans="1:16" s="107" customFormat="1" ht="34.5" customHeight="1">
      <c r="A1516" s="432"/>
      <c r="B1516" s="238" t="s">
        <v>481</v>
      </c>
      <c r="C1516" s="746">
        <f>CEILING(95.25*$Z$1,0.1)</f>
        <v>119.10000000000001</v>
      </c>
      <c r="D1516" s="768"/>
      <c r="E1516" s="746">
        <f>CEILING(109.6*$Z$1,0.1)</f>
        <v>137</v>
      </c>
      <c r="F1516" s="768"/>
      <c r="G1516" s="746">
        <f>CEILING(95.25*$Z$1,0.1)</f>
        <v>119.10000000000001</v>
      </c>
      <c r="H1516" s="768"/>
      <c r="I1516" s="744"/>
      <c r="J1516" s="744"/>
      <c r="K1516" s="744"/>
      <c r="L1516" s="744"/>
      <c r="M1516" s="115"/>
      <c r="N1516" s="105"/>
      <c r="O1516" s="105"/>
      <c r="P1516" s="105"/>
    </row>
    <row r="1517" spans="1:17" s="107" customFormat="1" ht="34.5" customHeight="1">
      <c r="A1517" s="132" t="s">
        <v>1058</v>
      </c>
      <c r="B1517" s="238" t="s">
        <v>482</v>
      </c>
      <c r="C1517" s="746">
        <f>CEILING((C1516+48*$Z$1),0.1)</f>
        <v>179.10000000000002</v>
      </c>
      <c r="D1517" s="768"/>
      <c r="E1517" s="746">
        <f>CEILING((E1516+54.5*$Z$1),0.1)</f>
        <v>205.20000000000002</v>
      </c>
      <c r="F1517" s="768"/>
      <c r="G1517" s="746">
        <f>CEILING((G1516+48*$Z$1),0.1)</f>
        <v>179.10000000000002</v>
      </c>
      <c r="H1517" s="768"/>
      <c r="I1517" s="744"/>
      <c r="J1517" s="744"/>
      <c r="K1517" s="744"/>
      <c r="L1517" s="744"/>
      <c r="M1517" s="115"/>
      <c r="N1517" s="105"/>
      <c r="O1517" s="105"/>
      <c r="P1517" s="105"/>
      <c r="Q1517" s="105"/>
    </row>
    <row r="1518" spans="1:16" s="107" customFormat="1" ht="34.5" customHeight="1">
      <c r="A1518" s="432"/>
      <c r="B1518" s="238" t="s">
        <v>767</v>
      </c>
      <c r="C1518" s="746">
        <f>CEILING(95*$Z$1,0.1)</f>
        <v>118.80000000000001</v>
      </c>
      <c r="D1518" s="768"/>
      <c r="E1518" s="746">
        <f>CEILING(100.8*$Z$1,0.1)</f>
        <v>126</v>
      </c>
      <c r="F1518" s="768"/>
      <c r="G1518" s="746">
        <f>CEILING(95*$Z$1,0.1)</f>
        <v>118.80000000000001</v>
      </c>
      <c r="H1518" s="768"/>
      <c r="I1518" s="744"/>
      <c r="J1518" s="744"/>
      <c r="K1518" s="744"/>
      <c r="L1518" s="744"/>
      <c r="M1518" s="115"/>
      <c r="N1518" s="105"/>
      <c r="O1518" s="105"/>
      <c r="P1518" s="105"/>
    </row>
    <row r="1519" spans="1:21" s="107" customFormat="1" ht="34.5" customHeight="1">
      <c r="A1519" s="508"/>
      <c r="B1519" s="238" t="s">
        <v>768</v>
      </c>
      <c r="C1519" s="746">
        <f>CEILING((C1518+47.25*$Z$1),0.1)</f>
        <v>177.9</v>
      </c>
      <c r="D1519" s="768"/>
      <c r="E1519" s="746">
        <f>CEILING((E1518+50.4*$Z$1),0.1)</f>
        <v>189</v>
      </c>
      <c r="F1519" s="768"/>
      <c r="G1519" s="746">
        <f>CEILING((G1518+47.25*$Z$1),0.1)</f>
        <v>177.9</v>
      </c>
      <c r="H1519" s="768"/>
      <c r="I1519" s="744"/>
      <c r="J1519" s="744"/>
      <c r="K1519" s="744"/>
      <c r="L1519" s="744"/>
      <c r="M1519" s="115"/>
      <c r="N1519" s="105"/>
      <c r="O1519" s="835"/>
      <c r="P1519" s="854"/>
      <c r="Q1519" s="105"/>
      <c r="R1519" s="105"/>
      <c r="S1519" s="105"/>
      <c r="T1519" s="105"/>
      <c r="U1519" s="105"/>
    </row>
    <row r="1520" spans="1:25" s="107" customFormat="1" ht="34.5" customHeight="1">
      <c r="A1520" s="508"/>
      <c r="B1520" s="238" t="s">
        <v>769</v>
      </c>
      <c r="C1520" s="746">
        <f>CEILING(103*$Z$1,0.1)</f>
        <v>128.8</v>
      </c>
      <c r="D1520" s="768"/>
      <c r="E1520" s="746">
        <f>CEILING(109.6*$Z$1,0.1)</f>
        <v>137</v>
      </c>
      <c r="F1520" s="768"/>
      <c r="G1520" s="746">
        <f>CEILING(103*$Z$1,0.1)</f>
        <v>128.8</v>
      </c>
      <c r="H1520" s="768"/>
      <c r="I1520" s="744"/>
      <c r="J1520" s="744"/>
      <c r="K1520" s="744"/>
      <c r="L1520" s="744"/>
      <c r="M1520" s="115"/>
      <c r="N1520" s="105"/>
      <c r="O1520" s="835"/>
      <c r="P1520" s="854"/>
      <c r="Q1520" s="105"/>
      <c r="R1520" s="105"/>
      <c r="S1520" s="105"/>
      <c r="T1520" s="105"/>
      <c r="U1520" s="105"/>
      <c r="V1520" s="105"/>
      <c r="W1520" s="105"/>
      <c r="X1520" s="105"/>
      <c r="Y1520" s="105"/>
    </row>
    <row r="1521" spans="1:25" s="107" customFormat="1" ht="34.5" customHeight="1">
      <c r="A1521" s="508"/>
      <c r="B1521" s="238" t="s">
        <v>770</v>
      </c>
      <c r="C1521" s="746">
        <f>CEILING((C1520+51.3*$Z$1),0.1)</f>
        <v>193</v>
      </c>
      <c r="D1521" s="768"/>
      <c r="E1521" s="746">
        <f>CEILING((E1520+54.8*$Z$1),0.1)</f>
        <v>205.5</v>
      </c>
      <c r="F1521" s="768"/>
      <c r="G1521" s="746">
        <f>CEILING((G1520+51.3*$Z$1),0.1)</f>
        <v>193</v>
      </c>
      <c r="H1521" s="768"/>
      <c r="I1521" s="744"/>
      <c r="J1521" s="744"/>
      <c r="K1521" s="744"/>
      <c r="L1521" s="744"/>
      <c r="M1521" s="115"/>
      <c r="N1521" s="105"/>
      <c r="O1521" s="105"/>
      <c r="P1521" s="105"/>
      <c r="Q1521" s="105"/>
      <c r="R1521" s="105"/>
      <c r="S1521" s="105"/>
      <c r="T1521" s="105"/>
      <c r="U1521" s="105"/>
      <c r="V1521" s="105"/>
      <c r="W1521" s="105"/>
      <c r="X1521" s="105"/>
      <c r="Y1521" s="105"/>
    </row>
    <row r="1522" spans="1:25" s="107" customFormat="1" ht="34.5" customHeight="1">
      <c r="A1522" s="132"/>
      <c r="B1522" s="238" t="s">
        <v>552</v>
      </c>
      <c r="C1522" s="746">
        <f>CEILING(120*$Z$1,0.1)</f>
        <v>150</v>
      </c>
      <c r="D1522" s="768"/>
      <c r="E1522" s="746">
        <f>CEILING(128*$Z$1,0.1)</f>
        <v>160</v>
      </c>
      <c r="F1522" s="768"/>
      <c r="G1522" s="746">
        <f>CEILING(120*$Z$1,0.1)</f>
        <v>150</v>
      </c>
      <c r="H1522" s="768"/>
      <c r="I1522" s="744"/>
      <c r="J1522" s="744"/>
      <c r="K1522" s="744"/>
      <c r="L1522" s="744"/>
      <c r="M1522" s="115"/>
      <c r="N1522" s="105"/>
      <c r="O1522" s="835"/>
      <c r="P1522" s="854"/>
      <c r="Q1522" s="105"/>
      <c r="R1522" s="105"/>
      <c r="S1522" s="105"/>
      <c r="T1522" s="105"/>
      <c r="U1522" s="105"/>
      <c r="V1522" s="105"/>
      <c r="W1522" s="105"/>
      <c r="X1522" s="105"/>
      <c r="Y1522" s="105"/>
    </row>
    <row r="1523" spans="1:25" s="107" customFormat="1" ht="34.5" customHeight="1">
      <c r="A1523" s="132"/>
      <c r="B1523" s="238" t="s">
        <v>553</v>
      </c>
      <c r="C1523" s="746">
        <f>CEILING((C1522+60*$Z$1),0.1)</f>
        <v>225</v>
      </c>
      <c r="D1523" s="768"/>
      <c r="E1523" s="746">
        <f>CEILING((E1522+64*$Z$1),0.1)</f>
        <v>240</v>
      </c>
      <c r="F1523" s="768"/>
      <c r="G1523" s="746">
        <f>CEILING((G1522+60*$Z$1),0.1)</f>
        <v>225</v>
      </c>
      <c r="H1523" s="768"/>
      <c r="I1523" s="744"/>
      <c r="J1523" s="744"/>
      <c r="K1523" s="744"/>
      <c r="L1523" s="744"/>
      <c r="M1523" s="115"/>
      <c r="N1523" s="105"/>
      <c r="O1523" s="835"/>
      <c r="P1523" s="854"/>
      <c r="Q1523" s="105"/>
      <c r="R1523" s="105"/>
      <c r="S1523" s="105"/>
      <c r="T1523" s="105"/>
      <c r="U1523" s="105"/>
      <c r="V1523" s="105"/>
      <c r="W1523" s="105"/>
      <c r="X1523" s="105"/>
      <c r="Y1523" s="105"/>
    </row>
    <row r="1524" spans="1:25" s="107" customFormat="1" ht="34.5" customHeight="1">
      <c r="A1524" s="432"/>
      <c r="B1524" s="238" t="s">
        <v>554</v>
      </c>
      <c r="C1524" s="746">
        <f>CEILING(124*$Z$1,0.1)</f>
        <v>155</v>
      </c>
      <c r="D1524" s="768"/>
      <c r="E1524" s="746">
        <f>CEILING(132*$Z$1,0.1)</f>
        <v>165</v>
      </c>
      <c r="F1524" s="768"/>
      <c r="G1524" s="746">
        <f>CEILING(124*$Z$1,0.1)</f>
        <v>155</v>
      </c>
      <c r="H1524" s="768"/>
      <c r="I1524" s="744"/>
      <c r="J1524" s="744"/>
      <c r="K1524" s="744"/>
      <c r="L1524" s="744"/>
      <c r="M1524" s="115"/>
      <c r="N1524" s="105"/>
      <c r="O1524" s="105"/>
      <c r="P1524" s="105"/>
      <c r="Q1524" s="105"/>
      <c r="R1524" s="105"/>
      <c r="S1524" s="105"/>
      <c r="T1524" s="105"/>
      <c r="U1524" s="105"/>
      <c r="V1524" s="105"/>
      <c r="W1524" s="105"/>
      <c r="X1524" s="105"/>
      <c r="Y1524" s="105"/>
    </row>
    <row r="1525" spans="1:25" s="107" customFormat="1" ht="34.5" customHeight="1" thickBot="1">
      <c r="A1525" s="845" t="s">
        <v>735</v>
      </c>
      <c r="B1525" s="846" t="s">
        <v>555</v>
      </c>
      <c r="C1525" s="958">
        <f>CEILING((C1524+62*$Z$1),0.1)</f>
        <v>232.5</v>
      </c>
      <c r="D1525" s="959"/>
      <c r="E1525" s="958">
        <f>CEILING((E1524+66*$Z$1),0.1)</f>
        <v>247.5</v>
      </c>
      <c r="F1525" s="959"/>
      <c r="G1525" s="958">
        <f>CEILING((G1524+62*$Z$1),0.1)</f>
        <v>232.5</v>
      </c>
      <c r="H1525" s="959"/>
      <c r="I1525" s="744"/>
      <c r="J1525" s="744"/>
      <c r="K1525" s="744"/>
      <c r="L1525" s="744"/>
      <c r="M1525" s="115"/>
      <c r="N1525" s="105"/>
      <c r="O1525" s="105"/>
      <c r="P1525" s="105"/>
      <c r="Q1525" s="105"/>
      <c r="R1525" s="105"/>
      <c r="S1525" s="105"/>
      <c r="T1525" s="105"/>
      <c r="U1525" s="105"/>
      <c r="V1525" s="105"/>
      <c r="W1525" s="105"/>
      <c r="X1525" s="105"/>
      <c r="Y1525" s="105"/>
    </row>
    <row r="1526" spans="1:25" s="107" customFormat="1" ht="34.5" customHeight="1">
      <c r="A1526" s="1174" t="s">
        <v>766</v>
      </c>
      <c r="B1526" s="1174"/>
      <c r="C1526" s="1174"/>
      <c r="D1526" s="1174"/>
      <c r="E1526" s="1174"/>
      <c r="F1526" s="1174"/>
      <c r="G1526" s="1174"/>
      <c r="H1526" s="1174"/>
      <c r="I1526" s="1174"/>
      <c r="J1526" s="1174"/>
      <c r="K1526" s="563"/>
      <c r="L1526" s="563"/>
      <c r="M1526" s="115"/>
      <c r="N1526" s="105"/>
      <c r="O1526" s="105"/>
      <c r="P1526" s="105"/>
      <c r="Q1526" s="105"/>
      <c r="R1526" s="105"/>
      <c r="S1526" s="105"/>
      <c r="T1526" s="105"/>
      <c r="U1526" s="105"/>
      <c r="V1526" s="105"/>
      <c r="W1526" s="105"/>
      <c r="X1526" s="105"/>
      <c r="Y1526" s="105"/>
    </row>
    <row r="1527" spans="1:21" s="107" customFormat="1" ht="34.5" customHeight="1">
      <c r="A1527" s="828" t="s">
        <v>903</v>
      </c>
      <c r="B1527" s="829"/>
      <c r="C1527" s="829"/>
      <c r="D1527" s="829"/>
      <c r="E1527" s="829"/>
      <c r="F1527" s="829"/>
      <c r="G1527" s="827"/>
      <c r="H1527" s="827"/>
      <c r="I1527" s="137"/>
      <c r="J1527" s="158"/>
      <c r="K1527" s="157"/>
      <c r="L1527" s="157"/>
      <c r="M1527" s="105"/>
      <c r="N1527" s="105"/>
      <c r="O1527" s="105"/>
      <c r="P1527" s="105"/>
      <c r="Q1527" s="105"/>
      <c r="R1527" s="105"/>
      <c r="S1527" s="105"/>
      <c r="T1527" s="105"/>
      <c r="U1527" s="105"/>
    </row>
    <row r="1528" spans="1:25" s="107" customFormat="1" ht="34.5" customHeight="1" thickBot="1">
      <c r="A1528" s="285"/>
      <c r="B1528" s="124"/>
      <c r="C1528" s="148"/>
      <c r="D1528" s="148"/>
      <c r="E1528" s="148"/>
      <c r="F1528" s="148"/>
      <c r="G1528" s="148"/>
      <c r="H1528" s="148"/>
      <c r="I1528" s="148"/>
      <c r="J1528" s="124"/>
      <c r="K1528" s="157"/>
      <c r="L1528" s="157"/>
      <c r="M1528" s="115"/>
      <c r="N1528" s="105"/>
      <c r="O1528" s="105"/>
      <c r="P1528" s="105"/>
      <c r="Q1528" s="105"/>
      <c r="R1528" s="105"/>
      <c r="S1528" s="105"/>
      <c r="T1528" s="105"/>
      <c r="U1528" s="105"/>
      <c r="V1528" s="105"/>
      <c r="W1528" s="105"/>
      <c r="X1528" s="105"/>
      <c r="Y1528" s="105"/>
    </row>
    <row r="1529" spans="1:48" s="837" customFormat="1" ht="34.5" customHeight="1" thickTop="1">
      <c r="A1529" s="773" t="s">
        <v>34</v>
      </c>
      <c r="B1529" s="774" t="s">
        <v>91</v>
      </c>
      <c r="C1529" s="775" t="s">
        <v>984</v>
      </c>
      <c r="D1529" s="776"/>
      <c r="E1529" s="295"/>
      <c r="F1529" s="737"/>
      <c r="G1529" s="737"/>
      <c r="H1529" s="737"/>
      <c r="I1529" s="737"/>
      <c r="J1529" s="737"/>
      <c r="K1529" s="170"/>
      <c r="L1529" s="373"/>
      <c r="M1529" s="158"/>
      <c r="N1529" s="158"/>
      <c r="O1529" s="158"/>
      <c r="P1529" s="158"/>
      <c r="Q1529" s="158"/>
      <c r="R1529" s="158"/>
      <c r="S1529" s="158"/>
      <c r="T1529" s="158"/>
      <c r="U1529" s="158"/>
      <c r="V1529" s="158"/>
      <c r="W1529" s="158"/>
      <c r="X1529" s="158"/>
      <c r="Y1529" s="158"/>
      <c r="Z1529" s="158"/>
      <c r="AA1529" s="158"/>
      <c r="AB1529" s="158"/>
      <c r="AC1529" s="158"/>
      <c r="AD1529" s="158"/>
      <c r="AE1529" s="158"/>
      <c r="AF1529" s="158"/>
      <c r="AG1529" s="158"/>
      <c r="AH1529" s="158"/>
      <c r="AI1529" s="158"/>
      <c r="AJ1529" s="158"/>
      <c r="AK1529" s="158"/>
      <c r="AL1529" s="158"/>
      <c r="AM1529" s="158"/>
      <c r="AN1529" s="158"/>
      <c r="AO1529" s="158"/>
      <c r="AP1529" s="158"/>
      <c r="AQ1529" s="158"/>
      <c r="AR1529" s="158"/>
      <c r="AS1529" s="158"/>
      <c r="AT1529" s="158"/>
      <c r="AU1529" s="158"/>
      <c r="AV1529" s="158"/>
    </row>
    <row r="1530" spans="1:25" s="107" customFormat="1" ht="34.5" customHeight="1">
      <c r="A1530" s="554" t="s">
        <v>128</v>
      </c>
      <c r="B1530" s="270" t="s">
        <v>42</v>
      </c>
      <c r="C1530" s="416">
        <f>CEILING(84*$Z$1,0.1)</f>
        <v>105</v>
      </c>
      <c r="D1530" s="855"/>
      <c r="E1530" s="856"/>
      <c r="F1530" s="148"/>
      <c r="G1530" s="148"/>
      <c r="H1530" s="148"/>
      <c r="I1530" s="148"/>
      <c r="J1530" s="148"/>
      <c r="K1530" s="157"/>
      <c r="L1530" s="157"/>
      <c r="M1530" s="115"/>
      <c r="N1530" s="105"/>
      <c r="O1530" s="105"/>
      <c r="P1530" s="105"/>
      <c r="Q1530" s="105"/>
      <c r="R1530" s="105"/>
      <c r="S1530" s="105"/>
      <c r="T1530" s="105"/>
      <c r="U1530" s="105"/>
      <c r="V1530" s="105"/>
      <c r="W1530" s="105"/>
      <c r="X1530" s="105"/>
      <c r="Y1530" s="105"/>
    </row>
    <row r="1531" spans="1:25" s="107" customFormat="1" ht="42.75" customHeight="1">
      <c r="A1531" s="857" t="s">
        <v>808</v>
      </c>
      <c r="B1531" s="266" t="s">
        <v>43</v>
      </c>
      <c r="C1531" s="416">
        <f>CEILING(119*$Z$1,0.1)</f>
        <v>148.8</v>
      </c>
      <c r="D1531" s="856"/>
      <c r="E1531" s="856"/>
      <c r="F1531" s="148"/>
      <c r="G1531" s="148"/>
      <c r="H1531" s="148"/>
      <c r="I1531" s="148"/>
      <c r="J1531" s="148"/>
      <c r="K1531" s="157"/>
      <c r="L1531" s="157"/>
      <c r="M1531" s="115"/>
      <c r="N1531" s="105"/>
      <c r="O1531" s="105"/>
      <c r="P1531" s="105"/>
      <c r="Q1531" s="105"/>
      <c r="R1531" s="105"/>
      <c r="S1531" s="105"/>
      <c r="T1531" s="105"/>
      <c r="U1531" s="105"/>
      <c r="V1531" s="105"/>
      <c r="W1531" s="105"/>
      <c r="X1531" s="105"/>
      <c r="Y1531" s="105"/>
    </row>
    <row r="1532" spans="1:25" s="107" customFormat="1" ht="34.5" customHeight="1">
      <c r="A1532" s="858" t="s">
        <v>807</v>
      </c>
      <c r="B1532" s="353" t="s">
        <v>70</v>
      </c>
      <c r="C1532" s="416">
        <f>CEILING((C1530*0.85),0.1)</f>
        <v>89.30000000000001</v>
      </c>
      <c r="D1532" s="856"/>
      <c r="E1532" s="856"/>
      <c r="F1532" s="148"/>
      <c r="G1532" s="148"/>
      <c r="H1532" s="148"/>
      <c r="I1532" s="148"/>
      <c r="J1532" s="148"/>
      <c r="K1532" s="157"/>
      <c r="L1532" s="157"/>
      <c r="M1532" s="115"/>
      <c r="N1532" s="105"/>
      <c r="O1532" s="105"/>
      <c r="P1532" s="105"/>
      <c r="Q1532" s="105"/>
      <c r="R1532" s="105"/>
      <c r="S1532" s="105"/>
      <c r="T1532" s="105"/>
      <c r="U1532" s="105"/>
      <c r="V1532" s="105"/>
      <c r="W1532" s="105"/>
      <c r="X1532" s="105"/>
      <c r="Y1532" s="105"/>
    </row>
    <row r="1533" spans="1:25" s="107" customFormat="1" ht="34.5" customHeight="1">
      <c r="A1533" s="858" t="s">
        <v>464</v>
      </c>
      <c r="B1533" s="241" t="s">
        <v>69</v>
      </c>
      <c r="C1533" s="416">
        <f>CEILING((C1530*0.5),0.1)</f>
        <v>52.5</v>
      </c>
      <c r="D1533" s="856"/>
      <c r="E1533" s="856"/>
      <c r="F1533" s="148"/>
      <c r="G1533" s="148"/>
      <c r="H1533" s="148"/>
      <c r="I1533" s="148"/>
      <c r="J1533" s="148"/>
      <c r="K1533" s="157"/>
      <c r="L1533" s="157"/>
      <c r="M1533" s="115"/>
      <c r="N1533" s="105"/>
      <c r="O1533" s="105"/>
      <c r="P1533" s="105"/>
      <c r="Q1533" s="105"/>
      <c r="R1533" s="105"/>
      <c r="S1533" s="105"/>
      <c r="T1533" s="105"/>
      <c r="U1533" s="105"/>
      <c r="V1533" s="105"/>
      <c r="W1533" s="105"/>
      <c r="X1533" s="105"/>
      <c r="Y1533" s="105"/>
    </row>
    <row r="1534" spans="1:25" s="140" customFormat="1" ht="34.5" customHeight="1">
      <c r="A1534" s="858" t="s">
        <v>889</v>
      </c>
      <c r="B1534" s="266" t="s">
        <v>890</v>
      </c>
      <c r="C1534" s="416">
        <f>CEILING(95*$Z$1,0.1)</f>
        <v>118.80000000000001</v>
      </c>
      <c r="D1534" s="856"/>
      <c r="E1534" s="856"/>
      <c r="F1534" s="148"/>
      <c r="G1534" s="148"/>
      <c r="H1534" s="148"/>
      <c r="I1534" s="148"/>
      <c r="J1534" s="148"/>
      <c r="K1534" s="563"/>
      <c r="L1534" s="563"/>
      <c r="M1534" s="115"/>
      <c r="N1534" s="115"/>
      <c r="O1534" s="115"/>
      <c r="P1534" s="115"/>
      <c r="Q1534" s="115"/>
      <c r="R1534" s="115"/>
      <c r="S1534" s="115"/>
      <c r="T1534" s="115"/>
      <c r="U1534" s="115"/>
      <c r="V1534" s="115"/>
      <c r="W1534" s="115"/>
      <c r="X1534" s="115"/>
      <c r="Y1534" s="115"/>
    </row>
    <row r="1535" spans="1:25" s="107" customFormat="1" ht="34.5" customHeight="1">
      <c r="A1535" s="859"/>
      <c r="B1535" s="330" t="s">
        <v>891</v>
      </c>
      <c r="C1535" s="416">
        <f>CEILING(130*$Z$1,0.1)</f>
        <v>162.5</v>
      </c>
      <c r="D1535" s="856"/>
      <c r="E1535" s="856"/>
      <c r="F1535" s="148"/>
      <c r="G1535" s="148"/>
      <c r="H1535" s="148"/>
      <c r="I1535" s="148"/>
      <c r="J1535" s="148"/>
      <c r="K1535" s="563"/>
      <c r="L1535" s="563"/>
      <c r="M1535" s="115"/>
      <c r="N1535" s="105"/>
      <c r="O1535" s="105"/>
      <c r="P1535" s="105"/>
      <c r="Q1535" s="105"/>
      <c r="R1535" s="105"/>
      <c r="S1535" s="105"/>
      <c r="T1535" s="105"/>
      <c r="U1535" s="105"/>
      <c r="V1535" s="105"/>
      <c r="W1535" s="105"/>
      <c r="X1535" s="105"/>
      <c r="Y1535" s="105"/>
    </row>
    <row r="1536" spans="1:25" s="107" customFormat="1" ht="34.5" customHeight="1">
      <c r="A1536" s="431" t="s">
        <v>422</v>
      </c>
      <c r="B1536" s="266" t="s">
        <v>809</v>
      </c>
      <c r="C1536" s="860">
        <f>CEILING(112*$Z$1,0.1)</f>
        <v>140</v>
      </c>
      <c r="D1536" s="856"/>
      <c r="E1536" s="856"/>
      <c r="F1536" s="148"/>
      <c r="G1536" s="148"/>
      <c r="H1536" s="148"/>
      <c r="I1536" s="148"/>
      <c r="J1536" s="148"/>
      <c r="K1536" s="402"/>
      <c r="L1536" s="402"/>
      <c r="M1536" s="115"/>
      <c r="N1536" s="105"/>
      <c r="O1536" s="105"/>
      <c r="P1536" s="105"/>
      <c r="Q1536" s="105"/>
      <c r="R1536" s="105"/>
      <c r="S1536" s="105"/>
      <c r="T1536" s="105"/>
      <c r="U1536" s="105"/>
      <c r="V1536" s="105"/>
      <c r="W1536" s="105"/>
      <c r="X1536" s="105"/>
      <c r="Y1536" s="105"/>
    </row>
    <row r="1537" spans="1:25" s="107" customFormat="1" ht="34.5" customHeight="1" thickBot="1">
      <c r="A1537" s="461" t="s">
        <v>313</v>
      </c>
      <c r="B1537" s="524" t="s">
        <v>810</v>
      </c>
      <c r="C1537" s="861">
        <f>CEILING(147*$Z$1,0.1)</f>
        <v>183.8</v>
      </c>
      <c r="D1537" s="862"/>
      <c r="E1537" s="856"/>
      <c r="F1537" s="148"/>
      <c r="G1537" s="148"/>
      <c r="H1537" s="148"/>
      <c r="I1537" s="148"/>
      <c r="J1537" s="148"/>
      <c r="K1537" s="157"/>
      <c r="L1537" s="157"/>
      <c r="M1537" s="115"/>
      <c r="N1537" s="105"/>
      <c r="O1537" s="105"/>
      <c r="P1537" s="105"/>
      <c r="Q1537" s="105"/>
      <c r="R1537" s="105"/>
      <c r="S1537" s="105"/>
      <c r="T1537" s="105"/>
      <c r="U1537" s="105"/>
      <c r="V1537" s="105"/>
      <c r="W1537" s="105"/>
      <c r="X1537" s="105"/>
      <c r="Y1537" s="105"/>
    </row>
    <row r="1538" spans="1:25" s="107" customFormat="1" ht="34.5" customHeight="1" thickTop="1">
      <c r="A1538" s="447" t="s">
        <v>811</v>
      </c>
      <c r="B1538" s="255"/>
      <c r="C1538" s="239"/>
      <c r="D1538" s="148"/>
      <c r="E1538" s="148"/>
      <c r="F1538" s="148"/>
      <c r="G1538" s="148"/>
      <c r="H1538" s="148"/>
      <c r="I1538" s="148"/>
      <c r="J1538" s="148"/>
      <c r="K1538" s="157"/>
      <c r="L1538" s="157"/>
      <c r="M1538" s="115"/>
      <c r="N1538" s="105"/>
      <c r="O1538" s="105"/>
      <c r="P1538" s="105"/>
      <c r="Q1538" s="105"/>
      <c r="R1538" s="105"/>
      <c r="S1538" s="105"/>
      <c r="T1538" s="105"/>
      <c r="U1538" s="105"/>
      <c r="V1538" s="105"/>
      <c r="W1538" s="105"/>
      <c r="X1538" s="105"/>
      <c r="Y1538" s="105"/>
    </row>
    <row r="1539" spans="1:25" s="107" customFormat="1" ht="34.5" customHeight="1" thickBot="1">
      <c r="A1539" s="457"/>
      <c r="B1539" s="850"/>
      <c r="C1539" s="863"/>
      <c r="D1539" s="850"/>
      <c r="E1539" s="148"/>
      <c r="F1539" s="148"/>
      <c r="G1539" s="148"/>
      <c r="H1539" s="148"/>
      <c r="I1539" s="457"/>
      <c r="J1539" s="850"/>
      <c r="K1539" s="157"/>
      <c r="L1539" s="157"/>
      <c r="M1539" s="115"/>
      <c r="N1539" s="105"/>
      <c r="O1539" s="105"/>
      <c r="P1539" s="105"/>
      <c r="Q1539" s="105"/>
      <c r="R1539" s="105"/>
      <c r="S1539" s="105"/>
      <c r="T1539" s="105"/>
      <c r="U1539" s="105"/>
      <c r="V1539" s="105"/>
      <c r="W1539" s="105"/>
      <c r="X1539" s="105"/>
      <c r="Y1539" s="105"/>
    </row>
    <row r="1540" spans="1:42" s="214" customFormat="1" ht="34.5" customHeight="1" thickTop="1">
      <c r="A1540" s="207" t="s">
        <v>34</v>
      </c>
      <c r="B1540" s="208" t="s">
        <v>91</v>
      </c>
      <c r="C1540" s="209" t="s">
        <v>921</v>
      </c>
      <c r="D1540" s="210"/>
      <c r="E1540" s="211" t="s">
        <v>922</v>
      </c>
      <c r="F1540" s="212"/>
      <c r="G1540" s="211" t="s">
        <v>923</v>
      </c>
      <c r="H1540" s="212"/>
      <c r="I1540" s="1070"/>
      <c r="J1540" s="1071"/>
      <c r="K1540" s="1070"/>
      <c r="L1540" s="1070"/>
      <c r="M1540" s="174"/>
      <c r="N1540" s="174"/>
      <c r="O1540" s="213"/>
      <c r="P1540" s="213"/>
      <c r="Q1540" s="213"/>
      <c r="R1540" s="213"/>
      <c r="S1540" s="114"/>
      <c r="T1540" s="105"/>
      <c r="U1540" s="105"/>
      <c r="V1540" s="105"/>
      <c r="W1540" s="105"/>
      <c r="X1540" s="105"/>
      <c r="Y1540" s="105"/>
      <c r="Z1540" s="114"/>
      <c r="AA1540" s="213"/>
      <c r="AB1540" s="213"/>
      <c r="AC1540" s="213"/>
      <c r="AD1540" s="213"/>
      <c r="AE1540" s="213"/>
      <c r="AF1540" s="213"/>
      <c r="AG1540" s="213"/>
      <c r="AH1540" s="213"/>
      <c r="AI1540" s="213"/>
      <c r="AJ1540" s="213"/>
      <c r="AK1540" s="213"/>
      <c r="AL1540" s="213"/>
      <c r="AM1540" s="213"/>
      <c r="AN1540" s="213"/>
      <c r="AO1540" s="213"/>
      <c r="AP1540" s="213"/>
    </row>
    <row r="1541" spans="1:21" s="107" customFormat="1" ht="34.5" customHeight="1">
      <c r="A1541" s="574" t="s">
        <v>1040</v>
      </c>
      <c r="B1541" s="238" t="s">
        <v>42</v>
      </c>
      <c r="C1541" s="743">
        <f>CEILING(47*$Z$1,0.1)</f>
        <v>58.800000000000004</v>
      </c>
      <c r="D1541" s="767"/>
      <c r="E1541" s="743">
        <f>CEILING(47*$Z$1,0.1)</f>
        <v>58.800000000000004</v>
      </c>
      <c r="F1541" s="767"/>
      <c r="G1541" s="743">
        <f>CEILING(47*$Z$1,0.1)</f>
        <v>58.800000000000004</v>
      </c>
      <c r="H1541" s="767"/>
      <c r="I1541" s="744"/>
      <c r="J1541" s="744"/>
      <c r="K1541" s="744"/>
      <c r="L1541" s="744"/>
      <c r="M1541" s="110"/>
      <c r="N1541" s="124"/>
      <c r="O1541" s="105"/>
      <c r="P1541" s="105"/>
      <c r="Q1541" s="105"/>
      <c r="R1541" s="105"/>
      <c r="S1541" s="105"/>
      <c r="T1541" s="105"/>
      <c r="U1541" s="105"/>
    </row>
    <row r="1542" spans="1:21" s="107" customFormat="1" ht="34.5" customHeight="1">
      <c r="A1542" s="134" t="s">
        <v>1056</v>
      </c>
      <c r="B1542" s="238" t="s">
        <v>43</v>
      </c>
      <c r="C1542" s="746">
        <f>CEILING(65*$Z$1,0.1)</f>
        <v>81.30000000000001</v>
      </c>
      <c r="D1542" s="768"/>
      <c r="E1542" s="746">
        <f>CEILING(65*$Z$1,0.1)</f>
        <v>81.30000000000001</v>
      </c>
      <c r="F1542" s="768"/>
      <c r="G1542" s="746">
        <f>CEILING(65*$Z$1,0.1)</f>
        <v>81.30000000000001</v>
      </c>
      <c r="H1542" s="768"/>
      <c r="I1542" s="744"/>
      <c r="J1542" s="744"/>
      <c r="K1542" s="744"/>
      <c r="L1542" s="744"/>
      <c r="M1542" s="110"/>
      <c r="N1542" s="124"/>
      <c r="O1542" s="105"/>
      <c r="P1542" s="105"/>
      <c r="Q1542" s="105"/>
      <c r="R1542" s="105"/>
      <c r="S1542" s="105"/>
      <c r="T1542" s="105"/>
      <c r="U1542" s="105"/>
    </row>
    <row r="1543" spans="1:21" s="107" customFormat="1" ht="34.5" customHeight="1">
      <c r="A1543" s="134"/>
      <c r="B1543" s="353" t="s">
        <v>70</v>
      </c>
      <c r="C1543" s="746">
        <f>CEILING((C1541*0.85),0.1)</f>
        <v>50</v>
      </c>
      <c r="D1543" s="768"/>
      <c r="E1543" s="746">
        <f>CEILING((E1541*0.85),0.1)</f>
        <v>50</v>
      </c>
      <c r="F1543" s="768"/>
      <c r="G1543" s="746">
        <f>CEILING((G1541*0.85),0.1)</f>
        <v>50</v>
      </c>
      <c r="H1543" s="768"/>
      <c r="I1543" s="744"/>
      <c r="J1543" s="744"/>
      <c r="K1543" s="744"/>
      <c r="L1543" s="744"/>
      <c r="M1543" s="110"/>
      <c r="N1543" s="124"/>
      <c r="O1543" s="105"/>
      <c r="P1543" s="105"/>
      <c r="Q1543" s="105"/>
      <c r="R1543" s="105"/>
      <c r="S1543" s="105"/>
      <c r="T1543" s="105"/>
      <c r="U1543" s="105"/>
    </row>
    <row r="1544" spans="1:21" s="107" customFormat="1" ht="34.5" customHeight="1">
      <c r="A1544" s="706" t="s">
        <v>312</v>
      </c>
      <c r="B1544" s="331" t="s">
        <v>62</v>
      </c>
      <c r="C1544" s="771">
        <f>CEILING((C1541*0.5),0.1)</f>
        <v>29.400000000000002</v>
      </c>
      <c r="D1544" s="772"/>
      <c r="E1544" s="771">
        <f>CEILING((E1541*0.5),0.1)</f>
        <v>29.400000000000002</v>
      </c>
      <c r="F1544" s="772"/>
      <c r="G1544" s="771">
        <f>CEILING((G1541*0.5),0.1)</f>
        <v>29.400000000000002</v>
      </c>
      <c r="H1544" s="772"/>
      <c r="I1544" s="744"/>
      <c r="J1544" s="744"/>
      <c r="K1544" s="744"/>
      <c r="L1544" s="744"/>
      <c r="M1544" s="124"/>
      <c r="N1544" s="124"/>
      <c r="O1544" s="105"/>
      <c r="P1544" s="105"/>
      <c r="Q1544" s="105"/>
      <c r="R1544" s="105"/>
      <c r="S1544" s="105"/>
      <c r="T1544" s="105"/>
      <c r="U1544" s="105"/>
    </row>
    <row r="1545" spans="1:21" s="155" customFormat="1" ht="34.5" customHeight="1" thickBot="1">
      <c r="A1545" s="447"/>
      <c r="B1545" s="124"/>
      <c r="C1545" s="239"/>
      <c r="D1545" s="239"/>
      <c r="E1545" s="239"/>
      <c r="F1545" s="239"/>
      <c r="G1545" s="239"/>
      <c r="H1545" s="239"/>
      <c r="I1545" s="148"/>
      <c r="J1545" s="148"/>
      <c r="K1545" s="157"/>
      <c r="L1545" s="157"/>
      <c r="M1545" s="124"/>
      <c r="N1545" s="124"/>
      <c r="O1545" s="151"/>
      <c r="P1545" s="151"/>
      <c r="Q1545" s="151"/>
      <c r="R1545" s="151"/>
      <c r="S1545" s="151"/>
      <c r="T1545" s="151"/>
      <c r="U1545" s="151"/>
    </row>
    <row r="1546" spans="1:21" s="155" customFormat="1" ht="34.5" customHeight="1" thickTop="1">
      <c r="A1546" s="207" t="s">
        <v>34</v>
      </c>
      <c r="B1546" s="208" t="s">
        <v>91</v>
      </c>
      <c r="C1546" s="209" t="s">
        <v>1080</v>
      </c>
      <c r="D1546" s="210"/>
      <c r="E1546" s="211" t="s">
        <v>1082</v>
      </c>
      <c r="F1546" s="212"/>
      <c r="G1546" s="982"/>
      <c r="H1546" s="982"/>
      <c r="I1546" s="983"/>
      <c r="J1546" s="983"/>
      <c r="K1546" s="157"/>
      <c r="L1546" s="157"/>
      <c r="M1546" s="124"/>
      <c r="N1546" s="124"/>
      <c r="O1546" s="151"/>
      <c r="P1546" s="151"/>
      <c r="Q1546" s="151"/>
      <c r="R1546" s="151"/>
      <c r="S1546" s="151"/>
      <c r="T1546" s="151"/>
      <c r="U1546" s="151"/>
    </row>
    <row r="1547" spans="1:21" s="155" customFormat="1" ht="34.5" customHeight="1">
      <c r="A1547" s="574" t="s">
        <v>1079</v>
      </c>
      <c r="B1547" s="238" t="s">
        <v>1083</v>
      </c>
      <c r="C1547" s="754">
        <f>CEILING(55*$Z$1,0.1)</f>
        <v>68.8</v>
      </c>
      <c r="D1547" s="755"/>
      <c r="E1547" s="754">
        <f>CEILING(70*$Z$1,0.1)</f>
        <v>87.5</v>
      </c>
      <c r="F1547" s="755"/>
      <c r="G1547" s="982"/>
      <c r="H1547" s="982"/>
      <c r="I1547" s="983"/>
      <c r="J1547" s="983"/>
      <c r="K1547" s="157"/>
      <c r="L1547" s="157"/>
      <c r="M1547" s="124"/>
      <c r="N1547" s="124"/>
      <c r="O1547" s="151"/>
      <c r="P1547" s="151"/>
      <c r="Q1547" s="151"/>
      <c r="R1547" s="151"/>
      <c r="S1547" s="151"/>
      <c r="T1547" s="151"/>
      <c r="U1547" s="151"/>
    </row>
    <row r="1548" spans="1:21" s="155" customFormat="1" ht="34.5" customHeight="1">
      <c r="A1548" s="295" t="s">
        <v>50</v>
      </c>
      <c r="B1548" s="238" t="s">
        <v>1084</v>
      </c>
      <c r="C1548" s="747">
        <f>CEILING(89*$Z$1,0.1)</f>
        <v>111.30000000000001</v>
      </c>
      <c r="D1548" s="756"/>
      <c r="E1548" s="747">
        <f>CEILING(119*$Z$1,0.1)</f>
        <v>148.8</v>
      </c>
      <c r="F1548" s="756"/>
      <c r="G1548" s="982"/>
      <c r="H1548" s="982"/>
      <c r="I1548" s="983"/>
      <c r="J1548" s="983"/>
      <c r="K1548" s="157"/>
      <c r="L1548" s="157"/>
      <c r="M1548" s="124"/>
      <c r="N1548" s="124"/>
      <c r="O1548" s="151"/>
      <c r="P1548" s="151"/>
      <c r="Q1548" s="151"/>
      <c r="R1548" s="151"/>
      <c r="S1548" s="151"/>
      <c r="T1548" s="151"/>
      <c r="U1548" s="151"/>
    </row>
    <row r="1549" spans="1:21" s="155" customFormat="1" ht="34.5" customHeight="1">
      <c r="A1549" s="295" t="s">
        <v>1091</v>
      </c>
      <c r="B1549" s="353" t="s">
        <v>1085</v>
      </c>
      <c r="C1549" s="747">
        <f>CEILING(65*$Z$1,0.1)</f>
        <v>81.30000000000001</v>
      </c>
      <c r="D1549" s="756"/>
      <c r="E1549" s="747">
        <f>CEILING(80*$Z$1,0.1)</f>
        <v>100</v>
      </c>
      <c r="F1549" s="756"/>
      <c r="G1549" s="982"/>
      <c r="H1549" s="982"/>
      <c r="I1549" s="983"/>
      <c r="J1549" s="983"/>
      <c r="K1549" s="157"/>
      <c r="L1549" s="157"/>
      <c r="M1549" s="124"/>
      <c r="N1549" s="124"/>
      <c r="O1549" s="151"/>
      <c r="P1549" s="151"/>
      <c r="Q1549" s="151"/>
      <c r="R1549" s="151"/>
      <c r="S1549" s="151"/>
      <c r="T1549" s="151"/>
      <c r="U1549" s="151"/>
    </row>
    <row r="1550" spans="1:21" s="155" customFormat="1" ht="34.5" customHeight="1">
      <c r="A1550" s="396" t="s">
        <v>1078</v>
      </c>
      <c r="B1550" s="331" t="s">
        <v>1086</v>
      </c>
      <c r="C1550" s="785">
        <f>CEILING(119*$Z$1,0.1)</f>
        <v>148.8</v>
      </c>
      <c r="D1550" s="786"/>
      <c r="E1550" s="785">
        <f>CEILING(149*$Z$1,0.1)</f>
        <v>186.3</v>
      </c>
      <c r="F1550" s="786"/>
      <c r="G1550" s="982"/>
      <c r="H1550" s="982"/>
      <c r="I1550" s="983"/>
      <c r="J1550" s="983"/>
      <c r="K1550" s="157"/>
      <c r="L1550" s="157"/>
      <c r="M1550" s="124"/>
      <c r="N1550" s="124"/>
      <c r="O1550" s="151"/>
      <c r="P1550" s="151"/>
      <c r="Q1550" s="151"/>
      <c r="R1550" s="151"/>
      <c r="S1550" s="151"/>
      <c r="T1550" s="151"/>
      <c r="U1550" s="151"/>
    </row>
    <row r="1551" spans="1:21" s="155" customFormat="1" ht="34.5" customHeight="1">
      <c r="A1551" s="447" t="s">
        <v>1087</v>
      </c>
      <c r="B1551" s="124"/>
      <c r="C1551" s="982"/>
      <c r="D1551" s="982"/>
      <c r="E1551" s="982"/>
      <c r="F1551" s="982"/>
      <c r="G1551" s="982"/>
      <c r="H1551" s="982"/>
      <c r="I1551" s="983"/>
      <c r="J1551" s="983"/>
      <c r="K1551" s="157"/>
      <c r="L1551" s="157"/>
      <c r="M1551" s="124"/>
      <c r="N1551" s="124"/>
      <c r="O1551" s="151"/>
      <c r="P1551" s="151"/>
      <c r="Q1551" s="151"/>
      <c r="R1551" s="151"/>
      <c r="S1551" s="151"/>
      <c r="T1551" s="151"/>
      <c r="U1551" s="151"/>
    </row>
    <row r="1552" spans="1:21" s="155" customFormat="1" ht="34.5" customHeight="1">
      <c r="A1552" s="447" t="s">
        <v>752</v>
      </c>
      <c r="B1552" s="124"/>
      <c r="C1552" s="982"/>
      <c r="D1552" s="982"/>
      <c r="E1552" s="982"/>
      <c r="F1552" s="982"/>
      <c r="G1552" s="982"/>
      <c r="H1552" s="982"/>
      <c r="I1552" s="983"/>
      <c r="J1552" s="983"/>
      <c r="K1552" s="157"/>
      <c r="L1552" s="157"/>
      <c r="M1552" s="124"/>
      <c r="N1552" s="124"/>
      <c r="O1552" s="151"/>
      <c r="P1552" s="151"/>
      <c r="Q1552" s="151"/>
      <c r="R1552" s="151"/>
      <c r="S1552" s="151"/>
      <c r="T1552" s="151"/>
      <c r="U1552" s="151"/>
    </row>
    <row r="1553" spans="1:21" s="155" customFormat="1" ht="34.5" customHeight="1">
      <c r="A1553" s="989" t="s">
        <v>1088</v>
      </c>
      <c r="B1553" s="990"/>
      <c r="C1553" s="982"/>
      <c r="D1553" s="982"/>
      <c r="E1553" s="982"/>
      <c r="F1553" s="982"/>
      <c r="G1553" s="982"/>
      <c r="H1553" s="982"/>
      <c r="I1553" s="983"/>
      <c r="J1553" s="983"/>
      <c r="K1553" s="157"/>
      <c r="L1553" s="157"/>
      <c r="M1553" s="124"/>
      <c r="N1553" s="124"/>
      <c r="O1553" s="151"/>
      <c r="P1553" s="151"/>
      <c r="Q1553" s="151"/>
      <c r="R1553" s="151"/>
      <c r="S1553" s="151"/>
      <c r="T1553" s="151"/>
      <c r="U1553" s="151"/>
    </row>
    <row r="1554" spans="1:21" s="155" customFormat="1" ht="34.5" customHeight="1">
      <c r="A1554" s="989" t="s">
        <v>1089</v>
      </c>
      <c r="B1554" s="990"/>
      <c r="C1554" s="982"/>
      <c r="D1554" s="982"/>
      <c r="E1554" s="982"/>
      <c r="F1554" s="982"/>
      <c r="G1554" s="982"/>
      <c r="H1554" s="982"/>
      <c r="I1554" s="983"/>
      <c r="J1554" s="983"/>
      <c r="K1554" s="157"/>
      <c r="L1554" s="157"/>
      <c r="M1554" s="124"/>
      <c r="N1554" s="124"/>
      <c r="O1554" s="151"/>
      <c r="P1554" s="151"/>
      <c r="Q1554" s="151"/>
      <c r="R1554" s="151"/>
      <c r="S1554" s="151"/>
      <c r="T1554" s="151"/>
      <c r="U1554" s="151"/>
    </row>
    <row r="1555" spans="1:21" s="155" customFormat="1" ht="34.5" customHeight="1">
      <c r="A1555" s="989" t="s">
        <v>1090</v>
      </c>
      <c r="B1555" s="990"/>
      <c r="C1555" s="982"/>
      <c r="D1555" s="982"/>
      <c r="E1555" s="982"/>
      <c r="F1555" s="982"/>
      <c r="G1555" s="982"/>
      <c r="H1555" s="982"/>
      <c r="I1555" s="983"/>
      <c r="J1555" s="983"/>
      <c r="K1555" s="157"/>
      <c r="L1555" s="157"/>
      <c r="M1555" s="124"/>
      <c r="N1555" s="124"/>
      <c r="O1555" s="151"/>
      <c r="P1555" s="151"/>
      <c r="Q1555" s="151"/>
      <c r="R1555" s="151"/>
      <c r="S1555" s="151"/>
      <c r="T1555" s="151"/>
      <c r="U1555" s="151"/>
    </row>
    <row r="1556" spans="1:256" s="140" customFormat="1" ht="34.5" customHeight="1" thickBot="1">
      <c r="A1556" s="285"/>
      <c r="B1556" s="124"/>
      <c r="C1556" s="148"/>
      <c r="D1556" s="438"/>
      <c r="E1556" s="438"/>
      <c r="F1556" s="438"/>
      <c r="G1556" s="438"/>
      <c r="H1556" s="438"/>
      <c r="I1556" s="438"/>
      <c r="J1556" s="115"/>
      <c r="K1556" s="157"/>
      <c r="L1556" s="157"/>
      <c r="M1556" s="148"/>
      <c r="N1556" s="148"/>
      <c r="O1556" s="148"/>
      <c r="P1556" s="148"/>
      <c r="Q1556" s="457"/>
      <c r="R1556" s="850"/>
      <c r="S1556" s="863"/>
      <c r="T1556" s="850"/>
      <c r="U1556" s="148"/>
      <c r="V1556" s="148"/>
      <c r="W1556" s="148"/>
      <c r="X1556" s="148"/>
      <c r="Y1556" s="457"/>
      <c r="Z1556" s="850"/>
      <c r="AA1556" s="863"/>
      <c r="AB1556" s="850"/>
      <c r="AC1556" s="148"/>
      <c r="AD1556" s="148"/>
      <c r="AE1556" s="148"/>
      <c r="AF1556" s="148"/>
      <c r="AG1556" s="457"/>
      <c r="AH1556" s="850"/>
      <c r="AI1556" s="863"/>
      <c r="AJ1556" s="850"/>
      <c r="AK1556" s="148"/>
      <c r="AL1556" s="148"/>
      <c r="AM1556" s="148"/>
      <c r="AN1556" s="148"/>
      <c r="AO1556" s="457"/>
      <c r="AP1556" s="850"/>
      <c r="AQ1556" s="863"/>
      <c r="AR1556" s="850"/>
      <c r="AS1556" s="148"/>
      <c r="AT1556" s="148"/>
      <c r="AU1556" s="148"/>
      <c r="AV1556" s="148"/>
      <c r="AW1556" s="457"/>
      <c r="AX1556" s="850"/>
      <c r="AY1556" s="863"/>
      <c r="AZ1556" s="850"/>
      <c r="BA1556" s="148"/>
      <c r="BB1556" s="148"/>
      <c r="BC1556" s="148"/>
      <c r="BD1556" s="148"/>
      <c r="BE1556" s="457"/>
      <c r="BF1556" s="850"/>
      <c r="BG1556" s="863"/>
      <c r="BH1556" s="850"/>
      <c r="BI1556" s="148"/>
      <c r="BJ1556" s="148"/>
      <c r="BK1556" s="148"/>
      <c r="BL1556" s="148"/>
      <c r="BM1556" s="457"/>
      <c r="BN1556" s="850"/>
      <c r="BO1556" s="863"/>
      <c r="BP1556" s="850"/>
      <c r="BQ1556" s="148"/>
      <c r="BR1556" s="148"/>
      <c r="BS1556" s="148"/>
      <c r="BT1556" s="148"/>
      <c r="BU1556" s="457"/>
      <c r="BV1556" s="850"/>
      <c r="BW1556" s="863"/>
      <c r="BX1556" s="850"/>
      <c r="BY1556" s="148"/>
      <c r="BZ1556" s="148"/>
      <c r="CA1556" s="148"/>
      <c r="CB1556" s="148"/>
      <c r="CC1556" s="457"/>
      <c r="CD1556" s="850"/>
      <c r="CE1556" s="863"/>
      <c r="CF1556" s="850"/>
      <c r="CG1556" s="148"/>
      <c r="CH1556" s="148"/>
      <c r="CI1556" s="148"/>
      <c r="CJ1556" s="148"/>
      <c r="CK1556" s="457"/>
      <c r="CL1556" s="850"/>
      <c r="CM1556" s="863"/>
      <c r="CN1556" s="850"/>
      <c r="CO1556" s="148"/>
      <c r="CP1556" s="148"/>
      <c r="CQ1556" s="148"/>
      <c r="CR1556" s="148"/>
      <c r="CS1556" s="457"/>
      <c r="CT1556" s="850"/>
      <c r="CU1556" s="863"/>
      <c r="CV1556" s="850"/>
      <c r="CW1556" s="148"/>
      <c r="CX1556" s="148"/>
      <c r="CY1556" s="148"/>
      <c r="CZ1556" s="148"/>
      <c r="DA1556" s="457"/>
      <c r="DB1556" s="850"/>
      <c r="DC1556" s="863"/>
      <c r="DD1556" s="850"/>
      <c r="DE1556" s="148"/>
      <c r="DF1556" s="148"/>
      <c r="DG1556" s="148"/>
      <c r="DH1556" s="148"/>
      <c r="DI1556" s="457"/>
      <c r="DJ1556" s="850"/>
      <c r="DK1556" s="863"/>
      <c r="DL1556" s="850"/>
      <c r="DM1556" s="148"/>
      <c r="DN1556" s="148"/>
      <c r="DO1556" s="148"/>
      <c r="DP1556" s="148"/>
      <c r="DQ1556" s="457"/>
      <c r="DR1556" s="850"/>
      <c r="DS1556" s="863"/>
      <c r="DT1556" s="850"/>
      <c r="DU1556" s="148"/>
      <c r="DV1556" s="148"/>
      <c r="DW1556" s="148"/>
      <c r="DX1556" s="148"/>
      <c r="DY1556" s="457"/>
      <c r="DZ1556" s="850"/>
      <c r="EA1556" s="863"/>
      <c r="EB1556" s="850"/>
      <c r="EC1556" s="148"/>
      <c r="ED1556" s="148"/>
      <c r="EE1556" s="148"/>
      <c r="EF1556" s="148"/>
      <c r="EG1556" s="457"/>
      <c r="EH1556" s="850"/>
      <c r="EI1556" s="863"/>
      <c r="EJ1556" s="850"/>
      <c r="EK1556" s="148"/>
      <c r="EL1556" s="148"/>
      <c r="EM1556" s="148"/>
      <c r="EN1556" s="148"/>
      <c r="EO1556" s="457"/>
      <c r="EP1556" s="850"/>
      <c r="EQ1556" s="863"/>
      <c r="ER1556" s="850"/>
      <c r="ES1556" s="148"/>
      <c r="ET1556" s="148"/>
      <c r="EU1556" s="148"/>
      <c r="EV1556" s="148"/>
      <c r="EW1556" s="457"/>
      <c r="EX1556" s="850"/>
      <c r="EY1556" s="863"/>
      <c r="EZ1556" s="850"/>
      <c r="FA1556" s="148"/>
      <c r="FB1556" s="148"/>
      <c r="FC1556" s="148"/>
      <c r="FD1556" s="148"/>
      <c r="FE1556" s="457"/>
      <c r="FF1556" s="850"/>
      <c r="FG1556" s="863"/>
      <c r="FH1556" s="850"/>
      <c r="FI1556" s="148"/>
      <c r="FJ1556" s="148"/>
      <c r="FK1556" s="148"/>
      <c r="FL1556" s="148"/>
      <c r="FM1556" s="457"/>
      <c r="FN1556" s="850"/>
      <c r="FO1556" s="863"/>
      <c r="FP1556" s="850"/>
      <c r="FQ1556" s="148"/>
      <c r="FR1556" s="148"/>
      <c r="FS1556" s="148"/>
      <c r="FT1556" s="148"/>
      <c r="FU1556" s="457"/>
      <c r="FV1556" s="850"/>
      <c r="FW1556" s="863"/>
      <c r="FX1556" s="850"/>
      <c r="FY1556" s="148"/>
      <c r="FZ1556" s="148"/>
      <c r="GA1556" s="148"/>
      <c r="GB1556" s="148"/>
      <c r="GC1556" s="457"/>
      <c r="GD1556" s="850"/>
      <c r="GE1556" s="863"/>
      <c r="GF1556" s="850"/>
      <c r="GG1556" s="148"/>
      <c r="GH1556" s="148"/>
      <c r="GI1556" s="148"/>
      <c r="GJ1556" s="148"/>
      <c r="GK1556" s="457"/>
      <c r="GL1556" s="850"/>
      <c r="GM1556" s="863"/>
      <c r="GN1556" s="850"/>
      <c r="GO1556" s="148"/>
      <c r="GP1556" s="148"/>
      <c r="GQ1556" s="148"/>
      <c r="GR1556" s="148"/>
      <c r="GS1556" s="457"/>
      <c r="GT1556" s="850"/>
      <c r="GU1556" s="863"/>
      <c r="GV1556" s="850"/>
      <c r="GW1556" s="148"/>
      <c r="GX1556" s="148"/>
      <c r="GY1556" s="148"/>
      <c r="GZ1556" s="148"/>
      <c r="HA1556" s="457"/>
      <c r="HB1556" s="850"/>
      <c r="HC1556" s="863"/>
      <c r="HD1556" s="850"/>
      <c r="HE1556" s="148"/>
      <c r="HF1556" s="148"/>
      <c r="HG1556" s="148"/>
      <c r="HH1556" s="148"/>
      <c r="HI1556" s="457"/>
      <c r="HJ1556" s="850"/>
      <c r="HK1556" s="863"/>
      <c r="HL1556" s="850"/>
      <c r="HM1556" s="148"/>
      <c r="HN1556" s="148"/>
      <c r="HO1556" s="148"/>
      <c r="HP1556" s="148"/>
      <c r="HQ1556" s="457"/>
      <c r="HR1556" s="850"/>
      <c r="HS1556" s="863"/>
      <c r="HT1556" s="850"/>
      <c r="HU1556" s="148"/>
      <c r="HV1556" s="148"/>
      <c r="HW1556" s="148"/>
      <c r="HX1556" s="148"/>
      <c r="HY1556" s="457"/>
      <c r="HZ1556" s="850"/>
      <c r="IA1556" s="863"/>
      <c r="IB1556" s="850"/>
      <c r="IC1556" s="148"/>
      <c r="ID1556" s="148"/>
      <c r="IE1556" s="148"/>
      <c r="IF1556" s="148"/>
      <c r="IG1556" s="457"/>
      <c r="IH1556" s="850"/>
      <c r="II1556" s="863"/>
      <c r="IJ1556" s="850"/>
      <c r="IK1556" s="148"/>
      <c r="IL1556" s="148"/>
      <c r="IM1556" s="148"/>
      <c r="IN1556" s="148"/>
      <c r="IO1556" s="457"/>
      <c r="IP1556" s="850"/>
      <c r="IQ1556" s="863"/>
      <c r="IR1556" s="850"/>
      <c r="IS1556" s="148"/>
      <c r="IT1556" s="148"/>
      <c r="IU1556" s="148"/>
      <c r="IV1556" s="148"/>
    </row>
    <row r="1557" spans="1:42" s="214" customFormat="1" ht="34.5" customHeight="1" thickTop="1">
      <c r="A1557" s="207" t="s">
        <v>34</v>
      </c>
      <c r="B1557" s="208" t="s">
        <v>91</v>
      </c>
      <c r="C1557" s="209" t="s">
        <v>921</v>
      </c>
      <c r="D1557" s="210"/>
      <c r="E1557" s="211" t="s">
        <v>1081</v>
      </c>
      <c r="F1557" s="212"/>
      <c r="G1557" s="211" t="s">
        <v>996</v>
      </c>
      <c r="H1557" s="212"/>
      <c r="I1557" s="1070"/>
      <c r="J1557" s="1071"/>
      <c r="K1557" s="1070"/>
      <c r="L1557" s="1070"/>
      <c r="M1557" s="174"/>
      <c r="N1557" s="174"/>
      <c r="O1557" s="213"/>
      <c r="P1557" s="213"/>
      <c r="Q1557" s="213"/>
      <c r="R1557" s="213"/>
      <c r="S1557" s="114"/>
      <c r="T1557" s="105"/>
      <c r="U1557" s="105"/>
      <c r="V1557" s="105"/>
      <c r="W1557" s="105"/>
      <c r="X1557" s="105"/>
      <c r="Y1557" s="105"/>
      <c r="Z1557" s="114"/>
      <c r="AA1557" s="213"/>
      <c r="AB1557" s="213"/>
      <c r="AC1557" s="213"/>
      <c r="AD1557" s="213"/>
      <c r="AE1557" s="213"/>
      <c r="AF1557" s="213"/>
      <c r="AG1557" s="213"/>
      <c r="AH1557" s="213"/>
      <c r="AI1557" s="213"/>
      <c r="AJ1557" s="213"/>
      <c r="AK1557" s="213"/>
      <c r="AL1557" s="213"/>
      <c r="AM1557" s="213"/>
      <c r="AN1557" s="213"/>
      <c r="AO1557" s="213"/>
      <c r="AP1557" s="213"/>
    </row>
    <row r="1558" spans="1:21" s="140" customFormat="1" ht="34.5" customHeight="1">
      <c r="A1558" s="574" t="s">
        <v>129</v>
      </c>
      <c r="B1558" s="238" t="s">
        <v>252</v>
      </c>
      <c r="C1558" s="743">
        <f>CEILING(42.5*$Z$1,0.1)</f>
        <v>53.2</v>
      </c>
      <c r="D1558" s="767"/>
      <c r="E1558" s="743">
        <f>CEILING(42.5*$Z$1,0.1)</f>
        <v>53.2</v>
      </c>
      <c r="F1558" s="767"/>
      <c r="G1558" s="743">
        <f>CEILING(42.5*$Z$1,0.1)</f>
        <v>53.2</v>
      </c>
      <c r="H1558" s="767"/>
      <c r="I1558" s="744"/>
      <c r="J1558" s="744"/>
      <c r="K1558" s="744"/>
      <c r="L1558" s="744"/>
      <c r="M1558" s="124"/>
      <c r="N1558" s="124"/>
      <c r="O1558" s="115"/>
      <c r="P1558" s="115"/>
      <c r="Q1558" s="115"/>
      <c r="R1558" s="115"/>
      <c r="S1558" s="115"/>
      <c r="T1558" s="115"/>
      <c r="U1558" s="115"/>
    </row>
    <row r="1559" spans="1:21" s="140" customFormat="1" ht="34.5" customHeight="1">
      <c r="A1559" s="295" t="s">
        <v>50</v>
      </c>
      <c r="B1559" s="238" t="s">
        <v>253</v>
      </c>
      <c r="C1559" s="746">
        <f>CEILING(62*$Z$1,0.1)</f>
        <v>77.5</v>
      </c>
      <c r="D1559" s="768"/>
      <c r="E1559" s="746">
        <f>CEILING(62*$Z$1,0.1)</f>
        <v>77.5</v>
      </c>
      <c r="F1559" s="768"/>
      <c r="G1559" s="746">
        <f>CEILING(62*$Z$1,0.1)</f>
        <v>77.5</v>
      </c>
      <c r="H1559" s="768"/>
      <c r="I1559" s="744"/>
      <c r="J1559" s="744"/>
      <c r="K1559" s="744"/>
      <c r="L1559" s="744"/>
      <c r="M1559" s="124"/>
      <c r="N1559" s="124"/>
      <c r="O1559" s="115"/>
      <c r="P1559" s="115"/>
      <c r="Q1559" s="115"/>
      <c r="R1559" s="115"/>
      <c r="S1559" s="115"/>
      <c r="T1559" s="115"/>
      <c r="U1559" s="115"/>
    </row>
    <row r="1560" spans="1:21" s="140" customFormat="1" ht="34.5" customHeight="1">
      <c r="A1560" s="295"/>
      <c r="B1560" s="353" t="s">
        <v>254</v>
      </c>
      <c r="C1560" s="746">
        <f>CEILING((C1558*0.85),0.1)</f>
        <v>45.300000000000004</v>
      </c>
      <c r="D1560" s="768"/>
      <c r="E1560" s="746">
        <f>CEILING((E1558*0.85),0.1)</f>
        <v>45.300000000000004</v>
      </c>
      <c r="F1560" s="768"/>
      <c r="G1560" s="746">
        <f>CEILING((G1558*0.85),0.1)</f>
        <v>45.300000000000004</v>
      </c>
      <c r="H1560" s="768"/>
      <c r="I1560" s="744"/>
      <c r="J1560" s="744"/>
      <c r="K1560" s="744"/>
      <c r="L1560" s="744"/>
      <c r="M1560" s="124"/>
      <c r="N1560" s="124"/>
      <c r="O1560" s="115"/>
      <c r="P1560" s="115"/>
      <c r="Q1560" s="115"/>
      <c r="R1560" s="115"/>
      <c r="S1560" s="115"/>
      <c r="T1560" s="115"/>
      <c r="U1560" s="115"/>
    </row>
    <row r="1561" spans="1:21" s="140" customFormat="1" ht="34.5" customHeight="1">
      <c r="A1561" s="134" t="s">
        <v>1112</v>
      </c>
      <c r="B1561" s="353" t="s">
        <v>401</v>
      </c>
      <c r="C1561" s="746">
        <f>CEILING((C1558*0.5),0.1)</f>
        <v>26.6</v>
      </c>
      <c r="D1561" s="768"/>
      <c r="E1561" s="746">
        <f>CEILING((E1558*0.5),0.1)</f>
        <v>26.6</v>
      </c>
      <c r="F1561" s="768"/>
      <c r="G1561" s="746">
        <f>CEILING((G1558*0.5),0.1)</f>
        <v>26.6</v>
      </c>
      <c r="H1561" s="768"/>
      <c r="I1561" s="744"/>
      <c r="J1561" s="744"/>
      <c r="K1561" s="744"/>
      <c r="L1561" s="744"/>
      <c r="M1561" s="124"/>
      <c r="N1561" s="124"/>
      <c r="O1561" s="115"/>
      <c r="P1561" s="115"/>
      <c r="Q1561" s="115"/>
      <c r="R1561" s="115"/>
      <c r="S1561" s="115"/>
      <c r="T1561" s="115"/>
      <c r="U1561" s="115"/>
    </row>
    <row r="1562" spans="1:21" s="140" customFormat="1" ht="34.5" customHeight="1">
      <c r="A1562" s="295"/>
      <c r="B1562" s="353" t="s">
        <v>255</v>
      </c>
      <c r="C1562" s="746">
        <f>CEILING(45.5*$Z$1,0.1)</f>
        <v>56.900000000000006</v>
      </c>
      <c r="D1562" s="768"/>
      <c r="E1562" s="746">
        <f>CEILING(45.5*$Z$1,0.1)</f>
        <v>56.900000000000006</v>
      </c>
      <c r="F1562" s="768"/>
      <c r="G1562" s="746">
        <f>CEILING(45.5*$Z$1,0.1)</f>
        <v>56.900000000000006</v>
      </c>
      <c r="H1562" s="768"/>
      <c r="I1562" s="744"/>
      <c r="J1562" s="744"/>
      <c r="K1562" s="744"/>
      <c r="L1562" s="744"/>
      <c r="M1562" s="124"/>
      <c r="N1562" s="124"/>
      <c r="O1562" s="115"/>
      <c r="P1562" s="115"/>
      <c r="Q1562" s="115"/>
      <c r="R1562" s="115"/>
      <c r="S1562" s="115"/>
      <c r="T1562" s="115"/>
      <c r="U1562" s="115"/>
    </row>
    <row r="1563" spans="1:21" s="140" customFormat="1" ht="34.5" customHeight="1">
      <c r="A1563" s="134"/>
      <c r="B1563" s="238" t="s">
        <v>256</v>
      </c>
      <c r="C1563" s="746">
        <f>CEILING(68*$Z$1,0.1)</f>
        <v>85</v>
      </c>
      <c r="D1563" s="768"/>
      <c r="E1563" s="746">
        <f>CEILING(68*$Z$1,0.1)</f>
        <v>85</v>
      </c>
      <c r="F1563" s="768"/>
      <c r="G1563" s="746">
        <f>CEILING(68*$Z$1,0.1)</f>
        <v>85</v>
      </c>
      <c r="H1563" s="768"/>
      <c r="I1563" s="744"/>
      <c r="J1563" s="744"/>
      <c r="K1563" s="744"/>
      <c r="L1563" s="744"/>
      <c r="M1563" s="124"/>
      <c r="N1563" s="124"/>
      <c r="O1563" s="115"/>
      <c r="P1563" s="115"/>
      <c r="Q1563" s="115"/>
      <c r="R1563" s="109"/>
      <c r="S1563" s="109"/>
      <c r="T1563" s="115"/>
      <c r="U1563" s="115"/>
    </row>
    <row r="1564" spans="1:21" s="140" customFormat="1" ht="34.5" customHeight="1">
      <c r="A1564" s="295"/>
      <c r="B1564" s="353" t="s">
        <v>257</v>
      </c>
      <c r="C1564" s="746">
        <f>CEILING((C1562*0.85),0.1)</f>
        <v>48.400000000000006</v>
      </c>
      <c r="D1564" s="768"/>
      <c r="E1564" s="746">
        <f>CEILING((E1562*0.85),0.1)</f>
        <v>48.400000000000006</v>
      </c>
      <c r="F1564" s="768"/>
      <c r="G1564" s="746">
        <f>CEILING((G1562*0.85),0.1)</f>
        <v>48.400000000000006</v>
      </c>
      <c r="H1564" s="768"/>
      <c r="I1564" s="744"/>
      <c r="J1564" s="744"/>
      <c r="K1564" s="744"/>
      <c r="L1564" s="744"/>
      <c r="M1564" s="124"/>
      <c r="N1564" s="115"/>
      <c r="O1564" s="115"/>
      <c r="P1564" s="115"/>
      <c r="Q1564" s="115"/>
      <c r="R1564" s="740"/>
      <c r="S1564" s="740"/>
      <c r="T1564" s="115"/>
      <c r="U1564" s="115"/>
    </row>
    <row r="1565" spans="1:21" s="140" customFormat="1" ht="34.5" customHeight="1">
      <c r="A1565" s="295"/>
      <c r="B1565" s="353" t="s">
        <v>402</v>
      </c>
      <c r="C1565" s="746">
        <f>CEILING((C1562*0.5),0.1)</f>
        <v>28.5</v>
      </c>
      <c r="D1565" s="768"/>
      <c r="E1565" s="746">
        <f>CEILING((E1562*0.5),0.1)</f>
        <v>28.5</v>
      </c>
      <c r="F1565" s="768"/>
      <c r="G1565" s="746">
        <f>CEILING((G1562*0.5),0.1)</f>
        <v>28.5</v>
      </c>
      <c r="H1565" s="768"/>
      <c r="I1565" s="744"/>
      <c r="J1565" s="744"/>
      <c r="K1565" s="744"/>
      <c r="L1565" s="744"/>
      <c r="M1565" s="115"/>
      <c r="N1565" s="115"/>
      <c r="O1565" s="115"/>
      <c r="P1565" s="115"/>
      <c r="Q1565" s="115"/>
      <c r="R1565" s="148"/>
      <c r="S1565" s="148"/>
      <c r="T1565" s="115"/>
      <c r="U1565" s="115"/>
    </row>
    <row r="1566" spans="1:256" s="140" customFormat="1" ht="34.5" customHeight="1">
      <c r="A1566" s="706" t="s">
        <v>311</v>
      </c>
      <c r="B1566" s="331" t="s">
        <v>248</v>
      </c>
      <c r="C1566" s="785">
        <f>CEILING(85*$Z$1,0.1)</f>
        <v>106.30000000000001</v>
      </c>
      <c r="D1566" s="786"/>
      <c r="E1566" s="785">
        <f>CEILING(85*$Z$1,0.1)</f>
        <v>106.30000000000001</v>
      </c>
      <c r="F1566" s="786"/>
      <c r="G1566" s="785">
        <f>CEILING(85*$Z$1,0.1)</f>
        <v>106.30000000000001</v>
      </c>
      <c r="H1566" s="786"/>
      <c r="I1566" s="744"/>
      <c r="J1566" s="744"/>
      <c r="K1566" s="744"/>
      <c r="L1566" s="744"/>
      <c r="M1566" s="148"/>
      <c r="N1566" s="148"/>
      <c r="O1566" s="148"/>
      <c r="P1566" s="148"/>
      <c r="Q1566" s="457"/>
      <c r="R1566" s="850"/>
      <c r="S1566" s="863"/>
      <c r="T1566" s="850"/>
      <c r="U1566" s="148"/>
      <c r="V1566" s="148"/>
      <c r="W1566" s="148"/>
      <c r="X1566" s="148"/>
      <c r="Y1566" s="457"/>
      <c r="Z1566" s="850"/>
      <c r="AA1566" s="863"/>
      <c r="AB1566" s="850"/>
      <c r="AC1566" s="148"/>
      <c r="AD1566" s="148"/>
      <c r="AE1566" s="148"/>
      <c r="AF1566" s="148"/>
      <c r="AG1566" s="457"/>
      <c r="AH1566" s="850"/>
      <c r="AI1566" s="863"/>
      <c r="AJ1566" s="850"/>
      <c r="AK1566" s="148"/>
      <c r="AL1566" s="148"/>
      <c r="AM1566" s="148"/>
      <c r="AN1566" s="148"/>
      <c r="AO1566" s="457"/>
      <c r="AP1566" s="850"/>
      <c r="AQ1566" s="863"/>
      <c r="AR1566" s="850"/>
      <c r="AS1566" s="148"/>
      <c r="AT1566" s="148"/>
      <c r="AU1566" s="148"/>
      <c r="AV1566" s="148"/>
      <c r="AW1566" s="457"/>
      <c r="AX1566" s="850"/>
      <c r="AY1566" s="863"/>
      <c r="AZ1566" s="850"/>
      <c r="BA1566" s="148"/>
      <c r="BB1566" s="148"/>
      <c r="BC1566" s="148"/>
      <c r="BD1566" s="148"/>
      <c r="BE1566" s="457"/>
      <c r="BF1566" s="850"/>
      <c r="BG1566" s="863"/>
      <c r="BH1566" s="850"/>
      <c r="BI1566" s="148"/>
      <c r="BJ1566" s="148"/>
      <c r="BK1566" s="148"/>
      <c r="BL1566" s="148"/>
      <c r="BM1566" s="457"/>
      <c r="BN1566" s="850"/>
      <c r="BO1566" s="863"/>
      <c r="BP1566" s="850"/>
      <c r="BQ1566" s="148"/>
      <c r="BR1566" s="148"/>
      <c r="BS1566" s="148"/>
      <c r="BT1566" s="148"/>
      <c r="BU1566" s="457"/>
      <c r="BV1566" s="850"/>
      <c r="BW1566" s="863"/>
      <c r="BX1566" s="850"/>
      <c r="BY1566" s="148"/>
      <c r="BZ1566" s="148"/>
      <c r="CA1566" s="148"/>
      <c r="CB1566" s="148"/>
      <c r="CC1566" s="457"/>
      <c r="CD1566" s="850"/>
      <c r="CE1566" s="863"/>
      <c r="CF1566" s="850"/>
      <c r="CG1566" s="148"/>
      <c r="CH1566" s="148"/>
      <c r="CI1566" s="148"/>
      <c r="CJ1566" s="148"/>
      <c r="CK1566" s="457"/>
      <c r="CL1566" s="850"/>
      <c r="CM1566" s="863"/>
      <c r="CN1566" s="850"/>
      <c r="CO1566" s="148"/>
      <c r="CP1566" s="148"/>
      <c r="CQ1566" s="148"/>
      <c r="CR1566" s="148"/>
      <c r="CS1566" s="457"/>
      <c r="CT1566" s="850"/>
      <c r="CU1566" s="863"/>
      <c r="CV1566" s="850"/>
      <c r="CW1566" s="148"/>
      <c r="CX1566" s="148"/>
      <c r="CY1566" s="148"/>
      <c r="CZ1566" s="148"/>
      <c r="DA1566" s="457"/>
      <c r="DB1566" s="850"/>
      <c r="DC1566" s="863"/>
      <c r="DD1566" s="850"/>
      <c r="DE1566" s="148"/>
      <c r="DF1566" s="148"/>
      <c r="DG1566" s="148"/>
      <c r="DH1566" s="148"/>
      <c r="DI1566" s="457"/>
      <c r="DJ1566" s="850"/>
      <c r="DK1566" s="863"/>
      <c r="DL1566" s="850"/>
      <c r="DM1566" s="148"/>
      <c r="DN1566" s="148"/>
      <c r="DO1566" s="148"/>
      <c r="DP1566" s="148"/>
      <c r="DQ1566" s="457"/>
      <c r="DR1566" s="850"/>
      <c r="DS1566" s="863"/>
      <c r="DT1566" s="850"/>
      <c r="DU1566" s="148"/>
      <c r="DV1566" s="148"/>
      <c r="DW1566" s="148"/>
      <c r="DX1566" s="148"/>
      <c r="DY1566" s="457"/>
      <c r="DZ1566" s="850"/>
      <c r="EA1566" s="863"/>
      <c r="EB1566" s="850"/>
      <c r="EC1566" s="148"/>
      <c r="ED1566" s="148"/>
      <c r="EE1566" s="148"/>
      <c r="EF1566" s="148"/>
      <c r="EG1566" s="457"/>
      <c r="EH1566" s="850"/>
      <c r="EI1566" s="863"/>
      <c r="EJ1566" s="850"/>
      <c r="EK1566" s="148"/>
      <c r="EL1566" s="148"/>
      <c r="EM1566" s="148"/>
      <c r="EN1566" s="148"/>
      <c r="EO1566" s="457"/>
      <c r="EP1566" s="850"/>
      <c r="EQ1566" s="863"/>
      <c r="ER1566" s="850"/>
      <c r="ES1566" s="148"/>
      <c r="ET1566" s="148"/>
      <c r="EU1566" s="148"/>
      <c r="EV1566" s="148"/>
      <c r="EW1566" s="457"/>
      <c r="EX1566" s="850"/>
      <c r="EY1566" s="863"/>
      <c r="EZ1566" s="850"/>
      <c r="FA1566" s="148"/>
      <c r="FB1566" s="148"/>
      <c r="FC1566" s="148"/>
      <c r="FD1566" s="148"/>
      <c r="FE1566" s="457"/>
      <c r="FF1566" s="850"/>
      <c r="FG1566" s="863"/>
      <c r="FH1566" s="850"/>
      <c r="FI1566" s="148"/>
      <c r="FJ1566" s="148"/>
      <c r="FK1566" s="148"/>
      <c r="FL1566" s="148"/>
      <c r="FM1566" s="457"/>
      <c r="FN1566" s="850"/>
      <c r="FO1566" s="863"/>
      <c r="FP1566" s="850"/>
      <c r="FQ1566" s="148"/>
      <c r="FR1566" s="148"/>
      <c r="FS1566" s="148"/>
      <c r="FT1566" s="148"/>
      <c r="FU1566" s="457"/>
      <c r="FV1566" s="850"/>
      <c r="FW1566" s="863"/>
      <c r="FX1566" s="850"/>
      <c r="FY1566" s="148"/>
      <c r="FZ1566" s="148"/>
      <c r="GA1566" s="148"/>
      <c r="GB1566" s="148"/>
      <c r="GC1566" s="457"/>
      <c r="GD1566" s="850"/>
      <c r="GE1566" s="863"/>
      <c r="GF1566" s="850"/>
      <c r="GG1566" s="148"/>
      <c r="GH1566" s="148"/>
      <c r="GI1566" s="148"/>
      <c r="GJ1566" s="148"/>
      <c r="GK1566" s="457"/>
      <c r="GL1566" s="850"/>
      <c r="GM1566" s="863"/>
      <c r="GN1566" s="850"/>
      <c r="GO1566" s="148"/>
      <c r="GP1566" s="148"/>
      <c r="GQ1566" s="148"/>
      <c r="GR1566" s="148"/>
      <c r="GS1566" s="457"/>
      <c r="GT1566" s="850"/>
      <c r="GU1566" s="863"/>
      <c r="GV1566" s="850"/>
      <c r="GW1566" s="148"/>
      <c r="GX1566" s="148"/>
      <c r="GY1566" s="148"/>
      <c r="GZ1566" s="148"/>
      <c r="HA1566" s="457"/>
      <c r="HB1566" s="850"/>
      <c r="HC1566" s="863"/>
      <c r="HD1566" s="850"/>
      <c r="HE1566" s="148"/>
      <c r="HF1566" s="148"/>
      <c r="HG1566" s="148"/>
      <c r="HH1566" s="148"/>
      <c r="HI1566" s="457"/>
      <c r="HJ1566" s="850"/>
      <c r="HK1566" s="863"/>
      <c r="HL1566" s="850"/>
      <c r="HM1566" s="148"/>
      <c r="HN1566" s="148"/>
      <c r="HO1566" s="148"/>
      <c r="HP1566" s="148"/>
      <c r="HQ1566" s="457"/>
      <c r="HR1566" s="850"/>
      <c r="HS1566" s="863"/>
      <c r="HT1566" s="850"/>
      <c r="HU1566" s="148"/>
      <c r="HV1566" s="148"/>
      <c r="HW1566" s="148"/>
      <c r="HX1566" s="148"/>
      <c r="HY1566" s="457"/>
      <c r="HZ1566" s="850"/>
      <c r="IA1566" s="863"/>
      <c r="IB1566" s="850"/>
      <c r="IC1566" s="148"/>
      <c r="ID1566" s="148"/>
      <c r="IE1566" s="148"/>
      <c r="IF1566" s="148"/>
      <c r="IG1566" s="457"/>
      <c r="IH1566" s="850"/>
      <c r="II1566" s="863"/>
      <c r="IJ1566" s="850"/>
      <c r="IK1566" s="148"/>
      <c r="IL1566" s="148"/>
      <c r="IM1566" s="148"/>
      <c r="IN1566" s="148"/>
      <c r="IO1566" s="457"/>
      <c r="IP1566" s="850"/>
      <c r="IQ1566" s="863"/>
      <c r="IR1566" s="850"/>
      <c r="IS1566" s="148"/>
      <c r="IT1566" s="148"/>
      <c r="IU1566" s="148"/>
      <c r="IV1566" s="148"/>
    </row>
    <row r="1567" spans="1:21" s="155" customFormat="1" ht="34.5" customHeight="1">
      <c r="A1567" s="447" t="s">
        <v>752</v>
      </c>
      <c r="B1567" s="124"/>
      <c r="C1567" s="239"/>
      <c r="D1567" s="239"/>
      <c r="E1567" s="239"/>
      <c r="F1567" s="239"/>
      <c r="G1567" s="239"/>
      <c r="H1567" s="239"/>
      <c r="I1567" s="148"/>
      <c r="J1567" s="148"/>
      <c r="K1567" s="157"/>
      <c r="L1567" s="157"/>
      <c r="M1567" s="124"/>
      <c r="N1567" s="124"/>
      <c r="O1567" s="151"/>
      <c r="P1567" s="151"/>
      <c r="Q1567" s="151"/>
      <c r="R1567" s="151"/>
      <c r="S1567" s="151"/>
      <c r="T1567" s="151"/>
      <c r="U1567" s="151"/>
    </row>
    <row r="1568" spans="1:37" s="371" customFormat="1" ht="34.5" customHeight="1">
      <c r="A1568" s="163" t="s">
        <v>991</v>
      </c>
      <c r="B1568" s="164"/>
      <c r="C1568" s="163"/>
      <c r="D1568" s="163"/>
      <c r="E1568" s="163"/>
      <c r="F1568" s="163"/>
      <c r="G1568" s="163"/>
      <c r="H1568" s="163"/>
      <c r="I1568" s="163"/>
      <c r="J1568" s="163"/>
      <c r="K1568" s="515"/>
      <c r="L1568" s="515"/>
      <c r="M1568" s="174"/>
      <c r="N1568" s="174"/>
      <c r="O1568" s="179"/>
      <c r="P1568" s="179"/>
      <c r="Q1568" s="179"/>
      <c r="R1568" s="179"/>
      <c r="S1568" s="179"/>
      <c r="T1568" s="179"/>
      <c r="U1568" s="179"/>
      <c r="V1568" s="179"/>
      <c r="W1568" s="179"/>
      <c r="X1568" s="179"/>
      <c r="Y1568" s="179"/>
      <c r="Z1568" s="179"/>
      <c r="AA1568" s="179"/>
      <c r="AB1568" s="179"/>
      <c r="AC1568" s="179"/>
      <c r="AD1568" s="179"/>
      <c r="AE1568" s="179"/>
      <c r="AF1568" s="179"/>
      <c r="AG1568" s="179"/>
      <c r="AH1568" s="179"/>
      <c r="AI1568" s="179"/>
      <c r="AJ1568" s="179"/>
      <c r="AK1568" s="179"/>
    </row>
    <row r="1569" spans="1:25" s="140" customFormat="1" ht="34.5" customHeight="1" thickBot="1">
      <c r="A1569" s="285"/>
      <c r="B1569" s="124"/>
      <c r="C1569" s="148"/>
      <c r="D1569" s="148"/>
      <c r="E1569" s="239"/>
      <c r="F1569" s="239"/>
      <c r="G1569" s="239"/>
      <c r="H1569" s="239"/>
      <c r="I1569" s="148"/>
      <c r="J1569" s="148"/>
      <c r="K1569" s="113"/>
      <c r="L1569" s="113"/>
      <c r="M1569" s="124"/>
      <c r="N1569" s="124"/>
      <c r="O1569" s="115"/>
      <c r="P1569" s="115"/>
      <c r="Q1569" s="115"/>
      <c r="R1569" s="115"/>
      <c r="S1569" s="115"/>
      <c r="T1569" s="115"/>
      <c r="U1569" s="115"/>
      <c r="V1569" s="115"/>
      <c r="W1569" s="115"/>
      <c r="X1569" s="115"/>
      <c r="Y1569" s="115"/>
    </row>
    <row r="1570" spans="1:48" s="837" customFormat="1" ht="34.5" customHeight="1" thickTop="1">
      <c r="A1570" s="773" t="s">
        <v>34</v>
      </c>
      <c r="B1570" s="774" t="s">
        <v>91</v>
      </c>
      <c r="C1570" s="775" t="s">
        <v>984</v>
      </c>
      <c r="D1570" s="776"/>
      <c r="E1570" s="1094"/>
      <c r="F1570" s="1095"/>
      <c r="G1570" s="1095"/>
      <c r="H1570" s="1095"/>
      <c r="I1570" s="835"/>
      <c r="J1570" s="835"/>
      <c r="K1570" s="836"/>
      <c r="L1570" s="836"/>
      <c r="M1570" s="158"/>
      <c r="N1570" s="158"/>
      <c r="O1570" s="158"/>
      <c r="P1570" s="158"/>
      <c r="Q1570" s="158"/>
      <c r="R1570" s="158"/>
      <c r="S1570" s="158"/>
      <c r="T1570" s="158"/>
      <c r="U1570" s="158"/>
      <c r="V1570" s="158"/>
      <c r="W1570" s="158"/>
      <c r="X1570" s="158"/>
      <c r="Y1570" s="158"/>
      <c r="Z1570" s="158"/>
      <c r="AA1570" s="158"/>
      <c r="AB1570" s="158"/>
      <c r="AC1570" s="158"/>
      <c r="AD1570" s="158"/>
      <c r="AE1570" s="158"/>
      <c r="AF1570" s="158"/>
      <c r="AG1570" s="158"/>
      <c r="AH1570" s="158"/>
      <c r="AI1570" s="158"/>
      <c r="AJ1570" s="158"/>
      <c r="AK1570" s="158"/>
      <c r="AL1570" s="158"/>
      <c r="AM1570" s="158"/>
      <c r="AN1570" s="158"/>
      <c r="AO1570" s="158"/>
      <c r="AP1570" s="158"/>
      <c r="AQ1570" s="158"/>
      <c r="AR1570" s="158"/>
      <c r="AS1570" s="158"/>
      <c r="AT1570" s="158"/>
      <c r="AU1570" s="158"/>
      <c r="AV1570" s="158"/>
    </row>
    <row r="1571" spans="1:25" s="140" customFormat="1" ht="34.5" customHeight="1">
      <c r="A1571" s="864" t="s">
        <v>992</v>
      </c>
      <c r="B1571" s="270" t="s">
        <v>42</v>
      </c>
      <c r="C1571" s="416">
        <f>CEILING(59*$Z$1,0.1)</f>
        <v>73.8</v>
      </c>
      <c r="D1571" s="865"/>
      <c r="E1571" s="856"/>
      <c r="F1571" s="148"/>
      <c r="G1571" s="148"/>
      <c r="H1571" s="148"/>
      <c r="I1571" s="148"/>
      <c r="J1571" s="148"/>
      <c r="K1571" s="113"/>
      <c r="L1571" s="113"/>
      <c r="M1571" s="124"/>
      <c r="N1571" s="124"/>
      <c r="O1571" s="115"/>
      <c r="P1571" s="115"/>
      <c r="Q1571" s="115"/>
      <c r="R1571" s="115"/>
      <c r="S1571" s="115"/>
      <c r="T1571" s="115"/>
      <c r="U1571" s="115"/>
      <c r="V1571" s="115"/>
      <c r="W1571" s="115"/>
      <c r="X1571" s="115"/>
      <c r="Y1571" s="115"/>
    </row>
    <row r="1572" spans="1:25" s="140" customFormat="1" ht="34.5" customHeight="1">
      <c r="A1572" s="858" t="s">
        <v>286</v>
      </c>
      <c r="B1572" s="266" t="s">
        <v>43</v>
      </c>
      <c r="C1572" s="416">
        <f>CEILING(86*$Z$1,0.1)</f>
        <v>107.5</v>
      </c>
      <c r="D1572" s="866"/>
      <c r="E1572" s="856"/>
      <c r="F1572" s="148"/>
      <c r="G1572" s="148"/>
      <c r="H1572" s="148"/>
      <c r="I1572" s="148"/>
      <c r="J1572" s="148"/>
      <c r="K1572" s="113"/>
      <c r="L1572" s="113"/>
      <c r="M1572" s="124"/>
      <c r="N1572" s="124"/>
      <c r="O1572" s="115"/>
      <c r="P1572" s="115"/>
      <c r="Q1572" s="115"/>
      <c r="R1572" s="115"/>
      <c r="S1572" s="115"/>
      <c r="T1572" s="115"/>
      <c r="U1572" s="115"/>
      <c r="V1572" s="115"/>
      <c r="W1572" s="115"/>
      <c r="X1572" s="115"/>
      <c r="Y1572" s="115"/>
    </row>
    <row r="1573" spans="1:256" s="140" customFormat="1" ht="34.5" customHeight="1">
      <c r="A1573" s="858" t="s">
        <v>130</v>
      </c>
      <c r="B1573" s="353" t="s">
        <v>70</v>
      </c>
      <c r="C1573" s="416">
        <f>CEILING((C1571*0.85),0.1)</f>
        <v>62.800000000000004</v>
      </c>
      <c r="D1573" s="866"/>
      <c r="E1573" s="856"/>
      <c r="F1573" s="148"/>
      <c r="G1573" s="148"/>
      <c r="H1573" s="148"/>
      <c r="I1573" s="148"/>
      <c r="J1573" s="148"/>
      <c r="K1573" s="113"/>
      <c r="L1573" s="113"/>
      <c r="M1573" s="148"/>
      <c r="N1573" s="148"/>
      <c r="O1573" s="148"/>
      <c r="P1573" s="148"/>
      <c r="Q1573" s="457"/>
      <c r="R1573" s="850"/>
      <c r="S1573" s="863"/>
      <c r="T1573" s="850"/>
      <c r="U1573" s="148"/>
      <c r="V1573" s="148"/>
      <c r="W1573" s="148"/>
      <c r="X1573" s="148"/>
      <c r="Y1573" s="457"/>
      <c r="Z1573" s="850"/>
      <c r="AA1573" s="863"/>
      <c r="AB1573" s="850"/>
      <c r="AC1573" s="148"/>
      <c r="AD1573" s="148"/>
      <c r="AE1573" s="148"/>
      <c r="AF1573" s="148"/>
      <c r="AG1573" s="457"/>
      <c r="AH1573" s="850"/>
      <c r="AI1573" s="863"/>
      <c r="AJ1573" s="850"/>
      <c r="AK1573" s="148"/>
      <c r="AL1573" s="148"/>
      <c r="AM1573" s="148"/>
      <c r="AN1573" s="148"/>
      <c r="AO1573" s="457"/>
      <c r="AP1573" s="850"/>
      <c r="AQ1573" s="863"/>
      <c r="AR1573" s="850"/>
      <c r="AS1573" s="148"/>
      <c r="AT1573" s="148"/>
      <c r="AU1573" s="148"/>
      <c r="AV1573" s="148"/>
      <c r="AW1573" s="457"/>
      <c r="AX1573" s="850"/>
      <c r="AY1573" s="863"/>
      <c r="AZ1573" s="850"/>
      <c r="BA1573" s="148"/>
      <c r="BB1573" s="148"/>
      <c r="BC1573" s="148"/>
      <c r="BD1573" s="148"/>
      <c r="BE1573" s="457"/>
      <c r="BF1573" s="850"/>
      <c r="BG1573" s="863"/>
      <c r="BH1573" s="850"/>
      <c r="BI1573" s="148"/>
      <c r="BJ1573" s="148"/>
      <c r="BK1573" s="148"/>
      <c r="BL1573" s="148"/>
      <c r="BM1573" s="457"/>
      <c r="BN1573" s="850"/>
      <c r="BO1573" s="863"/>
      <c r="BP1573" s="850"/>
      <c r="BQ1573" s="148"/>
      <c r="BR1573" s="148"/>
      <c r="BS1573" s="148"/>
      <c r="BT1573" s="148"/>
      <c r="BU1573" s="457"/>
      <c r="BV1573" s="850"/>
      <c r="BW1573" s="863"/>
      <c r="BX1573" s="850"/>
      <c r="BY1573" s="148"/>
      <c r="BZ1573" s="148"/>
      <c r="CA1573" s="148"/>
      <c r="CB1573" s="148"/>
      <c r="CC1573" s="457"/>
      <c r="CD1573" s="850"/>
      <c r="CE1573" s="863"/>
      <c r="CF1573" s="850"/>
      <c r="CG1573" s="148"/>
      <c r="CH1573" s="148"/>
      <c r="CI1573" s="148"/>
      <c r="CJ1573" s="148"/>
      <c r="CK1573" s="457"/>
      <c r="CL1573" s="850"/>
      <c r="CM1573" s="863"/>
      <c r="CN1573" s="850"/>
      <c r="CO1573" s="148"/>
      <c r="CP1573" s="148"/>
      <c r="CQ1573" s="148"/>
      <c r="CR1573" s="148"/>
      <c r="CS1573" s="457"/>
      <c r="CT1573" s="850"/>
      <c r="CU1573" s="863"/>
      <c r="CV1573" s="850"/>
      <c r="CW1573" s="148"/>
      <c r="CX1573" s="148"/>
      <c r="CY1573" s="148"/>
      <c r="CZ1573" s="148"/>
      <c r="DA1573" s="457"/>
      <c r="DB1573" s="850"/>
      <c r="DC1573" s="863"/>
      <c r="DD1573" s="850"/>
      <c r="DE1573" s="148"/>
      <c r="DF1573" s="148"/>
      <c r="DG1573" s="148"/>
      <c r="DH1573" s="148"/>
      <c r="DI1573" s="457"/>
      <c r="DJ1573" s="850"/>
      <c r="DK1573" s="863"/>
      <c r="DL1573" s="850"/>
      <c r="DM1573" s="148"/>
      <c r="DN1573" s="148"/>
      <c r="DO1573" s="148"/>
      <c r="DP1573" s="148"/>
      <c r="DQ1573" s="457"/>
      <c r="DR1573" s="850"/>
      <c r="DS1573" s="863"/>
      <c r="DT1573" s="850"/>
      <c r="DU1573" s="148"/>
      <c r="DV1573" s="148"/>
      <c r="DW1573" s="148"/>
      <c r="DX1573" s="148"/>
      <c r="DY1573" s="457"/>
      <c r="DZ1573" s="850"/>
      <c r="EA1573" s="863"/>
      <c r="EB1573" s="850"/>
      <c r="EC1573" s="148"/>
      <c r="ED1573" s="148"/>
      <c r="EE1573" s="148"/>
      <c r="EF1573" s="148"/>
      <c r="EG1573" s="457"/>
      <c r="EH1573" s="850"/>
      <c r="EI1573" s="863"/>
      <c r="EJ1573" s="850"/>
      <c r="EK1573" s="148"/>
      <c r="EL1573" s="148"/>
      <c r="EM1573" s="148"/>
      <c r="EN1573" s="148"/>
      <c r="EO1573" s="457"/>
      <c r="EP1573" s="850"/>
      <c r="EQ1573" s="863"/>
      <c r="ER1573" s="850"/>
      <c r="ES1573" s="148"/>
      <c r="ET1573" s="148"/>
      <c r="EU1573" s="148"/>
      <c r="EV1573" s="148"/>
      <c r="EW1573" s="457"/>
      <c r="EX1573" s="850"/>
      <c r="EY1573" s="863"/>
      <c r="EZ1573" s="850"/>
      <c r="FA1573" s="148"/>
      <c r="FB1573" s="148"/>
      <c r="FC1573" s="148"/>
      <c r="FD1573" s="148"/>
      <c r="FE1573" s="457"/>
      <c r="FF1573" s="850"/>
      <c r="FG1573" s="863"/>
      <c r="FH1573" s="850"/>
      <c r="FI1573" s="148"/>
      <c r="FJ1573" s="148"/>
      <c r="FK1573" s="148"/>
      <c r="FL1573" s="148"/>
      <c r="FM1573" s="457"/>
      <c r="FN1573" s="850"/>
      <c r="FO1573" s="863"/>
      <c r="FP1573" s="850"/>
      <c r="FQ1573" s="148"/>
      <c r="FR1573" s="148"/>
      <c r="FS1573" s="148"/>
      <c r="FT1573" s="148"/>
      <c r="FU1573" s="457"/>
      <c r="FV1573" s="850"/>
      <c r="FW1573" s="863"/>
      <c r="FX1573" s="850"/>
      <c r="FY1573" s="148"/>
      <c r="FZ1573" s="148"/>
      <c r="GA1573" s="148"/>
      <c r="GB1573" s="148"/>
      <c r="GC1573" s="457"/>
      <c r="GD1573" s="850"/>
      <c r="GE1573" s="863"/>
      <c r="GF1573" s="850"/>
      <c r="GG1573" s="148"/>
      <c r="GH1573" s="148"/>
      <c r="GI1573" s="148"/>
      <c r="GJ1573" s="148"/>
      <c r="GK1573" s="457"/>
      <c r="GL1573" s="850"/>
      <c r="GM1573" s="863"/>
      <c r="GN1573" s="850"/>
      <c r="GO1573" s="148"/>
      <c r="GP1573" s="148"/>
      <c r="GQ1573" s="148"/>
      <c r="GR1573" s="148"/>
      <c r="GS1573" s="457"/>
      <c r="GT1573" s="850"/>
      <c r="GU1573" s="863"/>
      <c r="GV1573" s="850"/>
      <c r="GW1573" s="148"/>
      <c r="GX1573" s="148"/>
      <c r="GY1573" s="148"/>
      <c r="GZ1573" s="148"/>
      <c r="HA1573" s="457"/>
      <c r="HB1573" s="850"/>
      <c r="HC1573" s="863"/>
      <c r="HD1573" s="850"/>
      <c r="HE1573" s="148"/>
      <c r="HF1573" s="148"/>
      <c r="HG1573" s="148"/>
      <c r="HH1573" s="148"/>
      <c r="HI1573" s="457"/>
      <c r="HJ1573" s="850"/>
      <c r="HK1573" s="863"/>
      <c r="HL1573" s="850"/>
      <c r="HM1573" s="148"/>
      <c r="HN1573" s="148"/>
      <c r="HO1573" s="148"/>
      <c r="HP1573" s="148"/>
      <c r="HQ1573" s="457"/>
      <c r="HR1573" s="850"/>
      <c r="HS1573" s="863"/>
      <c r="HT1573" s="850"/>
      <c r="HU1573" s="148"/>
      <c r="HV1573" s="148"/>
      <c r="HW1573" s="148"/>
      <c r="HX1573" s="148"/>
      <c r="HY1573" s="457"/>
      <c r="HZ1573" s="850"/>
      <c r="IA1573" s="863"/>
      <c r="IB1573" s="850"/>
      <c r="IC1573" s="148"/>
      <c r="ID1573" s="148"/>
      <c r="IE1573" s="148"/>
      <c r="IF1573" s="148"/>
      <c r="IG1573" s="457"/>
      <c r="IH1573" s="850"/>
      <c r="II1573" s="863"/>
      <c r="IJ1573" s="850"/>
      <c r="IK1573" s="148"/>
      <c r="IL1573" s="148"/>
      <c r="IM1573" s="148"/>
      <c r="IN1573" s="148"/>
      <c r="IO1573" s="457"/>
      <c r="IP1573" s="850"/>
      <c r="IQ1573" s="863"/>
      <c r="IR1573" s="850"/>
      <c r="IS1573" s="148"/>
      <c r="IT1573" s="148"/>
      <c r="IU1573" s="148"/>
      <c r="IV1573" s="148"/>
    </row>
    <row r="1574" spans="1:25" s="140" customFormat="1" ht="34.5" customHeight="1">
      <c r="A1574" s="350" t="s">
        <v>135</v>
      </c>
      <c r="B1574" s="241" t="s">
        <v>69</v>
      </c>
      <c r="C1574" s="416">
        <f>CEILING((C1571*0.5),0.1)</f>
        <v>36.9</v>
      </c>
      <c r="D1574" s="866"/>
      <c r="E1574" s="856"/>
      <c r="F1574" s="148"/>
      <c r="G1574" s="148"/>
      <c r="H1574" s="148"/>
      <c r="I1574" s="148"/>
      <c r="J1574" s="148"/>
      <c r="K1574" s="113"/>
      <c r="L1574" s="113"/>
      <c r="M1574" s="748"/>
      <c r="N1574" s="748"/>
      <c r="O1574" s="115"/>
      <c r="P1574" s="115"/>
      <c r="Q1574" s="115"/>
      <c r="R1574" s="115"/>
      <c r="S1574" s="115"/>
      <c r="T1574" s="115"/>
      <c r="U1574" s="115"/>
      <c r="V1574" s="115"/>
      <c r="W1574" s="115"/>
      <c r="X1574" s="115"/>
      <c r="Y1574" s="115"/>
    </row>
    <row r="1575" spans="1:25" s="140" customFormat="1" ht="34.5" customHeight="1">
      <c r="A1575" s="350" t="s">
        <v>132</v>
      </c>
      <c r="B1575" s="266" t="s">
        <v>182</v>
      </c>
      <c r="C1575" s="416">
        <f>CEILING(81*$Z$1,0.1)</f>
        <v>101.30000000000001</v>
      </c>
      <c r="D1575" s="866"/>
      <c r="E1575" s="856"/>
      <c r="F1575" s="148"/>
      <c r="G1575" s="148"/>
      <c r="H1575" s="148"/>
      <c r="I1575" s="148"/>
      <c r="J1575" s="148"/>
      <c r="K1575" s="863"/>
      <c r="L1575" s="850"/>
      <c r="M1575" s="748"/>
      <c r="N1575" s="748"/>
      <c r="O1575" s="115"/>
      <c r="P1575" s="115"/>
      <c r="Q1575" s="115"/>
      <c r="R1575" s="115"/>
      <c r="S1575" s="115"/>
      <c r="T1575" s="115"/>
      <c r="U1575" s="115"/>
      <c r="V1575" s="115"/>
      <c r="W1575" s="115"/>
      <c r="X1575" s="115"/>
      <c r="Y1575" s="115"/>
    </row>
    <row r="1576" spans="1:25" s="140" customFormat="1" ht="34.5" customHeight="1">
      <c r="A1576" s="867" t="s">
        <v>181</v>
      </c>
      <c r="B1576" s="481" t="s">
        <v>183</v>
      </c>
      <c r="C1576" s="868">
        <f>CEILING(108*$Z$1,0.1)</f>
        <v>135</v>
      </c>
      <c r="D1576" s="869"/>
      <c r="E1576" s="856"/>
      <c r="F1576" s="148"/>
      <c r="G1576" s="148"/>
      <c r="H1576" s="148"/>
      <c r="I1576" s="148"/>
      <c r="J1576" s="148"/>
      <c r="K1576" s="113"/>
      <c r="L1576" s="113"/>
      <c r="M1576" s="748"/>
      <c r="N1576" s="748"/>
      <c r="O1576" s="115"/>
      <c r="P1576" s="115"/>
      <c r="Q1576" s="115"/>
      <c r="R1576" s="115"/>
      <c r="S1576" s="115"/>
      <c r="T1576" s="115"/>
      <c r="U1576" s="115"/>
      <c r="V1576" s="115"/>
      <c r="W1576" s="115"/>
      <c r="X1576" s="115"/>
      <c r="Y1576" s="115"/>
    </row>
    <row r="1577" spans="1:25" s="140" customFormat="1" ht="34.5" customHeight="1">
      <c r="A1577" s="447" t="s">
        <v>313</v>
      </c>
      <c r="B1577" s="255"/>
      <c r="C1577" s="239"/>
      <c r="D1577" s="148"/>
      <c r="E1577" s="148"/>
      <c r="F1577" s="148"/>
      <c r="G1577" s="148"/>
      <c r="H1577" s="148"/>
      <c r="I1577" s="148"/>
      <c r="J1577" s="148"/>
      <c r="K1577" s="113"/>
      <c r="L1577" s="113"/>
      <c r="M1577" s="748"/>
      <c r="N1577" s="748"/>
      <c r="O1577" s="115"/>
      <c r="P1577" s="115"/>
      <c r="Q1577" s="115"/>
      <c r="R1577" s="115"/>
      <c r="S1577" s="115"/>
      <c r="T1577" s="115"/>
      <c r="U1577" s="115"/>
      <c r="V1577" s="115"/>
      <c r="W1577" s="115"/>
      <c r="X1577" s="115"/>
      <c r="Y1577" s="115"/>
    </row>
    <row r="1578" spans="1:25" s="140" customFormat="1" ht="34.5" customHeight="1">
      <c r="A1578" s="447" t="s">
        <v>993</v>
      </c>
      <c r="B1578" s="255"/>
      <c r="C1578" s="239"/>
      <c r="D1578" s="148"/>
      <c r="E1578" s="148"/>
      <c r="F1578" s="148"/>
      <c r="G1578" s="148"/>
      <c r="H1578" s="148"/>
      <c r="I1578" s="148"/>
      <c r="J1578" s="148"/>
      <c r="K1578" s="113"/>
      <c r="L1578" s="113"/>
      <c r="M1578" s="748"/>
      <c r="N1578" s="748"/>
      <c r="O1578" s="115"/>
      <c r="P1578" s="115"/>
      <c r="Q1578" s="115"/>
      <c r="R1578" s="115"/>
      <c r="S1578" s="115"/>
      <c r="T1578" s="115"/>
      <c r="U1578" s="115"/>
      <c r="V1578" s="115"/>
      <c r="W1578" s="115"/>
      <c r="X1578" s="115"/>
      <c r="Y1578" s="115"/>
    </row>
    <row r="1579" spans="1:47" s="107" customFormat="1" ht="34.5" customHeight="1" thickBot="1">
      <c r="A1579" s="457"/>
      <c r="B1579" s="850"/>
      <c r="C1579" s="863"/>
      <c r="D1579" s="850"/>
      <c r="E1579" s="148"/>
      <c r="F1579" s="148"/>
      <c r="G1579" s="148"/>
      <c r="H1579" s="148"/>
      <c r="I1579" s="849"/>
      <c r="J1579" s="850"/>
      <c r="K1579" s="123"/>
      <c r="L1579" s="123"/>
      <c r="M1579" s="748"/>
      <c r="N1579" s="748"/>
      <c r="O1579" s="158"/>
      <c r="P1579" s="158"/>
      <c r="Q1579" s="158"/>
      <c r="R1579" s="158"/>
      <c r="S1579" s="158"/>
      <c r="T1579" s="158"/>
      <c r="U1579" s="158"/>
      <c r="V1579" s="158"/>
      <c r="W1579" s="158"/>
      <c r="X1579" s="158"/>
      <c r="Y1579" s="158"/>
      <c r="Z1579" s="158"/>
      <c r="AA1579" s="158"/>
      <c r="AB1579" s="158"/>
      <c r="AC1579" s="158"/>
      <c r="AD1579" s="158"/>
      <c r="AE1579" s="158"/>
      <c r="AF1579" s="158"/>
      <c r="AG1579" s="158"/>
      <c r="AH1579" s="158"/>
      <c r="AI1579" s="158"/>
      <c r="AJ1579" s="158"/>
      <c r="AK1579" s="158"/>
      <c r="AL1579" s="158"/>
      <c r="AM1579" s="158"/>
      <c r="AN1579" s="158"/>
      <c r="AO1579" s="158"/>
      <c r="AP1579" s="158"/>
      <c r="AQ1579" s="158"/>
      <c r="AR1579" s="158"/>
      <c r="AS1579" s="158"/>
      <c r="AT1579" s="158"/>
      <c r="AU1579" s="158"/>
    </row>
    <row r="1580" spans="1:48" s="837" customFormat="1" ht="34.5" customHeight="1" thickTop="1">
      <c r="A1580" s="773" t="s">
        <v>34</v>
      </c>
      <c r="B1580" s="774" t="s">
        <v>91</v>
      </c>
      <c r="C1580" s="775" t="s">
        <v>984</v>
      </c>
      <c r="D1580" s="776"/>
      <c r="E1580" s="1094"/>
      <c r="F1580" s="1095"/>
      <c r="G1580" s="1095"/>
      <c r="H1580" s="1095"/>
      <c r="I1580" s="835"/>
      <c r="J1580" s="835"/>
      <c r="K1580" s="836"/>
      <c r="L1580" s="836"/>
      <c r="M1580" s="158"/>
      <c r="N1580" s="158"/>
      <c r="O1580" s="158"/>
      <c r="P1580" s="158"/>
      <c r="Q1580" s="158"/>
      <c r="R1580" s="158"/>
      <c r="S1580" s="158"/>
      <c r="T1580" s="158"/>
      <c r="U1580" s="158"/>
      <c r="V1580" s="158"/>
      <c r="W1580" s="158"/>
      <c r="X1580" s="158"/>
      <c r="Y1580" s="158"/>
      <c r="Z1580" s="158"/>
      <c r="AA1580" s="158"/>
      <c r="AB1580" s="158"/>
      <c r="AC1580" s="158"/>
      <c r="AD1580" s="158"/>
      <c r="AE1580" s="158"/>
      <c r="AF1580" s="158"/>
      <c r="AG1580" s="158"/>
      <c r="AH1580" s="158"/>
      <c r="AI1580" s="158"/>
      <c r="AJ1580" s="158"/>
      <c r="AK1580" s="158"/>
      <c r="AL1580" s="158"/>
      <c r="AM1580" s="158"/>
      <c r="AN1580" s="158"/>
      <c r="AO1580" s="158"/>
      <c r="AP1580" s="158"/>
      <c r="AQ1580" s="158"/>
      <c r="AR1580" s="158"/>
      <c r="AS1580" s="158"/>
      <c r="AT1580" s="158"/>
      <c r="AU1580" s="158"/>
      <c r="AV1580" s="158"/>
    </row>
    <row r="1581" spans="1:25" s="107" customFormat="1" ht="34.5" customHeight="1">
      <c r="A1581" s="858" t="s">
        <v>131</v>
      </c>
      <c r="B1581" s="270" t="s">
        <v>42</v>
      </c>
      <c r="C1581" s="416">
        <f>CEILING(52*$Z$1,0.1)</f>
        <v>65</v>
      </c>
      <c r="D1581" s="865"/>
      <c r="E1581" s="856"/>
      <c r="F1581" s="148"/>
      <c r="G1581" s="148"/>
      <c r="H1581" s="148"/>
      <c r="I1581" s="148"/>
      <c r="J1581" s="148"/>
      <c r="K1581" s="113"/>
      <c r="L1581" s="113"/>
      <c r="M1581" s="870"/>
      <c r="N1581" s="870"/>
      <c r="O1581" s="105"/>
      <c r="P1581" s="105"/>
      <c r="Q1581" s="105"/>
      <c r="R1581" s="105"/>
      <c r="S1581" s="105"/>
      <c r="T1581" s="105"/>
      <c r="U1581" s="105"/>
      <c r="V1581" s="105"/>
      <c r="W1581" s="105"/>
      <c r="X1581" s="105"/>
      <c r="Y1581" s="105"/>
    </row>
    <row r="1582" spans="1:25" s="107" customFormat="1" ht="34.5" customHeight="1">
      <c r="A1582" s="858" t="s">
        <v>133</v>
      </c>
      <c r="B1582" s="266" t="s">
        <v>43</v>
      </c>
      <c r="C1582" s="416">
        <f>CEILING(78*$Z$1,0.1)</f>
        <v>97.5</v>
      </c>
      <c r="D1582" s="866"/>
      <c r="E1582" s="856"/>
      <c r="F1582" s="148"/>
      <c r="G1582" s="148"/>
      <c r="H1582" s="148"/>
      <c r="I1582" s="148"/>
      <c r="J1582" s="148"/>
      <c r="K1582" s="113"/>
      <c r="L1582" s="113"/>
      <c r="M1582" s="737"/>
      <c r="N1582" s="737"/>
      <c r="O1582" s="105"/>
      <c r="P1582" s="105"/>
      <c r="Q1582" s="105"/>
      <c r="R1582" s="105"/>
      <c r="S1582" s="105"/>
      <c r="T1582" s="105"/>
      <c r="U1582" s="105"/>
      <c r="V1582" s="105"/>
      <c r="W1582" s="105"/>
      <c r="X1582" s="105"/>
      <c r="Y1582" s="105"/>
    </row>
    <row r="1583" spans="1:25" s="107" customFormat="1" ht="34.5" customHeight="1">
      <c r="A1583" s="858" t="s">
        <v>134</v>
      </c>
      <c r="B1583" s="353" t="s">
        <v>70</v>
      </c>
      <c r="C1583" s="416">
        <f>CEILING((C1581*0.85),0.1)</f>
        <v>55.300000000000004</v>
      </c>
      <c r="D1583" s="866"/>
      <c r="E1583" s="856"/>
      <c r="F1583" s="148"/>
      <c r="G1583" s="148"/>
      <c r="H1583" s="148"/>
      <c r="I1583" s="148"/>
      <c r="J1583" s="148"/>
      <c r="K1583" s="430"/>
      <c r="L1583" s="113"/>
      <c r="M1583" s="148"/>
      <c r="N1583" s="148"/>
      <c r="O1583" s="105"/>
      <c r="P1583" s="105"/>
      <c r="Q1583" s="105"/>
      <c r="R1583" s="105"/>
      <c r="S1583" s="105"/>
      <c r="T1583" s="105"/>
      <c r="U1583" s="105"/>
      <c r="V1583" s="105"/>
      <c r="W1583" s="105"/>
      <c r="X1583" s="105"/>
      <c r="Y1583" s="105"/>
    </row>
    <row r="1584" spans="1:25" s="107" customFormat="1" ht="34.5" customHeight="1">
      <c r="A1584" s="350" t="s">
        <v>348</v>
      </c>
      <c r="B1584" s="241" t="s">
        <v>69</v>
      </c>
      <c r="C1584" s="416">
        <f>CEILING((C1581*0.5),0.1)</f>
        <v>32.5</v>
      </c>
      <c r="D1584" s="866"/>
      <c r="E1584" s="856"/>
      <c r="F1584" s="148"/>
      <c r="G1584" s="148"/>
      <c r="H1584" s="148"/>
      <c r="I1584" s="148"/>
      <c r="J1584" s="148"/>
      <c r="K1584" s="863"/>
      <c r="L1584" s="850"/>
      <c r="M1584" s="148"/>
      <c r="N1584" s="148"/>
      <c r="O1584" s="105"/>
      <c r="P1584" s="105"/>
      <c r="Q1584" s="105"/>
      <c r="R1584" s="105"/>
      <c r="S1584" s="105"/>
      <c r="T1584" s="105"/>
      <c r="U1584" s="105"/>
      <c r="V1584" s="105"/>
      <c r="W1584" s="105"/>
      <c r="X1584" s="105"/>
      <c r="Y1584" s="105"/>
    </row>
    <row r="1585" spans="1:25" s="107" customFormat="1" ht="34.5" customHeight="1">
      <c r="A1585" s="350" t="s">
        <v>138</v>
      </c>
      <c r="B1585" s="266" t="s">
        <v>35</v>
      </c>
      <c r="C1585" s="416">
        <f>CEILING(81*$Z$1,0.1)</f>
        <v>101.30000000000001</v>
      </c>
      <c r="D1585" s="866"/>
      <c r="E1585" s="856"/>
      <c r="F1585" s="148"/>
      <c r="G1585" s="148"/>
      <c r="H1585" s="148"/>
      <c r="I1585" s="148"/>
      <c r="J1585" s="148"/>
      <c r="K1585" s="157"/>
      <c r="L1585" s="157"/>
      <c r="M1585" s="148"/>
      <c r="N1585" s="148"/>
      <c r="O1585" s="105"/>
      <c r="P1585" s="105"/>
      <c r="Q1585" s="105"/>
      <c r="R1585" s="105"/>
      <c r="S1585" s="105"/>
      <c r="T1585" s="105"/>
      <c r="U1585" s="105"/>
      <c r="V1585" s="105"/>
      <c r="W1585" s="105"/>
      <c r="X1585" s="105"/>
      <c r="Y1585" s="105"/>
    </row>
    <row r="1586" spans="1:25" s="107" customFormat="1" ht="34.5" customHeight="1">
      <c r="A1586" s="350" t="s">
        <v>180</v>
      </c>
      <c r="B1586" s="330" t="s">
        <v>37</v>
      </c>
      <c r="C1586" s="416">
        <f>CEILING(108*$Z$1,0.1)</f>
        <v>135</v>
      </c>
      <c r="D1586" s="866"/>
      <c r="E1586" s="856"/>
      <c r="F1586" s="148"/>
      <c r="G1586" s="148"/>
      <c r="H1586" s="148"/>
      <c r="I1586" s="148"/>
      <c r="J1586" s="148"/>
      <c r="K1586" s="157"/>
      <c r="L1586" s="157"/>
      <c r="M1586" s="148"/>
      <c r="N1586" s="148"/>
      <c r="O1586" s="105"/>
      <c r="P1586" s="105"/>
      <c r="Q1586" s="105"/>
      <c r="R1586" s="105"/>
      <c r="S1586" s="105"/>
      <c r="T1586" s="105"/>
      <c r="U1586" s="105"/>
      <c r="V1586" s="105"/>
      <c r="W1586" s="105"/>
      <c r="X1586" s="105"/>
      <c r="Y1586" s="105"/>
    </row>
    <row r="1587" spans="1:25" s="107" customFormat="1" ht="34.5" customHeight="1">
      <c r="A1587" s="350" t="s">
        <v>179</v>
      </c>
      <c r="B1587" s="266" t="s">
        <v>351</v>
      </c>
      <c r="C1587" s="860">
        <f>CEILING(92*$Z$1,0.1)</f>
        <v>115</v>
      </c>
      <c r="D1587" s="866"/>
      <c r="E1587" s="856"/>
      <c r="F1587" s="148"/>
      <c r="G1587" s="148"/>
      <c r="H1587" s="148"/>
      <c r="I1587" s="148"/>
      <c r="J1587" s="148"/>
      <c r="K1587" s="157"/>
      <c r="L1587" s="157"/>
      <c r="M1587" s="103"/>
      <c r="N1587" s="111"/>
      <c r="O1587" s="105"/>
      <c r="P1587" s="105"/>
      <c r="Q1587" s="105"/>
      <c r="R1587" s="105"/>
      <c r="S1587" s="105"/>
      <c r="T1587" s="105"/>
      <c r="U1587" s="105"/>
      <c r="V1587" s="105"/>
      <c r="W1587" s="105"/>
      <c r="X1587" s="105"/>
      <c r="Y1587" s="105"/>
    </row>
    <row r="1588" spans="1:25" s="107" customFormat="1" ht="34.5" customHeight="1">
      <c r="A1588" s="706" t="s">
        <v>313</v>
      </c>
      <c r="B1588" s="288" t="s">
        <v>352</v>
      </c>
      <c r="C1588" s="871">
        <f>CEILING(117*$Z$1,0.1)</f>
        <v>146.3</v>
      </c>
      <c r="D1588" s="869"/>
      <c r="E1588" s="856"/>
      <c r="F1588" s="148"/>
      <c r="G1588" s="148"/>
      <c r="H1588" s="148"/>
      <c r="I1588" s="148"/>
      <c r="J1588" s="148"/>
      <c r="K1588" s="157"/>
      <c r="L1588" s="157"/>
      <c r="M1588" s="103"/>
      <c r="N1588" s="111"/>
      <c r="O1588" s="105"/>
      <c r="P1588" s="105"/>
      <c r="Q1588" s="105"/>
      <c r="R1588" s="105"/>
      <c r="S1588" s="105"/>
      <c r="T1588" s="105"/>
      <c r="U1588" s="105"/>
      <c r="V1588" s="105"/>
      <c r="W1588" s="105"/>
      <c r="X1588" s="105"/>
      <c r="Y1588" s="105"/>
    </row>
    <row r="1589" spans="1:25" s="107" customFormat="1" ht="34.5" customHeight="1">
      <c r="A1589" s="447" t="s">
        <v>812</v>
      </c>
      <c r="B1589" s="255"/>
      <c r="C1589" s="239"/>
      <c r="D1589" s="148"/>
      <c r="E1589" s="148"/>
      <c r="F1589" s="148"/>
      <c r="G1589" s="148"/>
      <c r="H1589" s="148"/>
      <c r="I1589" s="148"/>
      <c r="J1589" s="148"/>
      <c r="K1589" s="157"/>
      <c r="L1589" s="157"/>
      <c r="M1589" s="103"/>
      <c r="N1589" s="111"/>
      <c r="O1589" s="105"/>
      <c r="P1589" s="105"/>
      <c r="Q1589" s="105"/>
      <c r="R1589" s="105"/>
      <c r="S1589" s="105"/>
      <c r="T1589" s="105"/>
      <c r="U1589" s="105"/>
      <c r="V1589" s="105"/>
      <c r="W1589" s="105"/>
      <c r="X1589" s="105"/>
      <c r="Y1589" s="105"/>
    </row>
    <row r="1590" spans="1:25" s="107" customFormat="1" ht="34.5" customHeight="1" thickBot="1">
      <c r="A1590" s="457"/>
      <c r="B1590" s="850"/>
      <c r="C1590" s="863"/>
      <c r="D1590" s="850"/>
      <c r="E1590" s="148"/>
      <c r="F1590" s="148"/>
      <c r="G1590" s="148"/>
      <c r="H1590" s="148"/>
      <c r="I1590" s="457"/>
      <c r="J1590" s="850"/>
      <c r="K1590" s="157"/>
      <c r="L1590" s="157"/>
      <c r="M1590" s="103"/>
      <c r="N1590" s="111"/>
      <c r="O1590" s="105"/>
      <c r="P1590" s="105"/>
      <c r="Q1590" s="105"/>
      <c r="R1590" s="105"/>
      <c r="S1590" s="105"/>
      <c r="T1590" s="105"/>
      <c r="U1590" s="105"/>
      <c r="V1590" s="105"/>
      <c r="W1590" s="105"/>
      <c r="X1590" s="105"/>
      <c r="Y1590" s="105"/>
    </row>
    <row r="1591" spans="1:48" s="837" customFormat="1" ht="34.5" customHeight="1" thickTop="1">
      <c r="A1591" s="773" t="s">
        <v>34</v>
      </c>
      <c r="B1591" s="774" t="s">
        <v>91</v>
      </c>
      <c r="C1591" s="775" t="s">
        <v>984</v>
      </c>
      <c r="D1591" s="776"/>
      <c r="E1591" s="1094"/>
      <c r="F1591" s="1095"/>
      <c r="G1591" s="1095"/>
      <c r="H1591" s="1095"/>
      <c r="I1591" s="835"/>
      <c r="J1591" s="835"/>
      <c r="K1591" s="836"/>
      <c r="L1591" s="836"/>
      <c r="M1591" s="158"/>
      <c r="N1591" s="158"/>
      <c r="O1591" s="158"/>
      <c r="P1591" s="158"/>
      <c r="Q1591" s="158"/>
      <c r="R1591" s="158"/>
      <c r="S1591" s="158"/>
      <c r="T1591" s="158"/>
      <c r="U1591" s="158"/>
      <c r="V1591" s="158"/>
      <c r="W1591" s="158"/>
      <c r="X1591" s="158"/>
      <c r="Y1591" s="158"/>
      <c r="Z1591" s="158"/>
      <c r="AA1591" s="158"/>
      <c r="AB1591" s="158"/>
      <c r="AC1591" s="158"/>
      <c r="AD1591" s="158"/>
      <c r="AE1591" s="158"/>
      <c r="AF1591" s="158"/>
      <c r="AG1591" s="158"/>
      <c r="AH1591" s="158"/>
      <c r="AI1591" s="158"/>
      <c r="AJ1591" s="158"/>
      <c r="AK1591" s="158"/>
      <c r="AL1591" s="158"/>
      <c r="AM1591" s="158"/>
      <c r="AN1591" s="158"/>
      <c r="AO1591" s="158"/>
      <c r="AP1591" s="158"/>
      <c r="AQ1591" s="158"/>
      <c r="AR1591" s="158"/>
      <c r="AS1591" s="158"/>
      <c r="AT1591" s="158"/>
      <c r="AU1591" s="158"/>
      <c r="AV1591" s="158"/>
    </row>
    <row r="1592" spans="1:25" s="107" customFormat="1" ht="34.5" customHeight="1">
      <c r="A1592" s="350" t="s">
        <v>137</v>
      </c>
      <c r="B1592" s="270" t="s">
        <v>42</v>
      </c>
      <c r="C1592" s="416">
        <f>CEILING(42*$Z$1,0.1)</f>
        <v>52.5</v>
      </c>
      <c r="D1592" s="865"/>
      <c r="E1592" s="856"/>
      <c r="F1592" s="148"/>
      <c r="G1592" s="148"/>
      <c r="H1592" s="148"/>
      <c r="I1592" s="148"/>
      <c r="J1592" s="148"/>
      <c r="K1592" s="1243"/>
      <c r="L1592" s="1243"/>
      <c r="M1592" s="103"/>
      <c r="N1592" s="111"/>
      <c r="O1592" s="105"/>
      <c r="P1592" s="105"/>
      <c r="Q1592" s="105"/>
      <c r="R1592" s="105"/>
      <c r="S1592" s="105"/>
      <c r="T1592" s="105"/>
      <c r="U1592" s="105"/>
      <c r="V1592" s="105"/>
      <c r="W1592" s="105"/>
      <c r="X1592" s="105"/>
      <c r="Y1592" s="105"/>
    </row>
    <row r="1593" spans="1:25" s="107" customFormat="1" ht="34.5" customHeight="1">
      <c r="A1593" s="574" t="s">
        <v>136</v>
      </c>
      <c r="B1593" s="266" t="s">
        <v>43</v>
      </c>
      <c r="C1593" s="416">
        <f>CEILING(64*$Z$1,0.1)</f>
        <v>80</v>
      </c>
      <c r="D1593" s="866"/>
      <c r="E1593" s="856"/>
      <c r="F1593" s="148"/>
      <c r="G1593" s="148"/>
      <c r="H1593" s="148"/>
      <c r="I1593" s="148"/>
      <c r="J1593" s="148"/>
      <c r="K1593" s="737"/>
      <c r="L1593" s="737"/>
      <c r="M1593" s="103"/>
      <c r="N1593" s="111"/>
      <c r="O1593" s="870"/>
      <c r="P1593" s="870"/>
      <c r="Q1593" s="105"/>
      <c r="R1593" s="105"/>
      <c r="S1593" s="105"/>
      <c r="T1593" s="105"/>
      <c r="U1593" s="105"/>
      <c r="V1593" s="105"/>
      <c r="W1593" s="105"/>
      <c r="X1593" s="105"/>
      <c r="Y1593" s="105"/>
    </row>
    <row r="1594" spans="1:25" s="107" customFormat="1" ht="34.5" customHeight="1">
      <c r="A1594" s="350" t="s">
        <v>261</v>
      </c>
      <c r="B1594" s="353" t="s">
        <v>70</v>
      </c>
      <c r="C1594" s="416">
        <f>CEILING((C1592*0.85),0.1)</f>
        <v>44.7</v>
      </c>
      <c r="D1594" s="866"/>
      <c r="E1594" s="856"/>
      <c r="F1594" s="148"/>
      <c r="G1594" s="148"/>
      <c r="H1594" s="148"/>
      <c r="I1594" s="148"/>
      <c r="J1594" s="148"/>
      <c r="K1594" s="239"/>
      <c r="L1594" s="239"/>
      <c r="M1594" s="103"/>
      <c r="N1594" s="111"/>
      <c r="O1594" s="1062"/>
      <c r="P1594" s="1062"/>
      <c r="Q1594" s="105"/>
      <c r="R1594" s="105"/>
      <c r="S1594" s="105"/>
      <c r="T1594" s="105"/>
      <c r="U1594" s="105"/>
      <c r="V1594" s="105"/>
      <c r="W1594" s="105"/>
      <c r="X1594" s="105"/>
      <c r="Y1594" s="105"/>
    </row>
    <row r="1595" spans="1:25" s="107" customFormat="1" ht="34.5" customHeight="1">
      <c r="A1595" s="350"/>
      <c r="B1595" s="241" t="s">
        <v>69</v>
      </c>
      <c r="C1595" s="416">
        <f>CEILING((C1592*0.5),0.1)</f>
        <v>26.3</v>
      </c>
      <c r="D1595" s="866"/>
      <c r="E1595" s="856"/>
      <c r="F1595" s="148"/>
      <c r="G1595" s="148"/>
      <c r="H1595" s="148"/>
      <c r="I1595" s="148"/>
      <c r="J1595" s="148"/>
      <c r="K1595" s="239"/>
      <c r="L1595" s="239"/>
      <c r="M1595" s="103"/>
      <c r="N1595" s="111"/>
      <c r="O1595" s="1062"/>
      <c r="P1595" s="1062"/>
      <c r="Q1595" s="105"/>
      <c r="R1595" s="105"/>
      <c r="S1595" s="105"/>
      <c r="T1595" s="105"/>
      <c r="U1595" s="105"/>
      <c r="V1595" s="105"/>
      <c r="W1595" s="105"/>
      <c r="X1595" s="105"/>
      <c r="Y1595" s="105"/>
    </row>
    <row r="1596" spans="1:25" s="107" customFormat="1" ht="34.5" customHeight="1">
      <c r="A1596" s="872" t="s">
        <v>992</v>
      </c>
      <c r="B1596" s="266" t="s">
        <v>349</v>
      </c>
      <c r="C1596" s="416">
        <f>CEILING(64*$Z$1,0.1)</f>
        <v>80</v>
      </c>
      <c r="D1596" s="866"/>
      <c r="E1596" s="856"/>
      <c r="F1596" s="148"/>
      <c r="G1596" s="148"/>
      <c r="H1596" s="148"/>
      <c r="I1596" s="148"/>
      <c r="J1596" s="148"/>
      <c r="K1596" s="239"/>
      <c r="L1596" s="239"/>
      <c r="M1596" s="103"/>
      <c r="N1596" s="111"/>
      <c r="O1596" s="1062"/>
      <c r="P1596" s="1062"/>
      <c r="Q1596" s="105"/>
      <c r="R1596" s="105"/>
      <c r="S1596" s="105"/>
      <c r="T1596" s="105"/>
      <c r="U1596" s="105"/>
      <c r="V1596" s="105"/>
      <c r="W1596" s="105"/>
      <c r="X1596" s="105"/>
      <c r="Y1596" s="105"/>
    </row>
    <row r="1597" spans="1:25" s="107" customFormat="1" ht="34.5" customHeight="1">
      <c r="A1597" s="357" t="s">
        <v>310</v>
      </c>
      <c r="B1597" s="288" t="s">
        <v>350</v>
      </c>
      <c r="C1597" s="868">
        <f>CEILING(86*$Z$1,0.1)</f>
        <v>107.5</v>
      </c>
      <c r="D1597" s="869"/>
      <c r="E1597" s="856"/>
      <c r="F1597" s="148"/>
      <c r="G1597" s="148"/>
      <c r="H1597" s="148"/>
      <c r="I1597" s="148"/>
      <c r="J1597" s="148"/>
      <c r="K1597" s="239"/>
      <c r="L1597" s="239"/>
      <c r="M1597" s="103"/>
      <c r="N1597" s="111"/>
      <c r="O1597" s="105"/>
      <c r="P1597" s="105"/>
      <c r="Q1597" s="105"/>
      <c r="R1597" s="105"/>
      <c r="S1597" s="105"/>
      <c r="T1597" s="105"/>
      <c r="U1597" s="105"/>
      <c r="V1597" s="105"/>
      <c r="W1597" s="105"/>
      <c r="X1597" s="105"/>
      <c r="Y1597" s="105"/>
    </row>
    <row r="1598" spans="1:25" s="107" customFormat="1" ht="34.5" customHeight="1">
      <c r="A1598" s="447" t="s">
        <v>813</v>
      </c>
      <c r="B1598" s="255"/>
      <c r="C1598" s="239"/>
      <c r="D1598" s="148"/>
      <c r="E1598" s="148"/>
      <c r="F1598" s="148"/>
      <c r="G1598" s="148"/>
      <c r="H1598" s="148"/>
      <c r="I1598" s="148"/>
      <c r="J1598" s="148"/>
      <c r="K1598" s="239"/>
      <c r="L1598" s="239"/>
      <c r="M1598" s="103"/>
      <c r="N1598" s="111"/>
      <c r="O1598" s="105"/>
      <c r="P1598" s="105"/>
      <c r="Q1598" s="105"/>
      <c r="R1598" s="105"/>
      <c r="S1598" s="105"/>
      <c r="T1598" s="105"/>
      <c r="U1598" s="105"/>
      <c r="V1598" s="105"/>
      <c r="W1598" s="105"/>
      <c r="X1598" s="105"/>
      <c r="Y1598" s="105"/>
    </row>
    <row r="1599" spans="1:25" s="817" customFormat="1" ht="34.5" customHeight="1" thickBot="1">
      <c r="A1599" s="726"/>
      <c r="B1599" s="852"/>
      <c r="C1599" s="853"/>
      <c r="D1599" s="852"/>
      <c r="E1599" s="851"/>
      <c r="F1599" s="851"/>
      <c r="G1599" s="851"/>
      <c r="H1599" s="851"/>
      <c r="I1599" s="148"/>
      <c r="J1599" s="114"/>
      <c r="K1599" s="239"/>
      <c r="L1599" s="239"/>
      <c r="M1599" s="115"/>
      <c r="N1599" s="105"/>
      <c r="O1599" s="105"/>
      <c r="P1599" s="105"/>
      <c r="Q1599" s="105"/>
      <c r="R1599" s="105"/>
      <c r="S1599" s="105"/>
      <c r="T1599" s="105"/>
      <c r="U1599" s="105"/>
      <c r="V1599" s="105"/>
      <c r="W1599" s="105"/>
      <c r="X1599" s="105"/>
      <c r="Y1599" s="105"/>
    </row>
    <row r="1600" spans="1:25" s="817" customFormat="1" ht="34.5" customHeight="1" thickBot="1" thickTop="1">
      <c r="A1600" s="285"/>
      <c r="B1600" s="124"/>
      <c r="C1600" s="148"/>
      <c r="D1600" s="148"/>
      <c r="E1600" s="148"/>
      <c r="F1600" s="148"/>
      <c r="G1600" s="148"/>
      <c r="H1600" s="148"/>
      <c r="I1600" s="148"/>
      <c r="J1600" s="140"/>
      <c r="K1600" s="138"/>
      <c r="L1600" s="873"/>
      <c r="M1600" s="115"/>
      <c r="N1600" s="105"/>
      <c r="O1600" s="105"/>
      <c r="P1600" s="105"/>
      <c r="Q1600" s="105"/>
      <c r="R1600" s="105"/>
      <c r="S1600" s="105"/>
      <c r="T1600" s="105"/>
      <c r="U1600" s="105"/>
      <c r="V1600" s="105"/>
      <c r="W1600" s="105"/>
      <c r="X1600" s="105"/>
      <c r="Y1600" s="105"/>
    </row>
    <row r="1601" spans="1:42" s="214" customFormat="1" ht="34.5" customHeight="1" thickTop="1">
      <c r="A1601" s="207" t="s">
        <v>34</v>
      </c>
      <c r="B1601" s="208" t="s">
        <v>91</v>
      </c>
      <c r="C1601" s="209" t="s">
        <v>921</v>
      </c>
      <c r="D1601" s="210"/>
      <c r="E1601" s="211" t="s">
        <v>922</v>
      </c>
      <c r="F1601" s="212"/>
      <c r="G1601" s="211" t="s">
        <v>923</v>
      </c>
      <c r="H1601" s="212"/>
      <c r="I1601" s="1070"/>
      <c r="J1601" s="1071"/>
      <c r="K1601" s="1070"/>
      <c r="L1601" s="1070"/>
      <c r="M1601" s="174"/>
      <c r="N1601" s="174"/>
      <c r="O1601" s="213"/>
      <c r="P1601" s="213"/>
      <c r="Q1601" s="213"/>
      <c r="R1601" s="213"/>
      <c r="S1601" s="114"/>
      <c r="T1601" s="105"/>
      <c r="U1601" s="105"/>
      <c r="V1601" s="105"/>
      <c r="W1601" s="105"/>
      <c r="X1601" s="105"/>
      <c r="Y1601" s="105"/>
      <c r="Z1601" s="114"/>
      <c r="AA1601" s="213"/>
      <c r="AB1601" s="213"/>
      <c r="AC1601" s="213"/>
      <c r="AD1601" s="213"/>
      <c r="AE1601" s="213"/>
      <c r="AF1601" s="213"/>
      <c r="AG1601" s="213"/>
      <c r="AH1601" s="213"/>
      <c r="AI1601" s="213"/>
      <c r="AJ1601" s="213"/>
      <c r="AK1601" s="213"/>
      <c r="AL1601" s="213"/>
      <c r="AM1601" s="213"/>
      <c r="AN1601" s="213"/>
      <c r="AO1601" s="213"/>
      <c r="AP1601" s="213"/>
    </row>
    <row r="1602" spans="1:25" s="817" customFormat="1" ht="34.5" customHeight="1">
      <c r="A1602" s="796" t="s">
        <v>522</v>
      </c>
      <c r="B1602" s="236" t="s">
        <v>42</v>
      </c>
      <c r="C1602" s="1073">
        <f>CEILING(33*$Z$1,0.1)</f>
        <v>41.300000000000004</v>
      </c>
      <c r="D1602" s="1074"/>
      <c r="E1602" s="1073">
        <f>CEILING(33*$Z$1,0.1)</f>
        <v>41.300000000000004</v>
      </c>
      <c r="F1602" s="1074"/>
      <c r="G1602" s="1073">
        <f>CEILING(33*$Z$1,0.1)</f>
        <v>41.300000000000004</v>
      </c>
      <c r="H1602" s="1074"/>
      <c r="I1602" s="1061"/>
      <c r="J1602" s="1061"/>
      <c r="K1602" s="1061"/>
      <c r="L1602" s="1061"/>
      <c r="M1602" s="105"/>
      <c r="N1602" s="105"/>
      <c r="O1602" s="105"/>
      <c r="P1602" s="105"/>
      <c r="Q1602" s="105"/>
      <c r="R1602" s="105"/>
      <c r="S1602" s="105"/>
      <c r="T1602" s="105"/>
      <c r="U1602" s="105"/>
      <c r="V1602" s="105"/>
      <c r="W1602" s="105"/>
      <c r="X1602" s="105"/>
      <c r="Y1602" s="105"/>
    </row>
    <row r="1603" spans="1:25" s="817" customFormat="1" ht="34.5" customHeight="1">
      <c r="A1603" s="432" t="s">
        <v>139</v>
      </c>
      <c r="B1603" s="238" t="s">
        <v>43</v>
      </c>
      <c r="C1603" s="1057">
        <f>CEILING((C1602+6*$Z$1),0.1)</f>
        <v>48.800000000000004</v>
      </c>
      <c r="D1603" s="1058"/>
      <c r="E1603" s="1057">
        <f>CEILING((E1602+6*$Z$1),0.1)</f>
        <v>48.800000000000004</v>
      </c>
      <c r="F1603" s="1058"/>
      <c r="G1603" s="1057">
        <f>CEILING((G1602+6*$Z$1),0.1)</f>
        <v>48.800000000000004</v>
      </c>
      <c r="H1603" s="1058"/>
      <c r="I1603" s="1061"/>
      <c r="J1603" s="1061"/>
      <c r="K1603" s="1061"/>
      <c r="L1603" s="1061"/>
      <c r="M1603" s="105"/>
      <c r="N1603" s="105"/>
      <c r="O1603" s="105"/>
      <c r="P1603" s="105"/>
      <c r="Q1603" s="105"/>
      <c r="R1603" s="105"/>
      <c r="S1603" s="105"/>
      <c r="T1603" s="105"/>
      <c r="U1603" s="105"/>
      <c r="V1603" s="105"/>
      <c r="W1603" s="105"/>
      <c r="X1603" s="105"/>
      <c r="Y1603" s="105"/>
    </row>
    <row r="1604" spans="1:25" s="817" customFormat="1" ht="34.5" customHeight="1" thickBot="1">
      <c r="A1604" s="555" t="s">
        <v>521</v>
      </c>
      <c r="B1604" s="243" t="s">
        <v>771</v>
      </c>
      <c r="C1604" s="1076">
        <f>CEILING((C1602*0),0.1)</f>
        <v>0</v>
      </c>
      <c r="D1604" s="1077"/>
      <c r="E1604" s="1076">
        <f>CEILING((E1602*0),0.1)</f>
        <v>0</v>
      </c>
      <c r="F1604" s="1077"/>
      <c r="G1604" s="1076">
        <f>CEILING((G1602*0),0.1)</f>
        <v>0</v>
      </c>
      <c r="H1604" s="1077"/>
      <c r="I1604" s="1061"/>
      <c r="J1604" s="1061"/>
      <c r="K1604" s="1061"/>
      <c r="L1604" s="1061"/>
      <c r="M1604" s="105"/>
      <c r="N1604" s="105"/>
      <c r="O1604" s="105"/>
      <c r="P1604" s="105"/>
      <c r="Q1604" s="105"/>
      <c r="R1604" s="105"/>
      <c r="S1604" s="105"/>
      <c r="T1604" s="105"/>
      <c r="U1604" s="105"/>
      <c r="V1604" s="105"/>
      <c r="W1604" s="105"/>
      <c r="X1604" s="105"/>
      <c r="Y1604" s="105"/>
    </row>
    <row r="1605" spans="1:25" s="817" customFormat="1" ht="34.5" customHeight="1" thickTop="1">
      <c r="A1605" s="816"/>
      <c r="B1605" s="793"/>
      <c r="C1605" s="397"/>
      <c r="D1605" s="397"/>
      <c r="E1605" s="397"/>
      <c r="F1605" s="397"/>
      <c r="G1605" s="397"/>
      <c r="H1605" s="397"/>
      <c r="I1605" s="397"/>
      <c r="J1605" s="292"/>
      <c r="K1605" s="157"/>
      <c r="L1605" s="157"/>
      <c r="M1605" s="105"/>
      <c r="N1605" s="105"/>
      <c r="O1605" s="105"/>
      <c r="P1605" s="105"/>
      <c r="Q1605" s="105"/>
      <c r="R1605" s="105"/>
      <c r="S1605" s="105"/>
      <c r="T1605" s="105"/>
      <c r="U1605" s="105"/>
      <c r="V1605" s="105"/>
      <c r="W1605" s="105"/>
      <c r="X1605" s="105"/>
      <c r="Y1605" s="105"/>
    </row>
    <row r="1606" spans="1:25" s="85" customFormat="1" ht="34.5" customHeight="1">
      <c r="A1606" s="86"/>
      <c r="B1606" s="86"/>
      <c r="C1606" s="86"/>
      <c r="D1606" s="86"/>
      <c r="E1606" s="86"/>
      <c r="F1606" s="86"/>
      <c r="G1606" s="86"/>
      <c r="H1606" s="86"/>
      <c r="I1606" s="86"/>
      <c r="J1606" s="69"/>
      <c r="K1606" s="45"/>
      <c r="L1606" s="45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</row>
    <row r="1607" spans="1:25" s="85" customFormat="1" ht="34.5" customHeight="1">
      <c r="A1607" s="79" t="s">
        <v>916</v>
      </c>
      <c r="B1607" s="69"/>
      <c r="C1607" s="69"/>
      <c r="D1607" s="69"/>
      <c r="E1607" s="69"/>
      <c r="F1607" s="69"/>
      <c r="G1607" s="69"/>
      <c r="H1607" s="69"/>
      <c r="I1607" s="69"/>
      <c r="J1607" s="69"/>
      <c r="K1607" s="45"/>
      <c r="L1607" s="45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</row>
    <row r="1608" spans="1:25" s="85" customFormat="1" ht="34.5" customHeight="1" thickBot="1">
      <c r="A1608" s="79"/>
      <c r="B1608" s="69"/>
      <c r="C1608" s="69"/>
      <c r="D1608" s="69"/>
      <c r="E1608" s="69"/>
      <c r="F1608" s="69"/>
      <c r="G1608" s="69"/>
      <c r="H1608" s="69"/>
      <c r="I1608" s="69"/>
      <c r="J1608" s="69"/>
      <c r="K1608" s="45"/>
      <c r="L1608" s="45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</row>
    <row r="1609" spans="1:42" s="214" customFormat="1" ht="34.5" customHeight="1" thickTop="1">
      <c r="A1609" s="207" t="s">
        <v>34</v>
      </c>
      <c r="B1609" s="208" t="s">
        <v>637</v>
      </c>
      <c r="C1609" s="209" t="s">
        <v>994</v>
      </c>
      <c r="D1609" s="210"/>
      <c r="E1609" s="211" t="s">
        <v>995</v>
      </c>
      <c r="F1609" s="212"/>
      <c r="G1609" s="211" t="s">
        <v>996</v>
      </c>
      <c r="H1609" s="212"/>
      <c r="I1609" s="1070"/>
      <c r="J1609" s="1071"/>
      <c r="K1609" s="1070"/>
      <c r="L1609" s="1070"/>
      <c r="M1609" s="174"/>
      <c r="N1609" s="174"/>
      <c r="O1609" s="213"/>
      <c r="P1609" s="213"/>
      <c r="Q1609" s="213"/>
      <c r="R1609" s="213"/>
      <c r="S1609" s="114"/>
      <c r="T1609" s="105"/>
      <c r="U1609" s="105"/>
      <c r="V1609" s="105"/>
      <c r="W1609" s="105"/>
      <c r="X1609" s="105"/>
      <c r="Y1609" s="105"/>
      <c r="Z1609" s="114"/>
      <c r="AA1609" s="213"/>
      <c r="AB1609" s="213"/>
      <c r="AC1609" s="213"/>
      <c r="AD1609" s="213"/>
      <c r="AE1609" s="213"/>
      <c r="AF1609" s="213"/>
      <c r="AG1609" s="213"/>
      <c r="AH1609" s="213"/>
      <c r="AI1609" s="213"/>
      <c r="AJ1609" s="213"/>
      <c r="AK1609" s="213"/>
      <c r="AL1609" s="213"/>
      <c r="AM1609" s="213"/>
      <c r="AN1609" s="213"/>
      <c r="AO1609" s="213"/>
      <c r="AP1609" s="213"/>
    </row>
    <row r="1610" spans="1:49" s="291" customFormat="1" ht="34.5" customHeight="1">
      <c r="A1610" s="293" t="s">
        <v>786</v>
      </c>
      <c r="B1610" s="236" t="s">
        <v>162</v>
      </c>
      <c r="C1610" s="1073">
        <f>CEILING(60*$Z$1,0.1)</f>
        <v>75</v>
      </c>
      <c r="D1610" s="1074"/>
      <c r="E1610" s="1073">
        <f>CEILING(62*$Z$1,0.1)</f>
        <v>77.5</v>
      </c>
      <c r="F1610" s="1074"/>
      <c r="G1610" s="1073">
        <f>CEILING(60*$Z$1,0.1)</f>
        <v>75</v>
      </c>
      <c r="H1610" s="1074"/>
      <c r="I1610" s="1061"/>
      <c r="J1610" s="1061"/>
      <c r="K1610" s="1061"/>
      <c r="L1610" s="1061"/>
      <c r="M1610" s="124"/>
      <c r="N1610" s="124"/>
      <c r="O1610" s="115"/>
      <c r="P1610" s="115"/>
      <c r="Q1610" s="115"/>
      <c r="R1610" s="115"/>
      <c r="S1610" s="115"/>
      <c r="T1610" s="115"/>
      <c r="U1610" s="115"/>
      <c r="V1610" s="115"/>
      <c r="W1610" s="115"/>
      <c r="X1610" s="115"/>
      <c r="Y1610" s="115"/>
      <c r="Z1610" s="140"/>
      <c r="AA1610" s="140"/>
      <c r="AB1610" s="140"/>
      <c r="AC1610" s="140"/>
      <c r="AD1610" s="140"/>
      <c r="AE1610" s="140"/>
      <c r="AF1610" s="140"/>
      <c r="AG1610" s="140"/>
      <c r="AH1610" s="140"/>
      <c r="AI1610" s="140"/>
      <c r="AJ1610" s="140"/>
      <c r="AK1610" s="140"/>
      <c r="AL1610" s="140"/>
      <c r="AM1610" s="140"/>
      <c r="AN1610" s="140"/>
      <c r="AO1610" s="140"/>
      <c r="AP1610" s="140"/>
      <c r="AQ1610" s="140"/>
      <c r="AR1610" s="140"/>
      <c r="AS1610" s="140"/>
      <c r="AT1610" s="140"/>
      <c r="AU1610" s="140"/>
      <c r="AV1610" s="140"/>
      <c r="AW1610" s="140"/>
    </row>
    <row r="1611" spans="1:25" s="140" customFormat="1" ht="34.5" customHeight="1">
      <c r="A1611" s="317"/>
      <c r="B1611" s="238" t="s">
        <v>163</v>
      </c>
      <c r="C1611" s="1057">
        <f>CEILING((C1610+25*$Z$1),0.1)</f>
        <v>106.30000000000001</v>
      </c>
      <c r="D1611" s="1058"/>
      <c r="E1611" s="1057">
        <f>CEILING((E1610+25*$Z$1),0.1)</f>
        <v>108.80000000000001</v>
      </c>
      <c r="F1611" s="1058"/>
      <c r="G1611" s="1057">
        <f>CEILING((G1610+25*$Z$1),0.1)</f>
        <v>106.30000000000001</v>
      </c>
      <c r="H1611" s="1058"/>
      <c r="I1611" s="1061"/>
      <c r="J1611" s="1061"/>
      <c r="K1611" s="1061"/>
      <c r="L1611" s="1061"/>
      <c r="M1611" s="124"/>
      <c r="N1611" s="124"/>
      <c r="O1611" s="115"/>
      <c r="P1611" s="115"/>
      <c r="Q1611" s="115"/>
      <c r="R1611" s="115"/>
      <c r="S1611" s="115"/>
      <c r="T1611" s="115"/>
      <c r="U1611" s="115"/>
      <c r="V1611" s="115"/>
      <c r="W1611" s="115"/>
      <c r="X1611" s="115"/>
      <c r="Y1611" s="115"/>
    </row>
    <row r="1612" spans="1:25" s="140" customFormat="1" ht="34.5" customHeight="1">
      <c r="A1612" s="445"/>
      <c r="B1612" s="238" t="s">
        <v>614</v>
      </c>
      <c r="C1612" s="1057">
        <f>CEILING((C1610*0.85),0.1)</f>
        <v>63.800000000000004</v>
      </c>
      <c r="D1612" s="1058"/>
      <c r="E1612" s="1057">
        <f>CEILING((E1610*0.85),0.1)</f>
        <v>65.9</v>
      </c>
      <c r="F1612" s="1058"/>
      <c r="G1612" s="1057">
        <f>CEILING((G1610*0.85),0.1)</f>
        <v>63.800000000000004</v>
      </c>
      <c r="H1612" s="1058"/>
      <c r="I1612" s="1061"/>
      <c r="J1612" s="1061"/>
      <c r="K1612" s="1061"/>
      <c r="L1612" s="1061"/>
      <c r="M1612" s="124"/>
      <c r="N1612" s="124"/>
      <c r="O1612" s="115"/>
      <c r="P1612" s="115"/>
      <c r="Q1612" s="115"/>
      <c r="R1612" s="115"/>
      <c r="S1612" s="115"/>
      <c r="T1612" s="115"/>
      <c r="U1612" s="115"/>
      <c r="V1612" s="115"/>
      <c r="W1612" s="115"/>
      <c r="X1612" s="115"/>
      <c r="Y1612" s="115"/>
    </row>
    <row r="1613" spans="1:25" s="140" customFormat="1" ht="34.5" customHeight="1">
      <c r="A1613" s="134"/>
      <c r="B1613" s="238" t="s">
        <v>62</v>
      </c>
      <c r="C1613" s="1057">
        <f>CEILING((C1610*0),0.1)</f>
        <v>0</v>
      </c>
      <c r="D1613" s="1058"/>
      <c r="E1613" s="1057">
        <f>CEILING((E1610*0),0.1)</f>
        <v>0</v>
      </c>
      <c r="F1613" s="1058"/>
      <c r="G1613" s="1057">
        <f>CEILING((G1610*0),0.1)</f>
        <v>0</v>
      </c>
      <c r="H1613" s="1058"/>
      <c r="I1613" s="1061"/>
      <c r="J1613" s="1061"/>
      <c r="K1613" s="1061"/>
      <c r="L1613" s="1061"/>
      <c r="M1613" s="124"/>
      <c r="N1613" s="124"/>
      <c r="O1613" s="115"/>
      <c r="P1613" s="115"/>
      <c r="Q1613" s="115"/>
      <c r="R1613" s="115"/>
      <c r="S1613" s="115"/>
      <c r="T1613" s="115"/>
      <c r="U1613" s="115"/>
      <c r="V1613" s="115"/>
      <c r="W1613" s="115"/>
      <c r="X1613" s="115"/>
      <c r="Y1613" s="115"/>
    </row>
    <row r="1614" spans="1:25" s="140" customFormat="1" ht="34.5" customHeight="1">
      <c r="A1614" s="204" t="s">
        <v>50</v>
      </c>
      <c r="B1614" s="238" t="s">
        <v>788</v>
      </c>
      <c r="C1614" s="1057">
        <f>CEILING(64*$Z$1,0.1)</f>
        <v>80</v>
      </c>
      <c r="D1614" s="1058"/>
      <c r="E1614" s="1057">
        <f>CEILING(66*$Z$1,0.1)</f>
        <v>82.5</v>
      </c>
      <c r="F1614" s="1058"/>
      <c r="G1614" s="1057">
        <f>CEILING(64*$Z$1,0.1)</f>
        <v>80</v>
      </c>
      <c r="H1614" s="1058"/>
      <c r="I1614" s="1061"/>
      <c r="J1614" s="1061"/>
      <c r="K1614" s="1061"/>
      <c r="L1614" s="1061"/>
      <c r="M1614" s="124"/>
      <c r="N1614" s="124"/>
      <c r="O1614" s="115"/>
      <c r="P1614" s="115"/>
      <c r="Q1614" s="115"/>
      <c r="R1614" s="115"/>
      <c r="S1614" s="115"/>
      <c r="T1614" s="115"/>
      <c r="U1614" s="115"/>
      <c r="V1614" s="115"/>
      <c r="W1614" s="115"/>
      <c r="X1614" s="115"/>
      <c r="Y1614" s="115"/>
    </row>
    <row r="1615" spans="1:25" s="140" customFormat="1" ht="34.5" customHeight="1">
      <c r="A1615" s="314"/>
      <c r="B1615" s="238" t="s">
        <v>789</v>
      </c>
      <c r="C1615" s="1057">
        <f>CEILING((C1614+25*$Z$1),0.1)</f>
        <v>111.30000000000001</v>
      </c>
      <c r="D1615" s="1058"/>
      <c r="E1615" s="1057">
        <f>CEILING((E1614+25*$Z$1),0.1)</f>
        <v>113.80000000000001</v>
      </c>
      <c r="F1615" s="1058"/>
      <c r="G1615" s="1057">
        <f>CEILING((G1614+25*$Z$1),0.1)</f>
        <v>111.30000000000001</v>
      </c>
      <c r="H1615" s="1058"/>
      <c r="I1615" s="1061"/>
      <c r="J1615" s="1061"/>
      <c r="K1615" s="1061"/>
      <c r="L1615" s="1061"/>
      <c r="M1615" s="124"/>
      <c r="N1615" s="124"/>
      <c r="O1615" s="115"/>
      <c r="P1615" s="115"/>
      <c r="Q1615" s="115"/>
      <c r="R1615" s="115"/>
      <c r="S1615" s="115"/>
      <c r="T1615" s="115"/>
      <c r="U1615" s="115"/>
      <c r="V1615" s="115"/>
      <c r="W1615" s="115"/>
      <c r="X1615" s="115"/>
      <c r="Y1615" s="115"/>
    </row>
    <row r="1616" spans="1:23" s="140" customFormat="1" ht="34.5" customHeight="1">
      <c r="A1616" s="181"/>
      <c r="B1616" s="238" t="s">
        <v>790</v>
      </c>
      <c r="C1616" s="1057">
        <f>CEILING(68*$Z$1,0.1)</f>
        <v>85</v>
      </c>
      <c r="D1616" s="1058"/>
      <c r="E1616" s="1057">
        <f>CEILING(70*$Z$1,0.1)</f>
        <v>87.5</v>
      </c>
      <c r="F1616" s="1058"/>
      <c r="G1616" s="1057">
        <f>CEILING(68*$Z$1,0.1)</f>
        <v>85</v>
      </c>
      <c r="H1616" s="1058"/>
      <c r="I1616" s="1061"/>
      <c r="J1616" s="1061"/>
      <c r="K1616" s="1061"/>
      <c r="L1616" s="1061"/>
      <c r="M1616" s="115"/>
      <c r="N1616" s="115"/>
      <c r="O1616" s="115"/>
      <c r="P1616" s="115"/>
      <c r="Q1616" s="115"/>
      <c r="R1616" s="115"/>
      <c r="S1616" s="115"/>
      <c r="T1616" s="115"/>
      <c r="U1616" s="115"/>
      <c r="V1616" s="115"/>
      <c r="W1616" s="115"/>
    </row>
    <row r="1617" spans="1:23" s="140" customFormat="1" ht="34.5" customHeight="1">
      <c r="A1617" s="874" t="s">
        <v>787</v>
      </c>
      <c r="B1617" s="331" t="s">
        <v>791</v>
      </c>
      <c r="C1617" s="1059">
        <f>CEILING((C1616+25*$Z$1),0.1)</f>
        <v>116.30000000000001</v>
      </c>
      <c r="D1617" s="1060"/>
      <c r="E1617" s="1059">
        <f>CEILING((E1616+25*$Z$1),0.1)</f>
        <v>118.80000000000001</v>
      </c>
      <c r="F1617" s="1060"/>
      <c r="G1617" s="1059">
        <f>CEILING((G1616+25*$Z$1),0.1)</f>
        <v>116.30000000000001</v>
      </c>
      <c r="H1617" s="1060"/>
      <c r="I1617" s="1061"/>
      <c r="J1617" s="1061"/>
      <c r="K1617" s="1061"/>
      <c r="L1617" s="1061"/>
      <c r="M1617" s="115"/>
      <c r="N1617" s="115"/>
      <c r="O1617" s="115"/>
      <c r="P1617" s="115"/>
      <c r="Q1617" s="115"/>
      <c r="R1617" s="115"/>
      <c r="S1617" s="115"/>
      <c r="T1617" s="115"/>
      <c r="U1617" s="115"/>
      <c r="V1617" s="115"/>
      <c r="W1617" s="115"/>
    </row>
    <row r="1618" spans="1:23" s="140" customFormat="1" ht="34.5" customHeight="1">
      <c r="A1618" s="397" t="s">
        <v>1107</v>
      </c>
      <c r="B1618" s="124"/>
      <c r="C1618" s="1037"/>
      <c r="D1618" s="1037"/>
      <c r="E1618" s="1037"/>
      <c r="F1618" s="1037"/>
      <c r="G1618" s="1037"/>
      <c r="H1618" s="1037"/>
      <c r="I1618" s="1037"/>
      <c r="J1618" s="1037"/>
      <c r="K1618" s="1037"/>
      <c r="L1618" s="1037"/>
      <c r="M1618" s="115"/>
      <c r="N1618" s="115"/>
      <c r="O1618" s="115"/>
      <c r="P1618" s="115"/>
      <c r="Q1618" s="115"/>
      <c r="R1618" s="115"/>
      <c r="S1618" s="115"/>
      <c r="T1618" s="115"/>
      <c r="U1618" s="115"/>
      <c r="V1618" s="115"/>
      <c r="W1618" s="115"/>
    </row>
    <row r="1619" spans="1:40" s="1004" customFormat="1" ht="34.5" customHeight="1">
      <c r="A1619" s="1001" t="s">
        <v>1117</v>
      </c>
      <c r="B1619" s="1002"/>
      <c r="C1619" s="1003"/>
      <c r="D1619" s="1003"/>
      <c r="E1619" s="1003"/>
      <c r="F1619" s="1003"/>
      <c r="G1619" s="1003"/>
      <c r="H1619" s="1003"/>
      <c r="I1619" s="1031"/>
      <c r="J1619" s="1031"/>
      <c r="K1619" s="1031"/>
      <c r="L1619" s="1031"/>
      <c r="M1619" s="1032"/>
      <c r="N1619" s="1032"/>
      <c r="O1619" s="1032"/>
      <c r="P1619" s="1032"/>
      <c r="Q1619" s="1032"/>
      <c r="R1619" s="1032"/>
      <c r="S1619" s="1032"/>
      <c r="T1619" s="1032"/>
      <c r="U1619" s="1032"/>
      <c r="V1619" s="1032"/>
      <c r="W1619" s="1032"/>
      <c r="X1619" s="1032"/>
      <c r="Y1619" s="1032"/>
      <c r="Z1619" s="1032"/>
      <c r="AA1619" s="1032"/>
      <c r="AB1619" s="1032"/>
      <c r="AC1619" s="1032"/>
      <c r="AD1619" s="1032"/>
      <c r="AE1619" s="1032"/>
      <c r="AF1619" s="1032"/>
      <c r="AG1619" s="1032"/>
      <c r="AH1619" s="1032"/>
      <c r="AI1619" s="1032"/>
      <c r="AJ1619" s="1032"/>
      <c r="AK1619" s="1032"/>
      <c r="AL1619" s="1032"/>
      <c r="AM1619" s="1032"/>
      <c r="AN1619" s="1032"/>
    </row>
    <row r="1620" spans="1:16" s="158" customFormat="1" ht="34.5" customHeight="1" thickBot="1">
      <c r="A1620" s="875"/>
      <c r="B1620" s="875"/>
      <c r="C1620" s="875"/>
      <c r="D1620" s="875"/>
      <c r="E1620" s="875"/>
      <c r="F1620" s="875"/>
      <c r="G1620" s="875"/>
      <c r="H1620" s="875"/>
      <c r="I1620" s="741"/>
      <c r="J1620" s="140"/>
      <c r="K1620" s="157"/>
      <c r="L1620" s="157"/>
      <c r="O1620" s="1062"/>
      <c r="P1620" s="1062"/>
    </row>
    <row r="1621" spans="1:42" s="214" customFormat="1" ht="34.5" customHeight="1" thickTop="1">
      <c r="A1621" s="207" t="s">
        <v>34</v>
      </c>
      <c r="B1621" s="208" t="s">
        <v>637</v>
      </c>
      <c r="C1621" s="209" t="s">
        <v>1003</v>
      </c>
      <c r="D1621" s="210"/>
      <c r="E1621" s="211" t="s">
        <v>1004</v>
      </c>
      <c r="F1621" s="212"/>
      <c r="G1621" s="211" t="s">
        <v>1005</v>
      </c>
      <c r="H1621" s="212"/>
      <c r="I1621" s="1070"/>
      <c r="J1621" s="1071"/>
      <c r="K1621" s="1070"/>
      <c r="L1621" s="1070"/>
      <c r="M1621" s="174"/>
      <c r="N1621" s="174"/>
      <c r="O1621" s="213"/>
      <c r="P1621" s="213"/>
      <c r="Q1621" s="213"/>
      <c r="R1621" s="213"/>
      <c r="S1621" s="114"/>
      <c r="T1621" s="105"/>
      <c r="U1621" s="105"/>
      <c r="V1621" s="105"/>
      <c r="W1621" s="105"/>
      <c r="X1621" s="105"/>
      <c r="Y1621" s="105"/>
      <c r="Z1621" s="114"/>
      <c r="AA1621" s="213"/>
      <c r="AB1621" s="213"/>
      <c r="AC1621" s="213"/>
      <c r="AD1621" s="213"/>
      <c r="AE1621" s="213"/>
      <c r="AF1621" s="213"/>
      <c r="AG1621" s="213"/>
      <c r="AH1621" s="213"/>
      <c r="AI1621" s="213"/>
      <c r="AJ1621" s="213"/>
      <c r="AK1621" s="213"/>
      <c r="AL1621" s="213"/>
      <c r="AM1621" s="213"/>
      <c r="AN1621" s="213"/>
      <c r="AO1621" s="213"/>
      <c r="AP1621" s="213"/>
    </row>
    <row r="1622" spans="1:25" s="107" customFormat="1" ht="34.5" customHeight="1">
      <c r="A1622" s="504" t="s">
        <v>140</v>
      </c>
      <c r="B1622" s="574" t="s">
        <v>141</v>
      </c>
      <c r="C1622" s="1073">
        <f>CEILING(85*$Z$1,0.1)</f>
        <v>106.30000000000001</v>
      </c>
      <c r="D1622" s="1074"/>
      <c r="E1622" s="1073">
        <f>CEILING(115*$Z$1,0.1)</f>
        <v>143.8</v>
      </c>
      <c r="F1622" s="1074"/>
      <c r="G1622" s="1073">
        <f>CEILING(85*$Z$1,0.1)</f>
        <v>106.30000000000001</v>
      </c>
      <c r="H1622" s="1074"/>
      <c r="I1622" s="1061"/>
      <c r="J1622" s="1061"/>
      <c r="K1622" s="1061"/>
      <c r="L1622" s="1061"/>
      <c r="M1622" s="105"/>
      <c r="N1622" s="105"/>
      <c r="O1622" s="1062"/>
      <c r="P1622" s="1062"/>
      <c r="Q1622" s="105"/>
      <c r="R1622" s="105"/>
      <c r="S1622" s="105"/>
      <c r="T1622" s="105"/>
      <c r="U1622" s="105"/>
      <c r="V1622" s="105"/>
      <c r="W1622" s="105"/>
      <c r="X1622" s="105"/>
      <c r="Y1622" s="105"/>
    </row>
    <row r="1623" spans="1:25" s="107" customFormat="1" ht="34.5" customHeight="1">
      <c r="A1623" s="472" t="s">
        <v>895</v>
      </c>
      <c r="B1623" s="574" t="s">
        <v>142</v>
      </c>
      <c r="C1623" s="1057">
        <f>CEILING(115*$Z$1,0.1)</f>
        <v>143.8</v>
      </c>
      <c r="D1623" s="1058"/>
      <c r="E1623" s="1057">
        <f>CEILING(146*$Z$1,0.1)</f>
        <v>182.5</v>
      </c>
      <c r="F1623" s="1058"/>
      <c r="G1623" s="1057">
        <f>CEILING(115*$Z$1,0.1)</f>
        <v>143.8</v>
      </c>
      <c r="H1623" s="1058"/>
      <c r="I1623" s="1061"/>
      <c r="J1623" s="1061"/>
      <c r="K1623" s="1061"/>
      <c r="L1623" s="1061"/>
      <c r="M1623" s="105"/>
      <c r="N1623" s="105"/>
      <c r="O1623" s="1062"/>
      <c r="P1623" s="1062"/>
      <c r="Q1623" s="105"/>
      <c r="R1623" s="105"/>
      <c r="S1623" s="105"/>
      <c r="T1623" s="105"/>
      <c r="U1623" s="105"/>
      <c r="V1623" s="105"/>
      <c r="W1623" s="105"/>
      <c r="X1623" s="105"/>
      <c r="Y1623" s="105"/>
    </row>
    <row r="1624" spans="1:25" s="107" customFormat="1" ht="34.5" customHeight="1" thickBot="1">
      <c r="A1624" s="461" t="s">
        <v>309</v>
      </c>
      <c r="B1624" s="876" t="s">
        <v>143</v>
      </c>
      <c r="C1624" s="1076">
        <f>CEILING(142*$Z$1,0.1)</f>
        <v>177.5</v>
      </c>
      <c r="D1624" s="1077"/>
      <c r="E1624" s="1076">
        <f>CEILING(173*$Z$1,0.1)</f>
        <v>216.3</v>
      </c>
      <c r="F1624" s="1077"/>
      <c r="G1624" s="1076">
        <f>CEILING(142*$Z$1,0.1)</f>
        <v>177.5</v>
      </c>
      <c r="H1624" s="1077"/>
      <c r="I1624" s="1061"/>
      <c r="J1624" s="1061"/>
      <c r="K1624" s="1061"/>
      <c r="L1624" s="1061"/>
      <c r="M1624" s="105"/>
      <c r="N1624" s="105"/>
      <c r="O1624" s="105"/>
      <c r="P1624" s="105"/>
      <c r="Q1624" s="105"/>
      <c r="R1624" s="105"/>
      <c r="S1624" s="105"/>
      <c r="T1624" s="105"/>
      <c r="U1624" s="105"/>
      <c r="V1624" s="105"/>
      <c r="W1624" s="105"/>
      <c r="X1624" s="105"/>
      <c r="Y1624" s="105"/>
    </row>
    <row r="1625" spans="1:25" s="817" customFormat="1" ht="34.5" customHeight="1" thickTop="1">
      <c r="A1625" s="1206" t="s">
        <v>1035</v>
      </c>
      <c r="B1625" s="1206"/>
      <c r="C1625" s="1174"/>
      <c r="D1625" s="1174"/>
      <c r="E1625" s="1174"/>
      <c r="F1625" s="1174"/>
      <c r="G1625" s="1174"/>
      <c r="H1625" s="1174"/>
      <c r="I1625" s="577"/>
      <c r="J1625" s="577"/>
      <c r="K1625" s="1061"/>
      <c r="L1625" s="1061"/>
      <c r="M1625" s="105"/>
      <c r="N1625" s="105"/>
      <c r="O1625" s="105"/>
      <c r="P1625" s="105"/>
      <c r="Q1625" s="105"/>
      <c r="R1625" s="105"/>
      <c r="S1625" s="105"/>
      <c r="T1625" s="105"/>
      <c r="U1625" s="105"/>
      <c r="V1625" s="105"/>
      <c r="W1625" s="105"/>
      <c r="X1625" s="105"/>
      <c r="Y1625" s="105"/>
    </row>
    <row r="1626" spans="1:31" s="107" customFormat="1" ht="34.5" customHeight="1" thickBot="1">
      <c r="A1626" s="285"/>
      <c r="B1626" s="124"/>
      <c r="C1626" s="148"/>
      <c r="D1626" s="397"/>
      <c r="E1626" s="239"/>
      <c r="F1626" s="239"/>
      <c r="G1626" s="239"/>
      <c r="H1626" s="239"/>
      <c r="I1626" s="148"/>
      <c r="J1626" s="148"/>
      <c r="K1626" s="138"/>
      <c r="L1626" s="138"/>
      <c r="M1626" s="105"/>
      <c r="N1626" s="105"/>
      <c r="O1626" s="105"/>
      <c r="P1626" s="105"/>
      <c r="Q1626" s="105"/>
      <c r="R1626" s="105"/>
      <c r="S1626" s="105"/>
      <c r="T1626" s="105"/>
      <c r="U1626" s="105"/>
      <c r="V1626" s="105"/>
      <c r="W1626" s="105"/>
      <c r="X1626" s="105"/>
      <c r="Y1626" s="105"/>
      <c r="Z1626" s="105"/>
      <c r="AA1626" s="105"/>
      <c r="AB1626" s="105"/>
      <c r="AC1626" s="105"/>
      <c r="AD1626" s="105"/>
      <c r="AE1626" s="105"/>
    </row>
    <row r="1627" spans="1:42" s="214" customFormat="1" ht="34.5" customHeight="1" thickTop="1">
      <c r="A1627" s="207" t="s">
        <v>34</v>
      </c>
      <c r="B1627" s="208" t="s">
        <v>637</v>
      </c>
      <c r="C1627" s="209" t="s">
        <v>921</v>
      </c>
      <c r="D1627" s="210"/>
      <c r="E1627" s="211" t="s">
        <v>922</v>
      </c>
      <c r="F1627" s="212"/>
      <c r="G1627" s="211" t="s">
        <v>923</v>
      </c>
      <c r="H1627" s="212"/>
      <c r="I1627" s="1070"/>
      <c r="J1627" s="1071"/>
      <c r="K1627" s="1070"/>
      <c r="L1627" s="1070"/>
      <c r="M1627" s="174"/>
      <c r="N1627" s="174"/>
      <c r="O1627" s="213"/>
      <c r="P1627" s="213"/>
      <c r="Q1627" s="213"/>
      <c r="R1627" s="213"/>
      <c r="S1627" s="114"/>
      <c r="T1627" s="105"/>
      <c r="U1627" s="105"/>
      <c r="V1627" s="105"/>
      <c r="W1627" s="105"/>
      <c r="X1627" s="105"/>
      <c r="Y1627" s="105"/>
      <c r="Z1627" s="114"/>
      <c r="AA1627" s="213"/>
      <c r="AB1627" s="213"/>
      <c r="AC1627" s="213"/>
      <c r="AD1627" s="213"/>
      <c r="AE1627" s="213"/>
      <c r="AF1627" s="213"/>
      <c r="AG1627" s="213"/>
      <c r="AH1627" s="213"/>
      <c r="AI1627" s="213"/>
      <c r="AJ1627" s="213"/>
      <c r="AK1627" s="213"/>
      <c r="AL1627" s="213"/>
      <c r="AM1627" s="213"/>
      <c r="AN1627" s="213"/>
      <c r="AO1627" s="213"/>
      <c r="AP1627" s="213"/>
    </row>
    <row r="1628" spans="1:31" s="107" customFormat="1" ht="34.5" customHeight="1">
      <c r="A1628" s="559" t="s">
        <v>144</v>
      </c>
      <c r="B1628" s="236" t="s">
        <v>83</v>
      </c>
      <c r="C1628" s="1157">
        <f>CEILING(38*$Z$1,0.1)</f>
        <v>47.5</v>
      </c>
      <c r="D1628" s="1158"/>
      <c r="E1628" s="1157">
        <f>CEILING(42*$Z$1,0.1)</f>
        <v>52.5</v>
      </c>
      <c r="F1628" s="1158"/>
      <c r="G1628" s="1157">
        <f>CEILING(48*$Z$1,0.1)</f>
        <v>60</v>
      </c>
      <c r="H1628" s="1158"/>
      <c r="I1628" s="1153"/>
      <c r="J1628" s="1153"/>
      <c r="K1628" s="1153"/>
      <c r="L1628" s="1153"/>
      <c r="M1628" s="105"/>
      <c r="N1628" s="105"/>
      <c r="O1628" s="105"/>
      <c r="P1628" s="105"/>
      <c r="Q1628" s="105"/>
      <c r="R1628" s="105"/>
      <c r="S1628" s="105"/>
      <c r="T1628" s="105"/>
      <c r="U1628" s="105"/>
      <c r="V1628" s="105"/>
      <c r="W1628" s="105"/>
      <c r="X1628" s="105"/>
      <c r="Y1628" s="105"/>
      <c r="Z1628" s="105"/>
      <c r="AA1628" s="105"/>
      <c r="AB1628" s="105"/>
      <c r="AC1628" s="105"/>
      <c r="AD1628" s="105"/>
      <c r="AE1628" s="105"/>
    </row>
    <row r="1629" spans="1:31" s="107" customFormat="1" ht="34.5" customHeight="1">
      <c r="A1629" s="351" t="s">
        <v>80</v>
      </c>
      <c r="B1629" s="238" t="s">
        <v>8</v>
      </c>
      <c r="C1629" s="1159">
        <f>CEILING(50*$Z$1,0.1)</f>
        <v>62.5</v>
      </c>
      <c r="D1629" s="1160"/>
      <c r="E1629" s="1159">
        <f>CEILING(54*$Z$1,0.1)</f>
        <v>67.5</v>
      </c>
      <c r="F1629" s="1160"/>
      <c r="G1629" s="1159">
        <f>CEILING(63*$Z$1,0.1)</f>
        <v>78.80000000000001</v>
      </c>
      <c r="H1629" s="1160"/>
      <c r="I1629" s="1153"/>
      <c r="J1629" s="1153"/>
      <c r="K1629" s="1153"/>
      <c r="L1629" s="1153"/>
      <c r="M1629" s="105"/>
      <c r="N1629" s="105"/>
      <c r="O1629" s="105"/>
      <c r="P1629" s="105"/>
      <c r="Q1629" s="105"/>
      <c r="R1629" s="105"/>
      <c r="S1629" s="105"/>
      <c r="T1629" s="105"/>
      <c r="U1629" s="105"/>
      <c r="V1629" s="105"/>
      <c r="W1629" s="105"/>
      <c r="X1629" s="105"/>
      <c r="Y1629" s="105"/>
      <c r="Z1629" s="105"/>
      <c r="AA1629" s="105"/>
      <c r="AB1629" s="105"/>
      <c r="AC1629" s="105"/>
      <c r="AD1629" s="105"/>
      <c r="AE1629" s="105"/>
    </row>
    <row r="1630" spans="1:31" s="107" customFormat="1" ht="34.5" customHeight="1">
      <c r="A1630" s="355"/>
      <c r="B1630" s="241" t="s">
        <v>38</v>
      </c>
      <c r="C1630" s="1159">
        <f>CEILING(32.3*$Z$1,0.1)</f>
        <v>40.400000000000006</v>
      </c>
      <c r="D1630" s="1160"/>
      <c r="E1630" s="1159">
        <f>CEILING(36*$Z$1,0.1)</f>
        <v>45</v>
      </c>
      <c r="F1630" s="1160"/>
      <c r="G1630" s="1159">
        <f>CEILING(41*$Z$1,0.1)</f>
        <v>51.300000000000004</v>
      </c>
      <c r="H1630" s="1160"/>
      <c r="I1630" s="1153"/>
      <c r="J1630" s="1153"/>
      <c r="K1630" s="1153"/>
      <c r="L1630" s="1153"/>
      <c r="M1630" s="105"/>
      <c r="N1630" s="105"/>
      <c r="O1630" s="105"/>
      <c r="P1630" s="105"/>
      <c r="Q1630" s="105"/>
      <c r="R1630" s="105"/>
      <c r="S1630" s="105"/>
      <c r="T1630" s="105"/>
      <c r="U1630" s="105"/>
      <c r="V1630" s="105"/>
      <c r="W1630" s="105"/>
      <c r="X1630" s="105"/>
      <c r="Y1630" s="105"/>
      <c r="Z1630" s="105"/>
      <c r="AA1630" s="105"/>
      <c r="AB1630" s="105"/>
      <c r="AC1630" s="105"/>
      <c r="AD1630" s="105"/>
      <c r="AE1630" s="105"/>
    </row>
    <row r="1631" spans="1:31" s="107" customFormat="1" ht="34.5" customHeight="1" thickBot="1">
      <c r="A1631" s="357" t="s">
        <v>423</v>
      </c>
      <c r="B1631" s="877" t="s">
        <v>556</v>
      </c>
      <c r="C1631" s="1162">
        <f>CEILING((C1628*0),0.1)</f>
        <v>0</v>
      </c>
      <c r="D1631" s="1163"/>
      <c r="E1631" s="1162">
        <f>CEILING((E1628*0),0.1)</f>
        <v>0</v>
      </c>
      <c r="F1631" s="1163"/>
      <c r="G1631" s="1162">
        <f>CEILING((G1628*0),0.1)</f>
        <v>0</v>
      </c>
      <c r="H1631" s="1163"/>
      <c r="I1631" s="1153"/>
      <c r="J1631" s="1153"/>
      <c r="K1631" s="1153"/>
      <c r="L1631" s="1153"/>
      <c r="M1631" s="105"/>
      <c r="N1631" s="105"/>
      <c r="O1631" s="105"/>
      <c r="P1631" s="105"/>
      <c r="Q1631" s="105"/>
      <c r="R1631" s="105"/>
      <c r="S1631" s="105"/>
      <c r="T1631" s="105"/>
      <c r="U1631" s="105"/>
      <c r="V1631" s="105"/>
      <c r="W1631" s="105"/>
      <c r="X1631" s="105"/>
      <c r="Y1631" s="105"/>
      <c r="Z1631" s="105"/>
      <c r="AA1631" s="105"/>
      <c r="AB1631" s="105"/>
      <c r="AC1631" s="105"/>
      <c r="AD1631" s="105"/>
      <c r="AE1631" s="105"/>
    </row>
    <row r="1632" spans="1:37" s="371" customFormat="1" ht="34.5" customHeight="1" thickTop="1">
      <c r="A1632" s="163" t="s">
        <v>886</v>
      </c>
      <c r="B1632" s="164"/>
      <c r="C1632" s="163"/>
      <c r="D1632" s="163"/>
      <c r="E1632" s="163"/>
      <c r="F1632" s="163"/>
      <c r="G1632" s="163"/>
      <c r="H1632" s="163"/>
      <c r="I1632" s="163"/>
      <c r="J1632" s="163"/>
      <c r="K1632" s="515"/>
      <c r="L1632" s="515"/>
      <c r="M1632" s="174"/>
      <c r="N1632" s="174"/>
      <c r="O1632" s="179"/>
      <c r="P1632" s="179"/>
      <c r="Q1632" s="179"/>
      <c r="R1632" s="179"/>
      <c r="S1632" s="179"/>
      <c r="T1632" s="179"/>
      <c r="U1632" s="179"/>
      <c r="V1632" s="179"/>
      <c r="W1632" s="179"/>
      <c r="X1632" s="179"/>
      <c r="Y1632" s="179"/>
      <c r="Z1632" s="179"/>
      <c r="AA1632" s="179"/>
      <c r="AB1632" s="179"/>
      <c r="AC1632" s="179"/>
      <c r="AD1632" s="179"/>
      <c r="AE1632" s="179"/>
      <c r="AF1632" s="179"/>
      <c r="AG1632" s="179"/>
      <c r="AH1632" s="179"/>
      <c r="AI1632" s="179"/>
      <c r="AJ1632" s="179"/>
      <c r="AK1632" s="179"/>
    </row>
    <row r="1633" spans="1:31" s="107" customFormat="1" ht="34.5" customHeight="1">
      <c r="A1633" s="1149" t="s">
        <v>1006</v>
      </c>
      <c r="B1633" s="1149"/>
      <c r="C1633" s="1149"/>
      <c r="D1633" s="1149"/>
      <c r="E1633" s="1149"/>
      <c r="F1633" s="1149"/>
      <c r="G1633" s="1149"/>
      <c r="H1633" s="1149"/>
      <c r="I1633" s="1149"/>
      <c r="J1633" s="137"/>
      <c r="K1633" s="108"/>
      <c r="L1633" s="138"/>
      <c r="M1633" s="105"/>
      <c r="N1633" s="105"/>
      <c r="O1633" s="105"/>
      <c r="P1633" s="105"/>
      <c r="Q1633" s="105"/>
      <c r="R1633" s="105"/>
      <c r="S1633" s="105"/>
      <c r="T1633" s="105"/>
      <c r="U1633" s="105"/>
      <c r="V1633" s="105"/>
      <c r="W1633" s="105"/>
      <c r="X1633" s="105"/>
      <c r="Y1633" s="105"/>
      <c r="Z1633" s="105"/>
      <c r="AA1633" s="105"/>
      <c r="AB1633" s="105"/>
      <c r="AC1633" s="105"/>
      <c r="AD1633" s="105"/>
      <c r="AE1633" s="105"/>
    </row>
    <row r="1634" spans="1:31" s="107" customFormat="1" ht="34.5" customHeight="1">
      <c r="A1634" s="878"/>
      <c r="B1634" s="879"/>
      <c r="C1634" s="879"/>
      <c r="D1634" s="879"/>
      <c r="E1634" s="879"/>
      <c r="F1634" s="879"/>
      <c r="G1634" s="879"/>
      <c r="H1634" s="879"/>
      <c r="I1634" s="137"/>
      <c r="J1634" s="137"/>
      <c r="K1634" s="108"/>
      <c r="L1634" s="138"/>
      <c r="M1634" s="105"/>
      <c r="N1634" s="105"/>
      <c r="O1634" s="105"/>
      <c r="P1634" s="105"/>
      <c r="Q1634" s="105"/>
      <c r="R1634" s="105"/>
      <c r="S1634" s="105"/>
      <c r="T1634" s="105"/>
      <c r="U1634" s="105"/>
      <c r="V1634" s="105"/>
      <c r="W1634" s="105"/>
      <c r="X1634" s="105"/>
      <c r="Y1634" s="105"/>
      <c r="Z1634" s="105"/>
      <c r="AA1634" s="105"/>
      <c r="AB1634" s="105"/>
      <c r="AC1634" s="105"/>
      <c r="AD1634" s="105"/>
      <c r="AE1634" s="105"/>
    </row>
    <row r="1635" spans="1:31" s="15" customFormat="1" ht="34.5" customHeight="1">
      <c r="A1635" s="1161" t="s">
        <v>917</v>
      </c>
      <c r="B1635" s="1161"/>
      <c r="C1635" s="1161"/>
      <c r="D1635" s="1161"/>
      <c r="E1635" s="1161"/>
      <c r="F1635" s="1161"/>
      <c r="G1635" s="1161"/>
      <c r="H1635" s="1161"/>
      <c r="I1635" s="1161"/>
      <c r="J1635" s="1161"/>
      <c r="K1635" s="52"/>
      <c r="L1635" s="55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</row>
    <row r="1636" spans="1:31" s="15" customFormat="1" ht="34.5" customHeight="1" thickBot="1">
      <c r="A1636" s="87"/>
      <c r="B1636" s="87"/>
      <c r="C1636" s="87"/>
      <c r="D1636" s="87"/>
      <c r="E1636" s="87"/>
      <c r="F1636" s="87"/>
      <c r="G1636" s="87"/>
      <c r="H1636" s="87"/>
      <c r="I1636" s="84"/>
      <c r="J1636" s="63"/>
      <c r="K1636" s="52"/>
      <c r="L1636" s="55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</row>
    <row r="1637" spans="1:42" s="214" customFormat="1" ht="34.5" customHeight="1" thickTop="1">
      <c r="A1637" s="207" t="s">
        <v>34</v>
      </c>
      <c r="B1637" s="208" t="s">
        <v>637</v>
      </c>
      <c r="C1637" s="209" t="s">
        <v>921</v>
      </c>
      <c r="D1637" s="210"/>
      <c r="E1637" s="211" t="s">
        <v>922</v>
      </c>
      <c r="F1637" s="212"/>
      <c r="G1637" s="211" t="s">
        <v>923</v>
      </c>
      <c r="H1637" s="212"/>
      <c r="I1637" s="1070"/>
      <c r="J1637" s="1071"/>
      <c r="K1637" s="1070"/>
      <c r="L1637" s="1070"/>
      <c r="M1637" s="174"/>
      <c r="N1637" s="174"/>
      <c r="O1637" s="213"/>
      <c r="P1637" s="213"/>
      <c r="Q1637" s="213"/>
      <c r="R1637" s="213"/>
      <c r="S1637" s="114"/>
      <c r="T1637" s="105"/>
      <c r="U1637" s="105"/>
      <c r="V1637" s="105"/>
      <c r="W1637" s="105"/>
      <c r="X1637" s="105"/>
      <c r="Y1637" s="105"/>
      <c r="Z1637" s="114"/>
      <c r="AA1637" s="213"/>
      <c r="AB1637" s="213"/>
      <c r="AC1637" s="213"/>
      <c r="AD1637" s="213"/>
      <c r="AE1637" s="213"/>
      <c r="AF1637" s="213"/>
      <c r="AG1637" s="213"/>
      <c r="AH1637" s="213"/>
      <c r="AI1637" s="213"/>
      <c r="AJ1637" s="213"/>
      <c r="AK1637" s="213"/>
      <c r="AL1637" s="213"/>
      <c r="AM1637" s="213"/>
      <c r="AN1637" s="213"/>
      <c r="AO1637" s="213"/>
      <c r="AP1637" s="213"/>
    </row>
    <row r="1638" spans="1:31" s="107" customFormat="1" ht="34.5" customHeight="1">
      <c r="A1638" s="300" t="s">
        <v>210</v>
      </c>
      <c r="B1638" s="880" t="s">
        <v>42</v>
      </c>
      <c r="C1638" s="1073">
        <f>CEILING(57*$Z$1,0.1)</f>
        <v>71.3</v>
      </c>
      <c r="D1638" s="1074"/>
      <c r="E1638" s="1073">
        <f>CEILING(57*$Z$1,0.1)</f>
        <v>71.3</v>
      </c>
      <c r="F1638" s="1074"/>
      <c r="G1638" s="1073">
        <f>CEILING(57*$Z$1,0.1)</f>
        <v>71.3</v>
      </c>
      <c r="H1638" s="1074"/>
      <c r="I1638" s="1061"/>
      <c r="J1638" s="1061"/>
      <c r="K1638" s="1061"/>
      <c r="L1638" s="1061"/>
      <c r="M1638" s="105"/>
      <c r="N1638" s="105"/>
      <c r="O1638" s="105"/>
      <c r="P1638" s="105"/>
      <c r="Q1638" s="105"/>
      <c r="R1638" s="105"/>
      <c r="S1638" s="105"/>
      <c r="T1638" s="105"/>
      <c r="U1638" s="105"/>
      <c r="V1638" s="105"/>
      <c r="W1638" s="105"/>
      <c r="X1638" s="105"/>
      <c r="Y1638" s="105"/>
      <c r="Z1638" s="105"/>
      <c r="AA1638" s="105"/>
      <c r="AB1638" s="105"/>
      <c r="AC1638" s="105"/>
      <c r="AD1638" s="105"/>
      <c r="AE1638" s="105"/>
    </row>
    <row r="1639" spans="1:31" s="107" customFormat="1" ht="34.5" customHeight="1">
      <c r="A1639" s="295" t="s">
        <v>50</v>
      </c>
      <c r="B1639" s="880" t="s">
        <v>43</v>
      </c>
      <c r="C1639" s="1057">
        <f>CEILING((C1638+30*$Z$1),0.1)</f>
        <v>108.80000000000001</v>
      </c>
      <c r="D1639" s="1058"/>
      <c r="E1639" s="1057">
        <f>CEILING((E1638+30*$Z$1),0.1)</f>
        <v>108.80000000000001</v>
      </c>
      <c r="F1639" s="1058"/>
      <c r="G1639" s="1057">
        <f>CEILING((G1638+30*$Z$1),0.1)</f>
        <v>108.80000000000001</v>
      </c>
      <c r="H1639" s="1058"/>
      <c r="I1639" s="1061"/>
      <c r="J1639" s="1061"/>
      <c r="K1639" s="1061"/>
      <c r="L1639" s="1061"/>
      <c r="M1639" s="105"/>
      <c r="N1639" s="105"/>
      <c r="O1639" s="105"/>
      <c r="P1639" s="105"/>
      <c r="Q1639" s="105"/>
      <c r="R1639" s="105"/>
      <c r="S1639" s="105"/>
      <c r="T1639" s="105"/>
      <c r="U1639" s="105"/>
      <c r="V1639" s="105"/>
      <c r="W1639" s="105"/>
      <c r="X1639" s="105"/>
      <c r="Y1639" s="105"/>
      <c r="Z1639" s="105"/>
      <c r="AA1639" s="105"/>
      <c r="AB1639" s="105"/>
      <c r="AC1639" s="105"/>
      <c r="AD1639" s="105"/>
      <c r="AE1639" s="105"/>
    </row>
    <row r="1640" spans="1:31" s="107" customFormat="1" ht="34.5" customHeight="1">
      <c r="A1640" s="447"/>
      <c r="B1640" s="881" t="s">
        <v>70</v>
      </c>
      <c r="C1640" s="1057">
        <f>CEILING((C1638*0.85),0.1)</f>
        <v>60.7</v>
      </c>
      <c r="D1640" s="1058"/>
      <c r="E1640" s="1057">
        <f>CEILING((E1638*0.85),0.1)</f>
        <v>60.7</v>
      </c>
      <c r="F1640" s="1058"/>
      <c r="G1640" s="1057">
        <f>CEILING((G1638*0.85),0.1)</f>
        <v>60.7</v>
      </c>
      <c r="H1640" s="1058"/>
      <c r="I1640" s="1061"/>
      <c r="J1640" s="1061"/>
      <c r="K1640" s="1061"/>
      <c r="L1640" s="1061"/>
      <c r="M1640" s="105"/>
      <c r="N1640" s="105"/>
      <c r="O1640" s="105"/>
      <c r="P1640" s="105"/>
      <c r="Q1640" s="105"/>
      <c r="R1640" s="105"/>
      <c r="S1640" s="105"/>
      <c r="T1640" s="105"/>
      <c r="U1640" s="105"/>
      <c r="V1640" s="105"/>
      <c r="W1640" s="105"/>
      <c r="X1640" s="105"/>
      <c r="Y1640" s="105"/>
      <c r="Z1640" s="105"/>
      <c r="AA1640" s="105"/>
      <c r="AB1640" s="105"/>
      <c r="AC1640" s="105"/>
      <c r="AD1640" s="105"/>
      <c r="AE1640" s="105"/>
    </row>
    <row r="1641" spans="1:31" s="107" customFormat="1" ht="34.5" customHeight="1">
      <c r="A1641" s="561"/>
      <c r="B1641" s="882" t="s">
        <v>58</v>
      </c>
      <c r="C1641" s="1057">
        <f>CEILING((C1638+15*$Z$1),0.1)</f>
        <v>90.10000000000001</v>
      </c>
      <c r="D1641" s="1058"/>
      <c r="E1641" s="1057">
        <f>CEILING((E1638+15*$Z$1),0.1)</f>
        <v>90.10000000000001</v>
      </c>
      <c r="F1641" s="1058"/>
      <c r="G1641" s="1057">
        <f>CEILING((G1638+15*$Z$1),0.1)</f>
        <v>90.10000000000001</v>
      </c>
      <c r="H1641" s="1058"/>
      <c r="I1641" s="1061"/>
      <c r="J1641" s="1061"/>
      <c r="K1641" s="1061"/>
      <c r="L1641" s="1061"/>
      <c r="M1641" s="105"/>
      <c r="N1641" s="105"/>
      <c r="O1641" s="105"/>
      <c r="P1641" s="105"/>
      <c r="Q1641" s="105"/>
      <c r="R1641" s="105"/>
      <c r="S1641" s="105"/>
      <c r="T1641" s="105"/>
      <c r="U1641" s="105"/>
      <c r="V1641" s="105"/>
      <c r="W1641" s="105"/>
      <c r="X1641" s="105"/>
      <c r="Y1641" s="105"/>
      <c r="Z1641" s="105"/>
      <c r="AA1641" s="105"/>
      <c r="AB1641" s="105"/>
      <c r="AC1641" s="105"/>
      <c r="AD1641" s="105"/>
      <c r="AE1641" s="105"/>
    </row>
    <row r="1642" spans="1:31" s="107" customFormat="1" ht="34.5" customHeight="1">
      <c r="A1642" s="447"/>
      <c r="B1642" s="880" t="s">
        <v>59</v>
      </c>
      <c r="C1642" s="1057">
        <f>CEILING((C1641+30*$Z$1),0.1)</f>
        <v>127.60000000000001</v>
      </c>
      <c r="D1642" s="1058"/>
      <c r="E1642" s="1057">
        <f>CEILING((E1641+30*$Z$1),0.1)</f>
        <v>127.60000000000001</v>
      </c>
      <c r="F1642" s="1058"/>
      <c r="G1642" s="1057">
        <f>CEILING((G1641+30*$Z$1),0.1)</f>
        <v>127.60000000000001</v>
      </c>
      <c r="H1642" s="1058"/>
      <c r="I1642" s="1061"/>
      <c r="J1642" s="1061"/>
      <c r="K1642" s="1061"/>
      <c r="L1642" s="1061"/>
      <c r="M1642" s="105"/>
      <c r="N1642" s="105"/>
      <c r="O1642" s="105"/>
      <c r="P1642" s="105"/>
      <c r="Q1642" s="105"/>
      <c r="R1642" s="105"/>
      <c r="S1642" s="105"/>
      <c r="T1642" s="105"/>
      <c r="U1642" s="105"/>
      <c r="V1642" s="105"/>
      <c r="W1642" s="105"/>
      <c r="X1642" s="105"/>
      <c r="Y1642" s="105"/>
      <c r="Z1642" s="105"/>
      <c r="AA1642" s="105"/>
      <c r="AB1642" s="105"/>
      <c r="AC1642" s="105"/>
      <c r="AD1642" s="105"/>
      <c r="AE1642" s="105"/>
    </row>
    <row r="1643" spans="1:31" s="107" customFormat="1" ht="34.5" customHeight="1">
      <c r="A1643" s="447"/>
      <c r="B1643" s="882" t="s">
        <v>47</v>
      </c>
      <c r="C1643" s="1057">
        <f>CEILING((C1638+30*$Z$1),0.1)</f>
        <v>108.80000000000001</v>
      </c>
      <c r="D1643" s="1058"/>
      <c r="E1643" s="1057">
        <f>CEILING((E1638+30*$Z$1),0.1)</f>
        <v>108.80000000000001</v>
      </c>
      <c r="F1643" s="1058"/>
      <c r="G1643" s="1057">
        <f>CEILING((G1638+30*$Z$1),0.1)</f>
        <v>108.80000000000001</v>
      </c>
      <c r="H1643" s="1058"/>
      <c r="I1643" s="1061"/>
      <c r="J1643" s="1061"/>
      <c r="K1643" s="1061"/>
      <c r="L1643" s="1061"/>
      <c r="M1643" s="105"/>
      <c r="N1643" s="105"/>
      <c r="O1643" s="105"/>
      <c r="P1643" s="105"/>
      <c r="Q1643" s="105"/>
      <c r="R1643" s="105"/>
      <c r="S1643" s="105"/>
      <c r="T1643" s="105"/>
      <c r="U1643" s="105"/>
      <c r="V1643" s="105"/>
      <c r="W1643" s="105"/>
      <c r="X1643" s="105"/>
      <c r="Y1643" s="105"/>
      <c r="Z1643" s="105"/>
      <c r="AA1643" s="105"/>
      <c r="AB1643" s="105"/>
      <c r="AC1643" s="105"/>
      <c r="AD1643" s="105"/>
      <c r="AE1643" s="105"/>
    </row>
    <row r="1644" spans="1:31" s="107" customFormat="1" ht="34.5" customHeight="1" thickBot="1">
      <c r="A1644" s="363" t="s">
        <v>324</v>
      </c>
      <c r="B1644" s="883" t="s">
        <v>48</v>
      </c>
      <c r="C1644" s="1076">
        <f>CEILING((C1643+60*$Z$1),0.1)</f>
        <v>183.8</v>
      </c>
      <c r="D1644" s="1077"/>
      <c r="E1644" s="1076">
        <f>CEILING((E1643+60*$Z$1),0.1)</f>
        <v>183.8</v>
      </c>
      <c r="F1644" s="1077"/>
      <c r="G1644" s="1076">
        <f>CEILING((G1643+60*$Z$1),0.1)</f>
        <v>183.8</v>
      </c>
      <c r="H1644" s="1077"/>
      <c r="I1644" s="1061"/>
      <c r="J1644" s="1061"/>
      <c r="K1644" s="1061"/>
      <c r="L1644" s="1061"/>
      <c r="M1644" s="105"/>
      <c r="N1644" s="105"/>
      <c r="O1644" s="105"/>
      <c r="P1644" s="105"/>
      <c r="Q1644" s="105"/>
      <c r="R1644" s="105"/>
      <c r="S1644" s="105"/>
      <c r="T1644" s="105"/>
      <c r="U1644" s="105"/>
      <c r="V1644" s="105"/>
      <c r="W1644" s="105"/>
      <c r="X1644" s="105"/>
      <c r="Y1644" s="105"/>
      <c r="Z1644" s="105"/>
      <c r="AA1644" s="105"/>
      <c r="AB1644" s="105"/>
      <c r="AC1644" s="105"/>
      <c r="AD1644" s="105"/>
      <c r="AE1644" s="105"/>
    </row>
    <row r="1645" spans="1:31" s="107" customFormat="1" ht="34.5" customHeight="1" thickTop="1">
      <c r="A1645" s="884" t="s">
        <v>211</v>
      </c>
      <c r="B1645" s="137"/>
      <c r="C1645" s="137"/>
      <c r="D1645" s="137"/>
      <c r="E1645" s="137"/>
      <c r="F1645" s="137"/>
      <c r="G1645" s="137"/>
      <c r="H1645" s="137"/>
      <c r="I1645" s="137"/>
      <c r="J1645" s="720"/>
      <c r="K1645" s="514"/>
      <c r="L1645" s="138"/>
      <c r="M1645" s="105"/>
      <c r="N1645" s="105"/>
      <c r="O1645" s="105"/>
      <c r="P1645" s="105"/>
      <c r="Q1645" s="105"/>
      <c r="R1645" s="105"/>
      <c r="S1645" s="105"/>
      <c r="T1645" s="105"/>
      <c r="U1645" s="105"/>
      <c r="V1645" s="105"/>
      <c r="W1645" s="105"/>
      <c r="X1645" s="105"/>
      <c r="Y1645" s="105"/>
      <c r="Z1645" s="105"/>
      <c r="AA1645" s="105"/>
      <c r="AB1645" s="105"/>
      <c r="AC1645" s="105"/>
      <c r="AD1645" s="105"/>
      <c r="AE1645" s="105"/>
    </row>
    <row r="1646" spans="1:31" s="107" customFormat="1" ht="34.5" customHeight="1" thickBot="1">
      <c r="A1646" s="884"/>
      <c r="B1646" s="137"/>
      <c r="C1646" s="885"/>
      <c r="D1646" s="885"/>
      <c r="E1646" s="885"/>
      <c r="F1646" s="885"/>
      <c r="G1646" s="885"/>
      <c r="H1646" s="885"/>
      <c r="I1646" s="814"/>
      <c r="J1646" s="530"/>
      <c r="K1646" s="514"/>
      <c r="L1646" s="138"/>
      <c r="M1646" s="105"/>
      <c r="N1646" s="105"/>
      <c r="O1646" s="105"/>
      <c r="P1646" s="105"/>
      <c r="Q1646" s="105"/>
      <c r="R1646" s="105"/>
      <c r="S1646" s="105"/>
      <c r="T1646" s="105"/>
      <c r="U1646" s="105"/>
      <c r="V1646" s="105"/>
      <c r="W1646" s="105"/>
      <c r="X1646" s="105"/>
      <c r="Y1646" s="105"/>
      <c r="Z1646" s="105"/>
      <c r="AA1646" s="105"/>
      <c r="AB1646" s="105"/>
      <c r="AC1646" s="105"/>
      <c r="AD1646" s="105"/>
      <c r="AE1646" s="105"/>
    </row>
    <row r="1647" spans="1:42" s="214" customFormat="1" ht="34.5" customHeight="1" thickTop="1">
      <c r="A1647" s="207" t="s">
        <v>34</v>
      </c>
      <c r="B1647" s="208" t="s">
        <v>91</v>
      </c>
      <c r="C1647" s="209" t="s">
        <v>921</v>
      </c>
      <c r="D1647" s="210"/>
      <c r="E1647" s="211" t="s">
        <v>922</v>
      </c>
      <c r="F1647" s="212"/>
      <c r="G1647" s="211" t="s">
        <v>923</v>
      </c>
      <c r="H1647" s="212"/>
      <c r="I1647" s="1070"/>
      <c r="J1647" s="1071"/>
      <c r="K1647" s="1070"/>
      <c r="L1647" s="1070"/>
      <c r="M1647" s="174"/>
      <c r="N1647" s="174"/>
      <c r="O1647" s="213"/>
      <c r="P1647" s="213"/>
      <c r="Q1647" s="213"/>
      <c r="R1647" s="213"/>
      <c r="S1647" s="114"/>
      <c r="T1647" s="105"/>
      <c r="U1647" s="105"/>
      <c r="V1647" s="105"/>
      <c r="W1647" s="105"/>
      <c r="X1647" s="105"/>
      <c r="Y1647" s="105"/>
      <c r="Z1647" s="114"/>
      <c r="AA1647" s="213"/>
      <c r="AB1647" s="213"/>
      <c r="AC1647" s="213"/>
      <c r="AD1647" s="213"/>
      <c r="AE1647" s="213"/>
      <c r="AF1647" s="213"/>
      <c r="AG1647" s="213"/>
      <c r="AH1647" s="213"/>
      <c r="AI1647" s="213"/>
      <c r="AJ1647" s="213"/>
      <c r="AK1647" s="213"/>
      <c r="AL1647" s="213"/>
      <c r="AM1647" s="213"/>
      <c r="AN1647" s="213"/>
      <c r="AO1647" s="213"/>
      <c r="AP1647" s="213"/>
    </row>
    <row r="1648" spans="1:31" s="107" customFormat="1" ht="34.5" customHeight="1">
      <c r="A1648" s="796" t="s">
        <v>285</v>
      </c>
      <c r="B1648" s="236" t="s">
        <v>42</v>
      </c>
      <c r="C1648" s="1063">
        <f>CEILING(23*$Z$1,0.1)</f>
        <v>28.8</v>
      </c>
      <c r="D1648" s="1064"/>
      <c r="E1648" s="1063">
        <f>CEILING(25*$Z$1,0.1)</f>
        <v>31.3</v>
      </c>
      <c r="F1648" s="1064"/>
      <c r="G1648" s="1063">
        <f>CEILING(22*$Z$1,0.1)</f>
        <v>27.5</v>
      </c>
      <c r="H1648" s="1064"/>
      <c r="I1648" s="1061"/>
      <c r="J1648" s="1061"/>
      <c r="K1648" s="1061"/>
      <c r="L1648" s="1061"/>
      <c r="M1648" s="105"/>
      <c r="N1648" s="105"/>
      <c r="O1648" s="105"/>
      <c r="P1648" s="105"/>
      <c r="Q1648" s="105"/>
      <c r="R1648" s="105"/>
      <c r="S1648" s="105"/>
      <c r="T1648" s="105"/>
      <c r="U1648" s="105"/>
      <c r="V1648" s="105"/>
      <c r="W1648" s="105"/>
      <c r="X1648" s="105"/>
      <c r="Y1648" s="105"/>
      <c r="Z1648" s="105"/>
      <c r="AA1648" s="105"/>
      <c r="AB1648" s="105"/>
      <c r="AC1648" s="105"/>
      <c r="AD1648" s="105"/>
      <c r="AE1648" s="105"/>
    </row>
    <row r="1649" spans="1:31" s="107" customFormat="1" ht="34.5" customHeight="1">
      <c r="A1649" s="432" t="s">
        <v>80</v>
      </c>
      <c r="B1649" s="238" t="s">
        <v>43</v>
      </c>
      <c r="C1649" s="1065">
        <f>CEILING((C1648+8*$Z$1),0.1)</f>
        <v>38.800000000000004</v>
      </c>
      <c r="D1649" s="1066"/>
      <c r="E1649" s="1065">
        <f>CEILING((E1648+8*$Z$1),0.1)</f>
        <v>41.300000000000004</v>
      </c>
      <c r="F1649" s="1066"/>
      <c r="G1649" s="1065">
        <f>CEILING((G1648+5*$Z$1),0.1)</f>
        <v>33.800000000000004</v>
      </c>
      <c r="H1649" s="1066"/>
      <c r="I1649" s="1061"/>
      <c r="J1649" s="1061"/>
      <c r="K1649" s="1061"/>
      <c r="L1649" s="1061"/>
      <c r="M1649" s="105"/>
      <c r="N1649" s="105"/>
      <c r="O1649" s="105"/>
      <c r="P1649" s="105"/>
      <c r="Q1649" s="105"/>
      <c r="R1649" s="105"/>
      <c r="S1649" s="105"/>
      <c r="T1649" s="105"/>
      <c r="U1649" s="105"/>
      <c r="V1649" s="105"/>
      <c r="W1649" s="105"/>
      <c r="X1649" s="105"/>
      <c r="Y1649" s="105"/>
      <c r="Z1649" s="105"/>
      <c r="AA1649" s="105"/>
      <c r="AB1649" s="105"/>
      <c r="AC1649" s="105"/>
      <c r="AD1649" s="105"/>
      <c r="AE1649" s="105"/>
    </row>
    <row r="1650" spans="1:31" s="107" customFormat="1" ht="34.5" customHeight="1">
      <c r="A1650" s="143" t="s">
        <v>1112</v>
      </c>
      <c r="B1650" s="330" t="s">
        <v>70</v>
      </c>
      <c r="C1650" s="1065">
        <f>CEILING((C1648*0.85),0.1)</f>
        <v>24.5</v>
      </c>
      <c r="D1650" s="1066"/>
      <c r="E1650" s="1065">
        <f>CEILING((E1648*0.85),0.1)</f>
        <v>26.700000000000003</v>
      </c>
      <c r="F1650" s="1066"/>
      <c r="G1650" s="1065">
        <f>CEILING((G1648*0.85),0.1)</f>
        <v>23.400000000000002</v>
      </c>
      <c r="H1650" s="1066"/>
      <c r="I1650" s="1061"/>
      <c r="J1650" s="1061"/>
      <c r="K1650" s="1061"/>
      <c r="L1650" s="1061"/>
      <c r="AE1650" s="105"/>
    </row>
    <row r="1651" spans="1:31" s="107" customFormat="1" ht="34.5" customHeight="1" thickBot="1">
      <c r="A1651" s="461" t="s">
        <v>332</v>
      </c>
      <c r="B1651" s="476" t="s">
        <v>81</v>
      </c>
      <c r="C1651" s="1150">
        <f>CEILING((C1648*0),0.1)</f>
        <v>0</v>
      </c>
      <c r="D1651" s="1151"/>
      <c r="E1651" s="1150">
        <f>CEILING((E1648*0),0.1)</f>
        <v>0</v>
      </c>
      <c r="F1651" s="1151"/>
      <c r="G1651" s="1150">
        <f>CEILING((G1648*0),0.1)</f>
        <v>0</v>
      </c>
      <c r="H1651" s="1151"/>
      <c r="I1651" s="1153"/>
      <c r="J1651" s="1153"/>
      <c r="K1651" s="1153"/>
      <c r="L1651" s="1153"/>
      <c r="AE1651" s="105"/>
    </row>
    <row r="1652" spans="1:37" s="371" customFormat="1" ht="34.5" customHeight="1" thickTop="1">
      <c r="A1652" s="163"/>
      <c r="B1652" s="164"/>
      <c r="C1652" s="163"/>
      <c r="D1652" s="163"/>
      <c r="E1652" s="163"/>
      <c r="F1652" s="163"/>
      <c r="G1652" s="163"/>
      <c r="H1652" s="163"/>
      <c r="I1652" s="163"/>
      <c r="J1652" s="163"/>
      <c r="K1652" s="515"/>
      <c r="L1652" s="515"/>
      <c r="M1652" s="174"/>
      <c r="N1652" s="174"/>
      <c r="O1652" s="179"/>
      <c r="P1652" s="179"/>
      <c r="Q1652" s="179"/>
      <c r="R1652" s="179"/>
      <c r="S1652" s="179"/>
      <c r="T1652" s="179"/>
      <c r="U1652" s="179"/>
      <c r="V1652" s="179"/>
      <c r="W1652" s="179"/>
      <c r="X1652" s="179"/>
      <c r="Y1652" s="179"/>
      <c r="Z1652" s="179"/>
      <c r="AA1652" s="179"/>
      <c r="AB1652" s="179"/>
      <c r="AC1652" s="179"/>
      <c r="AD1652" s="179"/>
      <c r="AE1652" s="179"/>
      <c r="AF1652" s="179"/>
      <c r="AG1652" s="179"/>
      <c r="AH1652" s="179"/>
      <c r="AI1652" s="179"/>
      <c r="AJ1652" s="179"/>
      <c r="AK1652" s="179"/>
    </row>
    <row r="1653" spans="1:31" s="140" customFormat="1" ht="34.5" customHeight="1">
      <c r="A1653" s="1149" t="s">
        <v>1007</v>
      </c>
      <c r="B1653" s="1149"/>
      <c r="C1653" s="1149"/>
      <c r="D1653" s="1149"/>
      <c r="E1653" s="1149"/>
      <c r="F1653" s="1149"/>
      <c r="G1653" s="1149"/>
      <c r="H1653" s="1170"/>
      <c r="I1653" s="148"/>
      <c r="J1653" s="148"/>
      <c r="K1653" s="139"/>
      <c r="L1653" s="108"/>
      <c r="AE1653" s="115"/>
    </row>
    <row r="1654" spans="1:12" s="33" customFormat="1" ht="34.5" customHeight="1">
      <c r="A1654" s="88"/>
      <c r="B1654" s="88"/>
      <c r="C1654" s="88"/>
      <c r="D1654" s="88"/>
      <c r="E1654" s="88"/>
      <c r="F1654" s="88"/>
      <c r="G1654" s="88"/>
      <c r="H1654" s="44"/>
      <c r="I1654" s="38"/>
      <c r="J1654" s="38"/>
      <c r="K1654" s="62"/>
      <c r="L1654" s="44"/>
    </row>
    <row r="1655" spans="1:31" s="15" customFormat="1" ht="34.5" customHeight="1">
      <c r="A1655" s="1154" t="s">
        <v>918</v>
      </c>
      <c r="B1655" s="1154"/>
      <c r="C1655" s="141"/>
      <c r="D1655" s="141"/>
      <c r="E1655" s="141"/>
      <c r="F1655" s="141"/>
      <c r="G1655" s="141"/>
      <c r="H1655" s="141"/>
      <c r="I1655" s="142"/>
      <c r="J1655" s="142"/>
      <c r="K1655" s="71"/>
      <c r="L1655" s="55"/>
      <c r="AE1655" s="14"/>
    </row>
    <row r="1656" spans="1:31" s="15" customFormat="1" ht="34.5" customHeight="1">
      <c r="A1656" s="1165" t="s">
        <v>187</v>
      </c>
      <c r="B1656" s="1165"/>
      <c r="C1656" s="141"/>
      <c r="D1656" s="141"/>
      <c r="E1656" s="141"/>
      <c r="F1656" s="141"/>
      <c r="G1656" s="141"/>
      <c r="H1656" s="141"/>
      <c r="I1656" s="142"/>
      <c r="J1656" s="142"/>
      <c r="K1656" s="71"/>
      <c r="L1656" s="55"/>
      <c r="AE1656" s="14"/>
    </row>
    <row r="1657" spans="1:31" s="15" customFormat="1" ht="34.5" customHeight="1">
      <c r="A1657" s="1164" t="s">
        <v>145</v>
      </c>
      <c r="B1657" s="1164"/>
      <c r="C1657" s="141"/>
      <c r="D1657" s="141"/>
      <c r="E1657" s="141"/>
      <c r="F1657" s="141"/>
      <c r="G1657" s="141"/>
      <c r="H1657" s="141"/>
      <c r="I1657" s="142"/>
      <c r="J1657" s="142"/>
      <c r="K1657" s="55"/>
      <c r="L1657" s="55"/>
      <c r="AE1657" s="14"/>
    </row>
    <row r="1658" spans="1:31" s="15" customFormat="1" ht="34.5" customHeight="1" thickBot="1">
      <c r="A1658" s="90"/>
      <c r="B1658" s="90"/>
      <c r="C1658" s="89"/>
      <c r="D1658" s="89"/>
      <c r="E1658" s="89"/>
      <c r="F1658" s="89"/>
      <c r="G1658" s="89"/>
      <c r="H1658" s="89"/>
      <c r="I1658" s="8"/>
      <c r="J1658" s="8"/>
      <c r="AE1658" s="14"/>
    </row>
    <row r="1659" spans="1:31" s="15" customFormat="1" ht="34.5" customHeight="1" thickBot="1">
      <c r="A1659" s="3" t="s">
        <v>225</v>
      </c>
      <c r="B1659" s="91"/>
      <c r="C1659" s="92"/>
      <c r="D1659" s="92"/>
      <c r="E1659" s="92"/>
      <c r="F1659" s="92"/>
      <c r="G1659" s="92"/>
      <c r="H1659" s="92"/>
      <c r="I1659" s="93"/>
      <c r="J1659" s="8"/>
      <c r="AE1659" s="14"/>
    </row>
    <row r="1660" spans="1:31" s="15" customFormat="1" ht="34.5" customHeight="1">
      <c r="A1660" s="1166"/>
      <c r="B1660" s="1167"/>
      <c r="C1660" s="1167"/>
      <c r="D1660" s="94"/>
      <c r="E1660" s="94"/>
      <c r="F1660" s="94"/>
      <c r="G1660" s="94"/>
      <c r="H1660" s="94"/>
      <c r="I1660" s="75"/>
      <c r="J1660" s="8"/>
      <c r="AE1660" s="14"/>
    </row>
    <row r="1661" spans="1:31" s="15" customFormat="1" ht="34.5" customHeight="1">
      <c r="A1661" s="1171" t="s">
        <v>146</v>
      </c>
      <c r="B1661" s="1172"/>
      <c r="C1661" s="1172"/>
      <c r="D1661" s="1172"/>
      <c r="E1661" s="1172"/>
      <c r="F1661" s="1172"/>
      <c r="G1661" s="1172"/>
      <c r="H1661" s="1172"/>
      <c r="I1661" s="1173"/>
      <c r="J1661" s="95"/>
      <c r="AE1661" s="14"/>
    </row>
    <row r="1662" spans="1:31" s="15" customFormat="1" ht="34.5" customHeight="1">
      <c r="A1662" s="1166" t="s">
        <v>147</v>
      </c>
      <c r="B1662" s="1167"/>
      <c r="C1662" s="1167"/>
      <c r="D1662" s="94"/>
      <c r="E1662" s="94"/>
      <c r="F1662" s="94"/>
      <c r="G1662" s="94"/>
      <c r="H1662" s="94"/>
      <c r="I1662" s="75"/>
      <c r="J1662" s="8"/>
      <c r="AE1662" s="14"/>
    </row>
    <row r="1663" spans="1:31" s="15" customFormat="1" ht="34.5" customHeight="1">
      <c r="A1663" s="1168" t="s">
        <v>16</v>
      </c>
      <c r="B1663" s="1169"/>
      <c r="C1663" s="1169"/>
      <c r="D1663" s="1169"/>
      <c r="E1663" s="1169"/>
      <c r="F1663" s="1169"/>
      <c r="G1663" s="1169"/>
      <c r="H1663" s="1169"/>
      <c r="I1663" s="75"/>
      <c r="J1663" s="8"/>
      <c r="AE1663" s="14"/>
    </row>
    <row r="1664" spans="1:54" s="100" customFormat="1" ht="52.5" customHeight="1" thickBot="1">
      <c r="A1664" s="1155" t="s">
        <v>919</v>
      </c>
      <c r="B1664" s="1156"/>
      <c r="C1664" s="1156"/>
      <c r="D1664" s="1156"/>
      <c r="E1664" s="1156"/>
      <c r="F1664" s="1156"/>
      <c r="G1664" s="1156"/>
      <c r="H1664" s="1156"/>
      <c r="I1664" s="96"/>
      <c r="J1664" s="97"/>
      <c r="K1664" s="98"/>
      <c r="L1664" s="98"/>
      <c r="M1664" s="98"/>
      <c r="N1664" s="98"/>
      <c r="O1664" s="98"/>
      <c r="P1664" s="98"/>
      <c r="Q1664" s="98"/>
      <c r="R1664" s="98"/>
      <c r="S1664" s="98"/>
      <c r="T1664" s="98"/>
      <c r="U1664" s="98"/>
      <c r="V1664" s="98"/>
      <c r="W1664" s="98"/>
      <c r="X1664" s="98"/>
      <c r="Y1664" s="98"/>
      <c r="Z1664" s="98"/>
      <c r="AA1664" s="98"/>
      <c r="AB1664" s="98"/>
      <c r="AC1664" s="98"/>
      <c r="AD1664" s="98"/>
      <c r="AE1664" s="98"/>
      <c r="AF1664" s="98"/>
      <c r="AG1664" s="98"/>
      <c r="AH1664" s="98"/>
      <c r="AI1664" s="98"/>
      <c r="AJ1664" s="98"/>
      <c r="AK1664" s="98"/>
      <c r="AL1664" s="98"/>
      <c r="AM1664" s="98"/>
      <c r="AN1664" s="98"/>
      <c r="AO1664" s="98"/>
      <c r="AP1664" s="98"/>
      <c r="AQ1664" s="98"/>
      <c r="AR1664" s="98"/>
      <c r="AS1664" s="98"/>
      <c r="AT1664" s="98"/>
      <c r="AU1664" s="98"/>
      <c r="AV1664" s="98"/>
      <c r="AW1664" s="98"/>
      <c r="AX1664" s="98"/>
      <c r="AY1664" s="98"/>
      <c r="AZ1664" s="98"/>
      <c r="BA1664" s="99"/>
      <c r="BB1664" s="99"/>
    </row>
    <row r="1665" spans="1:31" s="135" customFormat="1" ht="34.5" customHeight="1">
      <c r="A1665" s="1152" t="s">
        <v>997</v>
      </c>
      <c r="B1665" s="1152"/>
      <c r="C1665" s="1152"/>
      <c r="D1665" s="1152"/>
      <c r="E1665" s="1152"/>
      <c r="F1665" s="1152"/>
      <c r="G1665" s="1152"/>
      <c r="H1665" s="1152"/>
      <c r="I1665" s="1152"/>
      <c r="J1665" s="1152"/>
      <c r="AE1665" s="136"/>
    </row>
    <row r="1666" spans="1:31" s="135" customFormat="1" ht="34.5" customHeight="1">
      <c r="A1666" s="1152" t="s">
        <v>998</v>
      </c>
      <c r="B1666" s="1152"/>
      <c r="C1666" s="1152"/>
      <c r="D1666" s="1152"/>
      <c r="E1666" s="1152"/>
      <c r="F1666" s="1152"/>
      <c r="G1666" s="1152"/>
      <c r="H1666" s="1152"/>
      <c r="I1666" s="1152"/>
      <c r="J1666" s="1152"/>
      <c r="AE1666" s="136"/>
    </row>
    <row r="1667" spans="1:31" s="135" customFormat="1" ht="34.5" customHeight="1">
      <c r="A1667" s="1152" t="s">
        <v>999</v>
      </c>
      <c r="B1667" s="1152"/>
      <c r="C1667" s="1152"/>
      <c r="D1667" s="1152"/>
      <c r="E1667" s="1152"/>
      <c r="F1667" s="1152"/>
      <c r="G1667" s="1152"/>
      <c r="H1667" s="1152"/>
      <c r="I1667" s="1152"/>
      <c r="J1667" s="1152"/>
      <c r="AE1667" s="136"/>
    </row>
    <row r="1668" spans="1:31" s="135" customFormat="1" ht="34.5" customHeight="1">
      <c r="A1668" s="1152" t="s">
        <v>1000</v>
      </c>
      <c r="B1668" s="1152"/>
      <c r="C1668" s="1152"/>
      <c r="D1668" s="1152"/>
      <c r="E1668" s="1152"/>
      <c r="F1668" s="1152"/>
      <c r="G1668" s="1152"/>
      <c r="H1668" s="1152"/>
      <c r="I1668" s="1152"/>
      <c r="J1668" s="1152"/>
      <c r="AE1668" s="136"/>
    </row>
    <row r="1669" spans="1:31" s="135" customFormat="1" ht="34.5" customHeight="1">
      <c r="A1669" s="1152" t="s">
        <v>1001</v>
      </c>
      <c r="B1669" s="1152"/>
      <c r="C1669" s="1152"/>
      <c r="D1669" s="1152"/>
      <c r="E1669" s="1152"/>
      <c r="F1669" s="1152"/>
      <c r="G1669" s="1152"/>
      <c r="H1669" s="1152"/>
      <c r="I1669" s="1152"/>
      <c r="J1669" s="1152"/>
      <c r="AE1669" s="136"/>
    </row>
    <row r="1670" spans="1:31" s="135" customFormat="1" ht="34.5" customHeight="1">
      <c r="A1670" s="1152" t="s">
        <v>1002</v>
      </c>
      <c r="B1670" s="1152"/>
      <c r="C1670" s="1152"/>
      <c r="D1670" s="1152"/>
      <c r="E1670" s="1152"/>
      <c r="F1670" s="1152"/>
      <c r="G1670" s="1152"/>
      <c r="H1670" s="1152"/>
      <c r="I1670" s="1152"/>
      <c r="J1670" s="1152"/>
      <c r="AE1670" s="136"/>
    </row>
    <row r="1671" s="15" customFormat="1" ht="34.5" customHeight="1"/>
    <row r="1672" s="15" customFormat="1" ht="34.5" customHeight="1"/>
    <row r="1673" s="15" customFormat="1" ht="34.5" customHeight="1"/>
    <row r="1674" s="15" customFormat="1" ht="34.5" customHeight="1"/>
    <row r="1675" s="15" customFormat="1" ht="34.5" customHeight="1"/>
    <row r="1676" s="15" customFormat="1" ht="34.5" customHeight="1"/>
    <row r="1677" s="15" customFormat="1" ht="34.5" customHeight="1"/>
    <row r="1678" s="15" customFormat="1" ht="34.5" customHeight="1"/>
    <row r="1679" s="15" customFormat="1" ht="34.5" customHeight="1"/>
    <row r="1680" s="15" customFormat="1" ht="34.5" customHeight="1"/>
    <row r="1681" s="15" customFormat="1" ht="34.5" customHeight="1"/>
    <row r="1682" s="15" customFormat="1" ht="34.5" customHeight="1"/>
    <row r="1683" s="15" customFormat="1" ht="34.5" customHeight="1"/>
    <row r="1684" s="15" customFormat="1" ht="34.5" customHeight="1"/>
    <row r="1685" s="15" customFormat="1" ht="34.5" customHeight="1"/>
    <row r="1686" s="15" customFormat="1" ht="34.5" customHeight="1"/>
    <row r="1687" s="15" customFormat="1" ht="34.5" customHeight="1"/>
    <row r="1688" s="15" customFormat="1" ht="34.5" customHeight="1"/>
    <row r="1689" s="15" customFormat="1" ht="34.5" customHeight="1"/>
    <row r="1690" s="15" customFormat="1" ht="34.5" customHeight="1"/>
    <row r="1691" s="15" customFormat="1" ht="34.5" customHeight="1"/>
    <row r="1692" s="15" customFormat="1" ht="34.5" customHeight="1"/>
    <row r="1693" s="15" customFormat="1" ht="34.5" customHeight="1"/>
    <row r="1694" s="15" customFormat="1" ht="34.5" customHeight="1"/>
    <row r="1695" s="15" customFormat="1" ht="34.5" customHeight="1"/>
    <row r="1696" spans="14:25" s="15" customFormat="1" ht="34.5" customHeight="1"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</row>
    <row r="1697" spans="14:25" s="15" customFormat="1" ht="34.5" customHeight="1"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</row>
    <row r="1698" spans="14:25" s="15" customFormat="1" ht="34.5" customHeight="1"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</row>
    <row r="1699" spans="14:25" s="15" customFormat="1" ht="34.5" customHeight="1"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</row>
    <row r="1700" spans="14:25" s="15" customFormat="1" ht="34.5" customHeight="1"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</row>
    <row r="1701" spans="14:25" s="15" customFormat="1" ht="34.5" customHeight="1"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</row>
    <row r="1702" spans="14:25" s="15" customFormat="1" ht="34.5" customHeight="1"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</row>
    <row r="1703" spans="14:25" s="15" customFormat="1" ht="34.5" customHeight="1"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</row>
    <row r="1704" spans="14:25" s="15" customFormat="1" ht="34.5" customHeight="1"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</row>
    <row r="1705" spans="14:25" s="15" customFormat="1" ht="34.5" customHeight="1"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</row>
    <row r="1706" spans="14:25" s="15" customFormat="1" ht="34.5" customHeight="1"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</row>
    <row r="1707" spans="11:25" s="15" customFormat="1" ht="34.5" customHeight="1">
      <c r="K1707" s="73"/>
      <c r="L1707" s="73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</row>
    <row r="1708" spans="11:25" s="15" customFormat="1" ht="34.5" customHeight="1">
      <c r="K1708" s="73"/>
      <c r="L1708" s="73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</row>
    <row r="1709" spans="11:25" s="15" customFormat="1" ht="34.5" customHeight="1">
      <c r="K1709" s="73"/>
      <c r="L1709" s="73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</row>
    <row r="1710" spans="11:25" s="15" customFormat="1" ht="34.5" customHeight="1">
      <c r="K1710" s="73"/>
      <c r="L1710" s="73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</row>
    <row r="1711" spans="11:25" s="15" customFormat="1" ht="34.5" customHeight="1">
      <c r="K1711" s="73"/>
      <c r="L1711" s="73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</row>
    <row r="1712" spans="11:25" s="15" customFormat="1" ht="34.5" customHeight="1">
      <c r="K1712" s="73"/>
      <c r="L1712" s="73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</row>
    <row r="1713" spans="11:25" s="15" customFormat="1" ht="34.5" customHeight="1">
      <c r="K1713" s="73"/>
      <c r="L1713" s="73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</row>
    <row r="1714" spans="11:25" s="15" customFormat="1" ht="34.5" customHeight="1">
      <c r="K1714" s="73"/>
      <c r="L1714" s="73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</row>
    <row r="1715" spans="11:25" s="15" customFormat="1" ht="34.5" customHeight="1">
      <c r="K1715" s="73"/>
      <c r="L1715" s="73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</row>
    <row r="1716" spans="11:25" s="15" customFormat="1" ht="34.5" customHeight="1">
      <c r="K1716" s="73"/>
      <c r="L1716" s="73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</row>
  </sheetData>
  <sheetProtection password="EB09" sheet="1" formatCells="0" formatColumns="0" formatRows="0" insertColumns="0" insertRows="0" insertHyperlinks="0" deleteColumns="0" deleteRows="0" sort="0" autoFilter="0" pivotTables="0"/>
  <mergeCells count="4372">
    <mergeCell ref="I60:J60"/>
    <mergeCell ref="I52:J52"/>
    <mergeCell ref="A5:K5"/>
    <mergeCell ref="A2:L2"/>
    <mergeCell ref="A19:B19"/>
    <mergeCell ref="K54:L54"/>
    <mergeCell ref="K52:L52"/>
    <mergeCell ref="K51:L51"/>
    <mergeCell ref="E51:F51"/>
    <mergeCell ref="E110:F110"/>
    <mergeCell ref="K110:L110"/>
    <mergeCell ref="K88:L88"/>
    <mergeCell ref="K91:L91"/>
    <mergeCell ref="K90:L90"/>
    <mergeCell ref="K87:L87"/>
    <mergeCell ref="K108:L108"/>
    <mergeCell ref="K107:L107"/>
    <mergeCell ref="K94:L94"/>
    <mergeCell ref="K92:L92"/>
    <mergeCell ref="K86:L86"/>
    <mergeCell ref="K79:L79"/>
    <mergeCell ref="K85:L85"/>
    <mergeCell ref="K67:L67"/>
    <mergeCell ref="K84:L84"/>
    <mergeCell ref="K76:L76"/>
    <mergeCell ref="K82:L82"/>
    <mergeCell ref="A81:L81"/>
    <mergeCell ref="K77:L77"/>
    <mergeCell ref="C83:D83"/>
    <mergeCell ref="I145:J145"/>
    <mergeCell ref="K144:L144"/>
    <mergeCell ref="K142:L142"/>
    <mergeCell ref="K143:L143"/>
    <mergeCell ref="K116:L116"/>
    <mergeCell ref="C111:D111"/>
    <mergeCell ref="K111:L111"/>
    <mergeCell ref="K112:L112"/>
    <mergeCell ref="K131:L131"/>
    <mergeCell ref="K120:L120"/>
    <mergeCell ref="K179:L179"/>
    <mergeCell ref="K186:L186"/>
    <mergeCell ref="K193:L193"/>
    <mergeCell ref="I140:J140"/>
    <mergeCell ref="K135:L135"/>
    <mergeCell ref="I137:J137"/>
    <mergeCell ref="K140:L140"/>
    <mergeCell ref="I152:J152"/>
    <mergeCell ref="K137:L137"/>
    <mergeCell ref="K145:L145"/>
    <mergeCell ref="I153:J153"/>
    <mergeCell ref="K146:L146"/>
    <mergeCell ref="E160:F160"/>
    <mergeCell ref="K155:L155"/>
    <mergeCell ref="K177:L177"/>
    <mergeCell ref="K172:L172"/>
    <mergeCell ref="K175:L175"/>
    <mergeCell ref="K176:L176"/>
    <mergeCell ref="K171:L171"/>
    <mergeCell ref="K164:L164"/>
    <mergeCell ref="K189:L189"/>
    <mergeCell ref="K187:L187"/>
    <mergeCell ref="K170:L170"/>
    <mergeCell ref="K174:L174"/>
    <mergeCell ref="K154:L154"/>
    <mergeCell ref="K124:L124"/>
    <mergeCell ref="K166:L166"/>
    <mergeCell ref="K158:L158"/>
    <mergeCell ref="K156:L156"/>
    <mergeCell ref="K167:L167"/>
    <mergeCell ref="K190:L190"/>
    <mergeCell ref="K180:L180"/>
    <mergeCell ref="K194:L194"/>
    <mergeCell ref="K207:L207"/>
    <mergeCell ref="K169:L169"/>
    <mergeCell ref="K178:L178"/>
    <mergeCell ref="K192:L192"/>
    <mergeCell ref="K191:L191"/>
    <mergeCell ref="K195:L195"/>
    <mergeCell ref="K185:L185"/>
    <mergeCell ref="K206:L206"/>
    <mergeCell ref="K197:L197"/>
    <mergeCell ref="K226:L226"/>
    <mergeCell ref="K208:L208"/>
    <mergeCell ref="K202:L202"/>
    <mergeCell ref="K213:L213"/>
    <mergeCell ref="K212:L212"/>
    <mergeCell ref="K216:L216"/>
    <mergeCell ref="K224:L224"/>
    <mergeCell ref="K196:L196"/>
    <mergeCell ref="K234:L234"/>
    <mergeCell ref="K237:L237"/>
    <mergeCell ref="K215:L215"/>
    <mergeCell ref="K222:L222"/>
    <mergeCell ref="K225:L225"/>
    <mergeCell ref="K228:L228"/>
    <mergeCell ref="K223:L223"/>
    <mergeCell ref="K217:L217"/>
    <mergeCell ref="K218:L218"/>
    <mergeCell ref="K235:L235"/>
    <mergeCell ref="K251:L251"/>
    <mergeCell ref="K245:L245"/>
    <mergeCell ref="K238:L238"/>
    <mergeCell ref="K249:L249"/>
    <mergeCell ref="K248:L248"/>
    <mergeCell ref="K246:L246"/>
    <mergeCell ref="K241:L241"/>
    <mergeCell ref="K239:L239"/>
    <mergeCell ref="K273:L273"/>
    <mergeCell ref="K254:L254"/>
    <mergeCell ref="K236:L236"/>
    <mergeCell ref="K247:L247"/>
    <mergeCell ref="K240:L240"/>
    <mergeCell ref="K253:L253"/>
    <mergeCell ref="K261:L261"/>
    <mergeCell ref="K265:L265"/>
    <mergeCell ref="K267:L267"/>
    <mergeCell ref="K264:L264"/>
    <mergeCell ref="K262:L262"/>
    <mergeCell ref="K263:L263"/>
    <mergeCell ref="K414:L414"/>
    <mergeCell ref="K446:L446"/>
    <mergeCell ref="K447:L447"/>
    <mergeCell ref="K434:L434"/>
    <mergeCell ref="K432:L432"/>
    <mergeCell ref="K440:L440"/>
    <mergeCell ref="K271:L271"/>
    <mergeCell ref="K423:L423"/>
    <mergeCell ref="K488:L488"/>
    <mergeCell ref="K486:L486"/>
    <mergeCell ref="K472:L472"/>
    <mergeCell ref="K485:L485"/>
    <mergeCell ref="K471:L471"/>
    <mergeCell ref="K476:L476"/>
    <mergeCell ref="K477:L477"/>
    <mergeCell ref="K475:L475"/>
    <mergeCell ref="K479:L479"/>
    <mergeCell ref="K487:L487"/>
    <mergeCell ref="K513:L513"/>
    <mergeCell ref="K511:L511"/>
    <mergeCell ref="K493:L493"/>
    <mergeCell ref="K495:L495"/>
    <mergeCell ref="K497:L497"/>
    <mergeCell ref="K500:L500"/>
    <mergeCell ref="K501:L501"/>
    <mergeCell ref="K499:L499"/>
    <mergeCell ref="K492:L492"/>
    <mergeCell ref="G702:H702"/>
    <mergeCell ref="E718:F718"/>
    <mergeCell ref="K584:L584"/>
    <mergeCell ref="K583:L583"/>
    <mergeCell ref="K662:L662"/>
    <mergeCell ref="K649:L649"/>
    <mergeCell ref="K643:L643"/>
    <mergeCell ref="K605:L605"/>
    <mergeCell ref="K603:L603"/>
    <mergeCell ref="K607:L607"/>
    <mergeCell ref="I695:J695"/>
    <mergeCell ref="K690:L690"/>
    <mergeCell ref="K726:L726"/>
    <mergeCell ref="K716:L716"/>
    <mergeCell ref="K713:L713"/>
    <mergeCell ref="K689:L689"/>
    <mergeCell ref="K719:L719"/>
    <mergeCell ref="K695:L695"/>
    <mergeCell ref="K691:L691"/>
    <mergeCell ref="K705:L705"/>
    <mergeCell ref="K806:L806"/>
    <mergeCell ref="K812:L812"/>
    <mergeCell ref="I813:J813"/>
    <mergeCell ref="I748:J748"/>
    <mergeCell ref="K729:L729"/>
    <mergeCell ref="K730:L730"/>
    <mergeCell ref="A734:L734"/>
    <mergeCell ref="K743:L743"/>
    <mergeCell ref="K731:L731"/>
    <mergeCell ref="K809:L809"/>
    <mergeCell ref="K811:L811"/>
    <mergeCell ref="I812:J812"/>
    <mergeCell ref="K821:L821"/>
    <mergeCell ref="K793:L793"/>
    <mergeCell ref="K815:L815"/>
    <mergeCell ref="K816:L816"/>
    <mergeCell ref="K813:L813"/>
    <mergeCell ref="K885:L885"/>
    <mergeCell ref="K884:L884"/>
    <mergeCell ref="K883:L883"/>
    <mergeCell ref="K880:L880"/>
    <mergeCell ref="K856:L856"/>
    <mergeCell ref="K857:L857"/>
    <mergeCell ref="K878:L878"/>
    <mergeCell ref="K867:L867"/>
    <mergeCell ref="K814:L814"/>
    <mergeCell ref="K833:L833"/>
    <mergeCell ref="K837:L837"/>
    <mergeCell ref="K819:L819"/>
    <mergeCell ref="K824:L824"/>
    <mergeCell ref="K820:L820"/>
    <mergeCell ref="K822:L822"/>
    <mergeCell ref="K839:L839"/>
    <mergeCell ref="K836:L836"/>
    <mergeCell ref="K834:L834"/>
    <mergeCell ref="K841:L841"/>
    <mergeCell ref="K828:L828"/>
    <mergeCell ref="K823:L823"/>
    <mergeCell ref="K917:L917"/>
    <mergeCell ref="K912:L912"/>
    <mergeCell ref="K915:L915"/>
    <mergeCell ref="K914:L914"/>
    <mergeCell ref="K842:L842"/>
    <mergeCell ref="K854:L854"/>
    <mergeCell ref="K844:L844"/>
    <mergeCell ref="K848:L848"/>
    <mergeCell ref="K858:L858"/>
    <mergeCell ref="K897:L897"/>
    <mergeCell ref="K963:L963"/>
    <mergeCell ref="K957:L957"/>
    <mergeCell ref="K938:L938"/>
    <mergeCell ref="K937:L937"/>
    <mergeCell ref="K947:L947"/>
    <mergeCell ref="K945:L945"/>
    <mergeCell ref="K942:L942"/>
    <mergeCell ref="A960:L960"/>
    <mergeCell ref="I961:J961"/>
    <mergeCell ref="K956:L956"/>
    <mergeCell ref="K977:L977"/>
    <mergeCell ref="K976:L976"/>
    <mergeCell ref="K974:L974"/>
    <mergeCell ref="K944:L944"/>
    <mergeCell ref="K939:L939"/>
    <mergeCell ref="K943:L943"/>
    <mergeCell ref="K949:L949"/>
    <mergeCell ref="K961:L961"/>
    <mergeCell ref="K972:L972"/>
    <mergeCell ref="K946:L946"/>
    <mergeCell ref="K1187:L1187"/>
    <mergeCell ref="K1186:L1186"/>
    <mergeCell ref="K1184:L1184"/>
    <mergeCell ref="K985:L985"/>
    <mergeCell ref="K1003:L1003"/>
    <mergeCell ref="K1002:L1002"/>
    <mergeCell ref="K1000:L1000"/>
    <mergeCell ref="K1185:L1185"/>
    <mergeCell ref="K987:L987"/>
    <mergeCell ref="K1148:L1148"/>
    <mergeCell ref="K1196:L1196"/>
    <mergeCell ref="K1195:L1195"/>
    <mergeCell ref="K1193:L1193"/>
    <mergeCell ref="K1031:L1031"/>
    <mergeCell ref="K1011:L1011"/>
    <mergeCell ref="K1183:L1183"/>
    <mergeCell ref="K1179:L1179"/>
    <mergeCell ref="K1175:L1175"/>
    <mergeCell ref="K1174:L1174"/>
    <mergeCell ref="K1160:L1160"/>
    <mergeCell ref="M471:N471"/>
    <mergeCell ref="K1623:L1623"/>
    <mergeCell ref="K1622:L1622"/>
    <mergeCell ref="K1611:L1611"/>
    <mergeCell ref="K1610:L1610"/>
    <mergeCell ref="K1602:L1602"/>
    <mergeCell ref="K1601:L1601"/>
    <mergeCell ref="K1621:L1621"/>
    <mergeCell ref="K1609:L1609"/>
    <mergeCell ref="K1009:L1009"/>
    <mergeCell ref="M476:N476"/>
    <mergeCell ref="M477:N477"/>
    <mergeCell ref="M478:N478"/>
    <mergeCell ref="M479:N479"/>
    <mergeCell ref="M480:N480"/>
    <mergeCell ref="M481:N481"/>
    <mergeCell ref="M472:N472"/>
    <mergeCell ref="M473:N473"/>
    <mergeCell ref="M474:N474"/>
    <mergeCell ref="M475:N475"/>
    <mergeCell ref="G1129:H1129"/>
    <mergeCell ref="K1089:L1089"/>
    <mergeCell ref="I1098:J1098"/>
    <mergeCell ref="I1096:J1096"/>
    <mergeCell ref="G1004:H1004"/>
    <mergeCell ref="M482:N482"/>
    <mergeCell ref="C1114:D1114"/>
    <mergeCell ref="A1123:J1123"/>
    <mergeCell ref="C1115:D1115"/>
    <mergeCell ref="E1114:F1114"/>
    <mergeCell ref="E1111:F1111"/>
    <mergeCell ref="G1113:H1113"/>
    <mergeCell ref="I1113:J1113"/>
    <mergeCell ref="G1112:H1112"/>
    <mergeCell ref="G1111:H1111"/>
    <mergeCell ref="A1120:I1120"/>
    <mergeCell ref="C1105:D1105"/>
    <mergeCell ref="I1102:J1102"/>
    <mergeCell ref="I1100:J1100"/>
    <mergeCell ref="G1103:H1103"/>
    <mergeCell ref="G1102:H1102"/>
    <mergeCell ref="C1103:D1103"/>
    <mergeCell ref="E1102:F1102"/>
    <mergeCell ref="C1104:D1104"/>
    <mergeCell ref="I1103:J1103"/>
    <mergeCell ref="E1103:F1103"/>
    <mergeCell ref="C1126:D1126"/>
    <mergeCell ref="C1110:D1110"/>
    <mergeCell ref="C1116:D1116"/>
    <mergeCell ref="A1124:J1124"/>
    <mergeCell ref="I1111:J1111"/>
    <mergeCell ref="C1112:D1112"/>
    <mergeCell ref="G1114:H1114"/>
    <mergeCell ref="I1115:J1115"/>
    <mergeCell ref="E1113:F1113"/>
    <mergeCell ref="C1111:D1111"/>
    <mergeCell ref="I1185:J1185"/>
    <mergeCell ref="C1129:D1129"/>
    <mergeCell ref="I1144:J1144"/>
    <mergeCell ref="I1154:J1154"/>
    <mergeCell ref="G1142:H1142"/>
    <mergeCell ref="G1165:H1165"/>
    <mergeCell ref="I1165:J1165"/>
    <mergeCell ref="I1158:J1158"/>
    <mergeCell ref="C1135:D1135"/>
    <mergeCell ref="I1133:J1133"/>
    <mergeCell ref="I1184:J1184"/>
    <mergeCell ref="I1179:J1179"/>
    <mergeCell ref="I1178:J1178"/>
    <mergeCell ref="I1180:J1180"/>
    <mergeCell ref="A1172:J1172"/>
    <mergeCell ref="C1177:D1177"/>
    <mergeCell ref="G1175:H1175"/>
    <mergeCell ref="I1174:J1174"/>
    <mergeCell ref="I1176:J1176"/>
    <mergeCell ref="E1180:F1180"/>
    <mergeCell ref="K1651:L1651"/>
    <mergeCell ref="K1647:L1647"/>
    <mergeCell ref="K1648:L1648"/>
    <mergeCell ref="K1631:L1631"/>
    <mergeCell ref="K1637:L1637"/>
    <mergeCell ref="K1627:L1627"/>
    <mergeCell ref="K1638:L1638"/>
    <mergeCell ref="K1630:L1630"/>
    <mergeCell ref="K1628:L1628"/>
    <mergeCell ref="K1640:L1640"/>
    <mergeCell ref="K1625:L1625"/>
    <mergeCell ref="K1624:L1624"/>
    <mergeCell ref="K1650:L1650"/>
    <mergeCell ref="K1649:L1649"/>
    <mergeCell ref="K1643:L1643"/>
    <mergeCell ref="K1644:L1644"/>
    <mergeCell ref="K1641:L1641"/>
    <mergeCell ref="K1642:L1642"/>
    <mergeCell ref="K1639:L1639"/>
    <mergeCell ref="K1629:L1629"/>
    <mergeCell ref="K1617:L1617"/>
    <mergeCell ref="K1616:L1616"/>
    <mergeCell ref="K1540:L1540"/>
    <mergeCell ref="K1477:L1477"/>
    <mergeCell ref="K1433:L1433"/>
    <mergeCell ref="K1456:L1456"/>
    <mergeCell ref="K1418:L1418"/>
    <mergeCell ref="K1410:L1410"/>
    <mergeCell ref="K1403:L1403"/>
    <mergeCell ref="K1592:L1592"/>
    <mergeCell ref="K1557:L1557"/>
    <mergeCell ref="K1425:L1425"/>
    <mergeCell ref="K1505:L1505"/>
    <mergeCell ref="K1227:L1227"/>
    <mergeCell ref="K1275:L1275"/>
    <mergeCell ref="K1258:L1258"/>
    <mergeCell ref="K1232:L1232"/>
    <mergeCell ref="K1349:L1349"/>
    <mergeCell ref="K1395:L1395"/>
    <mergeCell ref="K1377:L1377"/>
    <mergeCell ref="K1367:L1367"/>
    <mergeCell ref="K1357:L1357"/>
    <mergeCell ref="K1223:L1223"/>
    <mergeCell ref="K1210:L1210"/>
    <mergeCell ref="K1214:L1214"/>
    <mergeCell ref="K1221:L1221"/>
    <mergeCell ref="K1327:L1327"/>
    <mergeCell ref="K1340:L1340"/>
    <mergeCell ref="K1315:L1315"/>
    <mergeCell ref="K1226:L1226"/>
    <mergeCell ref="K1231:L1231"/>
    <mergeCell ref="K1288:L1288"/>
    <mergeCell ref="K1201:L1201"/>
    <mergeCell ref="K1202:L1202"/>
    <mergeCell ref="K1207:L1207"/>
    <mergeCell ref="K1208:L1208"/>
    <mergeCell ref="K1238:L1238"/>
    <mergeCell ref="K1230:L1230"/>
    <mergeCell ref="K1203:L1203"/>
    <mergeCell ref="K1217:L1217"/>
    <mergeCell ref="K1209:L1209"/>
    <mergeCell ref="K1216:L1216"/>
    <mergeCell ref="K1130:L1130"/>
    <mergeCell ref="K1132:L1132"/>
    <mergeCell ref="K1144:L1144"/>
    <mergeCell ref="K1128:L1128"/>
    <mergeCell ref="K1200:L1200"/>
    <mergeCell ref="K1233:L1233"/>
    <mergeCell ref="K1224:L1224"/>
    <mergeCell ref="K1225:L1225"/>
    <mergeCell ref="K1194:L1194"/>
    <mergeCell ref="K1197:L1197"/>
    <mergeCell ref="K1171:L1171"/>
    <mergeCell ref="K1170:L1170"/>
    <mergeCell ref="K1166:L1166"/>
    <mergeCell ref="I1025:J1025"/>
    <mergeCell ref="I1027:J1027"/>
    <mergeCell ref="K1063:L1063"/>
    <mergeCell ref="K1113:L1113"/>
    <mergeCell ref="K1112:L1112"/>
    <mergeCell ref="K1151:L1151"/>
    <mergeCell ref="K1152:L1152"/>
    <mergeCell ref="I1140:J1140"/>
    <mergeCell ref="K1117:L1117"/>
    <mergeCell ref="K1068:L1068"/>
    <mergeCell ref="K1135:L1135"/>
    <mergeCell ref="I1134:J1134"/>
    <mergeCell ref="I1127:J1127"/>
    <mergeCell ref="K1115:L1115"/>
    <mergeCell ref="K1116:L1116"/>
    <mergeCell ref="K1127:L1127"/>
    <mergeCell ref="K1126:L1126"/>
    <mergeCell ref="I1013:J1013"/>
    <mergeCell ref="I1009:J1009"/>
    <mergeCell ref="A1019:I1019"/>
    <mergeCell ref="C1015:D1015"/>
    <mergeCell ref="G1026:H1026"/>
    <mergeCell ref="E1027:F1027"/>
    <mergeCell ref="E1013:F1013"/>
    <mergeCell ref="C1010:D1010"/>
    <mergeCell ref="I1024:J1024"/>
    <mergeCell ref="I1016:J1016"/>
    <mergeCell ref="K986:L986"/>
    <mergeCell ref="K983:L983"/>
    <mergeCell ref="K984:L984"/>
    <mergeCell ref="K1030:L1030"/>
    <mergeCell ref="K1007:L1007"/>
    <mergeCell ref="K1028:L1028"/>
    <mergeCell ref="K1026:L1026"/>
    <mergeCell ref="K1013:L1013"/>
    <mergeCell ref="C945:D945"/>
    <mergeCell ref="K978:L978"/>
    <mergeCell ref="C1113:D1113"/>
    <mergeCell ref="G1013:H1013"/>
    <mergeCell ref="E1014:F1014"/>
    <mergeCell ref="E1011:F1011"/>
    <mergeCell ref="C1013:D1013"/>
    <mergeCell ref="C1012:D1012"/>
    <mergeCell ref="K999:L999"/>
    <mergeCell ref="K988:L988"/>
    <mergeCell ref="K954:L954"/>
    <mergeCell ref="K950:L950"/>
    <mergeCell ref="K955:L955"/>
    <mergeCell ref="C1106:D1106"/>
    <mergeCell ref="K1025:L1025"/>
    <mergeCell ref="K989:L989"/>
    <mergeCell ref="K998:L998"/>
    <mergeCell ref="I973:J973"/>
    <mergeCell ref="K953:L953"/>
    <mergeCell ref="K1010:L1010"/>
    <mergeCell ref="G954:H954"/>
    <mergeCell ref="I952:J952"/>
    <mergeCell ref="I949:J949"/>
    <mergeCell ref="I955:J955"/>
    <mergeCell ref="I950:J950"/>
    <mergeCell ref="I956:J956"/>
    <mergeCell ref="I967:J967"/>
    <mergeCell ref="G949:H949"/>
    <mergeCell ref="C947:D947"/>
    <mergeCell ref="C955:D955"/>
    <mergeCell ref="E954:F954"/>
    <mergeCell ref="C967:D967"/>
    <mergeCell ref="C963:D963"/>
    <mergeCell ref="C954:D954"/>
    <mergeCell ref="C949:D949"/>
    <mergeCell ref="C956:D956"/>
    <mergeCell ref="I976:J976"/>
    <mergeCell ref="E937:F937"/>
    <mergeCell ref="E949:F949"/>
    <mergeCell ref="E948:F948"/>
    <mergeCell ref="E1009:F1009"/>
    <mergeCell ref="E955:F955"/>
    <mergeCell ref="E999:F999"/>
    <mergeCell ref="I982:J982"/>
    <mergeCell ref="I954:J954"/>
    <mergeCell ref="I957:J957"/>
    <mergeCell ref="E917:F917"/>
    <mergeCell ref="I939:J939"/>
    <mergeCell ref="I935:J935"/>
    <mergeCell ref="I933:J933"/>
    <mergeCell ref="E946:F946"/>
    <mergeCell ref="E950:F950"/>
    <mergeCell ref="E939:F939"/>
    <mergeCell ref="I943:J943"/>
    <mergeCell ref="E938:F938"/>
    <mergeCell ref="G937:H937"/>
    <mergeCell ref="G912:H912"/>
    <mergeCell ref="G910:H910"/>
    <mergeCell ref="A904:I904"/>
    <mergeCell ref="C934:D934"/>
    <mergeCell ref="C939:D939"/>
    <mergeCell ref="E934:F934"/>
    <mergeCell ref="E935:F935"/>
    <mergeCell ref="E911:F911"/>
    <mergeCell ref="G935:H935"/>
    <mergeCell ref="E936:F936"/>
    <mergeCell ref="I894:J894"/>
    <mergeCell ref="I910:J910"/>
    <mergeCell ref="C895:D895"/>
    <mergeCell ref="C897:D897"/>
    <mergeCell ref="C894:D894"/>
    <mergeCell ref="I897:J897"/>
    <mergeCell ref="E910:F910"/>
    <mergeCell ref="E896:F896"/>
    <mergeCell ref="G897:H897"/>
    <mergeCell ref="E895:F895"/>
    <mergeCell ref="C911:D911"/>
    <mergeCell ref="G911:H911"/>
    <mergeCell ref="E894:F894"/>
    <mergeCell ref="G895:H895"/>
    <mergeCell ref="C896:D896"/>
    <mergeCell ref="G894:H894"/>
    <mergeCell ref="G890:H890"/>
    <mergeCell ref="I889:J889"/>
    <mergeCell ref="I881:J881"/>
    <mergeCell ref="I884:J884"/>
    <mergeCell ref="I879:J879"/>
    <mergeCell ref="I888:J888"/>
    <mergeCell ref="I880:J880"/>
    <mergeCell ref="I886:J886"/>
    <mergeCell ref="G881:H881"/>
    <mergeCell ref="I883:J883"/>
    <mergeCell ref="C910:D910"/>
    <mergeCell ref="G891:H891"/>
    <mergeCell ref="A901:H901"/>
    <mergeCell ref="G892:H892"/>
    <mergeCell ref="A903:H903"/>
    <mergeCell ref="I892:J892"/>
    <mergeCell ref="G896:H896"/>
    <mergeCell ref="E893:F893"/>
    <mergeCell ref="A902:H902"/>
    <mergeCell ref="E897:F897"/>
    <mergeCell ref="I891:J891"/>
    <mergeCell ref="I809:J809"/>
    <mergeCell ref="I811:J811"/>
    <mergeCell ref="I810:J810"/>
    <mergeCell ref="I878:J878"/>
    <mergeCell ref="I887:J887"/>
    <mergeCell ref="I856:J856"/>
    <mergeCell ref="I857:J857"/>
    <mergeCell ref="I853:J853"/>
    <mergeCell ref="I830:J830"/>
    <mergeCell ref="K804:L804"/>
    <mergeCell ref="K805:L805"/>
    <mergeCell ref="K803:L803"/>
    <mergeCell ref="I833:J833"/>
    <mergeCell ref="I848:J848"/>
    <mergeCell ref="I849:J849"/>
    <mergeCell ref="I846:J846"/>
    <mergeCell ref="K843:L843"/>
    <mergeCell ref="K845:L845"/>
    <mergeCell ref="K827:L827"/>
    <mergeCell ref="I854:J854"/>
    <mergeCell ref="I855:J855"/>
    <mergeCell ref="I842:J842"/>
    <mergeCell ref="I837:J837"/>
    <mergeCell ref="K849:L849"/>
    <mergeCell ref="K810:L810"/>
    <mergeCell ref="K829:L829"/>
    <mergeCell ref="K855:L855"/>
    <mergeCell ref="K853:L853"/>
    <mergeCell ref="K832:L832"/>
    <mergeCell ref="K802:L802"/>
    <mergeCell ref="K762:L762"/>
    <mergeCell ref="K778:L778"/>
    <mergeCell ref="K787:L787"/>
    <mergeCell ref="K785:L785"/>
    <mergeCell ref="K779:L779"/>
    <mergeCell ref="K750:L750"/>
    <mergeCell ref="K748:L748"/>
    <mergeCell ref="I759:J759"/>
    <mergeCell ref="K784:L784"/>
    <mergeCell ref="I763:J763"/>
    <mergeCell ref="I762:J762"/>
    <mergeCell ref="I777:J777"/>
    <mergeCell ref="K606:L606"/>
    <mergeCell ref="K596:L596"/>
    <mergeCell ref="I746:J746"/>
    <mergeCell ref="K721:L721"/>
    <mergeCell ref="K722:L722"/>
    <mergeCell ref="K751:L751"/>
    <mergeCell ref="K723:L723"/>
    <mergeCell ref="K746:L746"/>
    <mergeCell ref="K725:L725"/>
    <mergeCell ref="K745:L745"/>
    <mergeCell ref="K523:L523"/>
    <mergeCell ref="K539:L539"/>
    <mergeCell ref="K580:L580"/>
    <mergeCell ref="K571:L571"/>
    <mergeCell ref="K585:L585"/>
    <mergeCell ref="K595:L595"/>
    <mergeCell ref="K538:L538"/>
    <mergeCell ref="K724:L724"/>
    <mergeCell ref="K529:L529"/>
    <mergeCell ref="K671:L671"/>
    <mergeCell ref="K574:L574"/>
    <mergeCell ref="K679:L679"/>
    <mergeCell ref="K602:L602"/>
    <mergeCell ref="K677:L677"/>
    <mergeCell ref="K676:L676"/>
    <mergeCell ref="K678:L678"/>
    <mergeCell ref="K528:L528"/>
    <mergeCell ref="K616:L616"/>
    <mergeCell ref="K586:L586"/>
    <mergeCell ref="K675:L675"/>
    <mergeCell ref="K599:L599"/>
    <mergeCell ref="K674:L674"/>
    <mergeCell ref="K624:L624"/>
    <mergeCell ref="K535:L535"/>
    <mergeCell ref="K534:L534"/>
    <mergeCell ref="K533:L533"/>
    <mergeCell ref="K519:L519"/>
    <mergeCell ref="K521:L521"/>
    <mergeCell ref="K522:L522"/>
    <mergeCell ref="K507:L507"/>
    <mergeCell ref="K508:L508"/>
    <mergeCell ref="K505:L505"/>
    <mergeCell ref="K506:L506"/>
    <mergeCell ref="K518:L518"/>
    <mergeCell ref="K520:L520"/>
    <mergeCell ref="K517:L517"/>
    <mergeCell ref="K420:L420"/>
    <mergeCell ref="K489:L489"/>
    <mergeCell ref="K482:L482"/>
    <mergeCell ref="K461:L461"/>
    <mergeCell ref="K462:L462"/>
    <mergeCell ref="K456:L456"/>
    <mergeCell ref="K464:L464"/>
    <mergeCell ref="K465:L465"/>
    <mergeCell ref="K481:L481"/>
    <mergeCell ref="K457:L457"/>
    <mergeCell ref="K374:L374"/>
    <mergeCell ref="K396:L396"/>
    <mergeCell ref="K393:L393"/>
    <mergeCell ref="K413:L413"/>
    <mergeCell ref="K421:L421"/>
    <mergeCell ref="K463:L463"/>
    <mergeCell ref="K410:L410"/>
    <mergeCell ref="K458:L458"/>
    <mergeCell ref="K459:L459"/>
    <mergeCell ref="K412:L412"/>
    <mergeCell ref="K353:L353"/>
    <mergeCell ref="K354:L354"/>
    <mergeCell ref="K371:L371"/>
    <mergeCell ref="K395:L395"/>
    <mergeCell ref="K372:L372"/>
    <mergeCell ref="K385:L385"/>
    <mergeCell ref="K394:L394"/>
    <mergeCell ref="K376:L376"/>
    <mergeCell ref="K373:L373"/>
    <mergeCell ref="K377:L377"/>
    <mergeCell ref="K328:L328"/>
    <mergeCell ref="K331:L331"/>
    <mergeCell ref="K329:L329"/>
    <mergeCell ref="K366:L366"/>
    <mergeCell ref="K365:L365"/>
    <mergeCell ref="K364:L364"/>
    <mergeCell ref="K351:L351"/>
    <mergeCell ref="K360:L360"/>
    <mergeCell ref="K356:L356"/>
    <mergeCell ref="K361:L361"/>
    <mergeCell ref="K106:L106"/>
    <mergeCell ref="K93:L93"/>
    <mergeCell ref="K95:L95"/>
    <mergeCell ref="K99:L99"/>
    <mergeCell ref="I107:J107"/>
    <mergeCell ref="K104:L104"/>
    <mergeCell ref="I106:J106"/>
    <mergeCell ref="I103:J103"/>
    <mergeCell ref="I105:J105"/>
    <mergeCell ref="K97:L97"/>
    <mergeCell ref="I98:J98"/>
    <mergeCell ref="K105:L105"/>
    <mergeCell ref="I99:J99"/>
    <mergeCell ref="G104:H104"/>
    <mergeCell ref="G105:H105"/>
    <mergeCell ref="I95:J95"/>
    <mergeCell ref="K98:L98"/>
    <mergeCell ref="K103:L103"/>
    <mergeCell ref="I97:J97"/>
    <mergeCell ref="K100:L100"/>
    <mergeCell ref="K96:L96"/>
    <mergeCell ref="G98:H98"/>
    <mergeCell ref="G99:H99"/>
    <mergeCell ref="A115:L115"/>
    <mergeCell ref="K109:L109"/>
    <mergeCell ref="K127:L127"/>
    <mergeCell ref="I111:J111"/>
    <mergeCell ref="K123:L123"/>
    <mergeCell ref="I119:J119"/>
    <mergeCell ref="G124:H124"/>
    <mergeCell ref="E109:F109"/>
    <mergeCell ref="I109:J109"/>
    <mergeCell ref="I110:J110"/>
    <mergeCell ref="K173:L173"/>
    <mergeCell ref="I190:J190"/>
    <mergeCell ref="I193:J193"/>
    <mergeCell ref="I192:J192"/>
    <mergeCell ref="I187:J187"/>
    <mergeCell ref="K168:L168"/>
    <mergeCell ref="I185:J185"/>
    <mergeCell ref="I177:J177"/>
    <mergeCell ref="I168:J168"/>
    <mergeCell ref="I171:J171"/>
    <mergeCell ref="K276:L276"/>
    <mergeCell ref="K141:L141"/>
    <mergeCell ref="K214:L214"/>
    <mergeCell ref="K252:L252"/>
    <mergeCell ref="K250:L250"/>
    <mergeCell ref="K229:L229"/>
    <mergeCell ref="K227:L227"/>
    <mergeCell ref="K188:L188"/>
    <mergeCell ref="K230:L230"/>
    <mergeCell ref="K316:L316"/>
    <mergeCell ref="K304:L304"/>
    <mergeCell ref="K255:L255"/>
    <mergeCell ref="K256:L256"/>
    <mergeCell ref="K272:L272"/>
    <mergeCell ref="K266:L266"/>
    <mergeCell ref="K288:L288"/>
    <mergeCell ref="K284:L284"/>
    <mergeCell ref="K352:L352"/>
    <mergeCell ref="K317:L317"/>
    <mergeCell ref="K330:L330"/>
    <mergeCell ref="K327:L327"/>
    <mergeCell ref="K332:L332"/>
    <mergeCell ref="K337:L337"/>
    <mergeCell ref="K348:L348"/>
    <mergeCell ref="K320:L320"/>
    <mergeCell ref="K318:L318"/>
    <mergeCell ref="K342:L342"/>
    <mergeCell ref="K277:L277"/>
    <mergeCell ref="K278:L278"/>
    <mergeCell ref="K283:L283"/>
    <mergeCell ref="K274:L274"/>
    <mergeCell ref="K257:L257"/>
    <mergeCell ref="K326:L326"/>
    <mergeCell ref="K323:L323"/>
    <mergeCell ref="K322:L322"/>
    <mergeCell ref="K321:L321"/>
    <mergeCell ref="K319:L319"/>
    <mergeCell ref="I355:J355"/>
    <mergeCell ref="I354:J354"/>
    <mergeCell ref="I318:J318"/>
    <mergeCell ref="K347:L347"/>
    <mergeCell ref="K335:L335"/>
    <mergeCell ref="K275:L275"/>
    <mergeCell ref="K280:L280"/>
    <mergeCell ref="K279:L279"/>
    <mergeCell ref="K313:L313"/>
    <mergeCell ref="K289:L289"/>
    <mergeCell ref="I360:J360"/>
    <mergeCell ref="I361:J361"/>
    <mergeCell ref="I374:J374"/>
    <mergeCell ref="K286:L286"/>
    <mergeCell ref="K303:L303"/>
    <mergeCell ref="K362:L362"/>
    <mergeCell ref="K355:L355"/>
    <mergeCell ref="K357:L357"/>
    <mergeCell ref="I362:J362"/>
    <mergeCell ref="I357:J357"/>
    <mergeCell ref="K388:L388"/>
    <mergeCell ref="K384:L384"/>
    <mergeCell ref="K387:L387"/>
    <mergeCell ref="K383:L383"/>
    <mergeCell ref="I378:J378"/>
    <mergeCell ref="I363:J363"/>
    <mergeCell ref="I372:J372"/>
    <mergeCell ref="I365:J365"/>
    <mergeCell ref="K363:L363"/>
    <mergeCell ref="K378:L378"/>
    <mergeCell ref="I94:J94"/>
    <mergeCell ref="I93:J93"/>
    <mergeCell ref="G377:H377"/>
    <mergeCell ref="I377:J377"/>
    <mergeCell ref="I366:J366"/>
    <mergeCell ref="I375:J375"/>
    <mergeCell ref="I373:J373"/>
    <mergeCell ref="G376:H376"/>
    <mergeCell ref="G372:H372"/>
    <mergeCell ref="I371:J371"/>
    <mergeCell ref="G83:H83"/>
    <mergeCell ref="I82:J82"/>
    <mergeCell ref="I364:J364"/>
    <mergeCell ref="I356:J356"/>
    <mergeCell ref="I320:J320"/>
    <mergeCell ref="I194:J194"/>
    <mergeCell ref="I345:J345"/>
    <mergeCell ref="I127:J127"/>
    <mergeCell ref="I91:J91"/>
    <mergeCell ref="G86:H86"/>
    <mergeCell ref="I88:J88"/>
    <mergeCell ref="I90:J90"/>
    <mergeCell ref="A89:H89"/>
    <mergeCell ref="I87:J87"/>
    <mergeCell ref="G87:H87"/>
    <mergeCell ref="G88:H88"/>
    <mergeCell ref="E88:F88"/>
    <mergeCell ref="I104:J104"/>
    <mergeCell ref="I134:J134"/>
    <mergeCell ref="I108:J108"/>
    <mergeCell ref="I150:J150"/>
    <mergeCell ref="I112:J112"/>
    <mergeCell ref="I174:J174"/>
    <mergeCell ref="I166:J166"/>
    <mergeCell ref="I165:J165"/>
    <mergeCell ref="I160:J160"/>
    <mergeCell ref="I144:J144"/>
    <mergeCell ref="I186:J186"/>
    <mergeCell ref="I124:J124"/>
    <mergeCell ref="A122:L122"/>
    <mergeCell ref="G94:H94"/>
    <mergeCell ref="G97:H97"/>
    <mergeCell ref="I96:J96"/>
    <mergeCell ref="C109:D109"/>
    <mergeCell ref="E94:F94"/>
    <mergeCell ref="E98:F98"/>
    <mergeCell ref="G100:H100"/>
    <mergeCell ref="E106:F106"/>
    <mergeCell ref="C106:D106"/>
    <mergeCell ref="C95:D95"/>
    <mergeCell ref="E107:F107"/>
    <mergeCell ref="I116:J116"/>
    <mergeCell ref="G109:H109"/>
    <mergeCell ref="G110:H110"/>
    <mergeCell ref="E108:F108"/>
    <mergeCell ref="C100:D100"/>
    <mergeCell ref="A114:H114"/>
    <mergeCell ref="I100:J100"/>
    <mergeCell ref="C107:D107"/>
    <mergeCell ref="C108:D108"/>
    <mergeCell ref="I120:J120"/>
    <mergeCell ref="G119:H119"/>
    <mergeCell ref="K119:L119"/>
    <mergeCell ref="C119:D119"/>
    <mergeCell ref="K117:L117"/>
    <mergeCell ref="K118:L118"/>
    <mergeCell ref="E120:F120"/>
    <mergeCell ref="K130:L130"/>
    <mergeCell ref="I131:J131"/>
    <mergeCell ref="K132:L132"/>
    <mergeCell ref="K134:L134"/>
    <mergeCell ref="G160:H160"/>
    <mergeCell ref="I135:J135"/>
    <mergeCell ref="K151:L151"/>
    <mergeCell ref="K133:L133"/>
    <mergeCell ref="I154:J154"/>
    <mergeCell ref="I147:J147"/>
    <mergeCell ref="K136:L136"/>
    <mergeCell ref="I143:J143"/>
    <mergeCell ref="K152:L152"/>
    <mergeCell ref="C154:D154"/>
    <mergeCell ref="G155:H155"/>
    <mergeCell ref="E150:F150"/>
    <mergeCell ref="G151:H151"/>
    <mergeCell ref="I155:J155"/>
    <mergeCell ref="I142:J142"/>
    <mergeCell ref="I139:J139"/>
    <mergeCell ref="K159:L159"/>
    <mergeCell ref="E153:F153"/>
    <mergeCell ref="E158:F158"/>
    <mergeCell ref="K150:L150"/>
    <mergeCell ref="K157:L157"/>
    <mergeCell ref="I173:J173"/>
    <mergeCell ref="K153:L153"/>
    <mergeCell ref="I158:J158"/>
    <mergeCell ref="I157:J157"/>
    <mergeCell ref="I172:J172"/>
    <mergeCell ref="K165:L165"/>
    <mergeCell ref="I159:J159"/>
    <mergeCell ref="G223:H223"/>
    <mergeCell ref="G217:H217"/>
    <mergeCell ref="I213:J213"/>
    <mergeCell ref="G218:H218"/>
    <mergeCell ref="I217:J217"/>
    <mergeCell ref="I218:J218"/>
    <mergeCell ref="G213:H213"/>
    <mergeCell ref="I214:J214"/>
    <mergeCell ref="E238:F238"/>
    <mergeCell ref="C235:D235"/>
    <mergeCell ref="I234:J234"/>
    <mergeCell ref="C237:D237"/>
    <mergeCell ref="I235:J235"/>
    <mergeCell ref="I237:J237"/>
    <mergeCell ref="E236:F236"/>
    <mergeCell ref="I238:J238"/>
    <mergeCell ref="I236:J236"/>
    <mergeCell ref="G235:H235"/>
    <mergeCell ref="I267:J267"/>
    <mergeCell ref="I257:J257"/>
    <mergeCell ref="I246:J246"/>
    <mergeCell ref="I253:J253"/>
    <mergeCell ref="I249:J249"/>
    <mergeCell ref="I263:J263"/>
    <mergeCell ref="I248:J248"/>
    <mergeCell ref="I266:J266"/>
    <mergeCell ref="I247:J247"/>
    <mergeCell ref="I265:J265"/>
    <mergeCell ref="K696:L696"/>
    <mergeCell ref="K698:L698"/>
    <mergeCell ref="I702:J702"/>
    <mergeCell ref="K697:L697"/>
    <mergeCell ref="I250:J250"/>
    <mergeCell ref="K411:L411"/>
    <mergeCell ref="K404:L404"/>
    <mergeCell ref="K406:L406"/>
    <mergeCell ref="I262:J262"/>
    <mergeCell ref="K455:L455"/>
    <mergeCell ref="K709:L709"/>
    <mergeCell ref="K701:L701"/>
    <mergeCell ref="I706:J706"/>
    <mergeCell ref="K707:L707"/>
    <mergeCell ref="K700:L700"/>
    <mergeCell ref="I699:J699"/>
    <mergeCell ref="I701:J701"/>
    <mergeCell ref="K703:L703"/>
    <mergeCell ref="K699:L699"/>
    <mergeCell ref="I705:J705"/>
    <mergeCell ref="I707:J707"/>
    <mergeCell ref="K706:L706"/>
    <mergeCell ref="K702:L702"/>
    <mergeCell ref="I700:J700"/>
    <mergeCell ref="I703:J703"/>
    <mergeCell ref="K744:L744"/>
    <mergeCell ref="K717:L717"/>
    <mergeCell ref="K727:L727"/>
    <mergeCell ref="K720:L720"/>
    <mergeCell ref="K718:L718"/>
    <mergeCell ref="K728:L728"/>
    <mergeCell ref="K772:L772"/>
    <mergeCell ref="K776:L776"/>
    <mergeCell ref="I768:J768"/>
    <mergeCell ref="K761:L761"/>
    <mergeCell ref="I772:J772"/>
    <mergeCell ref="K757:L757"/>
    <mergeCell ref="K767:L767"/>
    <mergeCell ref="K771:L771"/>
    <mergeCell ref="K760:L760"/>
    <mergeCell ref="K753:L753"/>
    <mergeCell ref="K770:L770"/>
    <mergeCell ref="K758:L758"/>
    <mergeCell ref="K777:L777"/>
    <mergeCell ref="K768:L768"/>
    <mergeCell ref="K763:L763"/>
    <mergeCell ref="K830:L830"/>
    <mergeCell ref="K838:L838"/>
    <mergeCell ref="K831:L831"/>
    <mergeCell ref="C972:D972"/>
    <mergeCell ref="C966:D966"/>
    <mergeCell ref="C917:D917"/>
    <mergeCell ref="G913:H913"/>
    <mergeCell ref="C964:D964"/>
    <mergeCell ref="C957:D957"/>
    <mergeCell ref="C958:D958"/>
    <mergeCell ref="I823:J823"/>
    <mergeCell ref="I819:J819"/>
    <mergeCell ref="I836:J836"/>
    <mergeCell ref="I834:J834"/>
    <mergeCell ref="C950:D950"/>
    <mergeCell ref="C948:D948"/>
    <mergeCell ref="C938:D938"/>
    <mergeCell ref="E943:F943"/>
    <mergeCell ref="C946:D946"/>
    <mergeCell ref="C937:D937"/>
    <mergeCell ref="C943:D943"/>
    <mergeCell ref="G948:H948"/>
    <mergeCell ref="E957:F957"/>
    <mergeCell ref="G956:H956"/>
    <mergeCell ref="G958:H958"/>
    <mergeCell ref="A959:J959"/>
    <mergeCell ref="C944:D944"/>
    <mergeCell ref="G944:H944"/>
    <mergeCell ref="G947:H947"/>
    <mergeCell ref="I953:J953"/>
    <mergeCell ref="C1016:D1016"/>
    <mergeCell ref="G1015:H1015"/>
    <mergeCell ref="A1020:H1020"/>
    <mergeCell ref="C1011:D1011"/>
    <mergeCell ref="E963:F963"/>
    <mergeCell ref="E944:F944"/>
    <mergeCell ref="G946:H946"/>
    <mergeCell ref="G950:H950"/>
    <mergeCell ref="E945:F945"/>
    <mergeCell ref="G955:H955"/>
    <mergeCell ref="E1026:F1026"/>
    <mergeCell ref="I1030:J1030"/>
    <mergeCell ref="C1028:D1028"/>
    <mergeCell ref="G1029:H1029"/>
    <mergeCell ref="I1031:J1031"/>
    <mergeCell ref="E1065:F1065"/>
    <mergeCell ref="I1028:J1028"/>
    <mergeCell ref="E1029:F1029"/>
    <mergeCell ref="C1056:D1056"/>
    <mergeCell ref="C1063:D1063"/>
    <mergeCell ref="I1064:J1064"/>
    <mergeCell ref="I1069:J1069"/>
    <mergeCell ref="G1055:H1055"/>
    <mergeCell ref="G1052:H1052"/>
    <mergeCell ref="G1054:H1054"/>
    <mergeCell ref="E1052:F1052"/>
    <mergeCell ref="E1058:F1058"/>
    <mergeCell ref="E1057:F1057"/>
    <mergeCell ref="E1051:F1051"/>
    <mergeCell ref="G1069:H1069"/>
    <mergeCell ref="A1059:H1059"/>
    <mergeCell ref="C1052:D1052"/>
    <mergeCell ref="E1056:F1056"/>
    <mergeCell ref="E1063:F1063"/>
    <mergeCell ref="C1068:D1068"/>
    <mergeCell ref="C1055:D1055"/>
    <mergeCell ref="E1062:F1062"/>
    <mergeCell ref="G1057:H1057"/>
    <mergeCell ref="G1079:H1079"/>
    <mergeCell ref="E1075:F1075"/>
    <mergeCell ref="G1077:H1077"/>
    <mergeCell ref="E1073:F1073"/>
    <mergeCell ref="G1064:H1064"/>
    <mergeCell ref="E1076:F1076"/>
    <mergeCell ref="E1077:F1077"/>
    <mergeCell ref="G1075:H1075"/>
    <mergeCell ref="G1056:H1056"/>
    <mergeCell ref="E1012:F1012"/>
    <mergeCell ref="G934:H934"/>
    <mergeCell ref="G967:H967"/>
    <mergeCell ref="C976:D976"/>
    <mergeCell ref="E973:F973"/>
    <mergeCell ref="E967:F967"/>
    <mergeCell ref="G1009:H1009"/>
    <mergeCell ref="G945:H945"/>
    <mergeCell ref="C936:D936"/>
    <mergeCell ref="I975:J975"/>
    <mergeCell ref="A993:H993"/>
    <mergeCell ref="C988:D988"/>
    <mergeCell ref="C965:D965"/>
    <mergeCell ref="C974:D974"/>
    <mergeCell ref="I983:J983"/>
    <mergeCell ref="E965:F965"/>
    <mergeCell ref="A992:H992"/>
    <mergeCell ref="E989:F989"/>
    <mergeCell ref="I987:J987"/>
    <mergeCell ref="C1004:D1004"/>
    <mergeCell ref="E1004:F1004"/>
    <mergeCell ref="E1002:F1002"/>
    <mergeCell ref="K909:L909"/>
    <mergeCell ref="K892:L892"/>
    <mergeCell ref="K916:L916"/>
    <mergeCell ref="K975:L975"/>
    <mergeCell ref="I958:J958"/>
    <mergeCell ref="G972:H972"/>
    <mergeCell ref="G999:H999"/>
    <mergeCell ref="K886:L886"/>
    <mergeCell ref="K910:L910"/>
    <mergeCell ref="K889:L889"/>
    <mergeCell ref="K913:L913"/>
    <mergeCell ref="K911:L911"/>
    <mergeCell ref="K890:L890"/>
    <mergeCell ref="K781:L781"/>
    <mergeCell ref="K769:L769"/>
    <mergeCell ref="K775:L775"/>
    <mergeCell ref="A735:K735"/>
    <mergeCell ref="K786:L786"/>
    <mergeCell ref="K780:L780"/>
    <mergeCell ref="I775:J775"/>
    <mergeCell ref="K759:L759"/>
    <mergeCell ref="I770:J770"/>
    <mergeCell ref="G772:H772"/>
    <mergeCell ref="K715:L715"/>
    <mergeCell ref="K714:L714"/>
    <mergeCell ref="K424:L424"/>
    <mergeCell ref="K597:L597"/>
    <mergeCell ref="K588:L588"/>
    <mergeCell ref="K490:L490"/>
    <mergeCell ref="K491:L491"/>
    <mergeCell ref="K578:L578"/>
    <mergeCell ref="K708:L708"/>
    <mergeCell ref="K673:L673"/>
    <mergeCell ref="K587:L587"/>
    <mergeCell ref="K460:L460"/>
    <mergeCell ref="K470:L470"/>
    <mergeCell ref="K430:L430"/>
    <mergeCell ref="K473:L473"/>
    <mergeCell ref="K474:L474"/>
    <mergeCell ref="K494:L494"/>
    <mergeCell ref="K466:L466"/>
    <mergeCell ref="K480:L480"/>
    <mergeCell ref="K478:L478"/>
    <mergeCell ref="K454:L454"/>
    <mergeCell ref="K442:L442"/>
    <mergeCell ref="K433:L433"/>
    <mergeCell ref="K429:L429"/>
    <mergeCell ref="K435:L435"/>
    <mergeCell ref="K452:L452"/>
    <mergeCell ref="K438:L438"/>
    <mergeCell ref="I316:J316"/>
    <mergeCell ref="I303:J303"/>
    <mergeCell ref="I326:J326"/>
    <mergeCell ref="K389:L389"/>
    <mergeCell ref="K402:L402"/>
    <mergeCell ref="K403:L403"/>
    <mergeCell ref="I376:J376"/>
    <mergeCell ref="K379:L379"/>
    <mergeCell ref="K386:L386"/>
    <mergeCell ref="K375:L375"/>
    <mergeCell ref="I275:J275"/>
    <mergeCell ref="I286:J286"/>
    <mergeCell ref="I289:J289"/>
    <mergeCell ref="I276:J276"/>
    <mergeCell ref="I277:J277"/>
    <mergeCell ref="K401:L401"/>
    <mergeCell ref="I302:J302"/>
    <mergeCell ref="I284:J284"/>
    <mergeCell ref="I305:J305"/>
    <mergeCell ref="K305:L305"/>
    <mergeCell ref="I311:J311"/>
    <mergeCell ref="I279:J279"/>
    <mergeCell ref="I304:J304"/>
    <mergeCell ref="I287:J287"/>
    <mergeCell ref="I280:J280"/>
    <mergeCell ref="I285:J285"/>
    <mergeCell ref="I301:J301"/>
    <mergeCell ref="K339:L339"/>
    <mergeCell ref="I338:J338"/>
    <mergeCell ref="I343:J343"/>
    <mergeCell ref="I342:J342"/>
    <mergeCell ref="I337:J337"/>
    <mergeCell ref="K343:L343"/>
    <mergeCell ref="K338:L338"/>
    <mergeCell ref="I317:J317"/>
    <mergeCell ref="C327:D327"/>
    <mergeCell ref="C318:D318"/>
    <mergeCell ref="C319:D319"/>
    <mergeCell ref="C321:D321"/>
    <mergeCell ref="G320:H320"/>
    <mergeCell ref="I323:J323"/>
    <mergeCell ref="E320:F320"/>
    <mergeCell ref="I327:J327"/>
    <mergeCell ref="K346:L346"/>
    <mergeCell ref="I351:J351"/>
    <mergeCell ref="I352:J352"/>
    <mergeCell ref="C323:D323"/>
    <mergeCell ref="K344:L344"/>
    <mergeCell ref="K345:L345"/>
    <mergeCell ref="I335:J335"/>
    <mergeCell ref="I344:J344"/>
    <mergeCell ref="G317:H317"/>
    <mergeCell ref="G318:H318"/>
    <mergeCell ref="C322:D322"/>
    <mergeCell ref="I319:J319"/>
    <mergeCell ref="C329:D329"/>
    <mergeCell ref="G328:H328"/>
    <mergeCell ref="G329:H329"/>
    <mergeCell ref="I329:J329"/>
    <mergeCell ref="I328:J328"/>
    <mergeCell ref="G322:H322"/>
    <mergeCell ref="G337:H337"/>
    <mergeCell ref="G332:H332"/>
    <mergeCell ref="C330:D330"/>
    <mergeCell ref="E337:F337"/>
    <mergeCell ref="C317:D317"/>
    <mergeCell ref="E321:F321"/>
    <mergeCell ref="G327:H327"/>
    <mergeCell ref="C337:D337"/>
    <mergeCell ref="C328:D328"/>
    <mergeCell ref="G319:H319"/>
    <mergeCell ref="E331:F331"/>
    <mergeCell ref="I331:J331"/>
    <mergeCell ref="I332:J332"/>
    <mergeCell ref="E332:F332"/>
    <mergeCell ref="I330:J330"/>
    <mergeCell ref="I336:J336"/>
    <mergeCell ref="K893:L893"/>
    <mergeCell ref="K865:L865"/>
    <mergeCell ref="K864:L864"/>
    <mergeCell ref="K846:L846"/>
    <mergeCell ref="K879:L879"/>
    <mergeCell ref="K868:L868"/>
    <mergeCell ref="K866:L866"/>
    <mergeCell ref="K874:L874"/>
    <mergeCell ref="K888:L888"/>
    <mergeCell ref="K891:L891"/>
    <mergeCell ref="K397:L397"/>
    <mergeCell ref="K405:L405"/>
    <mergeCell ref="K895:L895"/>
    <mergeCell ref="K875:L875"/>
    <mergeCell ref="K876:L876"/>
    <mergeCell ref="K877:L877"/>
    <mergeCell ref="K894:L894"/>
    <mergeCell ref="K862:L862"/>
    <mergeCell ref="K439:L439"/>
    <mergeCell ref="K453:L453"/>
    <mergeCell ref="K1176:L1176"/>
    <mergeCell ref="K962:L962"/>
    <mergeCell ref="K982:L982"/>
    <mergeCell ref="K1065:L1065"/>
    <mergeCell ref="K965:L965"/>
    <mergeCell ref="K958:L958"/>
    <mergeCell ref="K1053:L1053"/>
    <mergeCell ref="K1054:L1054"/>
    <mergeCell ref="K1052:L1052"/>
    <mergeCell ref="K1051:L1051"/>
    <mergeCell ref="K1165:L1165"/>
    <mergeCell ref="K1066:L1066"/>
    <mergeCell ref="K1164:L1164"/>
    <mergeCell ref="K1067:L1067"/>
    <mergeCell ref="K1167:L1167"/>
    <mergeCell ref="K1087:L1087"/>
    <mergeCell ref="K1093:L1093"/>
    <mergeCell ref="K1155:L1155"/>
    <mergeCell ref="K1159:L1159"/>
    <mergeCell ref="K1153:L1153"/>
    <mergeCell ref="K1036:L1036"/>
    <mergeCell ref="K1027:L1027"/>
    <mergeCell ref="K1032:L1032"/>
    <mergeCell ref="K1188:L1188"/>
    <mergeCell ref="K1085:L1085"/>
    <mergeCell ref="K1076:L1076"/>
    <mergeCell ref="K1077:L1077"/>
    <mergeCell ref="K1069:L1069"/>
    <mergeCell ref="K1178:L1178"/>
    <mergeCell ref="K1029:L1029"/>
    <mergeCell ref="K1008:L1008"/>
    <mergeCell ref="K847:L847"/>
    <mergeCell ref="K882:L882"/>
    <mergeCell ref="K1024:L1024"/>
    <mergeCell ref="K863:L863"/>
    <mergeCell ref="K887:L887"/>
    <mergeCell ref="K896:L896"/>
    <mergeCell ref="K881:L881"/>
    <mergeCell ref="K926:L926"/>
    <mergeCell ref="K924:L924"/>
    <mergeCell ref="I793:J793"/>
    <mergeCell ref="I788:J788"/>
    <mergeCell ref="G789:H789"/>
    <mergeCell ref="G796:H796"/>
    <mergeCell ref="I798:J798"/>
    <mergeCell ref="G795:H795"/>
    <mergeCell ref="I796:J796"/>
    <mergeCell ref="K788:L788"/>
    <mergeCell ref="K801:L801"/>
    <mergeCell ref="K840:L840"/>
    <mergeCell ref="I803:J803"/>
    <mergeCell ref="K789:L789"/>
    <mergeCell ref="K790:L790"/>
    <mergeCell ref="I790:J790"/>
    <mergeCell ref="I827:J827"/>
    <mergeCell ref="I789:J789"/>
    <mergeCell ref="I795:J795"/>
    <mergeCell ref="K1062:L1062"/>
    <mergeCell ref="K1014:L1014"/>
    <mergeCell ref="K973:L973"/>
    <mergeCell ref="K971:L971"/>
    <mergeCell ref="K1012:L1012"/>
    <mergeCell ref="K1058:L1058"/>
    <mergeCell ref="K1057:L1057"/>
    <mergeCell ref="K1035:L1035"/>
    <mergeCell ref="K1033:L1033"/>
    <mergeCell ref="K1016:L1016"/>
    <mergeCell ref="K1078:L1078"/>
    <mergeCell ref="K1084:L1084"/>
    <mergeCell ref="K1086:L1086"/>
    <mergeCell ref="I1114:J1114"/>
    <mergeCell ref="I1112:J1112"/>
    <mergeCell ref="I1078:J1078"/>
    <mergeCell ref="I1105:J1105"/>
    <mergeCell ref="I1083:J1083"/>
    <mergeCell ref="K1101:L1101"/>
    <mergeCell ref="K1111:L1111"/>
    <mergeCell ref="K1109:L1109"/>
    <mergeCell ref="G1098:H1098"/>
    <mergeCell ref="G1099:H1099"/>
    <mergeCell ref="I1110:J1110"/>
    <mergeCell ref="I1109:J1109"/>
    <mergeCell ref="K1106:L1106"/>
    <mergeCell ref="K1104:L1104"/>
    <mergeCell ref="K1098:L1098"/>
    <mergeCell ref="I1106:J1106"/>
    <mergeCell ref="G1104:H1104"/>
    <mergeCell ref="G1145:H1145"/>
    <mergeCell ref="K1125:L1125"/>
    <mergeCell ref="E1127:F1127"/>
    <mergeCell ref="C1128:D1128"/>
    <mergeCell ref="G1126:H1126"/>
    <mergeCell ref="C1127:D1127"/>
    <mergeCell ref="G1132:H1132"/>
    <mergeCell ref="I1132:J1132"/>
    <mergeCell ref="E1129:F1129"/>
    <mergeCell ref="I1141:J1141"/>
    <mergeCell ref="C1187:D1187"/>
    <mergeCell ref="E1176:F1176"/>
    <mergeCell ref="C1180:D1180"/>
    <mergeCell ref="G1171:H1171"/>
    <mergeCell ref="A1161:J1161"/>
    <mergeCell ref="G1185:H1185"/>
    <mergeCell ref="I1186:J1186"/>
    <mergeCell ref="I1187:J1187"/>
    <mergeCell ref="I1170:J1170"/>
    <mergeCell ref="I1183:J1183"/>
    <mergeCell ref="I1163:J1163"/>
    <mergeCell ref="I1166:J1166"/>
    <mergeCell ref="I1155:J1155"/>
    <mergeCell ref="I1151:J1151"/>
    <mergeCell ref="G1153:H1153"/>
    <mergeCell ref="I1157:J1157"/>
    <mergeCell ref="G1011:H1011"/>
    <mergeCell ref="G1028:H1028"/>
    <mergeCell ref="I1011:J1011"/>
    <mergeCell ref="G1025:H1025"/>
    <mergeCell ref="I1014:J1014"/>
    <mergeCell ref="I1012:J1012"/>
    <mergeCell ref="I1026:J1026"/>
    <mergeCell ref="G1027:H1027"/>
    <mergeCell ref="G1016:H1016"/>
    <mergeCell ref="A1022:J1022"/>
    <mergeCell ref="G943:H943"/>
    <mergeCell ref="I1093:J1093"/>
    <mergeCell ref="I1079:J1079"/>
    <mergeCell ref="I1095:J1095"/>
    <mergeCell ref="I1087:J1087"/>
    <mergeCell ref="I1076:J1076"/>
    <mergeCell ref="I1082:J1082"/>
    <mergeCell ref="G1073:H1073"/>
    <mergeCell ref="G1068:H1068"/>
    <mergeCell ref="I1068:J1068"/>
    <mergeCell ref="I934:J934"/>
    <mergeCell ref="K948:L948"/>
    <mergeCell ref="I944:J944"/>
    <mergeCell ref="I948:J948"/>
    <mergeCell ref="K935:L935"/>
    <mergeCell ref="K934:L934"/>
    <mergeCell ref="I946:J946"/>
    <mergeCell ref="I945:J945"/>
    <mergeCell ref="I936:J936"/>
    <mergeCell ref="K936:L936"/>
    <mergeCell ref="I927:J927"/>
    <mergeCell ref="K932:L932"/>
    <mergeCell ref="K933:L933"/>
    <mergeCell ref="K927:L927"/>
    <mergeCell ref="K931:L931"/>
    <mergeCell ref="I931:J931"/>
    <mergeCell ref="K918:L918"/>
    <mergeCell ref="K922:L922"/>
    <mergeCell ref="I923:J923"/>
    <mergeCell ref="I924:J924"/>
    <mergeCell ref="I925:J925"/>
    <mergeCell ref="K923:L923"/>
    <mergeCell ref="K925:L925"/>
    <mergeCell ref="K921:L921"/>
    <mergeCell ref="I865:J865"/>
    <mergeCell ref="I914:J914"/>
    <mergeCell ref="I922:J922"/>
    <mergeCell ref="I915:J915"/>
    <mergeCell ref="I917:J917"/>
    <mergeCell ref="I893:J893"/>
    <mergeCell ref="I911:J911"/>
    <mergeCell ref="I918:J918"/>
    <mergeCell ref="I890:J890"/>
    <mergeCell ref="I866:J866"/>
    <mergeCell ref="C875:D875"/>
    <mergeCell ref="G885:H885"/>
    <mergeCell ref="G883:H883"/>
    <mergeCell ref="G888:H888"/>
    <mergeCell ref="G886:H886"/>
    <mergeCell ref="C876:D876"/>
    <mergeCell ref="E875:F875"/>
    <mergeCell ref="E878:F878"/>
    <mergeCell ref="C879:D879"/>
    <mergeCell ref="I675:J675"/>
    <mergeCell ref="I283:J283"/>
    <mergeCell ref="I806:J806"/>
    <mergeCell ref="G225:H225"/>
    <mergeCell ref="G240:H240"/>
    <mergeCell ref="I239:J239"/>
    <mergeCell ref="I507:J507"/>
    <mergeCell ref="I421:J421"/>
    <mergeCell ref="G385:H385"/>
    <mergeCell ref="G384:H384"/>
    <mergeCell ref="G224:H224"/>
    <mergeCell ref="E229:F229"/>
    <mergeCell ref="C227:D227"/>
    <mergeCell ref="K682:L682"/>
    <mergeCell ref="I671:J671"/>
    <mergeCell ref="I540:J540"/>
    <mergeCell ref="I542:J542"/>
    <mergeCell ref="K445:L445"/>
    <mergeCell ref="I227:J227"/>
    <mergeCell ref="I228:J228"/>
    <mergeCell ref="G236:H236"/>
    <mergeCell ref="A231:J231"/>
    <mergeCell ref="G229:H229"/>
    <mergeCell ref="C236:D236"/>
    <mergeCell ref="E235:F235"/>
    <mergeCell ref="C229:D229"/>
    <mergeCell ref="E226:F226"/>
    <mergeCell ref="G227:H227"/>
    <mergeCell ref="I226:J226"/>
    <mergeCell ref="I225:J225"/>
    <mergeCell ref="E225:F225"/>
    <mergeCell ref="E228:F228"/>
    <mergeCell ref="G226:H226"/>
    <mergeCell ref="E227:F227"/>
    <mergeCell ref="G323:H323"/>
    <mergeCell ref="I274:J274"/>
    <mergeCell ref="I278:J278"/>
    <mergeCell ref="I569:J569"/>
    <mergeCell ref="C339:D339"/>
    <mergeCell ref="A308:J308"/>
    <mergeCell ref="C338:D338"/>
    <mergeCell ref="C336:D336"/>
    <mergeCell ref="E327:F327"/>
    <mergeCell ref="G330:H330"/>
    <mergeCell ref="E329:F329"/>
    <mergeCell ref="C332:D332"/>
    <mergeCell ref="C331:D331"/>
    <mergeCell ref="I457:J457"/>
    <mergeCell ref="I455:J455"/>
    <mergeCell ref="I527:J527"/>
    <mergeCell ref="I386:J386"/>
    <mergeCell ref="I348:J348"/>
    <mergeCell ref="G345:H345"/>
    <mergeCell ref="I475:J475"/>
    <mergeCell ref="I538:J538"/>
    <mergeCell ref="I564:J564"/>
    <mergeCell ref="I497:J497"/>
    <mergeCell ref="I501:J501"/>
    <mergeCell ref="A655:H655"/>
    <mergeCell ref="G331:H331"/>
    <mergeCell ref="E586:F586"/>
    <mergeCell ref="E580:F580"/>
    <mergeCell ref="G580:H580"/>
    <mergeCell ref="I531:J531"/>
    <mergeCell ref="G585:H585"/>
    <mergeCell ref="I584:J584"/>
    <mergeCell ref="I680:J680"/>
    <mergeCell ref="K688:L688"/>
    <mergeCell ref="K683:L683"/>
    <mergeCell ref="I688:J688"/>
    <mergeCell ref="K634:L634"/>
    <mergeCell ref="K592:L592"/>
    <mergeCell ref="I606:J606"/>
    <mergeCell ref="G589:H589"/>
    <mergeCell ref="I689:J689"/>
    <mergeCell ref="I683:J683"/>
    <mergeCell ref="K681:L681"/>
    <mergeCell ref="K680:L680"/>
    <mergeCell ref="K687:L687"/>
    <mergeCell ref="I61:J61"/>
    <mergeCell ref="K61:L61"/>
    <mergeCell ref="I73:J73"/>
    <mergeCell ref="I66:J66"/>
    <mergeCell ref="K65:L65"/>
    <mergeCell ref="G48:H48"/>
    <mergeCell ref="A1:L1"/>
    <mergeCell ref="A23:H23"/>
    <mergeCell ref="A25:F25"/>
    <mergeCell ref="G33:H33"/>
    <mergeCell ref="G34:H34"/>
    <mergeCell ref="B6:G6"/>
    <mergeCell ref="A4:K4"/>
    <mergeCell ref="A3:H3"/>
    <mergeCell ref="K38:L38"/>
    <mergeCell ref="G230:H230"/>
    <mergeCell ref="I64:J64"/>
    <mergeCell ref="I65:J65"/>
    <mergeCell ref="I63:J63"/>
    <mergeCell ref="I189:J189"/>
    <mergeCell ref="I206:J206"/>
    <mergeCell ref="G228:H228"/>
    <mergeCell ref="G215:H215"/>
    <mergeCell ref="I223:J223"/>
    <mergeCell ref="I229:J229"/>
    <mergeCell ref="I58:J58"/>
    <mergeCell ref="E237:F237"/>
    <mergeCell ref="I224:J224"/>
    <mergeCell ref="G216:H216"/>
    <mergeCell ref="E53:F53"/>
    <mergeCell ref="I230:J230"/>
    <mergeCell ref="A57:L57"/>
    <mergeCell ref="C55:D55"/>
    <mergeCell ref="E230:F230"/>
    <mergeCell ref="C230:D230"/>
    <mergeCell ref="I43:J43"/>
    <mergeCell ref="G54:H54"/>
    <mergeCell ref="I46:J46"/>
    <mergeCell ref="K58:L58"/>
    <mergeCell ref="I55:J55"/>
    <mergeCell ref="I53:J53"/>
    <mergeCell ref="K55:L55"/>
    <mergeCell ref="I49:J49"/>
    <mergeCell ref="I51:J51"/>
    <mergeCell ref="G49:H49"/>
    <mergeCell ref="C32:D32"/>
    <mergeCell ref="C33:D33"/>
    <mergeCell ref="I36:J36"/>
    <mergeCell ref="I33:J33"/>
    <mergeCell ref="C41:D41"/>
    <mergeCell ref="C34:D34"/>
    <mergeCell ref="E38:F38"/>
    <mergeCell ref="I37:J37"/>
    <mergeCell ref="I38:J38"/>
    <mergeCell ref="E36:F36"/>
    <mergeCell ref="K36:L36"/>
    <mergeCell ref="C39:D39"/>
    <mergeCell ref="G35:H35"/>
    <mergeCell ref="G31:H31"/>
    <mergeCell ref="I39:J39"/>
    <mergeCell ref="G32:H32"/>
    <mergeCell ref="I32:J32"/>
    <mergeCell ref="E34:F34"/>
    <mergeCell ref="I34:J34"/>
    <mergeCell ref="G36:H36"/>
    <mergeCell ref="C36:D36"/>
    <mergeCell ref="E40:F40"/>
    <mergeCell ref="C40:D40"/>
    <mergeCell ref="E31:F31"/>
    <mergeCell ref="E32:F32"/>
    <mergeCell ref="C31:D31"/>
    <mergeCell ref="E33:F33"/>
    <mergeCell ref="C38:D38"/>
    <mergeCell ref="E37:F37"/>
    <mergeCell ref="C37:D37"/>
    <mergeCell ref="E43:F43"/>
    <mergeCell ref="E42:F42"/>
    <mergeCell ref="G38:H38"/>
    <mergeCell ref="G37:H37"/>
    <mergeCell ref="C35:D35"/>
    <mergeCell ref="G47:H47"/>
    <mergeCell ref="G40:H40"/>
    <mergeCell ref="G39:H39"/>
    <mergeCell ref="G43:H43"/>
    <mergeCell ref="E41:F41"/>
    <mergeCell ref="E39:F39"/>
    <mergeCell ref="E47:F47"/>
    <mergeCell ref="G41:H41"/>
    <mergeCell ref="C42:D42"/>
    <mergeCell ref="K40:L40"/>
    <mergeCell ref="C50:D50"/>
    <mergeCell ref="G42:H42"/>
    <mergeCell ref="E49:F49"/>
    <mergeCell ref="C43:D43"/>
    <mergeCell ref="C49:D49"/>
    <mergeCell ref="C48:D48"/>
    <mergeCell ref="E50:F50"/>
    <mergeCell ref="E48:F48"/>
    <mergeCell ref="C47:D47"/>
    <mergeCell ref="I624:J624"/>
    <mergeCell ref="K43:L43"/>
    <mergeCell ref="I593:J593"/>
    <mergeCell ref="K49:L49"/>
    <mergeCell ref="K53:L53"/>
    <mergeCell ref="I54:J54"/>
    <mergeCell ref="I42:J42"/>
    <mergeCell ref="I40:J40"/>
    <mergeCell ref="I48:J48"/>
    <mergeCell ref="K42:L42"/>
    <mergeCell ref="K47:L47"/>
    <mergeCell ref="I47:J47"/>
    <mergeCell ref="K41:L41"/>
    <mergeCell ref="I41:J41"/>
    <mergeCell ref="K48:L48"/>
    <mergeCell ref="K46:L46"/>
    <mergeCell ref="K59:L59"/>
    <mergeCell ref="K63:L63"/>
    <mergeCell ref="K64:L64"/>
    <mergeCell ref="K37:L37"/>
    <mergeCell ref="E681:F681"/>
    <mergeCell ref="G679:H679"/>
    <mergeCell ref="G680:H680"/>
    <mergeCell ref="K50:L50"/>
    <mergeCell ref="I50:J50"/>
    <mergeCell ref="I679:J679"/>
    <mergeCell ref="G542:H542"/>
    <mergeCell ref="K39:L39"/>
    <mergeCell ref="I709:J709"/>
    <mergeCell ref="I718:J718"/>
    <mergeCell ref="I723:J723"/>
    <mergeCell ref="I713:J713"/>
    <mergeCell ref="G720:H720"/>
    <mergeCell ref="A710:J710"/>
    <mergeCell ref="I715:J715"/>
    <mergeCell ref="G721:H721"/>
    <mergeCell ref="I717:J717"/>
    <mergeCell ref="I863:J863"/>
    <mergeCell ref="I714:J714"/>
    <mergeCell ref="I862:J862"/>
    <mergeCell ref="I858:J858"/>
    <mergeCell ref="I868:J868"/>
    <mergeCell ref="I841:J841"/>
    <mergeCell ref="I771:J771"/>
    <mergeCell ref="I787:J787"/>
    <mergeCell ref="I805:J805"/>
    <mergeCell ref="I864:J864"/>
    <mergeCell ref="I816:J816"/>
    <mergeCell ref="I820:J820"/>
    <mergeCell ref="G863:H863"/>
    <mergeCell ref="I801:J801"/>
    <mergeCell ref="I829:J829"/>
    <mergeCell ref="G833:H833"/>
    <mergeCell ref="G828:H828"/>
    <mergeCell ref="G829:H829"/>
    <mergeCell ref="G849:H849"/>
    <mergeCell ref="G843:H843"/>
    <mergeCell ref="I821:J821"/>
    <mergeCell ref="G848:H848"/>
    <mergeCell ref="I832:J832"/>
    <mergeCell ref="I815:J815"/>
    <mergeCell ref="I822:J822"/>
    <mergeCell ref="I826:J826"/>
    <mergeCell ref="I831:J831"/>
    <mergeCell ref="I828:J828"/>
    <mergeCell ref="I824:J824"/>
    <mergeCell ref="I730:J730"/>
    <mergeCell ref="I725:J725"/>
    <mergeCell ref="I724:J724"/>
    <mergeCell ref="I721:J721"/>
    <mergeCell ref="I743:J743"/>
    <mergeCell ref="I744:J744"/>
    <mergeCell ref="I731:J731"/>
    <mergeCell ref="I722:J722"/>
    <mergeCell ref="I727:J727"/>
    <mergeCell ref="I728:J728"/>
    <mergeCell ref="G798:H798"/>
    <mergeCell ref="G803:H803"/>
    <mergeCell ref="G821:H821"/>
    <mergeCell ref="I802:J802"/>
    <mergeCell ref="G810:H810"/>
    <mergeCell ref="I814:J814"/>
    <mergeCell ref="G816:H816"/>
    <mergeCell ref="G802:H802"/>
    <mergeCell ref="G855:H855"/>
    <mergeCell ref="I794:J794"/>
    <mergeCell ref="G840:H840"/>
    <mergeCell ref="I838:J838"/>
    <mergeCell ref="G814:H814"/>
    <mergeCell ref="I839:J839"/>
    <mergeCell ref="G832:H832"/>
    <mergeCell ref="I840:J840"/>
    <mergeCell ref="G806:H806"/>
    <mergeCell ref="G838:H838"/>
    <mergeCell ref="G864:H864"/>
    <mergeCell ref="G834:H834"/>
    <mergeCell ref="I708:J708"/>
    <mergeCell ref="G709:H709"/>
    <mergeCell ref="I797:J797"/>
    <mergeCell ref="M664:N664"/>
    <mergeCell ref="M666:N666"/>
    <mergeCell ref="M668:N668"/>
    <mergeCell ref="I674:J674"/>
    <mergeCell ref="I756:J756"/>
    <mergeCell ref="I720:J720"/>
    <mergeCell ref="M667:N667"/>
    <mergeCell ref="R668:S668"/>
    <mergeCell ref="I678:J678"/>
    <mergeCell ref="I776:J776"/>
    <mergeCell ref="I681:J681"/>
    <mergeCell ref="A693:J693"/>
    <mergeCell ref="R669:S669"/>
    <mergeCell ref="K672:L672"/>
    <mergeCell ref="I745:J745"/>
    <mergeCell ref="E714:F714"/>
    <mergeCell ref="P667:Q667"/>
    <mergeCell ref="P664:Q664"/>
    <mergeCell ref="R667:S667"/>
    <mergeCell ref="P665:Q665"/>
    <mergeCell ref="P669:Q669"/>
    <mergeCell ref="G697:H697"/>
    <mergeCell ref="E708:F708"/>
    <mergeCell ref="G677:H677"/>
    <mergeCell ref="M665:N665"/>
    <mergeCell ref="P661:Q661"/>
    <mergeCell ref="R660:S660"/>
    <mergeCell ref="R661:S661"/>
    <mergeCell ref="P666:Q666"/>
    <mergeCell ref="R664:S664"/>
    <mergeCell ref="E709:F709"/>
    <mergeCell ref="I690:J690"/>
    <mergeCell ref="I697:J697"/>
    <mergeCell ref="I698:J698"/>
    <mergeCell ref="I687:J687"/>
    <mergeCell ref="P626:Q626"/>
    <mergeCell ref="S650:T650"/>
    <mergeCell ref="S652:T652"/>
    <mergeCell ref="P668:Q668"/>
    <mergeCell ref="R666:S666"/>
    <mergeCell ref="S655:T655"/>
    <mergeCell ref="Q652:R652"/>
    <mergeCell ref="S657:T657"/>
    <mergeCell ref="S654:T654"/>
    <mergeCell ref="S656:T656"/>
    <mergeCell ref="Q650:R650"/>
    <mergeCell ref="Q655:R655"/>
    <mergeCell ref="Q657:R657"/>
    <mergeCell ref="R665:S665"/>
    <mergeCell ref="Q654:R654"/>
    <mergeCell ref="Q656:R656"/>
    <mergeCell ref="P663:Q663"/>
    <mergeCell ref="S651:T651"/>
    <mergeCell ref="R663:S663"/>
    <mergeCell ref="P660:Q660"/>
    <mergeCell ref="S1360:Y1385"/>
    <mergeCell ref="T1306:Z1339"/>
    <mergeCell ref="W1293:Y1305"/>
    <mergeCell ref="R1322:S1322"/>
    <mergeCell ref="P1101:Q1101"/>
    <mergeCell ref="P1100:Q1100"/>
    <mergeCell ref="P1097:Q1097"/>
    <mergeCell ref="R1331:S1331"/>
    <mergeCell ref="T1290:U1290"/>
    <mergeCell ref="K1215:L1215"/>
    <mergeCell ref="I1116:J1116"/>
    <mergeCell ref="K1145:L1145"/>
    <mergeCell ref="K1131:L1131"/>
    <mergeCell ref="I1129:J1129"/>
    <mergeCell ref="I1126:J1126"/>
    <mergeCell ref="K1129:L1129"/>
    <mergeCell ref="K1163:L1163"/>
    <mergeCell ref="K1177:L1177"/>
    <mergeCell ref="R1290:S1290"/>
    <mergeCell ref="K1141:L1141"/>
    <mergeCell ref="K1156:L1156"/>
    <mergeCell ref="M1248:N1248"/>
    <mergeCell ref="K1180:L1180"/>
    <mergeCell ref="K1168:L1168"/>
    <mergeCell ref="K1169:L1169"/>
    <mergeCell ref="K1158:L1158"/>
    <mergeCell ref="M1278:N1278"/>
    <mergeCell ref="M1264:N1264"/>
    <mergeCell ref="K1222:L1222"/>
    <mergeCell ref="I1075:J1075"/>
    <mergeCell ref="K1095:L1095"/>
    <mergeCell ref="K1088:L1088"/>
    <mergeCell ref="K1110:L1110"/>
    <mergeCell ref="K1103:L1103"/>
    <mergeCell ref="K1102:L1102"/>
    <mergeCell ref="K1105:L1105"/>
    <mergeCell ref="P1095:Q1095"/>
    <mergeCell ref="K1083:L1083"/>
    <mergeCell ref="P1094:Q1094"/>
    <mergeCell ref="K1092:L1092"/>
    <mergeCell ref="P1093:Q1093"/>
    <mergeCell ref="K1094:L1094"/>
    <mergeCell ref="K1073:L1073"/>
    <mergeCell ref="I1073:J1073"/>
    <mergeCell ref="I1015:J1015"/>
    <mergeCell ref="I1034:J1034"/>
    <mergeCell ref="I1062:J1062"/>
    <mergeCell ref="I1055:J1055"/>
    <mergeCell ref="I1066:J1066"/>
    <mergeCell ref="I1065:J1065"/>
    <mergeCell ref="I1067:J1067"/>
    <mergeCell ref="I1029:J1029"/>
    <mergeCell ref="I909:J909"/>
    <mergeCell ref="I912:J912"/>
    <mergeCell ref="I895:J895"/>
    <mergeCell ref="I965:J965"/>
    <mergeCell ref="I971:J971"/>
    <mergeCell ref="I966:J966"/>
    <mergeCell ref="I964:J964"/>
    <mergeCell ref="I963:J963"/>
    <mergeCell ref="I896:J896"/>
    <mergeCell ref="I926:J926"/>
    <mergeCell ref="I874:J874"/>
    <mergeCell ref="I877:J877"/>
    <mergeCell ref="I882:J882"/>
    <mergeCell ref="I876:J876"/>
    <mergeCell ref="I916:J916"/>
    <mergeCell ref="I947:J947"/>
    <mergeCell ref="I921:J921"/>
    <mergeCell ref="I937:J937"/>
    <mergeCell ref="I942:J942"/>
    <mergeCell ref="I885:J885"/>
    <mergeCell ref="G714:H714"/>
    <mergeCell ref="A711:J711"/>
    <mergeCell ref="K1072:L1072"/>
    <mergeCell ref="I913:J913"/>
    <mergeCell ref="I938:J938"/>
    <mergeCell ref="I875:J875"/>
    <mergeCell ref="E762:F762"/>
    <mergeCell ref="I867:J867"/>
    <mergeCell ref="I932:J932"/>
    <mergeCell ref="C715:D715"/>
    <mergeCell ref="G690:H690"/>
    <mergeCell ref="C714:D714"/>
    <mergeCell ref="G699:H699"/>
    <mergeCell ref="G691:H691"/>
    <mergeCell ref="G701:H701"/>
    <mergeCell ref="K1082:L1082"/>
    <mergeCell ref="G700:H700"/>
    <mergeCell ref="G708:H708"/>
    <mergeCell ref="I726:J726"/>
    <mergeCell ref="I719:J719"/>
    <mergeCell ref="G722:H722"/>
    <mergeCell ref="C709:D709"/>
    <mergeCell ref="E706:F706"/>
    <mergeCell ref="G703:H703"/>
    <mergeCell ref="C707:D707"/>
    <mergeCell ref="C718:D718"/>
    <mergeCell ref="G716:H716"/>
    <mergeCell ref="C708:D708"/>
    <mergeCell ref="G717:H717"/>
    <mergeCell ref="G715:H715"/>
    <mergeCell ref="C604:D604"/>
    <mergeCell ref="C593:D593"/>
    <mergeCell ref="G592:H592"/>
    <mergeCell ref="K601:L601"/>
    <mergeCell ref="E607:F607"/>
    <mergeCell ref="C602:D602"/>
    <mergeCell ref="G596:H596"/>
    <mergeCell ref="K598:L598"/>
    <mergeCell ref="E604:F604"/>
    <mergeCell ref="K593:L593"/>
    <mergeCell ref="K590:L590"/>
    <mergeCell ref="G604:H604"/>
    <mergeCell ref="C606:D606"/>
    <mergeCell ref="E603:F603"/>
    <mergeCell ref="I603:J603"/>
    <mergeCell ref="I716:J716"/>
    <mergeCell ref="C691:D691"/>
    <mergeCell ref="C682:D682"/>
    <mergeCell ref="C702:D702"/>
    <mergeCell ref="C716:D716"/>
    <mergeCell ref="M661:N661"/>
    <mergeCell ref="M663:N663"/>
    <mergeCell ref="C696:D696"/>
    <mergeCell ref="A611:H611"/>
    <mergeCell ref="E691:F691"/>
    <mergeCell ref="G569:H569"/>
    <mergeCell ref="G588:H588"/>
    <mergeCell ref="G586:H586"/>
    <mergeCell ref="I580:J580"/>
    <mergeCell ref="G587:H587"/>
    <mergeCell ref="G584:H584"/>
    <mergeCell ref="I583:J583"/>
    <mergeCell ref="I573:J573"/>
    <mergeCell ref="I587:J587"/>
    <mergeCell ref="I579:J579"/>
    <mergeCell ref="P631:Q631"/>
    <mergeCell ref="G603:H603"/>
    <mergeCell ref="G606:H606"/>
    <mergeCell ref="I589:J589"/>
    <mergeCell ref="I591:J591"/>
    <mergeCell ref="I544:J544"/>
    <mergeCell ref="Q651:R651"/>
    <mergeCell ref="I535:J535"/>
    <mergeCell ref="I590:J590"/>
    <mergeCell ref="I586:J586"/>
    <mergeCell ref="I602:J602"/>
    <mergeCell ref="I604:J604"/>
    <mergeCell ref="I605:J605"/>
    <mergeCell ref="I607:J607"/>
    <mergeCell ref="P625:Q625"/>
    <mergeCell ref="I585:J585"/>
    <mergeCell ref="I570:J570"/>
    <mergeCell ref="I549:J549"/>
    <mergeCell ref="I559:J559"/>
    <mergeCell ref="I560:J560"/>
    <mergeCell ref="I571:J571"/>
    <mergeCell ref="I563:J563"/>
    <mergeCell ref="I568:J568"/>
    <mergeCell ref="I561:J561"/>
    <mergeCell ref="I518:J518"/>
    <mergeCell ref="I498:J498"/>
    <mergeCell ref="I500:J500"/>
    <mergeCell ref="I528:J528"/>
    <mergeCell ref="I532:J532"/>
    <mergeCell ref="I534:J534"/>
    <mergeCell ref="I499:J499"/>
    <mergeCell ref="I511:J511"/>
    <mergeCell ref="I502:J502"/>
    <mergeCell ref="I496:J496"/>
    <mergeCell ref="I514:J514"/>
    <mergeCell ref="I513:J513"/>
    <mergeCell ref="I503:J503"/>
    <mergeCell ref="I485:J485"/>
    <mergeCell ref="I476:J476"/>
    <mergeCell ref="I477:J477"/>
    <mergeCell ref="I490:J490"/>
    <mergeCell ref="I493:J493"/>
    <mergeCell ref="I494:J494"/>
    <mergeCell ref="I459:J459"/>
    <mergeCell ref="I460:J460"/>
    <mergeCell ref="I463:J463"/>
    <mergeCell ref="I464:J464"/>
    <mergeCell ref="I466:J466"/>
    <mergeCell ref="I470:J470"/>
    <mergeCell ref="I447:J447"/>
    <mergeCell ref="I443:J443"/>
    <mergeCell ref="I444:J444"/>
    <mergeCell ref="K443:L443"/>
    <mergeCell ref="K444:L444"/>
    <mergeCell ref="I440:J440"/>
    <mergeCell ref="K441:L441"/>
    <mergeCell ref="I439:J439"/>
    <mergeCell ref="I438:J438"/>
    <mergeCell ref="I435:J435"/>
    <mergeCell ref="I433:J433"/>
    <mergeCell ref="I429:J429"/>
    <mergeCell ref="I431:J431"/>
    <mergeCell ref="I430:J430"/>
    <mergeCell ref="K285:L285"/>
    <mergeCell ref="K301:L301"/>
    <mergeCell ref="G305:H305"/>
    <mergeCell ref="I388:J388"/>
    <mergeCell ref="I393:J393"/>
    <mergeCell ref="I397:J397"/>
    <mergeCell ref="I379:J379"/>
    <mergeCell ref="I384:J384"/>
    <mergeCell ref="I288:J288"/>
    <mergeCell ref="I322:J322"/>
    <mergeCell ref="E311:F311"/>
    <mergeCell ref="E306:F306"/>
    <mergeCell ref="K287:L287"/>
    <mergeCell ref="K292:L292"/>
    <mergeCell ref="I292:J292"/>
    <mergeCell ref="K302:L302"/>
    <mergeCell ref="K310:L310"/>
    <mergeCell ref="E304:F304"/>
    <mergeCell ref="G304:H304"/>
    <mergeCell ref="G306:H306"/>
    <mergeCell ref="C311:D311"/>
    <mergeCell ref="E287:F287"/>
    <mergeCell ref="G321:H321"/>
    <mergeCell ref="K307:L307"/>
    <mergeCell ref="K306:L306"/>
    <mergeCell ref="E317:F317"/>
    <mergeCell ref="I310:J310"/>
    <mergeCell ref="I306:J306"/>
    <mergeCell ref="I307:J307"/>
    <mergeCell ref="I313:J313"/>
    <mergeCell ref="C304:D304"/>
    <mergeCell ref="K311:L311"/>
    <mergeCell ref="C307:D307"/>
    <mergeCell ref="C313:D313"/>
    <mergeCell ref="G307:H307"/>
    <mergeCell ref="E313:F313"/>
    <mergeCell ref="G313:H313"/>
    <mergeCell ref="C305:D305"/>
    <mergeCell ref="G311:H311"/>
    <mergeCell ref="C306:D306"/>
    <mergeCell ref="G253:H253"/>
    <mergeCell ref="G249:H249"/>
    <mergeCell ref="G279:H279"/>
    <mergeCell ref="G286:H286"/>
    <mergeCell ref="G285:H285"/>
    <mergeCell ref="G280:H280"/>
    <mergeCell ref="G277:H277"/>
    <mergeCell ref="G284:H284"/>
    <mergeCell ref="G275:H275"/>
    <mergeCell ref="G272:H272"/>
    <mergeCell ref="I252:J252"/>
    <mergeCell ref="I254:J254"/>
    <mergeCell ref="G255:H255"/>
    <mergeCell ref="E241:F241"/>
    <mergeCell ref="G262:H262"/>
    <mergeCell ref="E250:F250"/>
    <mergeCell ref="E248:F248"/>
    <mergeCell ref="E257:F257"/>
    <mergeCell ref="E252:F252"/>
    <mergeCell ref="E254:F254"/>
    <mergeCell ref="I273:J273"/>
    <mergeCell ref="I272:J272"/>
    <mergeCell ref="G266:H266"/>
    <mergeCell ref="I271:J271"/>
    <mergeCell ref="G273:H273"/>
    <mergeCell ref="G241:H241"/>
    <mergeCell ref="I255:J255"/>
    <mergeCell ref="I256:J256"/>
    <mergeCell ref="G252:H252"/>
    <mergeCell ref="G251:H251"/>
    <mergeCell ref="I264:J264"/>
    <mergeCell ref="I261:J261"/>
    <mergeCell ref="E263:F263"/>
    <mergeCell ref="G254:H254"/>
    <mergeCell ref="E246:F246"/>
    <mergeCell ref="I251:J251"/>
    <mergeCell ref="E251:F251"/>
    <mergeCell ref="G263:H263"/>
    <mergeCell ref="G257:H257"/>
    <mergeCell ref="E262:F262"/>
    <mergeCell ref="I245:J245"/>
    <mergeCell ref="G250:H250"/>
    <mergeCell ref="G237:H237"/>
    <mergeCell ref="G239:H239"/>
    <mergeCell ref="G248:H248"/>
    <mergeCell ref="G246:H246"/>
    <mergeCell ref="I241:J241"/>
    <mergeCell ref="I240:J240"/>
    <mergeCell ref="G238:H238"/>
    <mergeCell ref="G247:H247"/>
    <mergeCell ref="G190:H190"/>
    <mergeCell ref="G195:H195"/>
    <mergeCell ref="A219:J219"/>
    <mergeCell ref="E196:F196"/>
    <mergeCell ref="E213:F213"/>
    <mergeCell ref="E217:F217"/>
    <mergeCell ref="I215:J215"/>
    <mergeCell ref="I216:J216"/>
    <mergeCell ref="G197:H197"/>
    <mergeCell ref="E215:F215"/>
    <mergeCell ref="I208:J208"/>
    <mergeCell ref="I197:J197"/>
    <mergeCell ref="E216:F216"/>
    <mergeCell ref="C303:D303"/>
    <mergeCell ref="C288:D288"/>
    <mergeCell ref="C285:D285"/>
    <mergeCell ref="C289:D289"/>
    <mergeCell ref="C287:D287"/>
    <mergeCell ref="C302:D302"/>
    <mergeCell ref="E239:F239"/>
    <mergeCell ref="A199:H199"/>
    <mergeCell ref="E224:F224"/>
    <mergeCell ref="E249:F249"/>
    <mergeCell ref="E218:F218"/>
    <mergeCell ref="E223:F223"/>
    <mergeCell ref="C206:D206"/>
    <mergeCell ref="C218:D218"/>
    <mergeCell ref="C215:D215"/>
    <mergeCell ref="C208:D208"/>
    <mergeCell ref="E279:F279"/>
    <mergeCell ref="E276:F276"/>
    <mergeCell ref="E278:F278"/>
    <mergeCell ref="G278:H278"/>
    <mergeCell ref="G276:H276"/>
    <mergeCell ref="G256:H256"/>
    <mergeCell ref="G265:H265"/>
    <mergeCell ref="G267:H267"/>
    <mergeCell ref="G274:H274"/>
    <mergeCell ref="G264:H264"/>
    <mergeCell ref="E280:F280"/>
    <mergeCell ref="E285:F285"/>
    <mergeCell ref="E284:F284"/>
    <mergeCell ref="G303:H303"/>
    <mergeCell ref="G302:H302"/>
    <mergeCell ref="G289:H289"/>
    <mergeCell ref="E286:F286"/>
    <mergeCell ref="G288:H288"/>
    <mergeCell ref="G287:H287"/>
    <mergeCell ref="A314:J314"/>
    <mergeCell ref="E319:F319"/>
    <mergeCell ref="E318:F318"/>
    <mergeCell ref="I321:J321"/>
    <mergeCell ref="E346:F346"/>
    <mergeCell ref="G346:H346"/>
    <mergeCell ref="G344:H344"/>
    <mergeCell ref="E344:F344"/>
    <mergeCell ref="G339:H339"/>
    <mergeCell ref="G336:H336"/>
    <mergeCell ref="G343:H343"/>
    <mergeCell ref="G338:H338"/>
    <mergeCell ref="E339:F339"/>
    <mergeCell ref="C366:D366"/>
    <mergeCell ref="E345:F345"/>
    <mergeCell ref="C356:D356"/>
    <mergeCell ref="E357:F357"/>
    <mergeCell ref="E356:F356"/>
    <mergeCell ref="G353:H353"/>
    <mergeCell ref="G352:H352"/>
    <mergeCell ref="G366:H366"/>
    <mergeCell ref="G361:H361"/>
    <mergeCell ref="G356:H356"/>
    <mergeCell ref="E365:F365"/>
    <mergeCell ref="G365:H365"/>
    <mergeCell ref="E366:F366"/>
    <mergeCell ref="G357:H357"/>
    <mergeCell ref="C365:D365"/>
    <mergeCell ref="C363:D363"/>
    <mergeCell ref="G355:H355"/>
    <mergeCell ref="G364:H364"/>
    <mergeCell ref="E364:F364"/>
    <mergeCell ref="C353:D353"/>
    <mergeCell ref="C344:D344"/>
    <mergeCell ref="C346:D346"/>
    <mergeCell ref="C361:D361"/>
    <mergeCell ref="C364:D364"/>
    <mergeCell ref="E363:F363"/>
    <mergeCell ref="C357:D357"/>
    <mergeCell ref="C348:D348"/>
    <mergeCell ref="E361:F361"/>
    <mergeCell ref="C352:D352"/>
    <mergeCell ref="C355:D355"/>
    <mergeCell ref="C377:D377"/>
    <mergeCell ref="C402:D402"/>
    <mergeCell ref="E404:F404"/>
    <mergeCell ref="C405:D405"/>
    <mergeCell ref="E421:F421"/>
    <mergeCell ref="C404:D404"/>
    <mergeCell ref="E378:F378"/>
    <mergeCell ref="E413:F413"/>
    <mergeCell ref="E412:F412"/>
    <mergeCell ref="C378:D378"/>
    <mergeCell ref="C374:D374"/>
    <mergeCell ref="E374:F374"/>
    <mergeCell ref="C491:D491"/>
    <mergeCell ref="E475:F475"/>
    <mergeCell ref="C446:D446"/>
    <mergeCell ref="C456:D456"/>
    <mergeCell ref="E458:F458"/>
    <mergeCell ref="C431:D431"/>
    <mergeCell ref="E422:F422"/>
    <mergeCell ref="C376:D376"/>
    <mergeCell ref="E500:F500"/>
    <mergeCell ref="E457:F457"/>
    <mergeCell ref="E455:F455"/>
    <mergeCell ref="E446:F446"/>
    <mergeCell ref="C499:D499"/>
    <mergeCell ref="C458:D458"/>
    <mergeCell ref="C486:D486"/>
    <mergeCell ref="E474:F474"/>
    <mergeCell ref="C482:D482"/>
    <mergeCell ref="E466:F466"/>
    <mergeCell ref="C508:D508"/>
    <mergeCell ref="E478:F478"/>
    <mergeCell ref="C477:D477"/>
    <mergeCell ref="C503:D503"/>
    <mergeCell ref="G503:H503"/>
    <mergeCell ref="C501:D501"/>
    <mergeCell ref="E501:F501"/>
    <mergeCell ref="E498:F498"/>
    <mergeCell ref="E496:F496"/>
    <mergeCell ref="E499:F499"/>
    <mergeCell ref="E502:F502"/>
    <mergeCell ref="E506:F506"/>
    <mergeCell ref="C506:D506"/>
    <mergeCell ref="C507:D507"/>
    <mergeCell ref="G507:H507"/>
    <mergeCell ref="C498:D498"/>
    <mergeCell ref="C500:D500"/>
    <mergeCell ref="E503:F503"/>
    <mergeCell ref="C502:D502"/>
    <mergeCell ref="E507:F507"/>
    <mergeCell ref="G514:H514"/>
    <mergeCell ref="G519:H519"/>
    <mergeCell ref="C513:D513"/>
    <mergeCell ref="C522:D522"/>
    <mergeCell ref="C512:D512"/>
    <mergeCell ref="G521:H521"/>
    <mergeCell ref="E518:F518"/>
    <mergeCell ref="E543:F543"/>
    <mergeCell ref="E512:F512"/>
    <mergeCell ref="E519:F519"/>
    <mergeCell ref="E520:F520"/>
    <mergeCell ref="E562:F562"/>
    <mergeCell ref="E565:F565"/>
    <mergeCell ref="E563:F563"/>
    <mergeCell ref="E523:F523"/>
    <mergeCell ref="C599:D599"/>
    <mergeCell ref="C528:D528"/>
    <mergeCell ref="C719:D719"/>
    <mergeCell ref="E701:F701"/>
    <mergeCell ref="E579:F579"/>
    <mergeCell ref="E571:F571"/>
    <mergeCell ref="C544:D544"/>
    <mergeCell ref="E539:F539"/>
    <mergeCell ref="E544:F544"/>
    <mergeCell ref="E569:F569"/>
    <mergeCell ref="C720:D720"/>
    <mergeCell ref="E688:F688"/>
    <mergeCell ref="C699:D699"/>
    <mergeCell ref="E696:F696"/>
    <mergeCell ref="E699:F699"/>
    <mergeCell ref="C698:D698"/>
    <mergeCell ref="E697:F697"/>
    <mergeCell ref="E703:F703"/>
    <mergeCell ref="C701:D701"/>
    <mergeCell ref="C703:D703"/>
    <mergeCell ref="I749:J749"/>
    <mergeCell ref="E745:F745"/>
    <mergeCell ref="I779:J779"/>
    <mergeCell ref="I769:J769"/>
    <mergeCell ref="G770:H770"/>
    <mergeCell ref="G779:H779"/>
    <mergeCell ref="I767:J767"/>
    <mergeCell ref="I758:J758"/>
    <mergeCell ref="C935:D935"/>
    <mergeCell ref="G887:H887"/>
    <mergeCell ref="C914:D914"/>
    <mergeCell ref="G918:H918"/>
    <mergeCell ref="G916:H916"/>
    <mergeCell ref="C912:D912"/>
    <mergeCell ref="E888:F888"/>
    <mergeCell ref="E891:F891"/>
    <mergeCell ref="E912:F912"/>
    <mergeCell ref="E890:F890"/>
    <mergeCell ref="E1025:F1025"/>
    <mergeCell ref="E1015:F1015"/>
    <mergeCell ref="G963:H963"/>
    <mergeCell ref="E988:F988"/>
    <mergeCell ref="G989:H989"/>
    <mergeCell ref="E885:F885"/>
    <mergeCell ref="G893:H893"/>
    <mergeCell ref="G936:H936"/>
    <mergeCell ref="G938:H938"/>
    <mergeCell ref="G939:H939"/>
    <mergeCell ref="E956:F956"/>
    <mergeCell ref="G957:H957"/>
    <mergeCell ref="E958:F958"/>
    <mergeCell ref="G962:H962"/>
    <mergeCell ref="E964:F964"/>
    <mergeCell ref="I1085:J1085"/>
    <mergeCell ref="E962:F962"/>
    <mergeCell ref="E1016:F1016"/>
    <mergeCell ref="A1017:J1017"/>
    <mergeCell ref="I962:J962"/>
    <mergeCell ref="C1101:D1101"/>
    <mergeCell ref="I1088:J1088"/>
    <mergeCell ref="G1095:H1095"/>
    <mergeCell ref="I1097:J1097"/>
    <mergeCell ref="G1089:H1089"/>
    <mergeCell ref="G1094:H1094"/>
    <mergeCell ref="E1093:F1093"/>
    <mergeCell ref="E1095:F1095"/>
    <mergeCell ref="I1089:J1089"/>
    <mergeCell ref="I1094:J1094"/>
    <mergeCell ref="E1097:F1097"/>
    <mergeCell ref="G1085:H1085"/>
    <mergeCell ref="C1099:D1099"/>
    <mergeCell ref="G1097:H1097"/>
    <mergeCell ref="E1094:F1094"/>
    <mergeCell ref="C1089:D1089"/>
    <mergeCell ref="C1085:D1085"/>
    <mergeCell ref="E1088:F1088"/>
    <mergeCell ref="E1099:F1099"/>
    <mergeCell ref="I1101:J1101"/>
    <mergeCell ref="G1101:H1101"/>
    <mergeCell ref="I1104:J1104"/>
    <mergeCell ref="I1099:J1099"/>
    <mergeCell ref="G1110:H1110"/>
    <mergeCell ref="E1101:F1101"/>
    <mergeCell ref="E1100:F1100"/>
    <mergeCell ref="C1141:D1141"/>
    <mergeCell ref="E1141:F1141"/>
    <mergeCell ref="E1115:F1115"/>
    <mergeCell ref="I1130:J1130"/>
    <mergeCell ref="C1134:D1134"/>
    <mergeCell ref="C1096:D1096"/>
    <mergeCell ref="E1096:F1096"/>
    <mergeCell ref="C1098:D1098"/>
    <mergeCell ref="E1106:F1106"/>
    <mergeCell ref="G1106:H1106"/>
    <mergeCell ref="E1134:F1134"/>
    <mergeCell ref="E1132:F1132"/>
    <mergeCell ref="C1088:D1088"/>
    <mergeCell ref="G1093:H1093"/>
    <mergeCell ref="G1088:H1088"/>
    <mergeCell ref="E1089:F1089"/>
    <mergeCell ref="C1102:D1102"/>
    <mergeCell ref="G1100:H1100"/>
    <mergeCell ref="E1112:F1112"/>
    <mergeCell ref="E1110:F1110"/>
    <mergeCell ref="I1221:J1221"/>
    <mergeCell ref="G1215:H1215"/>
    <mergeCell ref="I1209:J1209"/>
    <mergeCell ref="G1209:H1209"/>
    <mergeCell ref="I1145:J1145"/>
    <mergeCell ref="G1184:H1184"/>
    <mergeCell ref="I1168:J1168"/>
    <mergeCell ref="I1147:J1147"/>
    <mergeCell ref="I1167:J1167"/>
    <mergeCell ref="I1146:J1146"/>
    <mergeCell ref="E1226:F1226"/>
    <mergeCell ref="E1215:F1215"/>
    <mergeCell ref="G1216:H1216"/>
    <mergeCell ref="G1217:H1217"/>
    <mergeCell ref="G1222:H1222"/>
    <mergeCell ref="G1227:H1227"/>
    <mergeCell ref="G1226:H1226"/>
    <mergeCell ref="G1194:H1194"/>
    <mergeCell ref="C1184:D1184"/>
    <mergeCell ref="E1223:F1223"/>
    <mergeCell ref="C1201:D1201"/>
    <mergeCell ref="C1188:D1188"/>
    <mergeCell ref="E1186:F1186"/>
    <mergeCell ref="A1191:J1191"/>
    <mergeCell ref="E1188:F1188"/>
    <mergeCell ref="E1194:F1194"/>
    <mergeCell ref="E1202:F1202"/>
    <mergeCell ref="E1187:F1187"/>
    <mergeCell ref="C1194:D1194"/>
    <mergeCell ref="C1186:D1186"/>
    <mergeCell ref="G1232:H1232"/>
    <mergeCell ref="C1217:D1217"/>
    <mergeCell ref="C1216:D1216"/>
    <mergeCell ref="E1216:F1216"/>
    <mergeCell ref="E1217:F1217"/>
    <mergeCell ref="G1202:H1202"/>
    <mergeCell ref="G1186:H1186"/>
    <mergeCell ref="C1195:D1195"/>
    <mergeCell ref="C1197:D1197"/>
    <mergeCell ref="G1201:H1201"/>
    <mergeCell ref="I1238:J1238"/>
    <mergeCell ref="I1233:J1233"/>
    <mergeCell ref="I1231:J1231"/>
    <mergeCell ref="E1222:F1222"/>
    <mergeCell ref="E1197:F1197"/>
    <mergeCell ref="G1224:H1224"/>
    <mergeCell ref="E1224:F1224"/>
    <mergeCell ref="C1223:D1223"/>
    <mergeCell ref="G1231:H1231"/>
    <mergeCell ref="I1223:J1223"/>
    <mergeCell ref="E1225:F1225"/>
    <mergeCell ref="C1226:D1226"/>
    <mergeCell ref="I1226:J1226"/>
    <mergeCell ref="I1225:J1225"/>
    <mergeCell ref="C1224:D1224"/>
    <mergeCell ref="I1224:J1224"/>
    <mergeCell ref="G1225:H1225"/>
    <mergeCell ref="C1624:D1624"/>
    <mergeCell ref="E1623:F1623"/>
    <mergeCell ref="I1505:J1505"/>
    <mergeCell ref="I1227:J1227"/>
    <mergeCell ref="C1615:D1615"/>
    <mergeCell ref="G1617:H1617"/>
    <mergeCell ref="I1230:J1230"/>
    <mergeCell ref="C1232:D1232"/>
    <mergeCell ref="A1272:J1272"/>
    <mergeCell ref="A1236:H1236"/>
    <mergeCell ref="E1613:F1613"/>
    <mergeCell ref="C1612:D1612"/>
    <mergeCell ref="G1570:H1570"/>
    <mergeCell ref="E1570:F1570"/>
    <mergeCell ref="I1477:J1477"/>
    <mergeCell ref="G1591:H1591"/>
    <mergeCell ref="G1612:H1612"/>
    <mergeCell ref="A1502:H1502"/>
    <mergeCell ref="I1540:J1540"/>
    <mergeCell ref="I1602:J1602"/>
    <mergeCell ref="I1629:J1629"/>
    <mergeCell ref="I1616:J1616"/>
    <mergeCell ref="I1615:J1615"/>
    <mergeCell ref="E1622:F1622"/>
    <mergeCell ref="G1628:H1628"/>
    <mergeCell ref="E1616:F1616"/>
    <mergeCell ref="G1615:H1615"/>
    <mergeCell ref="I1614:J1614"/>
    <mergeCell ref="I1624:J1624"/>
    <mergeCell ref="I1601:J1601"/>
    <mergeCell ref="I1621:J1621"/>
    <mergeCell ref="A1625:H1625"/>
    <mergeCell ref="G1616:H1616"/>
    <mergeCell ref="C1630:D1630"/>
    <mergeCell ref="I1631:J1631"/>
    <mergeCell ref="E1629:F1629"/>
    <mergeCell ref="I1630:J1630"/>
    <mergeCell ref="G1630:H1630"/>
    <mergeCell ref="G1631:H1631"/>
    <mergeCell ref="C1623:D1623"/>
    <mergeCell ref="I1627:J1627"/>
    <mergeCell ref="I1628:J1628"/>
    <mergeCell ref="I1623:J1623"/>
    <mergeCell ref="E1624:F1624"/>
    <mergeCell ref="C1617:D1617"/>
    <mergeCell ref="E1617:F1617"/>
    <mergeCell ref="I1622:J1622"/>
    <mergeCell ref="G1622:H1622"/>
    <mergeCell ref="G1623:H1623"/>
    <mergeCell ref="C1622:D1622"/>
    <mergeCell ref="I1617:J1617"/>
    <mergeCell ref="G1602:H1602"/>
    <mergeCell ref="I1613:J1613"/>
    <mergeCell ref="C1613:D1613"/>
    <mergeCell ref="E1612:F1612"/>
    <mergeCell ref="G1613:H1613"/>
    <mergeCell ref="I1611:J1611"/>
    <mergeCell ref="C1611:D1611"/>
    <mergeCell ref="C1602:D1602"/>
    <mergeCell ref="C1616:D1616"/>
    <mergeCell ref="C1603:D1603"/>
    <mergeCell ref="C1610:D1610"/>
    <mergeCell ref="G1610:H1610"/>
    <mergeCell ref="E1610:F1610"/>
    <mergeCell ref="G1604:H1604"/>
    <mergeCell ref="E1615:F1615"/>
    <mergeCell ref="C1614:D1614"/>
    <mergeCell ref="E1614:F1614"/>
    <mergeCell ref="C1233:D1233"/>
    <mergeCell ref="A1286:J1286"/>
    <mergeCell ref="C1227:D1227"/>
    <mergeCell ref="I1610:J1610"/>
    <mergeCell ref="I1603:J1603"/>
    <mergeCell ref="I1604:J1604"/>
    <mergeCell ref="I1609:J1609"/>
    <mergeCell ref="G1580:H1580"/>
    <mergeCell ref="E1603:F1603"/>
    <mergeCell ref="E1602:F1602"/>
    <mergeCell ref="I1410:J1410"/>
    <mergeCell ref="I1425:J1425"/>
    <mergeCell ref="A1431:I1431"/>
    <mergeCell ref="G1305:H1311"/>
    <mergeCell ref="I1357:J1357"/>
    <mergeCell ref="I1327:J1327"/>
    <mergeCell ref="I1367:J1367"/>
    <mergeCell ref="I1418:J1418"/>
    <mergeCell ref="G1233:H1233"/>
    <mergeCell ref="C1231:D1231"/>
    <mergeCell ref="C1203:D1203"/>
    <mergeCell ref="I1340:J1340"/>
    <mergeCell ref="I1395:J1395"/>
    <mergeCell ref="E1227:F1227"/>
    <mergeCell ref="E1233:F1233"/>
    <mergeCell ref="E1231:F1231"/>
    <mergeCell ref="E1232:F1232"/>
    <mergeCell ref="I1349:J1349"/>
    <mergeCell ref="I1217:J1217"/>
    <mergeCell ref="C1222:D1222"/>
    <mergeCell ref="G1210:H1210"/>
    <mergeCell ref="G1188:H1188"/>
    <mergeCell ref="C1210:D1210"/>
    <mergeCell ref="G1203:H1203"/>
    <mergeCell ref="C1209:D1209"/>
    <mergeCell ref="E1203:F1203"/>
    <mergeCell ref="E1196:F1196"/>
    <mergeCell ref="I1222:J1222"/>
    <mergeCell ref="C1185:D1185"/>
    <mergeCell ref="E1185:F1185"/>
    <mergeCell ref="C1202:D1202"/>
    <mergeCell ref="C1215:D1215"/>
    <mergeCell ref="I1210:J1210"/>
    <mergeCell ref="G1187:H1187"/>
    <mergeCell ref="C1208:D1208"/>
    <mergeCell ref="E1209:F1209"/>
    <mergeCell ref="C1196:D1196"/>
    <mergeCell ref="E1210:F1210"/>
    <mergeCell ref="I1208:J1208"/>
    <mergeCell ref="E1208:F1208"/>
    <mergeCell ref="G1178:H1178"/>
    <mergeCell ref="E1184:F1184"/>
    <mergeCell ref="G1195:H1195"/>
    <mergeCell ref="I1188:J1188"/>
    <mergeCell ref="I1194:J1194"/>
    <mergeCell ref="E1195:F1195"/>
    <mergeCell ref="G1208:H1208"/>
    <mergeCell ref="I1193:J1193"/>
    <mergeCell ref="C925:D925"/>
    <mergeCell ref="G1167:H1167"/>
    <mergeCell ref="E1167:F1167"/>
    <mergeCell ref="E1170:F1170"/>
    <mergeCell ref="E1166:F1166"/>
    <mergeCell ref="G1177:H1177"/>
    <mergeCell ref="E1177:F1177"/>
    <mergeCell ref="G1169:H1169"/>
    <mergeCell ref="E1142:F1142"/>
    <mergeCell ref="G1133:H1133"/>
    <mergeCell ref="C863:D863"/>
    <mergeCell ref="E947:F947"/>
    <mergeCell ref="C887:D887"/>
    <mergeCell ref="A905:H905"/>
    <mergeCell ref="C892:D892"/>
    <mergeCell ref="C913:D913"/>
    <mergeCell ref="G889:H889"/>
    <mergeCell ref="G922:H922"/>
    <mergeCell ref="C922:D922"/>
    <mergeCell ref="C891:D891"/>
    <mergeCell ref="G788:H788"/>
    <mergeCell ref="C848:D848"/>
    <mergeCell ref="C858:D858"/>
    <mergeCell ref="C864:D864"/>
    <mergeCell ref="C878:D878"/>
    <mergeCell ref="E883:F883"/>
    <mergeCell ref="E881:F881"/>
    <mergeCell ref="E882:F882"/>
    <mergeCell ref="E880:F880"/>
    <mergeCell ref="C865:D865"/>
    <mergeCell ref="G777:H777"/>
    <mergeCell ref="C810:D810"/>
    <mergeCell ref="G794:H794"/>
    <mergeCell ref="G786:H786"/>
    <mergeCell ref="I786:J786"/>
    <mergeCell ref="C789:D789"/>
    <mergeCell ref="C787:D787"/>
    <mergeCell ref="E797:F797"/>
    <mergeCell ref="I804:J804"/>
    <mergeCell ref="E805:F805"/>
    <mergeCell ref="G763:H763"/>
    <mergeCell ref="I757:J757"/>
    <mergeCell ref="I760:J760"/>
    <mergeCell ref="I753:J753"/>
    <mergeCell ref="I781:J781"/>
    <mergeCell ref="E810:F810"/>
    <mergeCell ref="I784:J784"/>
    <mergeCell ref="I785:J785"/>
    <mergeCell ref="G790:H790"/>
    <mergeCell ref="G805:H805"/>
    <mergeCell ref="E535:F535"/>
    <mergeCell ref="I747:J747"/>
    <mergeCell ref="E747:F747"/>
    <mergeCell ref="C745:D745"/>
    <mergeCell ref="C746:D746"/>
    <mergeCell ref="I778:J778"/>
    <mergeCell ref="G752:H752"/>
    <mergeCell ref="G758:H758"/>
    <mergeCell ref="G768:H768"/>
    <mergeCell ref="G760:H760"/>
    <mergeCell ref="E521:F521"/>
    <mergeCell ref="G522:H522"/>
    <mergeCell ref="G527:H527"/>
    <mergeCell ref="E522:F522"/>
    <mergeCell ref="G533:H533"/>
    <mergeCell ref="E527:F527"/>
    <mergeCell ref="G528:H528"/>
    <mergeCell ref="E529:F529"/>
    <mergeCell ref="E534:F534"/>
    <mergeCell ref="E541:F541"/>
    <mergeCell ref="E528:F528"/>
    <mergeCell ref="E561:F561"/>
    <mergeCell ref="G540:H540"/>
    <mergeCell ref="G543:H543"/>
    <mergeCell ref="E560:F560"/>
    <mergeCell ref="G541:H541"/>
    <mergeCell ref="E606:F606"/>
    <mergeCell ref="G597:H597"/>
    <mergeCell ref="G561:H561"/>
    <mergeCell ref="G728:H728"/>
    <mergeCell ref="E724:F724"/>
    <mergeCell ref="G562:H562"/>
    <mergeCell ref="E722:F722"/>
    <mergeCell ref="G723:H723"/>
    <mergeCell ref="E587:F587"/>
    <mergeCell ref="E572:F572"/>
    <mergeCell ref="E717:F717"/>
    <mergeCell ref="E715:F715"/>
    <mergeCell ref="E749:F749"/>
    <mergeCell ref="A737:H737"/>
    <mergeCell ref="E744:F744"/>
    <mergeCell ref="G744:H744"/>
    <mergeCell ref="G731:H731"/>
    <mergeCell ref="G719:H719"/>
    <mergeCell ref="C722:D722"/>
    <mergeCell ref="G746:H746"/>
    <mergeCell ref="C840:D840"/>
    <mergeCell ref="E858:F858"/>
    <mergeCell ref="C844:D844"/>
    <mergeCell ref="E845:F845"/>
    <mergeCell ref="E847:F847"/>
    <mergeCell ref="E848:F848"/>
    <mergeCell ref="C855:D855"/>
    <mergeCell ref="C857:D857"/>
    <mergeCell ref="E849:F849"/>
    <mergeCell ref="C829:D829"/>
    <mergeCell ref="C820:D820"/>
    <mergeCell ref="C856:D856"/>
    <mergeCell ref="C849:D849"/>
    <mergeCell ref="C843:D843"/>
    <mergeCell ref="E842:F842"/>
    <mergeCell ref="C846:D846"/>
    <mergeCell ref="C854:D854"/>
    <mergeCell ref="E843:F843"/>
    <mergeCell ref="C833:D833"/>
    <mergeCell ref="E834:F834"/>
    <mergeCell ref="E820:F820"/>
    <mergeCell ref="E824:F824"/>
    <mergeCell ref="E822:F822"/>
    <mergeCell ref="E823:F823"/>
    <mergeCell ref="G820:H820"/>
    <mergeCell ref="E830:F830"/>
    <mergeCell ref="G826:H826"/>
    <mergeCell ref="G824:H824"/>
    <mergeCell ref="G823:H823"/>
    <mergeCell ref="C813:D813"/>
    <mergeCell ref="C823:D823"/>
    <mergeCell ref="G839:H839"/>
    <mergeCell ref="C831:D831"/>
    <mergeCell ref="C822:D822"/>
    <mergeCell ref="C834:D834"/>
    <mergeCell ref="C830:D830"/>
    <mergeCell ref="E815:F815"/>
    <mergeCell ref="G831:H831"/>
    <mergeCell ref="G822:H822"/>
    <mergeCell ref="G85:H85"/>
    <mergeCell ref="C816:D816"/>
    <mergeCell ref="C729:D729"/>
    <mergeCell ref="G725:H725"/>
    <mergeCell ref="C730:D730"/>
    <mergeCell ref="G726:H726"/>
    <mergeCell ref="G750:H750"/>
    <mergeCell ref="E778:F778"/>
    <mergeCell ref="G781:H781"/>
    <mergeCell ref="G780:H780"/>
    <mergeCell ref="E111:F111"/>
    <mergeCell ref="G107:H107"/>
    <mergeCell ref="E100:F100"/>
    <mergeCell ref="C76:D76"/>
    <mergeCell ref="I86:J86"/>
    <mergeCell ref="C86:D86"/>
    <mergeCell ref="E78:F78"/>
    <mergeCell ref="G77:H77"/>
    <mergeCell ref="C79:D79"/>
    <mergeCell ref="I78:J78"/>
    <mergeCell ref="K73:L73"/>
    <mergeCell ref="K69:L69"/>
    <mergeCell ref="K75:L75"/>
    <mergeCell ref="G95:H95"/>
    <mergeCell ref="I117:J117"/>
    <mergeCell ref="G106:H106"/>
    <mergeCell ref="G96:H96"/>
    <mergeCell ref="G117:H117"/>
    <mergeCell ref="A113:H113"/>
    <mergeCell ref="G108:H108"/>
    <mergeCell ref="K83:L83"/>
    <mergeCell ref="I77:J77"/>
    <mergeCell ref="I75:J75"/>
    <mergeCell ref="I83:J83"/>
    <mergeCell ref="K78:L78"/>
    <mergeCell ref="I76:J76"/>
    <mergeCell ref="E62:F62"/>
    <mergeCell ref="I67:J67"/>
    <mergeCell ref="G60:H60"/>
    <mergeCell ref="E60:F60"/>
    <mergeCell ref="I69:J69"/>
    <mergeCell ref="I72:J72"/>
    <mergeCell ref="A71:L71"/>
    <mergeCell ref="K62:L62"/>
    <mergeCell ref="K60:L60"/>
    <mergeCell ref="K66:L66"/>
    <mergeCell ref="G62:H62"/>
    <mergeCell ref="G53:H53"/>
    <mergeCell ref="G52:H52"/>
    <mergeCell ref="E59:F59"/>
    <mergeCell ref="G67:H67"/>
    <mergeCell ref="I59:J59"/>
    <mergeCell ref="G64:H64"/>
    <mergeCell ref="I62:J62"/>
    <mergeCell ref="E63:F63"/>
    <mergeCell ref="E67:F67"/>
    <mergeCell ref="C62:D62"/>
    <mergeCell ref="C59:D59"/>
    <mergeCell ref="C60:D60"/>
    <mergeCell ref="C52:D52"/>
    <mergeCell ref="E52:F52"/>
    <mergeCell ref="C65:D65"/>
    <mergeCell ref="A56:H56"/>
    <mergeCell ref="E61:F61"/>
    <mergeCell ref="C61:D61"/>
    <mergeCell ref="G61:H61"/>
    <mergeCell ref="E68:F68"/>
    <mergeCell ref="G69:H69"/>
    <mergeCell ref="G68:H68"/>
    <mergeCell ref="C53:D53"/>
    <mergeCell ref="C54:D54"/>
    <mergeCell ref="G63:H63"/>
    <mergeCell ref="C63:D63"/>
    <mergeCell ref="E65:F65"/>
    <mergeCell ref="C66:D66"/>
    <mergeCell ref="E54:F54"/>
    <mergeCell ref="C77:D77"/>
    <mergeCell ref="E66:F66"/>
    <mergeCell ref="C73:D73"/>
    <mergeCell ref="K68:L68"/>
    <mergeCell ref="E69:F69"/>
    <mergeCell ref="G75:H75"/>
    <mergeCell ref="G74:H74"/>
    <mergeCell ref="K74:L74"/>
    <mergeCell ref="I68:J68"/>
    <mergeCell ref="G73:H73"/>
    <mergeCell ref="I130:J130"/>
    <mergeCell ref="G118:H118"/>
    <mergeCell ref="I118:J118"/>
    <mergeCell ref="C64:D64"/>
    <mergeCell ref="E64:F64"/>
    <mergeCell ref="G66:H66"/>
    <mergeCell ref="C78:D78"/>
    <mergeCell ref="C69:D69"/>
    <mergeCell ref="E73:F73"/>
    <mergeCell ref="C74:D74"/>
    <mergeCell ref="I133:J133"/>
    <mergeCell ref="G128:H128"/>
    <mergeCell ref="I129:J129"/>
    <mergeCell ref="G130:H130"/>
    <mergeCell ref="G135:H135"/>
    <mergeCell ref="I136:J136"/>
    <mergeCell ref="G134:H134"/>
    <mergeCell ref="G133:H133"/>
    <mergeCell ref="G132:H132"/>
    <mergeCell ref="G131:H131"/>
    <mergeCell ref="E175:F175"/>
    <mergeCell ref="G363:H363"/>
    <mergeCell ref="G374:H374"/>
    <mergeCell ref="E362:F362"/>
    <mergeCell ref="G354:H354"/>
    <mergeCell ref="I141:J141"/>
    <mergeCell ref="G362:H362"/>
    <mergeCell ref="G347:H347"/>
    <mergeCell ref="E348:F348"/>
    <mergeCell ref="G348:H348"/>
    <mergeCell ref="I461:J461"/>
    <mergeCell ref="I478:J478"/>
    <mergeCell ref="G481:H481"/>
    <mergeCell ref="I458:J458"/>
    <mergeCell ref="I123:J123"/>
    <mergeCell ref="G136:H136"/>
    <mergeCell ref="G394:H394"/>
    <mergeCell ref="G156:H156"/>
    <mergeCell ref="G378:H378"/>
    <mergeCell ref="I132:J132"/>
    <mergeCell ref="G570:H570"/>
    <mergeCell ref="C569:D569"/>
    <mergeCell ref="G565:H565"/>
    <mergeCell ref="G563:H563"/>
    <mergeCell ref="E533:F533"/>
    <mergeCell ref="G373:H373"/>
    <mergeCell ref="G493:H493"/>
    <mergeCell ref="G496:H496"/>
    <mergeCell ref="G402:H402"/>
    <mergeCell ref="G447:H447"/>
    <mergeCell ref="C570:D570"/>
    <mergeCell ref="G564:H564"/>
    <mergeCell ref="G502:H502"/>
    <mergeCell ref="G412:H412"/>
    <mergeCell ref="G444:H444"/>
    <mergeCell ref="G432:H432"/>
    <mergeCell ref="A448:H448"/>
    <mergeCell ref="C561:D561"/>
    <mergeCell ref="C493:D493"/>
    <mergeCell ref="E570:F570"/>
    <mergeCell ref="E462:F462"/>
    <mergeCell ref="C457:D457"/>
    <mergeCell ref="C432:D432"/>
    <mergeCell ref="G455:H455"/>
    <mergeCell ref="C564:D564"/>
    <mergeCell ref="G433:H433"/>
    <mergeCell ref="E542:F542"/>
    <mergeCell ref="E513:F513"/>
    <mergeCell ref="G513:H513"/>
    <mergeCell ref="G535:H535"/>
    <mergeCell ref="G456:H456"/>
    <mergeCell ref="C542:D542"/>
    <mergeCell ref="G534:H534"/>
    <mergeCell ref="C521:D521"/>
    <mergeCell ref="G512:H512"/>
    <mergeCell ref="E514:F514"/>
    <mergeCell ref="G459:H459"/>
    <mergeCell ref="G490:H490"/>
    <mergeCell ref="C461:D461"/>
    <mergeCell ref="E460:F460"/>
    <mergeCell ref="G461:H461"/>
    <mergeCell ref="C489:D489"/>
    <mergeCell ref="E486:F486"/>
    <mergeCell ref="E481:F481"/>
    <mergeCell ref="E489:F489"/>
    <mergeCell ref="E480:F480"/>
    <mergeCell ref="G478:H478"/>
    <mergeCell ref="E487:F487"/>
    <mergeCell ref="E482:F482"/>
    <mergeCell ref="C475:D475"/>
    <mergeCell ref="G472:H472"/>
    <mergeCell ref="G443:H443"/>
    <mergeCell ref="G445:H445"/>
    <mergeCell ref="G471:H471"/>
    <mergeCell ref="G465:H465"/>
    <mergeCell ref="G466:H466"/>
    <mergeCell ref="G464:H464"/>
    <mergeCell ref="G462:H462"/>
    <mergeCell ref="G453:H453"/>
    <mergeCell ref="G460:H460"/>
    <mergeCell ref="E492:F492"/>
    <mergeCell ref="E476:F476"/>
    <mergeCell ref="G477:H477"/>
    <mergeCell ref="G489:H489"/>
    <mergeCell ref="G491:H491"/>
    <mergeCell ref="E430:F430"/>
    <mergeCell ref="E477:F477"/>
    <mergeCell ref="E445:F445"/>
    <mergeCell ref="E447:F447"/>
    <mergeCell ref="E444:F444"/>
    <mergeCell ref="G120:H120"/>
    <mergeCell ref="C124:D124"/>
    <mergeCell ref="C125:D125"/>
    <mergeCell ref="E117:F117"/>
    <mergeCell ref="E124:F124"/>
    <mergeCell ref="G127:H127"/>
    <mergeCell ref="C126:D126"/>
    <mergeCell ref="C120:D120"/>
    <mergeCell ref="C130:D130"/>
    <mergeCell ref="E130:F130"/>
    <mergeCell ref="E131:F131"/>
    <mergeCell ref="C132:D132"/>
    <mergeCell ref="E132:F132"/>
    <mergeCell ref="C129:D129"/>
    <mergeCell ref="K128:L128"/>
    <mergeCell ref="K129:L129"/>
    <mergeCell ref="K125:L125"/>
    <mergeCell ref="G126:H126"/>
    <mergeCell ref="G129:H129"/>
    <mergeCell ref="E128:F128"/>
    <mergeCell ref="G125:H125"/>
    <mergeCell ref="I125:J125"/>
    <mergeCell ref="I128:J128"/>
    <mergeCell ref="K126:L126"/>
    <mergeCell ref="E74:F74"/>
    <mergeCell ref="G91:H91"/>
    <mergeCell ref="I74:J74"/>
    <mergeCell ref="E79:F79"/>
    <mergeCell ref="E85:F85"/>
    <mergeCell ref="E83:F83"/>
    <mergeCell ref="E77:F77"/>
    <mergeCell ref="G79:H79"/>
    <mergeCell ref="A80:H80"/>
    <mergeCell ref="I84:J84"/>
    <mergeCell ref="K72:L72"/>
    <mergeCell ref="G51:H51"/>
    <mergeCell ref="G59:H59"/>
    <mergeCell ref="G55:H55"/>
    <mergeCell ref="G93:H93"/>
    <mergeCell ref="E119:F119"/>
    <mergeCell ref="E105:F105"/>
    <mergeCell ref="G111:H111"/>
    <mergeCell ref="G65:H65"/>
    <mergeCell ref="E75:F75"/>
    <mergeCell ref="C75:D75"/>
    <mergeCell ref="C127:D127"/>
    <mergeCell ref="C128:D128"/>
    <mergeCell ref="E125:F125"/>
    <mergeCell ref="C131:D131"/>
    <mergeCell ref="C133:D133"/>
    <mergeCell ref="E133:F133"/>
    <mergeCell ref="C87:D87"/>
    <mergeCell ref="C105:D105"/>
    <mergeCell ref="E99:F99"/>
    <mergeCell ref="C137:D137"/>
    <mergeCell ref="E135:F135"/>
    <mergeCell ref="G137:H137"/>
    <mergeCell ref="C136:D136"/>
    <mergeCell ref="C141:D141"/>
    <mergeCell ref="E136:F136"/>
    <mergeCell ref="E141:F141"/>
    <mergeCell ref="C135:D135"/>
    <mergeCell ref="E177:F177"/>
    <mergeCell ref="G150:H150"/>
    <mergeCell ref="G142:H142"/>
    <mergeCell ref="G171:H171"/>
    <mergeCell ref="G153:H153"/>
    <mergeCell ref="G173:H173"/>
    <mergeCell ref="E169:F169"/>
    <mergeCell ref="G145:H145"/>
    <mergeCell ref="G158:H158"/>
    <mergeCell ref="E172:F172"/>
    <mergeCell ref="C51:D51"/>
    <mergeCell ref="G50:H50"/>
    <mergeCell ref="E112:F112"/>
    <mergeCell ref="G112:H112"/>
    <mergeCell ref="E104:F104"/>
    <mergeCell ref="E55:F55"/>
    <mergeCell ref="C85:D85"/>
    <mergeCell ref="C67:D67"/>
    <mergeCell ref="C68:D68"/>
    <mergeCell ref="G78:H78"/>
    <mergeCell ref="K31:L31"/>
    <mergeCell ref="E96:F96"/>
    <mergeCell ref="I178:J178"/>
    <mergeCell ref="E129:F129"/>
    <mergeCell ref="E118:F118"/>
    <mergeCell ref="G178:H178"/>
    <mergeCell ref="I146:J146"/>
    <mergeCell ref="I126:J126"/>
    <mergeCell ref="I167:J167"/>
    <mergeCell ref="I151:J151"/>
    <mergeCell ref="M31:N31"/>
    <mergeCell ref="K35:L35"/>
    <mergeCell ref="M28:N28"/>
    <mergeCell ref="M29:N29"/>
    <mergeCell ref="I31:J31"/>
    <mergeCell ref="I30:J30"/>
    <mergeCell ref="K30:L30"/>
    <mergeCell ref="K33:L33"/>
    <mergeCell ref="K32:L32"/>
    <mergeCell ref="K34:L34"/>
    <mergeCell ref="G152:H152"/>
    <mergeCell ref="G154:H154"/>
    <mergeCell ref="G413:H413"/>
    <mergeCell ref="G396:H396"/>
    <mergeCell ref="G405:H405"/>
    <mergeCell ref="G404:H404"/>
    <mergeCell ref="G386:H386"/>
    <mergeCell ref="G205:H205"/>
    <mergeCell ref="G406:H406"/>
    <mergeCell ref="G375:H375"/>
    <mergeCell ref="M25:N25"/>
    <mergeCell ref="M26:N26"/>
    <mergeCell ref="I35:J35"/>
    <mergeCell ref="E35:F35"/>
    <mergeCell ref="M27:N27"/>
    <mergeCell ref="I780:J780"/>
    <mergeCell ref="G776:H776"/>
    <mergeCell ref="E707:F707"/>
    <mergeCell ref="I761:J761"/>
    <mergeCell ref="I29:J29"/>
    <mergeCell ref="G1196:H1196"/>
    <mergeCell ref="I1201:J1201"/>
    <mergeCell ref="I1207:J1207"/>
    <mergeCell ref="I1196:J1196"/>
    <mergeCell ref="I1203:J1203"/>
    <mergeCell ref="C839:D839"/>
    <mergeCell ref="C847:D847"/>
    <mergeCell ref="G876:H876"/>
    <mergeCell ref="E865:F865"/>
    <mergeCell ref="G868:H868"/>
    <mergeCell ref="O1594:P1594"/>
    <mergeCell ref="K1612:L1612"/>
    <mergeCell ref="K1613:L1613"/>
    <mergeCell ref="K1603:L1603"/>
    <mergeCell ref="K1614:L1614"/>
    <mergeCell ref="I1315:J1315"/>
    <mergeCell ref="K1604:L1604"/>
    <mergeCell ref="O1595:P1595"/>
    <mergeCell ref="I1433:J1433"/>
    <mergeCell ref="I1456:J1456"/>
    <mergeCell ref="A1296:J1296"/>
    <mergeCell ref="I1377:J1377"/>
    <mergeCell ref="E1201:F1201"/>
    <mergeCell ref="G1197:H1197"/>
    <mergeCell ref="G1176:H1176"/>
    <mergeCell ref="C1176:D1176"/>
    <mergeCell ref="I1195:J1195"/>
    <mergeCell ref="I1216:J1216"/>
    <mergeCell ref="I1197:J1197"/>
    <mergeCell ref="I1215:J1215"/>
    <mergeCell ref="O1623:P1623"/>
    <mergeCell ref="O1622:P1622"/>
    <mergeCell ref="O1620:P1620"/>
    <mergeCell ref="O1596:P1596"/>
    <mergeCell ref="I1202:J1202"/>
    <mergeCell ref="K1615:L1615"/>
    <mergeCell ref="M1291:N1291"/>
    <mergeCell ref="M1290:N1290"/>
    <mergeCell ref="I1232:J1232"/>
    <mergeCell ref="M1233:N1233"/>
    <mergeCell ref="G1180:H1180"/>
    <mergeCell ref="C1179:D1179"/>
    <mergeCell ref="C1178:D1178"/>
    <mergeCell ref="C1175:D1175"/>
    <mergeCell ref="E1175:F1175"/>
    <mergeCell ref="E1179:F1179"/>
    <mergeCell ref="G1179:H1179"/>
    <mergeCell ref="E1178:F1178"/>
    <mergeCell ref="I1175:J1175"/>
    <mergeCell ref="I1164:J1164"/>
    <mergeCell ref="C1165:D1165"/>
    <mergeCell ref="C1168:D1168"/>
    <mergeCell ref="G1164:H1164"/>
    <mergeCell ref="E1164:F1164"/>
    <mergeCell ref="I1171:J1171"/>
    <mergeCell ref="C1171:D1171"/>
    <mergeCell ref="E1171:F1171"/>
    <mergeCell ref="G1170:H1170"/>
    <mergeCell ref="I1169:J1169"/>
    <mergeCell ref="C1167:D1167"/>
    <mergeCell ref="E1165:F1165"/>
    <mergeCell ref="E1168:F1168"/>
    <mergeCell ref="G1160:H1160"/>
    <mergeCell ref="C1157:D1157"/>
    <mergeCell ref="G1158:H1158"/>
    <mergeCell ref="G1166:H1166"/>
    <mergeCell ref="G1157:H1157"/>
    <mergeCell ref="C1164:D1164"/>
    <mergeCell ref="C1170:D1170"/>
    <mergeCell ref="C1169:D1169"/>
    <mergeCell ref="E1169:F1169"/>
    <mergeCell ref="E1156:F1156"/>
    <mergeCell ref="E1160:F1160"/>
    <mergeCell ref="C1166:D1166"/>
    <mergeCell ref="E1158:F1158"/>
    <mergeCell ref="C1159:D1159"/>
    <mergeCell ref="C1156:D1156"/>
    <mergeCell ref="E1159:F1159"/>
    <mergeCell ref="C1152:D1152"/>
    <mergeCell ref="E1147:F1147"/>
    <mergeCell ref="C1147:D1147"/>
    <mergeCell ref="E1148:F1148"/>
    <mergeCell ref="C1145:D1145"/>
    <mergeCell ref="C1131:D1131"/>
    <mergeCell ref="C1144:D1144"/>
    <mergeCell ref="C1142:D1142"/>
    <mergeCell ref="E1136:F1136"/>
    <mergeCell ref="A1137:J1137"/>
    <mergeCell ref="E1152:F1152"/>
    <mergeCell ref="E1155:F1155"/>
    <mergeCell ref="G1130:H1130"/>
    <mergeCell ref="E1143:F1143"/>
    <mergeCell ref="C1136:D1136"/>
    <mergeCell ref="C1146:D1146"/>
    <mergeCell ref="E1133:F1133"/>
    <mergeCell ref="G1155:H1155"/>
    <mergeCell ref="E1153:F1153"/>
    <mergeCell ref="C1148:D1148"/>
    <mergeCell ref="G1148:H1148"/>
    <mergeCell ref="I1152:J1152"/>
    <mergeCell ref="G1152:H1152"/>
    <mergeCell ref="G1146:H1146"/>
    <mergeCell ref="G1141:H1141"/>
    <mergeCell ref="G1144:H1144"/>
    <mergeCell ref="I1143:J1143"/>
    <mergeCell ref="I1148:J1148"/>
    <mergeCell ref="G1147:H1147"/>
    <mergeCell ref="I1142:J1142"/>
    <mergeCell ref="E1146:F1146"/>
    <mergeCell ref="I1139:J1139"/>
    <mergeCell ref="I1135:J1135"/>
    <mergeCell ref="E1105:F1105"/>
    <mergeCell ref="G1096:H1096"/>
    <mergeCell ref="I1074:J1074"/>
    <mergeCell ref="I1077:J1077"/>
    <mergeCell ref="G1078:H1078"/>
    <mergeCell ref="E1144:F1144"/>
    <mergeCell ref="I1136:J1136"/>
    <mergeCell ref="E1145:F1145"/>
    <mergeCell ref="C1143:D1143"/>
    <mergeCell ref="G1086:H1086"/>
    <mergeCell ref="G1087:H1087"/>
    <mergeCell ref="G1143:H1143"/>
    <mergeCell ref="E1074:F1074"/>
    <mergeCell ref="C1130:D1130"/>
    <mergeCell ref="G1128:H1128"/>
    <mergeCell ref="G1116:H1116"/>
    <mergeCell ref="C1084:D1084"/>
    <mergeCell ref="I1032:J1032"/>
    <mergeCell ref="G1084:H1084"/>
    <mergeCell ref="G1105:H1105"/>
    <mergeCell ref="E1104:F1104"/>
    <mergeCell ref="C962:D962"/>
    <mergeCell ref="E1098:F1098"/>
    <mergeCell ref="C1097:D1097"/>
    <mergeCell ref="C1095:D1095"/>
    <mergeCell ref="G964:H964"/>
    <mergeCell ref="E976:F976"/>
    <mergeCell ref="I1036:J1036"/>
    <mergeCell ref="C1073:D1073"/>
    <mergeCell ref="G965:H965"/>
    <mergeCell ref="K966:L966"/>
    <mergeCell ref="K964:L964"/>
    <mergeCell ref="E1032:F1032"/>
    <mergeCell ref="G966:H966"/>
    <mergeCell ref="G973:H973"/>
    <mergeCell ref="E972:F972"/>
    <mergeCell ref="E1068:F1068"/>
    <mergeCell ref="E1053:F1053"/>
    <mergeCell ref="I1057:J1057"/>
    <mergeCell ref="I1050:J1050"/>
    <mergeCell ref="I1061:J1061"/>
    <mergeCell ref="I1033:J1033"/>
    <mergeCell ref="G1066:H1066"/>
    <mergeCell ref="G1053:H1053"/>
    <mergeCell ref="I1051:J1051"/>
    <mergeCell ref="G1035:H1035"/>
    <mergeCell ref="I1052:J1052"/>
    <mergeCell ref="C1100:D1100"/>
    <mergeCell ref="I1125:J1125"/>
    <mergeCell ref="G1115:H1115"/>
    <mergeCell ref="G1134:H1134"/>
    <mergeCell ref="A1121:H1121"/>
    <mergeCell ref="C1117:D1117"/>
    <mergeCell ref="E1117:F1117"/>
    <mergeCell ref="I1131:J1131"/>
    <mergeCell ref="E1128:F1128"/>
    <mergeCell ref="I1117:J1117"/>
    <mergeCell ref="G1131:H1131"/>
    <mergeCell ref="E1630:F1630"/>
    <mergeCell ref="E1611:F1611"/>
    <mergeCell ref="E1130:F1130"/>
    <mergeCell ref="E1131:F1131"/>
    <mergeCell ref="E1116:F1116"/>
    <mergeCell ref="E1135:F1135"/>
    <mergeCell ref="E1126:F1126"/>
    <mergeCell ref="E1157:F1157"/>
    <mergeCell ref="E1154:F1154"/>
    <mergeCell ref="G1614:H1614"/>
    <mergeCell ref="E1650:F1650"/>
    <mergeCell ref="I1557:J1557"/>
    <mergeCell ref="A1526:J1526"/>
    <mergeCell ref="G1603:H1603"/>
    <mergeCell ref="E1580:F1580"/>
    <mergeCell ref="E1604:F1604"/>
    <mergeCell ref="G1611:H1611"/>
    <mergeCell ref="C1604:D1604"/>
    <mergeCell ref="I1612:J1612"/>
    <mergeCell ref="G1649:H1649"/>
    <mergeCell ref="A1662:C1662"/>
    <mergeCell ref="A1670:J1670"/>
    <mergeCell ref="A1663:H1663"/>
    <mergeCell ref="A1665:J1665"/>
    <mergeCell ref="E1651:F1651"/>
    <mergeCell ref="A1653:H1653"/>
    <mergeCell ref="A1669:J1669"/>
    <mergeCell ref="A1661:I1661"/>
    <mergeCell ref="I1650:J1650"/>
    <mergeCell ref="A1666:J1666"/>
    <mergeCell ref="A1667:J1667"/>
    <mergeCell ref="I1647:J1647"/>
    <mergeCell ref="E1641:F1641"/>
    <mergeCell ref="A1657:B1657"/>
    <mergeCell ref="A1656:B1656"/>
    <mergeCell ref="E1643:F1643"/>
    <mergeCell ref="I1648:J1648"/>
    <mergeCell ref="C1649:D1649"/>
    <mergeCell ref="A1660:C1660"/>
    <mergeCell ref="G1624:H1624"/>
    <mergeCell ref="E1628:F1628"/>
    <mergeCell ref="G1629:H1629"/>
    <mergeCell ref="C1628:D1628"/>
    <mergeCell ref="C1629:D1629"/>
    <mergeCell ref="G1638:H1638"/>
    <mergeCell ref="C1638:D1638"/>
    <mergeCell ref="A1635:J1635"/>
    <mergeCell ref="C1631:D1631"/>
    <mergeCell ref="E1631:F1631"/>
    <mergeCell ref="C1651:D1651"/>
    <mergeCell ref="E1640:F1640"/>
    <mergeCell ref="A1668:J1668"/>
    <mergeCell ref="G1644:H1644"/>
    <mergeCell ref="I1651:J1651"/>
    <mergeCell ref="G1651:H1651"/>
    <mergeCell ref="A1655:B1655"/>
    <mergeCell ref="G1650:H1650"/>
    <mergeCell ref="A1664:H1664"/>
    <mergeCell ref="C1650:D1650"/>
    <mergeCell ref="I1649:J1649"/>
    <mergeCell ref="C1641:D1641"/>
    <mergeCell ref="C1640:D1640"/>
    <mergeCell ref="G1648:H1648"/>
    <mergeCell ref="I1641:J1641"/>
    <mergeCell ref="G1642:H1642"/>
    <mergeCell ref="E1649:F1649"/>
    <mergeCell ref="E1648:F1648"/>
    <mergeCell ref="C1648:D1648"/>
    <mergeCell ref="C1644:D1644"/>
    <mergeCell ref="E1644:F1644"/>
    <mergeCell ref="I1642:J1642"/>
    <mergeCell ref="G1640:H1640"/>
    <mergeCell ref="G1641:H1641"/>
    <mergeCell ref="I1644:J1644"/>
    <mergeCell ref="I1639:J1639"/>
    <mergeCell ref="G1643:H1643"/>
    <mergeCell ref="E1639:F1639"/>
    <mergeCell ref="I1640:J1640"/>
    <mergeCell ref="G1639:H1639"/>
    <mergeCell ref="C1639:D1639"/>
    <mergeCell ref="I1643:J1643"/>
    <mergeCell ref="C1643:D1643"/>
    <mergeCell ref="A1633:I1633"/>
    <mergeCell ref="I1638:J1638"/>
    <mergeCell ref="E1638:F1638"/>
    <mergeCell ref="C1642:D1642"/>
    <mergeCell ref="I1637:J1637"/>
    <mergeCell ref="E1642:F1642"/>
    <mergeCell ref="I843:J843"/>
    <mergeCell ref="E857:F857"/>
    <mergeCell ref="E826:F826"/>
    <mergeCell ref="E854:F854"/>
    <mergeCell ref="E831:F831"/>
    <mergeCell ref="E832:F832"/>
    <mergeCell ref="G844:H844"/>
    <mergeCell ref="E833:F833"/>
    <mergeCell ref="E856:F856"/>
    <mergeCell ref="E844:F844"/>
    <mergeCell ref="E877:F877"/>
    <mergeCell ref="C886:D886"/>
    <mergeCell ref="C880:D880"/>
    <mergeCell ref="C882:D882"/>
    <mergeCell ref="C877:D877"/>
    <mergeCell ref="G858:H858"/>
    <mergeCell ref="E863:F863"/>
    <mergeCell ref="G865:H865"/>
    <mergeCell ref="G877:H877"/>
    <mergeCell ref="E864:F864"/>
    <mergeCell ref="G884:H884"/>
    <mergeCell ref="C888:D888"/>
    <mergeCell ref="C884:D884"/>
    <mergeCell ref="E886:F886"/>
    <mergeCell ref="G879:H879"/>
    <mergeCell ref="G882:H882"/>
    <mergeCell ref="G880:H880"/>
    <mergeCell ref="E884:F884"/>
    <mergeCell ref="E879:F879"/>
    <mergeCell ref="C881:D881"/>
    <mergeCell ref="E868:F868"/>
    <mergeCell ref="A907:H907"/>
    <mergeCell ref="G875:H875"/>
    <mergeCell ref="G867:H867"/>
    <mergeCell ref="C883:D883"/>
    <mergeCell ref="C893:D893"/>
    <mergeCell ref="G878:H878"/>
    <mergeCell ref="C868:D868"/>
    <mergeCell ref="E876:F876"/>
    <mergeCell ref="C885:D885"/>
    <mergeCell ref="G724:H724"/>
    <mergeCell ref="E785:F785"/>
    <mergeCell ref="C781:D781"/>
    <mergeCell ref="G771:H771"/>
    <mergeCell ref="E730:F730"/>
    <mergeCell ref="C867:D867"/>
    <mergeCell ref="E867:F867"/>
    <mergeCell ref="G830:H830"/>
    <mergeCell ref="G815:H815"/>
    <mergeCell ref="E821:F821"/>
    <mergeCell ref="E772:F772"/>
    <mergeCell ref="E794:F794"/>
    <mergeCell ref="C796:D796"/>
    <mergeCell ref="E789:F789"/>
    <mergeCell ref="E746:F746"/>
    <mergeCell ref="G778:H778"/>
    <mergeCell ref="G753:H753"/>
    <mergeCell ref="E776:F776"/>
    <mergeCell ref="G749:H749"/>
    <mergeCell ref="E748:F748"/>
    <mergeCell ref="A740:H740"/>
    <mergeCell ref="I729:J729"/>
    <mergeCell ref="C726:D726"/>
    <mergeCell ref="C790:D790"/>
    <mergeCell ref="E804:F804"/>
    <mergeCell ref="C802:D802"/>
    <mergeCell ref="G769:H769"/>
    <mergeCell ref="C794:D794"/>
    <mergeCell ref="C795:D795"/>
    <mergeCell ref="E750:F750"/>
    <mergeCell ref="C759:D759"/>
    <mergeCell ref="C725:D725"/>
    <mergeCell ref="E727:F727"/>
    <mergeCell ref="G730:H730"/>
    <mergeCell ref="A742:J742"/>
    <mergeCell ref="A739:I739"/>
    <mergeCell ref="G727:H727"/>
    <mergeCell ref="G729:H729"/>
    <mergeCell ref="E728:F728"/>
    <mergeCell ref="E726:F726"/>
    <mergeCell ref="C762:D762"/>
    <mergeCell ref="E761:F761"/>
    <mergeCell ref="C770:D770"/>
    <mergeCell ref="C761:D761"/>
    <mergeCell ref="C771:D771"/>
    <mergeCell ref="E769:F769"/>
    <mergeCell ref="E771:F771"/>
    <mergeCell ref="A764:H764"/>
    <mergeCell ref="E760:F760"/>
    <mergeCell ref="C744:D744"/>
    <mergeCell ref="C731:D731"/>
    <mergeCell ref="A738:H738"/>
    <mergeCell ref="C727:D727"/>
    <mergeCell ref="E729:F729"/>
    <mergeCell ref="C728:D728"/>
    <mergeCell ref="E731:F731"/>
    <mergeCell ref="G745:H745"/>
    <mergeCell ref="A623:H623"/>
    <mergeCell ref="A614:H614"/>
    <mergeCell ref="A656:I656"/>
    <mergeCell ref="G761:H761"/>
    <mergeCell ref="C769:D769"/>
    <mergeCell ref="A766:H766"/>
    <mergeCell ref="G762:H762"/>
    <mergeCell ref="C763:D763"/>
    <mergeCell ref="C760:D760"/>
    <mergeCell ref="E763:F763"/>
    <mergeCell ref="G498:H498"/>
    <mergeCell ref="C518:D518"/>
    <mergeCell ref="G506:H506"/>
    <mergeCell ref="G748:H748"/>
    <mergeCell ref="C520:D520"/>
    <mergeCell ref="C514:D514"/>
    <mergeCell ref="G675:H675"/>
    <mergeCell ref="G674:H674"/>
    <mergeCell ref="A612:H612"/>
    <mergeCell ref="A642:H642"/>
    <mergeCell ref="G480:H480"/>
    <mergeCell ref="I482:J482"/>
    <mergeCell ref="I487:J487"/>
    <mergeCell ref="C496:D496"/>
    <mergeCell ref="G518:H518"/>
    <mergeCell ref="G495:H495"/>
    <mergeCell ref="G508:H508"/>
    <mergeCell ref="G500:H500"/>
    <mergeCell ref="G501:H501"/>
    <mergeCell ref="G499:H499"/>
    <mergeCell ref="I465:J465"/>
    <mergeCell ref="I474:J474"/>
    <mergeCell ref="I473:J473"/>
    <mergeCell ref="I471:J471"/>
    <mergeCell ref="G479:H479"/>
    <mergeCell ref="G487:H487"/>
    <mergeCell ref="I479:J479"/>
    <mergeCell ref="I480:J480"/>
    <mergeCell ref="I481:J481"/>
    <mergeCell ref="G482:H482"/>
    <mergeCell ref="C362:D362"/>
    <mergeCell ref="G474:H474"/>
    <mergeCell ref="G463:H463"/>
    <mergeCell ref="E465:F465"/>
    <mergeCell ref="E472:F472"/>
    <mergeCell ref="E471:F471"/>
    <mergeCell ref="G379:H379"/>
    <mergeCell ref="G446:H446"/>
    <mergeCell ref="E456:F456"/>
    <mergeCell ref="E454:F454"/>
    <mergeCell ref="C277:D277"/>
    <mergeCell ref="E267:F267"/>
    <mergeCell ref="G476:H476"/>
    <mergeCell ref="E473:F473"/>
    <mergeCell ref="G473:H473"/>
    <mergeCell ref="C343:D343"/>
    <mergeCell ref="E302:F302"/>
    <mergeCell ref="E397:F397"/>
    <mergeCell ref="E355:F355"/>
    <mergeCell ref="E354:F354"/>
    <mergeCell ref="C256:D256"/>
    <mergeCell ref="C257:D257"/>
    <mergeCell ref="C373:D373"/>
    <mergeCell ref="C372:D372"/>
    <mergeCell ref="E373:F373"/>
    <mergeCell ref="E197:F197"/>
    <mergeCell ref="E240:F240"/>
    <mergeCell ref="E247:F247"/>
    <mergeCell ref="E273:F273"/>
    <mergeCell ref="C264:D264"/>
    <mergeCell ref="C246:D246"/>
    <mergeCell ref="C248:D248"/>
    <mergeCell ref="E255:F255"/>
    <mergeCell ref="C249:D249"/>
    <mergeCell ref="C254:D254"/>
    <mergeCell ref="C255:D255"/>
    <mergeCell ref="E253:F253"/>
    <mergeCell ref="I188:J188"/>
    <mergeCell ref="C175:D175"/>
    <mergeCell ref="G186:H186"/>
    <mergeCell ref="G177:H177"/>
    <mergeCell ref="G206:H206"/>
    <mergeCell ref="G194:H194"/>
    <mergeCell ref="G180:H180"/>
    <mergeCell ref="G189:H189"/>
    <mergeCell ref="E193:F193"/>
    <mergeCell ref="C189:D189"/>
    <mergeCell ref="E194:F194"/>
    <mergeCell ref="C187:D187"/>
    <mergeCell ref="E192:F192"/>
    <mergeCell ref="G192:H192"/>
    <mergeCell ref="E190:F190"/>
    <mergeCell ref="C190:D190"/>
    <mergeCell ref="C192:D192"/>
    <mergeCell ref="C191:D191"/>
    <mergeCell ref="C193:D193"/>
    <mergeCell ref="G188:H188"/>
    <mergeCell ref="E178:F178"/>
    <mergeCell ref="E180:F180"/>
    <mergeCell ref="E207:F207"/>
    <mergeCell ref="E188:F188"/>
    <mergeCell ref="G191:H191"/>
    <mergeCell ref="E179:F179"/>
    <mergeCell ref="A181:J181"/>
    <mergeCell ref="E195:F195"/>
    <mergeCell ref="I179:J179"/>
    <mergeCell ref="G193:H193"/>
    <mergeCell ref="I175:J175"/>
    <mergeCell ref="E174:F174"/>
    <mergeCell ref="C197:D197"/>
    <mergeCell ref="C216:D216"/>
    <mergeCell ref="C204:D204"/>
    <mergeCell ref="C205:D205"/>
    <mergeCell ref="C214:D214"/>
    <mergeCell ref="E176:F176"/>
    <mergeCell ref="C177:D177"/>
    <mergeCell ref="I176:J176"/>
    <mergeCell ref="G175:H175"/>
    <mergeCell ref="C194:D194"/>
    <mergeCell ref="E208:F208"/>
    <mergeCell ref="C196:D196"/>
    <mergeCell ref="C203:D203"/>
    <mergeCell ref="C207:D207"/>
    <mergeCell ref="G187:H187"/>
    <mergeCell ref="E206:F206"/>
    <mergeCell ref="G179:H179"/>
    <mergeCell ref="G176:H176"/>
    <mergeCell ref="C195:D195"/>
    <mergeCell ref="C213:D213"/>
    <mergeCell ref="C272:D272"/>
    <mergeCell ref="C280:D280"/>
    <mergeCell ref="C284:D284"/>
    <mergeCell ref="C226:D226"/>
    <mergeCell ref="C275:D275"/>
    <mergeCell ref="C225:D225"/>
    <mergeCell ref="C224:D224"/>
    <mergeCell ref="C223:D223"/>
    <mergeCell ref="E256:F256"/>
    <mergeCell ref="C262:D262"/>
    <mergeCell ref="C274:D274"/>
    <mergeCell ref="C263:D263"/>
    <mergeCell ref="E272:F272"/>
    <mergeCell ref="E265:F265"/>
    <mergeCell ref="E264:F264"/>
    <mergeCell ref="C273:D273"/>
    <mergeCell ref="C266:D266"/>
    <mergeCell ref="E274:F274"/>
    <mergeCell ref="E266:F266"/>
    <mergeCell ref="E277:F277"/>
    <mergeCell ref="E275:F275"/>
    <mergeCell ref="E372:F372"/>
    <mergeCell ref="E352:F352"/>
    <mergeCell ref="E307:F307"/>
    <mergeCell ref="E303:F303"/>
    <mergeCell ref="E353:F353"/>
    <mergeCell ref="E328:F328"/>
    <mergeCell ref="E347:F347"/>
    <mergeCell ref="C495:D495"/>
    <mergeCell ref="C279:D279"/>
    <mergeCell ref="C276:D276"/>
    <mergeCell ref="C286:D286"/>
    <mergeCell ref="E323:F323"/>
    <mergeCell ref="E322:F322"/>
    <mergeCell ref="C278:D278"/>
    <mergeCell ref="E305:F305"/>
    <mergeCell ref="E288:F288"/>
    <mergeCell ref="E289:F289"/>
    <mergeCell ref="C540:D540"/>
    <mergeCell ref="C519:D519"/>
    <mergeCell ref="E379:F379"/>
    <mergeCell ref="E330:F330"/>
    <mergeCell ref="E385:F385"/>
    <mergeCell ref="E336:F336"/>
    <mergeCell ref="E403:F403"/>
    <mergeCell ref="C354:D354"/>
    <mergeCell ref="E338:F338"/>
    <mergeCell ref="E376:F376"/>
    <mergeCell ref="E922:F922"/>
    <mergeCell ref="C768:D768"/>
    <mergeCell ref="C779:D779"/>
    <mergeCell ref="E786:F786"/>
    <mergeCell ref="E889:F889"/>
    <mergeCell ref="C786:D786"/>
    <mergeCell ref="C890:D890"/>
    <mergeCell ref="E913:F913"/>
    <mergeCell ref="C915:D915"/>
    <mergeCell ref="C772:D772"/>
    <mergeCell ref="G494:H494"/>
    <mergeCell ref="C675:D675"/>
    <mergeCell ref="I529:J529"/>
    <mergeCell ref="G925:H925"/>
    <mergeCell ref="G924:H924"/>
    <mergeCell ref="E925:F925"/>
    <mergeCell ref="E923:F923"/>
    <mergeCell ref="G917:H917"/>
    <mergeCell ref="G785:H785"/>
    <mergeCell ref="G804:H804"/>
    <mergeCell ref="E758:F758"/>
    <mergeCell ref="G529:H529"/>
    <mergeCell ref="G486:H486"/>
    <mergeCell ref="E495:F495"/>
    <mergeCell ref="E508:F508"/>
    <mergeCell ref="G520:H520"/>
    <mergeCell ref="E491:F491"/>
    <mergeCell ref="E488:F488"/>
    <mergeCell ref="E493:F493"/>
    <mergeCell ref="G492:H492"/>
    <mergeCell ref="G787:H787"/>
    <mergeCell ref="E887:F887"/>
    <mergeCell ref="C700:D700"/>
    <mergeCell ref="E753:F753"/>
    <mergeCell ref="G759:H759"/>
    <mergeCell ref="E768:F768"/>
    <mergeCell ref="C758:D758"/>
    <mergeCell ref="C757:D757"/>
    <mergeCell ref="C814:D814"/>
    <mergeCell ref="C811:D811"/>
    <mergeCell ref="C923:D923"/>
    <mergeCell ref="I462:J462"/>
    <mergeCell ref="C386:D386"/>
    <mergeCell ref="C924:D924"/>
    <mergeCell ref="C414:D414"/>
    <mergeCell ref="C778:D778"/>
    <mergeCell ref="G488:H488"/>
    <mergeCell ref="E463:F463"/>
    <mergeCell ref="E424:F424"/>
    <mergeCell ref="G914:H914"/>
    <mergeCell ref="E682:F682"/>
    <mergeCell ref="G560:H560"/>
    <mergeCell ref="E781:F781"/>
    <mergeCell ref="I601:J601"/>
    <mergeCell ref="I599:J599"/>
    <mergeCell ref="E602:F602"/>
    <mergeCell ref="G751:H751"/>
    <mergeCell ref="G757:H757"/>
    <mergeCell ref="E752:F752"/>
    <mergeCell ref="E759:F759"/>
    <mergeCell ref="E453:F453"/>
    <mergeCell ref="C490:D490"/>
    <mergeCell ref="E479:F479"/>
    <mergeCell ref="C480:D480"/>
    <mergeCell ref="C481:D481"/>
    <mergeCell ref="E490:F490"/>
    <mergeCell ref="C472:D472"/>
    <mergeCell ref="C464:D464"/>
    <mergeCell ref="E461:F461"/>
    <mergeCell ref="C488:D488"/>
    <mergeCell ref="G168:H168"/>
    <mergeCell ref="G170:H170"/>
    <mergeCell ref="G207:H207"/>
    <mergeCell ref="G174:H174"/>
    <mergeCell ref="E214:F214"/>
    <mergeCell ref="G214:H214"/>
    <mergeCell ref="E187:F187"/>
    <mergeCell ref="E189:F189"/>
    <mergeCell ref="E191:F191"/>
    <mergeCell ref="E186:F186"/>
    <mergeCell ref="C167:D167"/>
    <mergeCell ref="E168:F168"/>
    <mergeCell ref="C160:D160"/>
    <mergeCell ref="E173:F173"/>
    <mergeCell ref="I169:J169"/>
    <mergeCell ref="G169:H169"/>
    <mergeCell ref="G172:H172"/>
    <mergeCell ref="G167:H167"/>
    <mergeCell ref="E171:F171"/>
    <mergeCell ref="E170:F170"/>
    <mergeCell ref="E165:F165"/>
    <mergeCell ref="C170:D170"/>
    <mergeCell ref="C169:D169"/>
    <mergeCell ref="I180:J180"/>
    <mergeCell ref="G159:H159"/>
    <mergeCell ref="E159:F159"/>
    <mergeCell ref="C166:D166"/>
    <mergeCell ref="E166:F166"/>
    <mergeCell ref="E167:F167"/>
    <mergeCell ref="C168:D168"/>
    <mergeCell ref="C97:D97"/>
    <mergeCell ref="C84:D84"/>
    <mergeCell ref="E95:F95"/>
    <mergeCell ref="E91:F91"/>
    <mergeCell ref="E84:F84"/>
    <mergeCell ref="C93:D93"/>
    <mergeCell ref="E93:F93"/>
    <mergeCell ref="E97:F97"/>
    <mergeCell ref="I156:J156"/>
    <mergeCell ref="C142:D142"/>
    <mergeCell ref="C144:D144"/>
    <mergeCell ref="G144:H144"/>
    <mergeCell ref="C146:D146"/>
    <mergeCell ref="G166:H166"/>
    <mergeCell ref="G165:H165"/>
    <mergeCell ref="E155:F155"/>
    <mergeCell ref="E154:F154"/>
    <mergeCell ref="C159:D159"/>
    <mergeCell ref="C143:D143"/>
    <mergeCell ref="C134:D134"/>
    <mergeCell ref="E134:F134"/>
    <mergeCell ref="E157:F157"/>
    <mergeCell ref="G157:H157"/>
    <mergeCell ref="A147:H147"/>
    <mergeCell ref="E143:F143"/>
    <mergeCell ref="G141:H141"/>
    <mergeCell ref="G143:H143"/>
    <mergeCell ref="E142:F142"/>
    <mergeCell ref="G146:H146"/>
    <mergeCell ref="C155:D155"/>
    <mergeCell ref="E156:F156"/>
    <mergeCell ref="C151:D151"/>
    <mergeCell ref="C153:D153"/>
    <mergeCell ref="C152:D152"/>
    <mergeCell ref="C150:D150"/>
    <mergeCell ref="E152:F152"/>
    <mergeCell ref="E146:F146"/>
    <mergeCell ref="E151:F151"/>
    <mergeCell ref="E145:F145"/>
    <mergeCell ref="E126:F126"/>
    <mergeCell ref="E127:F127"/>
    <mergeCell ref="E144:F144"/>
    <mergeCell ref="E137:F137"/>
    <mergeCell ref="G76:H76"/>
    <mergeCell ref="E87:F87"/>
    <mergeCell ref="E92:F92"/>
    <mergeCell ref="G84:H84"/>
    <mergeCell ref="E76:F76"/>
    <mergeCell ref="I79:J79"/>
    <mergeCell ref="C96:D96"/>
    <mergeCell ref="C91:D91"/>
    <mergeCell ref="E86:F86"/>
    <mergeCell ref="C92:D92"/>
    <mergeCell ref="C94:D94"/>
    <mergeCell ref="C88:D88"/>
    <mergeCell ref="I85:J85"/>
    <mergeCell ref="I92:J92"/>
    <mergeCell ref="G92:H92"/>
    <mergeCell ref="C99:D99"/>
    <mergeCell ref="C118:D118"/>
    <mergeCell ref="C104:D104"/>
    <mergeCell ref="C117:D117"/>
    <mergeCell ref="C98:D98"/>
    <mergeCell ref="C112:D112"/>
    <mergeCell ref="C110:D110"/>
    <mergeCell ref="C174:D174"/>
    <mergeCell ref="C176:D176"/>
    <mergeCell ref="C157:D157"/>
    <mergeCell ref="C172:D172"/>
    <mergeCell ref="C171:D171"/>
    <mergeCell ref="C173:D173"/>
    <mergeCell ref="A161:L161"/>
    <mergeCell ref="I164:J164"/>
    <mergeCell ref="I170:J170"/>
    <mergeCell ref="C165:D165"/>
    <mergeCell ref="C179:D179"/>
    <mergeCell ref="C158:D158"/>
    <mergeCell ref="C178:D178"/>
    <mergeCell ref="C180:D180"/>
    <mergeCell ref="I472:J472"/>
    <mergeCell ref="C471:D471"/>
    <mergeCell ref="C463:D463"/>
    <mergeCell ref="C465:D465"/>
    <mergeCell ref="G454:H454"/>
    <mergeCell ref="I456:J456"/>
    <mergeCell ref="C492:D492"/>
    <mergeCell ref="C494:D494"/>
    <mergeCell ref="C487:D487"/>
    <mergeCell ref="C466:D466"/>
    <mergeCell ref="C455:D455"/>
    <mergeCell ref="C476:D476"/>
    <mergeCell ref="C474:D474"/>
    <mergeCell ref="C479:D479"/>
    <mergeCell ref="C473:D473"/>
    <mergeCell ref="C478:D478"/>
    <mergeCell ref="G475:H475"/>
    <mergeCell ref="E464:F464"/>
    <mergeCell ref="C397:D397"/>
    <mergeCell ref="I442:J442"/>
    <mergeCell ref="E433:F433"/>
    <mergeCell ref="C440:D440"/>
    <mergeCell ref="C435:D435"/>
    <mergeCell ref="C411:D411"/>
    <mergeCell ref="E402:F402"/>
    <mergeCell ref="G403:H403"/>
    <mergeCell ref="I488:J488"/>
    <mergeCell ref="I491:J491"/>
    <mergeCell ref="K526:L526"/>
    <mergeCell ref="I506:J506"/>
    <mergeCell ref="I512:J512"/>
    <mergeCell ref="I508:J508"/>
    <mergeCell ref="K512:L512"/>
    <mergeCell ref="I517:J517"/>
    <mergeCell ref="K514:L514"/>
    <mergeCell ref="K498:L498"/>
    <mergeCell ref="I505:J505"/>
    <mergeCell ref="K527:L527"/>
    <mergeCell ref="I519:J519"/>
    <mergeCell ref="K604:L604"/>
    <mergeCell ref="I565:J565"/>
    <mergeCell ref="A610:H610"/>
    <mergeCell ref="C603:D603"/>
    <mergeCell ref="E591:F591"/>
    <mergeCell ref="C591:D591"/>
    <mergeCell ref="G602:H602"/>
    <mergeCell ref="C673:D673"/>
    <mergeCell ref="I616:J616"/>
    <mergeCell ref="I676:J676"/>
    <mergeCell ref="E673:F673"/>
    <mergeCell ref="I596:J596"/>
    <mergeCell ref="G599:H599"/>
    <mergeCell ref="E605:F605"/>
    <mergeCell ref="I597:J597"/>
    <mergeCell ref="E672:F672"/>
    <mergeCell ref="A633:J633"/>
    <mergeCell ref="C697:D697"/>
    <mergeCell ref="I578:J578"/>
    <mergeCell ref="I574:J574"/>
    <mergeCell ref="K747:L747"/>
    <mergeCell ref="I751:J751"/>
    <mergeCell ref="C748:D748"/>
    <mergeCell ref="E751:F751"/>
    <mergeCell ref="I750:J750"/>
    <mergeCell ref="G747:H747"/>
    <mergeCell ref="C747:D747"/>
    <mergeCell ref="K749:L749"/>
    <mergeCell ref="C750:D750"/>
    <mergeCell ref="C751:D751"/>
    <mergeCell ref="C752:D752"/>
    <mergeCell ref="C753:D753"/>
    <mergeCell ref="E757:F757"/>
    <mergeCell ref="C749:D749"/>
    <mergeCell ref="K756:L756"/>
    <mergeCell ref="K752:L752"/>
    <mergeCell ref="I752:J752"/>
    <mergeCell ref="C866:D866"/>
    <mergeCell ref="E828:F828"/>
    <mergeCell ref="C806:D806"/>
    <mergeCell ref="E806:F806"/>
    <mergeCell ref="E814:F814"/>
    <mergeCell ref="A807:J807"/>
    <mergeCell ref="E816:F816"/>
    <mergeCell ref="C824:D824"/>
    <mergeCell ref="E813:F813"/>
    <mergeCell ref="I844:J844"/>
    <mergeCell ref="C889:D889"/>
    <mergeCell ref="G915:H915"/>
    <mergeCell ref="C832:D832"/>
    <mergeCell ref="G866:H866"/>
    <mergeCell ref="C828:D828"/>
    <mergeCell ref="C826:D826"/>
    <mergeCell ref="G845:H845"/>
    <mergeCell ref="G842:H842"/>
    <mergeCell ref="G846:H846"/>
    <mergeCell ref="E855:F855"/>
    <mergeCell ref="C837:D837"/>
    <mergeCell ref="G837:H837"/>
    <mergeCell ref="G854:H854"/>
    <mergeCell ref="G856:H856"/>
    <mergeCell ref="G847:H847"/>
    <mergeCell ref="G857:H857"/>
    <mergeCell ref="C838:D838"/>
    <mergeCell ref="C841:D841"/>
    <mergeCell ref="C842:D842"/>
    <mergeCell ref="C845:D845"/>
    <mergeCell ref="E837:F837"/>
    <mergeCell ref="C927:D927"/>
    <mergeCell ref="E924:F924"/>
    <mergeCell ref="C932:D932"/>
    <mergeCell ref="A930:J930"/>
    <mergeCell ref="I847:J847"/>
    <mergeCell ref="G841:H841"/>
    <mergeCell ref="C916:D916"/>
    <mergeCell ref="E916:F916"/>
    <mergeCell ref="C918:D918"/>
    <mergeCell ref="A994:H994"/>
    <mergeCell ref="G1000:H1000"/>
    <mergeCell ref="C984:D984"/>
    <mergeCell ref="E978:F978"/>
    <mergeCell ref="C983:D983"/>
    <mergeCell ref="C986:D986"/>
    <mergeCell ref="C985:D985"/>
    <mergeCell ref="C978:D978"/>
    <mergeCell ref="I986:J986"/>
    <mergeCell ref="I985:J985"/>
    <mergeCell ref="I988:J988"/>
    <mergeCell ref="I984:J984"/>
    <mergeCell ref="I1002:J1002"/>
    <mergeCell ref="I989:J989"/>
    <mergeCell ref="I998:J998"/>
    <mergeCell ref="G988:H988"/>
    <mergeCell ref="G986:H986"/>
    <mergeCell ref="C989:D989"/>
    <mergeCell ref="E1000:F1000"/>
    <mergeCell ref="I999:J999"/>
    <mergeCell ref="A996:J997"/>
    <mergeCell ref="I1000:J1000"/>
    <mergeCell ref="C999:D999"/>
    <mergeCell ref="E987:F987"/>
    <mergeCell ref="C987:D987"/>
    <mergeCell ref="C1002:D1002"/>
    <mergeCell ref="G1002:H1002"/>
    <mergeCell ref="E986:F986"/>
    <mergeCell ref="I1010:J1010"/>
    <mergeCell ref="C1009:D1009"/>
    <mergeCell ref="G1010:H1010"/>
    <mergeCell ref="C1000:D1000"/>
    <mergeCell ref="I1007:J1007"/>
    <mergeCell ref="E1010:F1010"/>
    <mergeCell ref="C1003:D1003"/>
    <mergeCell ref="I1003:J1003"/>
    <mergeCell ref="K1015:L1015"/>
    <mergeCell ref="E1003:F1003"/>
    <mergeCell ref="I1008:J1008"/>
    <mergeCell ref="E1008:F1008"/>
    <mergeCell ref="C1014:D1014"/>
    <mergeCell ref="C1008:D1008"/>
    <mergeCell ref="G1008:H1008"/>
    <mergeCell ref="G1014:H1014"/>
    <mergeCell ref="G1012:H1012"/>
    <mergeCell ref="G1003:H1003"/>
    <mergeCell ref="K1061:L1061"/>
    <mergeCell ref="K1056:L1056"/>
    <mergeCell ref="I1056:J1056"/>
    <mergeCell ref="I1058:J1058"/>
    <mergeCell ref="K1034:L1034"/>
    <mergeCell ref="I1054:J1054"/>
    <mergeCell ref="K1050:L1050"/>
    <mergeCell ref="K1055:L1055"/>
    <mergeCell ref="I1035:J1035"/>
    <mergeCell ref="I1053:J1053"/>
    <mergeCell ref="E1036:F1036"/>
    <mergeCell ref="E1035:F1035"/>
    <mergeCell ref="C1083:D1083"/>
    <mergeCell ref="E1079:F1079"/>
    <mergeCell ref="C1078:D1078"/>
    <mergeCell ref="E1069:F1069"/>
    <mergeCell ref="E1066:F1066"/>
    <mergeCell ref="G1065:H1065"/>
    <mergeCell ref="E1067:F1067"/>
    <mergeCell ref="C1087:D1087"/>
    <mergeCell ref="C1086:D1086"/>
    <mergeCell ref="C1077:D1077"/>
    <mergeCell ref="E1087:F1087"/>
    <mergeCell ref="E1085:F1085"/>
    <mergeCell ref="E1084:F1084"/>
    <mergeCell ref="E1086:F1086"/>
    <mergeCell ref="E1083:F1083"/>
    <mergeCell ref="E1078:F1078"/>
    <mergeCell ref="G1083:H1083"/>
    <mergeCell ref="G1076:H1076"/>
    <mergeCell ref="G1063:H1063"/>
    <mergeCell ref="C1079:D1079"/>
    <mergeCell ref="C1076:D1076"/>
    <mergeCell ref="C1069:D1069"/>
    <mergeCell ref="C1067:D1067"/>
    <mergeCell ref="G1074:H1074"/>
    <mergeCell ref="G1067:H1067"/>
    <mergeCell ref="E1064:F1064"/>
    <mergeCell ref="G1051:H1051"/>
    <mergeCell ref="C1074:D1074"/>
    <mergeCell ref="C1053:D1053"/>
    <mergeCell ref="G1058:H1058"/>
    <mergeCell ref="E1034:F1034"/>
    <mergeCell ref="C1034:D1034"/>
    <mergeCell ref="C1064:D1064"/>
    <mergeCell ref="E1054:F1054"/>
    <mergeCell ref="C1062:D1062"/>
    <mergeCell ref="C1058:D1058"/>
    <mergeCell ref="C1057:D1057"/>
    <mergeCell ref="C1051:D1051"/>
    <mergeCell ref="C1054:D1054"/>
    <mergeCell ref="E1055:F1055"/>
    <mergeCell ref="C1042:D1042"/>
    <mergeCell ref="I1063:J1063"/>
    <mergeCell ref="G1062:H1062"/>
    <mergeCell ref="C1043:D1043"/>
    <mergeCell ref="C1044:D1044"/>
    <mergeCell ref="C1045:D1045"/>
    <mergeCell ref="K1097:L1097"/>
    <mergeCell ref="K1096:L1096"/>
    <mergeCell ref="K1064:L1064"/>
    <mergeCell ref="I1086:J1086"/>
    <mergeCell ref="I1084:J1084"/>
    <mergeCell ref="K1074:L1074"/>
    <mergeCell ref="I1092:J1092"/>
    <mergeCell ref="K1079:L1079"/>
    <mergeCell ref="K1075:L1075"/>
    <mergeCell ref="I1072:J1072"/>
    <mergeCell ref="A1038:B1038"/>
    <mergeCell ref="C1036:D1036"/>
    <mergeCell ref="C1035:D1035"/>
    <mergeCell ref="C1132:D1132"/>
    <mergeCell ref="C1133:D1133"/>
    <mergeCell ref="C1094:D1094"/>
    <mergeCell ref="C1066:D1066"/>
    <mergeCell ref="C1075:D1075"/>
    <mergeCell ref="C1065:D1065"/>
    <mergeCell ref="C1093:D1093"/>
    <mergeCell ref="C1031:D1031"/>
    <mergeCell ref="G1032:H1032"/>
    <mergeCell ref="G1036:H1036"/>
    <mergeCell ref="G1034:H1034"/>
    <mergeCell ref="G1030:H1030"/>
    <mergeCell ref="C1032:D1032"/>
    <mergeCell ref="G1033:H1033"/>
    <mergeCell ref="G1031:H1031"/>
    <mergeCell ref="C1027:D1027"/>
    <mergeCell ref="C1029:D1029"/>
    <mergeCell ref="C1025:D1025"/>
    <mergeCell ref="C1026:D1026"/>
    <mergeCell ref="E1033:F1033"/>
    <mergeCell ref="E1031:F1031"/>
    <mergeCell ref="E1030:F1030"/>
    <mergeCell ref="E1028:F1028"/>
    <mergeCell ref="C1033:D1033"/>
    <mergeCell ref="C1030:D1030"/>
    <mergeCell ref="G985:H985"/>
    <mergeCell ref="G983:H983"/>
    <mergeCell ref="E983:F983"/>
    <mergeCell ref="G984:H984"/>
    <mergeCell ref="E984:F984"/>
    <mergeCell ref="E985:F985"/>
    <mergeCell ref="C975:D975"/>
    <mergeCell ref="G975:H975"/>
    <mergeCell ref="C977:D977"/>
    <mergeCell ref="G923:H923"/>
    <mergeCell ref="G926:H926"/>
    <mergeCell ref="E933:F933"/>
    <mergeCell ref="A928:J928"/>
    <mergeCell ref="I972:J972"/>
    <mergeCell ref="G977:H977"/>
    <mergeCell ref="G932:H932"/>
    <mergeCell ref="C926:D926"/>
    <mergeCell ref="I978:J978"/>
    <mergeCell ref="C933:D933"/>
    <mergeCell ref="E926:F926"/>
    <mergeCell ref="E927:F927"/>
    <mergeCell ref="G933:H933"/>
    <mergeCell ref="I977:J977"/>
    <mergeCell ref="C973:D973"/>
    <mergeCell ref="E966:F966"/>
    <mergeCell ref="E977:F977"/>
    <mergeCell ref="G976:H976"/>
    <mergeCell ref="E829:F829"/>
    <mergeCell ref="I845:J845"/>
    <mergeCell ref="G927:H927"/>
    <mergeCell ref="G987:H987"/>
    <mergeCell ref="G974:H974"/>
    <mergeCell ref="G978:H978"/>
    <mergeCell ref="I974:J974"/>
    <mergeCell ref="A979:J979"/>
    <mergeCell ref="E846:F846"/>
    <mergeCell ref="E914:F914"/>
    <mergeCell ref="E975:F975"/>
    <mergeCell ref="E892:F892"/>
    <mergeCell ref="E932:F932"/>
    <mergeCell ref="E839:F839"/>
    <mergeCell ref="E840:F840"/>
    <mergeCell ref="E866:F866"/>
    <mergeCell ref="E974:F974"/>
    <mergeCell ref="E918:F918"/>
    <mergeCell ref="E915:F915"/>
    <mergeCell ref="C798:D798"/>
    <mergeCell ref="C797:D797"/>
    <mergeCell ref="E841:F841"/>
    <mergeCell ref="E838:F838"/>
    <mergeCell ref="C804:D804"/>
    <mergeCell ref="C803:D803"/>
    <mergeCell ref="C812:D812"/>
    <mergeCell ref="C815:D815"/>
    <mergeCell ref="C821:D821"/>
    <mergeCell ref="E811:F811"/>
    <mergeCell ref="E795:F795"/>
    <mergeCell ref="E798:F798"/>
    <mergeCell ref="E802:F802"/>
    <mergeCell ref="G812:H812"/>
    <mergeCell ref="G813:H813"/>
    <mergeCell ref="E803:F803"/>
    <mergeCell ref="G811:H811"/>
    <mergeCell ref="E812:F812"/>
    <mergeCell ref="E796:F796"/>
    <mergeCell ref="G797:H797"/>
    <mergeCell ref="C788:D788"/>
    <mergeCell ref="E788:F788"/>
    <mergeCell ref="E780:F780"/>
    <mergeCell ref="C776:D776"/>
    <mergeCell ref="E787:F787"/>
    <mergeCell ref="E779:F779"/>
    <mergeCell ref="C780:D780"/>
    <mergeCell ref="C785:D785"/>
    <mergeCell ref="C777:D777"/>
    <mergeCell ref="E777:F777"/>
    <mergeCell ref="C724:D724"/>
    <mergeCell ref="E702:F702"/>
    <mergeCell ref="E721:F721"/>
    <mergeCell ref="C721:D721"/>
    <mergeCell ref="C723:D723"/>
    <mergeCell ref="E716:F716"/>
    <mergeCell ref="E720:F720"/>
    <mergeCell ref="E719:F719"/>
    <mergeCell ref="C717:D717"/>
    <mergeCell ref="C706:D706"/>
    <mergeCell ref="G689:H689"/>
    <mergeCell ref="G681:H681"/>
    <mergeCell ref="G688:H688"/>
    <mergeCell ref="C681:D681"/>
    <mergeCell ref="G682:H682"/>
    <mergeCell ref="G678:H678"/>
    <mergeCell ref="E683:F683"/>
    <mergeCell ref="C678:D678"/>
    <mergeCell ref="C689:D689"/>
    <mergeCell ref="E689:F689"/>
    <mergeCell ref="I677:J677"/>
    <mergeCell ref="I662:J662"/>
    <mergeCell ref="I672:J672"/>
    <mergeCell ref="I634:J634"/>
    <mergeCell ref="G673:H673"/>
    <mergeCell ref="E677:F677"/>
    <mergeCell ref="G676:H676"/>
    <mergeCell ref="G672:H672"/>
    <mergeCell ref="E676:F676"/>
    <mergeCell ref="A659:N659"/>
    <mergeCell ref="C672:D672"/>
    <mergeCell ref="C674:D674"/>
    <mergeCell ref="C676:D676"/>
    <mergeCell ref="G605:H605"/>
    <mergeCell ref="G607:H607"/>
    <mergeCell ref="C605:D605"/>
    <mergeCell ref="A660:H660"/>
    <mergeCell ref="A657:H657"/>
    <mergeCell ref="C607:D607"/>
    <mergeCell ref="A609:H609"/>
    <mergeCell ref="E588:F588"/>
    <mergeCell ref="I598:J598"/>
    <mergeCell ref="G593:H593"/>
    <mergeCell ref="G598:H598"/>
    <mergeCell ref="C598:D598"/>
    <mergeCell ref="E592:F592"/>
    <mergeCell ref="G590:H590"/>
    <mergeCell ref="C590:D590"/>
    <mergeCell ref="E598:F598"/>
    <mergeCell ref="E589:F589"/>
    <mergeCell ref="C573:D573"/>
    <mergeCell ref="E578:F578"/>
    <mergeCell ref="E599:F599"/>
    <mergeCell ref="E585:F585"/>
    <mergeCell ref="E596:F596"/>
    <mergeCell ref="G591:H591"/>
    <mergeCell ref="E593:F593"/>
    <mergeCell ref="G579:H579"/>
    <mergeCell ref="E590:F590"/>
    <mergeCell ref="E597:F597"/>
    <mergeCell ref="C577:D577"/>
    <mergeCell ref="C578:D578"/>
    <mergeCell ref="C580:D580"/>
    <mergeCell ref="E577:F577"/>
    <mergeCell ref="G578:H578"/>
    <mergeCell ref="E574:F574"/>
    <mergeCell ref="G574:H574"/>
    <mergeCell ref="G577:H577"/>
    <mergeCell ref="C541:D541"/>
    <mergeCell ref="E540:F540"/>
    <mergeCell ref="C565:D565"/>
    <mergeCell ref="C563:D563"/>
    <mergeCell ref="C562:D562"/>
    <mergeCell ref="C560:D560"/>
    <mergeCell ref="A548:H548"/>
    <mergeCell ref="E564:F564"/>
    <mergeCell ref="G544:H544"/>
    <mergeCell ref="C543:D543"/>
    <mergeCell ref="C585:D585"/>
    <mergeCell ref="C592:D592"/>
    <mergeCell ref="C596:D596"/>
    <mergeCell ref="C597:D597"/>
    <mergeCell ref="C588:D588"/>
    <mergeCell ref="C587:D587"/>
    <mergeCell ref="C586:D586"/>
    <mergeCell ref="C589:D589"/>
    <mergeCell ref="C571:D571"/>
    <mergeCell ref="C574:D574"/>
    <mergeCell ref="G571:H571"/>
    <mergeCell ref="E584:F584"/>
    <mergeCell ref="G572:H572"/>
    <mergeCell ref="C584:D584"/>
    <mergeCell ref="C579:D579"/>
    <mergeCell ref="C572:D572"/>
    <mergeCell ref="E573:F573"/>
    <mergeCell ref="G573:H573"/>
    <mergeCell ref="C539:D539"/>
    <mergeCell ref="C533:D533"/>
    <mergeCell ref="C529:D529"/>
    <mergeCell ref="A547:J547"/>
    <mergeCell ref="C535:D535"/>
    <mergeCell ref="I521:J521"/>
    <mergeCell ref="G539:H539"/>
    <mergeCell ref="C527:D527"/>
    <mergeCell ref="C534:D534"/>
    <mergeCell ref="C523:D523"/>
    <mergeCell ref="C445:D445"/>
    <mergeCell ref="C460:D460"/>
    <mergeCell ref="C454:D454"/>
    <mergeCell ref="C447:D447"/>
    <mergeCell ref="C459:D459"/>
    <mergeCell ref="C462:D462"/>
    <mergeCell ref="C453:D453"/>
    <mergeCell ref="C395:D395"/>
    <mergeCell ref="C388:D388"/>
    <mergeCell ref="C403:D403"/>
    <mergeCell ref="C385:D385"/>
    <mergeCell ref="C387:D387"/>
    <mergeCell ref="C396:D396"/>
    <mergeCell ref="A400:J400"/>
    <mergeCell ref="I403:J403"/>
    <mergeCell ref="E411:F411"/>
    <mergeCell ref="C443:D443"/>
    <mergeCell ref="E443:F443"/>
    <mergeCell ref="C413:D413"/>
    <mergeCell ref="C406:D406"/>
    <mergeCell ref="C421:D421"/>
    <mergeCell ref="E431:F431"/>
    <mergeCell ref="C424:D424"/>
    <mergeCell ref="C430:D430"/>
    <mergeCell ref="E440:F440"/>
    <mergeCell ref="G388:H388"/>
    <mergeCell ref="E395:F395"/>
    <mergeCell ref="G387:H387"/>
    <mergeCell ref="E405:F405"/>
    <mergeCell ref="G395:H395"/>
    <mergeCell ref="E387:F387"/>
    <mergeCell ref="E396:F396"/>
    <mergeCell ref="E386:F386"/>
    <mergeCell ref="C241:D241"/>
    <mergeCell ref="C375:D375"/>
    <mergeCell ref="C433:D433"/>
    <mergeCell ref="C434:D434"/>
    <mergeCell ref="E414:F414"/>
    <mergeCell ref="C379:D379"/>
    <mergeCell ref="C423:D423"/>
    <mergeCell ref="C422:D422"/>
    <mergeCell ref="E406:F406"/>
    <mergeCell ref="G397:H397"/>
    <mergeCell ref="C384:D384"/>
    <mergeCell ref="C389:D389"/>
    <mergeCell ref="C394:D394"/>
    <mergeCell ref="C267:D267"/>
    <mergeCell ref="G389:H389"/>
    <mergeCell ref="E388:F388"/>
    <mergeCell ref="E389:F389"/>
    <mergeCell ref="E394:F394"/>
    <mergeCell ref="E375:F375"/>
    <mergeCell ref="C253:D253"/>
    <mergeCell ref="C250:D250"/>
    <mergeCell ref="C240:D240"/>
    <mergeCell ref="C265:D265"/>
    <mergeCell ref="C217:D217"/>
    <mergeCell ref="E384:F384"/>
    <mergeCell ref="C228:D228"/>
    <mergeCell ref="E377:F377"/>
    <mergeCell ref="C347:D347"/>
    <mergeCell ref="E343:F343"/>
    <mergeCell ref="C188:D188"/>
    <mergeCell ref="C186:D186"/>
    <mergeCell ref="C442:D442"/>
    <mergeCell ref="C444:D444"/>
    <mergeCell ref="C345:D345"/>
    <mergeCell ref="C251:D251"/>
    <mergeCell ref="C252:D252"/>
    <mergeCell ref="C247:D247"/>
    <mergeCell ref="C412:D412"/>
    <mergeCell ref="C238:D238"/>
    <mergeCell ref="E442:F442"/>
    <mergeCell ref="C320:D320"/>
    <mergeCell ref="C239:D239"/>
    <mergeCell ref="C145:D145"/>
    <mergeCell ref="G457:H457"/>
    <mergeCell ref="G414:H414"/>
    <mergeCell ref="G422:H422"/>
    <mergeCell ref="G423:H423"/>
    <mergeCell ref="E441:F441"/>
    <mergeCell ref="G434:H434"/>
    <mergeCell ref="I533:J533"/>
    <mergeCell ref="I541:J541"/>
    <mergeCell ref="I572:J572"/>
    <mergeCell ref="K549:L549"/>
    <mergeCell ref="K559:L559"/>
    <mergeCell ref="K540:L540"/>
    <mergeCell ref="K541:L541"/>
    <mergeCell ref="K544:L544"/>
    <mergeCell ref="I539:J539"/>
    <mergeCell ref="I543:J543"/>
    <mergeCell ref="K532:L532"/>
    <mergeCell ref="C680:D680"/>
    <mergeCell ref="E679:F679"/>
    <mergeCell ref="C690:D690"/>
    <mergeCell ref="I682:J682"/>
    <mergeCell ref="C679:D679"/>
    <mergeCell ref="A654:H654"/>
    <mergeCell ref="E674:F674"/>
    <mergeCell ref="E678:F678"/>
    <mergeCell ref="E690:F690"/>
    <mergeCell ref="E680:F680"/>
    <mergeCell ref="G683:H683"/>
    <mergeCell ref="E723:F723"/>
    <mergeCell ref="G696:H696"/>
    <mergeCell ref="I696:J696"/>
    <mergeCell ref="I691:J691"/>
    <mergeCell ref="G698:H698"/>
    <mergeCell ref="G706:H706"/>
    <mergeCell ref="G707:H707"/>
    <mergeCell ref="E698:F698"/>
    <mergeCell ref="E700:F700"/>
    <mergeCell ref="G718:H718"/>
    <mergeCell ref="I1288:J1288"/>
    <mergeCell ref="I1275:J1275"/>
    <mergeCell ref="I1153:J1153"/>
    <mergeCell ref="G1223:H1223"/>
    <mergeCell ref="G1136:H1136"/>
    <mergeCell ref="E725:F725"/>
    <mergeCell ref="E790:F790"/>
    <mergeCell ref="E770:F770"/>
    <mergeCell ref="K1157:L1157"/>
    <mergeCell ref="G1154:H1154"/>
    <mergeCell ref="G1156:H1156"/>
    <mergeCell ref="I1177:J1177"/>
    <mergeCell ref="G1168:H1168"/>
    <mergeCell ref="E1591:F1591"/>
    <mergeCell ref="I1160:J1160"/>
    <mergeCell ref="I1156:J1156"/>
    <mergeCell ref="I1159:J1159"/>
    <mergeCell ref="G1159:H1159"/>
    <mergeCell ref="A1452:H1452"/>
    <mergeCell ref="I1403:J1403"/>
    <mergeCell ref="I1200:J1200"/>
    <mergeCell ref="I1258:J1258"/>
    <mergeCell ref="C1225:D1225"/>
    <mergeCell ref="C1153:D1153"/>
    <mergeCell ref="C1160:D1160"/>
    <mergeCell ref="C1155:D1155"/>
    <mergeCell ref="C1154:D1154"/>
    <mergeCell ref="C1158:D1158"/>
    <mergeCell ref="K1114:L1114"/>
    <mergeCell ref="K1146:L1146"/>
    <mergeCell ref="K1142:L1142"/>
    <mergeCell ref="K1136:L1136"/>
    <mergeCell ref="G1135:H1135"/>
    <mergeCell ref="G1127:H1127"/>
    <mergeCell ref="G1117:H1117"/>
    <mergeCell ref="K1134:L1134"/>
    <mergeCell ref="K1133:L1133"/>
    <mergeCell ref="I1128:J1128"/>
    <mergeCell ref="M660:N660"/>
    <mergeCell ref="I643:J643"/>
    <mergeCell ref="K1140:L1140"/>
    <mergeCell ref="M669:N669"/>
    <mergeCell ref="K1154:L1154"/>
    <mergeCell ref="K1147:L1147"/>
    <mergeCell ref="K1143:L1143"/>
    <mergeCell ref="I649:J649"/>
    <mergeCell ref="K1099:L1099"/>
    <mergeCell ref="K1100:L1100"/>
    <mergeCell ref="K577:L577"/>
    <mergeCell ref="K573:L573"/>
    <mergeCell ref="K576:L576"/>
    <mergeCell ref="I562:J562"/>
    <mergeCell ref="K568:L568"/>
    <mergeCell ref="K569:L569"/>
    <mergeCell ref="K570:L570"/>
    <mergeCell ref="K564:L564"/>
    <mergeCell ref="K572:L572"/>
    <mergeCell ref="K543:L543"/>
    <mergeCell ref="I592:J592"/>
    <mergeCell ref="I595:J595"/>
    <mergeCell ref="K565:L565"/>
    <mergeCell ref="I576:J576"/>
    <mergeCell ref="K579:L579"/>
    <mergeCell ref="I577:J577"/>
    <mergeCell ref="I588:J588"/>
    <mergeCell ref="K589:L589"/>
    <mergeCell ref="K591:L591"/>
    <mergeCell ref="G458:H458"/>
    <mergeCell ref="I526:J526"/>
    <mergeCell ref="I520:J520"/>
    <mergeCell ref="G523:H523"/>
    <mergeCell ref="I523:J523"/>
    <mergeCell ref="E494:F494"/>
    <mergeCell ref="I495:J495"/>
    <mergeCell ref="I492:J492"/>
    <mergeCell ref="I489:J489"/>
    <mergeCell ref="I486:J486"/>
    <mergeCell ref="M157:N157"/>
    <mergeCell ref="K563:L563"/>
    <mergeCell ref="K562:L562"/>
    <mergeCell ref="I454:J454"/>
    <mergeCell ref="K561:L561"/>
    <mergeCell ref="K560:L560"/>
    <mergeCell ref="K542:L542"/>
    <mergeCell ref="I522:J522"/>
    <mergeCell ref="K502:L502"/>
    <mergeCell ref="K503:L503"/>
    <mergeCell ref="M63:N63"/>
    <mergeCell ref="M55:N55"/>
    <mergeCell ref="M48:N48"/>
    <mergeCell ref="M130:N130"/>
    <mergeCell ref="I673:J673"/>
    <mergeCell ref="M131:N131"/>
    <mergeCell ref="M317:N317"/>
    <mergeCell ref="M319:N319"/>
    <mergeCell ref="M320:N320"/>
    <mergeCell ref="I452:J452"/>
    <mergeCell ref="M124:N124"/>
    <mergeCell ref="M65:N65"/>
    <mergeCell ref="M66:N66"/>
    <mergeCell ref="M67:N67"/>
    <mergeCell ref="M47:N47"/>
    <mergeCell ref="M60:N60"/>
    <mergeCell ref="M59:N59"/>
    <mergeCell ref="M62:N62"/>
    <mergeCell ref="M61:N61"/>
    <mergeCell ref="M64:N64"/>
    <mergeCell ref="M125:N125"/>
    <mergeCell ref="M126:N126"/>
    <mergeCell ref="M156:N156"/>
    <mergeCell ref="M150:N150"/>
    <mergeCell ref="M151:N151"/>
    <mergeCell ref="M152:N152"/>
    <mergeCell ref="M153:N153"/>
    <mergeCell ref="M129:N129"/>
    <mergeCell ref="M128:N128"/>
    <mergeCell ref="M127:N127"/>
    <mergeCell ref="M154:N154"/>
    <mergeCell ref="M155:N155"/>
    <mergeCell ref="C805:D805"/>
    <mergeCell ref="C688:D688"/>
    <mergeCell ref="C683:D683"/>
    <mergeCell ref="E675:F675"/>
    <mergeCell ref="E459:F459"/>
    <mergeCell ref="C677:D677"/>
    <mergeCell ref="M159:N159"/>
    <mergeCell ref="M158:N158"/>
    <mergeCell ref="I195:J195"/>
    <mergeCell ref="G196:H196"/>
    <mergeCell ref="I222:J222"/>
    <mergeCell ref="I191:J191"/>
    <mergeCell ref="I196:J196"/>
    <mergeCell ref="I207:J207"/>
    <mergeCell ref="G208:H208"/>
    <mergeCell ref="G204:H204"/>
    <mergeCell ref="I212:J212"/>
    <mergeCell ref="G435:H435"/>
    <mergeCell ref="G430:H430"/>
    <mergeCell ref="E423:F423"/>
    <mergeCell ref="G441:H441"/>
    <mergeCell ref="G421:H421"/>
    <mergeCell ref="G431:H431"/>
    <mergeCell ref="G424:H424"/>
    <mergeCell ref="E434:F434"/>
    <mergeCell ref="E432:F432"/>
    <mergeCell ref="E435:F435"/>
    <mergeCell ref="G442:H442"/>
    <mergeCell ref="I404:J404"/>
    <mergeCell ref="I420:J420"/>
    <mergeCell ref="I401:J401"/>
    <mergeCell ref="I410:J410"/>
    <mergeCell ref="G411:H411"/>
    <mergeCell ref="A438:H438"/>
    <mergeCell ref="C441:D441"/>
    <mergeCell ref="G440:H440"/>
    <mergeCell ref="I441:J441"/>
    <mergeCell ref="K422:L422"/>
    <mergeCell ref="I434:J434"/>
    <mergeCell ref="I402:J402"/>
    <mergeCell ref="I405:J405"/>
    <mergeCell ref="I411:J411"/>
    <mergeCell ref="I412:J412"/>
    <mergeCell ref="K431:L431"/>
    <mergeCell ref="I422:J422"/>
    <mergeCell ref="I413:J413"/>
    <mergeCell ref="I414:J414"/>
    <mergeCell ref="I453:J453"/>
    <mergeCell ref="I406:J406"/>
    <mergeCell ref="I446:J446"/>
    <mergeCell ref="I395:J395"/>
    <mergeCell ref="I396:J396"/>
    <mergeCell ref="I389:J389"/>
    <mergeCell ref="I432:J432"/>
    <mergeCell ref="I423:J423"/>
    <mergeCell ref="I424:J424"/>
    <mergeCell ref="I445:J445"/>
    <mergeCell ref="M327:N327"/>
    <mergeCell ref="M341:N341"/>
    <mergeCell ref="M343:N343"/>
    <mergeCell ref="M382:N382"/>
    <mergeCell ref="I385:J385"/>
    <mergeCell ref="I347:J347"/>
    <mergeCell ref="I353:J353"/>
    <mergeCell ref="I346:J346"/>
    <mergeCell ref="I339:J339"/>
    <mergeCell ref="K336:L336"/>
    <mergeCell ref="M318:N318"/>
    <mergeCell ref="M280:N280"/>
    <mergeCell ref="M278:N278"/>
    <mergeCell ref="M284:N284"/>
    <mergeCell ref="M282:N282"/>
    <mergeCell ref="M279:N279"/>
    <mergeCell ref="M281:N281"/>
    <mergeCell ref="M288:N288"/>
    <mergeCell ref="E203:F203"/>
    <mergeCell ref="C156:D156"/>
    <mergeCell ref="M194:N194"/>
    <mergeCell ref="M197:N197"/>
    <mergeCell ref="E204:F204"/>
    <mergeCell ref="E205:F205"/>
    <mergeCell ref="G203:H203"/>
    <mergeCell ref="M193:N193"/>
    <mergeCell ref="M191:N191"/>
    <mergeCell ref="I202:J202"/>
    <mergeCell ref="C1046:D1046"/>
    <mergeCell ref="C1047:D1047"/>
    <mergeCell ref="M321:N321"/>
    <mergeCell ref="M322:N322"/>
    <mergeCell ref="M323:N323"/>
    <mergeCell ref="M334:N334"/>
    <mergeCell ref="I394:J394"/>
    <mergeCell ref="I383:J383"/>
    <mergeCell ref="I387:J387"/>
    <mergeCell ref="M332:N332"/>
  </mergeCells>
  <hyperlinks>
    <hyperlink ref="A1:C1" location="'Зима 18-19, Весна 19'!A2" display="СТОИМОСТЬ УКАЗАНА В  ДОЛЛАРАХ США НА ОДНОГО ЧЕЛОВЕКА В НОМЕРЕ!!! СТОИМОСТЬ EXTRA BED И CHD ДАНЫ ТОЛЬКО ДЛЯ СТАНДАРТНЫХ НОМЕРОВ!!!                                                                  &gt;&gt;&gt;  ПУТЕВОДИТЕЛЬ  &lt;&lt;&lt;"/>
    <hyperlink ref="A1:J1" location="'Зима 22, Весна 2022'!A2" display="СТОИМОСТЬ УКАЗАНА В  ДОЛЛАРАХ США НА ОДНОГО ЧЕЛОВЕКА В НОМЕРЕ!!! СТОИМОСТЬ EXTRA BED И CHD ДАНЫ ТОЛЬКО ДЛЯ СТАНДАРТНЫХ НОМЕРОВ!!!                                                                  &gt;&gt;&gt;  ПУТЕВОДИТЕЛЬ  &lt;&lt;&lt;"/>
    <hyperlink ref="A7" location="'Зима 22, Весна 2022'!A1281" display="Гавана (осн. часть)"/>
    <hyperlink ref="A8" location="'Зима 22, Весна 2022'!A1479" display=" - Историческая часть Гаваны"/>
    <hyperlink ref="A9" location="'Зима 22, Весна 2022'!A1666" display=" - Восточные пляжи Гаваны"/>
    <hyperlink ref="A12" location="'Зима 22, Весна 2022'!A578" display="Тринидад"/>
    <hyperlink ref="A13" location="'Зима 22, Весна 2022'!A646" display="Сьенфуэгос"/>
    <hyperlink ref="A15" location="'Зима 22, Весна 2022'!A692" display="Кайо Ларго"/>
    <hyperlink ref="A16" location="'Зима 22, Весна 2022'!A745" display="Кайо Энсеначос"/>
    <hyperlink ref="A17" location="'Зима 22, Весна 2022'!A775" display="Кайо Санта Мария"/>
    <hyperlink ref="A18" location="'Зима 22, Весна 2022'!A948" display="Кайо Коко"/>
    <hyperlink ref="A20" location="'Зима 22, Весна 2022'!A1068" display="Кайо Гильермо"/>
    <hyperlink ref="A22" location="'Зима 22, Весна 2022'!A1237" display="Сантьяго-де-Куба"/>
    <hyperlink ref="A21" location="'Зима 22, Весна 2022'!A1164" display="Ольгин"/>
    <hyperlink ref="A23:C23" location="'Зима 18-19, Весна 19'!A1767" display="Трансферы Гавана, Варадеро (цены на остальные трансферы указаны после каждого курорта)"/>
    <hyperlink ref="A10" location="'Зима 22, Весна 2022'!A1693" display=" - Хибакоа"/>
    <hyperlink ref="A11" location="'Зима 22, Весна 2022'!A41" display="Варадеро"/>
    <hyperlink ref="A23:H23" location="'Зима 22, Весна 2022'!A1710" display="Трансферы Гавана, Варадеро (цены на остальные трансферы указаны после каждого курорта)"/>
    <hyperlink ref="A19:B19" location="'Зима 22, Весна 2022'!A1040" display="CAYO CRUZ    -  ОСТРОВ  КАЙО  КРУЗ (Атлантический океан - Северное побережье)"/>
  </hyperlinks>
  <printOptions/>
  <pageMargins left="0.7" right="0.7" top="0.75" bottom="0.75" header="0.3" footer="0.3"/>
  <pageSetup horizontalDpi="600" verticalDpi="600" orientation="portrait" paperSize="9" r:id="rId1"/>
  <ignoredErrors>
    <ignoredError sqref="D40 D42 D100 D146 D191 D679 D68 D39 D43 D99 D759 D709 D708 C253:D253 D240 D1131 D1133 D1132 D1135 D1134 D678 D1489 D1484:D1487 D1493 D1491 D1497 D1499 D1501 D1516:D1525 D252 C257:D257 D254 C255:D255 D256 C1488:D1488 C1492:D149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2016-09-02T07:38:38Z</cp:lastPrinted>
  <dcterms:created xsi:type="dcterms:W3CDTF">2012-09-03T07:18:34Z</dcterms:created>
  <dcterms:modified xsi:type="dcterms:W3CDTF">2022-09-27T12:31:02Z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