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5345" windowHeight="1170" tabRatio="584" activeTab="0"/>
  </bookViews>
  <sheets>
    <sheet name="Зима 19-20, Весна 20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<sst xmlns="http://schemas.openxmlformats.org/spreadsheetml/2006/main" count="3346" uniqueCount="1338">
  <si>
    <r>
      <t xml:space="preserve">JIBACOA -  ХИБАКОА </t>
    </r>
    <r>
      <rPr>
        <b/>
        <i/>
        <sz val="10"/>
        <rFont val="Arial Cyr"/>
        <family val="0"/>
      </rPr>
      <t>(местечко посередине между Гаваной и Варадеро, в 60 км от Гаваны и в 70 км от Варадеро)</t>
    </r>
  </si>
  <si>
    <t xml:space="preserve">Starfish Cayo Santa Maria </t>
  </si>
  <si>
    <t>DELUXE OCEAN VIEW DBL</t>
  </si>
  <si>
    <t>DELUXE OCEAN VIEW SGL</t>
  </si>
  <si>
    <t>GRAND PREMIUM  VISTA LAGUNA DBL</t>
  </si>
  <si>
    <t>GRAND PREMIUM VISTA LAGUNA SGL</t>
  </si>
  <si>
    <t>Во всех категориях номеров максимально разрещение 2 взр+2 реб/3 взр</t>
  </si>
  <si>
    <t>SUPERIOR OCEAN  VIEW DBL</t>
  </si>
  <si>
    <t>SUPERIOR  OCEAN  VIEW SGL</t>
  </si>
  <si>
    <t xml:space="preserve">DBL OCEAN VIEW </t>
  </si>
  <si>
    <t xml:space="preserve">SGL OCEAN VIEW </t>
  </si>
  <si>
    <t>SUITE SWIM OUT DBL</t>
  </si>
  <si>
    <t xml:space="preserve">SGL </t>
  </si>
  <si>
    <t>Pullman Cayo Coco</t>
  </si>
  <si>
    <t>DELUXE GARDEN VIEW DBL</t>
  </si>
  <si>
    <t xml:space="preserve">LUXURY JR SUITE DBL </t>
  </si>
  <si>
    <t xml:space="preserve">LUXURY JR SUITE SGL </t>
  </si>
  <si>
    <t>Playa Coco</t>
  </si>
  <si>
    <t>Las Americas</t>
  </si>
  <si>
    <t xml:space="preserve">                                                                    </t>
  </si>
  <si>
    <t xml:space="preserve">Grand Memories Varadero </t>
  </si>
  <si>
    <t>Цены включают 10% комиссии турагентствам от наземного обслуживания,  включая все трансферы.                                                                                                     Внутренний перелёт, турсбор и страховка некомиссионные.</t>
  </si>
  <si>
    <t>DBL DELUXE</t>
  </si>
  <si>
    <t>STD MODERNO DBL</t>
  </si>
  <si>
    <t>STD MODERNO SGL</t>
  </si>
  <si>
    <t>STD COLONIAL DBL</t>
  </si>
  <si>
    <t>STD COLONIAL SGL</t>
  </si>
  <si>
    <t>JR  SUITE MODERNO DBL</t>
  </si>
  <si>
    <t>JR  SUITE MODERNO SGL</t>
  </si>
  <si>
    <t>JR SUITE COLONIAL DBL</t>
  </si>
  <si>
    <t>JR SUITE COLONIAL SGL</t>
  </si>
  <si>
    <t>SUITE  MODERNO DBL</t>
  </si>
  <si>
    <t>SUITE  MODERNO SGL</t>
  </si>
  <si>
    <t>SUITE  COLONIAL DBL</t>
  </si>
  <si>
    <t>SUITE  COLONIAL SGL</t>
  </si>
  <si>
    <t xml:space="preserve">3*  </t>
  </si>
  <si>
    <t xml:space="preserve">DBL  STANDARD </t>
  </si>
  <si>
    <t xml:space="preserve">SGL  STANDARD  </t>
  </si>
  <si>
    <t>Deauville</t>
  </si>
  <si>
    <t xml:space="preserve"> </t>
  </si>
  <si>
    <t>Sunbeach</t>
  </si>
  <si>
    <r>
      <t xml:space="preserve">                                                          </t>
    </r>
    <r>
      <rPr>
        <b/>
        <i/>
        <sz val="16"/>
        <color indexed="12"/>
        <rFont val="Arial Cyr"/>
        <family val="0"/>
      </rPr>
      <t xml:space="preserve"> </t>
    </r>
    <r>
      <rPr>
        <b/>
        <i/>
        <sz val="12"/>
        <color indexed="12"/>
        <rFont val="Arial Cyr"/>
        <family val="2"/>
      </rPr>
      <t xml:space="preserve">                VARADERO   -  ВАРАДЕРО </t>
    </r>
    <r>
      <rPr>
        <i/>
        <sz val="12"/>
        <rFont val="Arial Cyr"/>
        <family val="2"/>
      </rPr>
      <t xml:space="preserve">(140 км от Гаваны)                                                            </t>
    </r>
  </si>
  <si>
    <r>
      <t xml:space="preserve">                                                                           ОТЕЛИ СИСТЕМЫ "ALL INCLUSIVE" (ВСЕ ВКЛЮЧЕНО)   НА ВАРАДЕРО                       </t>
    </r>
    <r>
      <rPr>
        <i/>
        <sz val="11"/>
        <color indexed="12"/>
        <rFont val="Arial Cyr"/>
        <family val="0"/>
      </rPr>
      <t xml:space="preserve">            </t>
    </r>
  </si>
  <si>
    <t>Отель</t>
  </si>
  <si>
    <t>JR SUITE DBL</t>
  </si>
  <si>
    <t>5*</t>
  </si>
  <si>
    <t>JR SUITE SGL</t>
  </si>
  <si>
    <t>EXTRA BED</t>
  </si>
  <si>
    <t xml:space="preserve">Paradisus Princesa del Mar              </t>
  </si>
  <si>
    <t>JR SUITE DBL OCEAN VIEW</t>
  </si>
  <si>
    <t>Melia Las Americas</t>
  </si>
  <si>
    <t>DBL</t>
  </si>
  <si>
    <t>SGL</t>
  </si>
  <si>
    <t>DBL  OCEAN  VIEW</t>
  </si>
  <si>
    <t>SGL  OCEAN  VIEW</t>
  </si>
  <si>
    <t xml:space="preserve">Melia Varadero </t>
  </si>
  <si>
    <t>SUITE DBL</t>
  </si>
  <si>
    <t>SUITE SGL</t>
  </si>
  <si>
    <t>Melia Las Antillas</t>
  </si>
  <si>
    <t>4*</t>
  </si>
  <si>
    <t>Sol Palmeras</t>
  </si>
  <si>
    <t>DBL OCEAN  VIEW</t>
  </si>
  <si>
    <t>SUITE  DBL</t>
  </si>
  <si>
    <t>SUITE  SGL</t>
  </si>
  <si>
    <t>Sol Palmeras - Bungalow</t>
  </si>
  <si>
    <t xml:space="preserve">DBL  </t>
  </si>
  <si>
    <t xml:space="preserve">SGL  </t>
  </si>
  <si>
    <t>DBL OCEAN VIEW</t>
  </si>
  <si>
    <t>SGL OCEAN VIEW</t>
  </si>
  <si>
    <t>JR  SUITE  DBL</t>
  </si>
  <si>
    <t>JR  SUITE  SGL</t>
  </si>
  <si>
    <t>CHD + 2 взр (от 2 до 12 лет)</t>
  </si>
  <si>
    <t xml:space="preserve">Iberostar Laguna Azul    </t>
  </si>
  <si>
    <t>Iberostar Playa Alameda</t>
  </si>
  <si>
    <t>Iberostar Tainos</t>
  </si>
  <si>
    <t>Memories Varadero</t>
  </si>
  <si>
    <t>DELUXE DBL</t>
  </si>
  <si>
    <t>DELUXE SGL</t>
  </si>
  <si>
    <t>CHD + 2 взр  (от 2 до 12 лет)</t>
  </si>
  <si>
    <t>EXTRA  BED</t>
  </si>
  <si>
    <t>Barcelo Solymar</t>
  </si>
  <si>
    <t>Основное здание</t>
  </si>
  <si>
    <t>DBL  SUPERIOR OCEAN  VIEW</t>
  </si>
  <si>
    <t>SGL  SUPERIOR OCEAN  VIEW</t>
  </si>
  <si>
    <t>CHD + 2 взр (до 6 лет)</t>
  </si>
  <si>
    <t>CHD + 2 взр (от 7 до 12 лет)</t>
  </si>
  <si>
    <t>Arenas Doradas</t>
  </si>
  <si>
    <t>CHD  + 2 взр (от 2 до 12 лет)</t>
  </si>
  <si>
    <t>Kawama</t>
  </si>
  <si>
    <t>Villa Tortuga</t>
  </si>
  <si>
    <t>3*</t>
  </si>
  <si>
    <t>CHD + 2 взр (до 12 лет)</t>
  </si>
  <si>
    <t>Brisas del Caribe</t>
  </si>
  <si>
    <t xml:space="preserve">DBL </t>
  </si>
  <si>
    <t>(вторая линия пляжа)</t>
  </si>
  <si>
    <t>Club Tropical</t>
  </si>
  <si>
    <t>Acuazul 3*</t>
  </si>
  <si>
    <t>Mar del Sur 2*</t>
  </si>
  <si>
    <t>однокомнатные апартаменты (цена за номер)</t>
  </si>
  <si>
    <t>двухкомнатные апартаменты (цена за номер)</t>
  </si>
  <si>
    <t>Los Delfines 3*</t>
  </si>
  <si>
    <t>BB</t>
  </si>
  <si>
    <r>
      <t xml:space="preserve">TRINIDAD  -   ТРИНИДАД </t>
    </r>
    <r>
      <rPr>
        <i/>
        <sz val="12"/>
        <rFont val="Arial Cyr"/>
        <family val="2"/>
      </rPr>
      <t>(407 км от Гаваны, Карибское побережье)</t>
    </r>
  </si>
  <si>
    <t>HB</t>
  </si>
  <si>
    <t xml:space="preserve">Iberostar Grand Hotel Trinidad </t>
  </si>
  <si>
    <t>AI</t>
  </si>
  <si>
    <t>Ancon</t>
  </si>
  <si>
    <t>CHD + 2 взр (от 3 до 12 лет)</t>
  </si>
  <si>
    <t xml:space="preserve">Rancho Luna </t>
  </si>
  <si>
    <t xml:space="preserve">Faro Luna </t>
  </si>
  <si>
    <t>Курорты на островах - отели по системе ALL INCLUSIVE ( "ВСЕ ВКЛЮЧЕНО")</t>
  </si>
  <si>
    <r>
      <t xml:space="preserve">                                                                                  CAYO  LARGO  -  ОСТРОВ  КАЙО  ЛАРГО </t>
    </r>
    <r>
      <rPr>
        <i/>
        <sz val="12"/>
        <rFont val="Arial Cyr"/>
        <family val="2"/>
      </rPr>
      <t>(в Карибском море - Южное побережье)</t>
    </r>
  </si>
  <si>
    <t>Sol  Cayo  Largo</t>
  </si>
  <si>
    <r>
      <t xml:space="preserve">CAYO  ENSENACHOS - ОСТРОВ  ЭНСЕНАЧОС </t>
    </r>
    <r>
      <rPr>
        <i/>
        <sz val="12"/>
        <rFont val="Arial Cyr"/>
        <family val="0"/>
      </rPr>
      <t>( в Атлантическом океане - Северное побережье)</t>
    </r>
  </si>
  <si>
    <t xml:space="preserve">Iberostar Ensenachos  </t>
  </si>
  <si>
    <t>Park Suite DBL</t>
  </si>
  <si>
    <t>Park Suite SGL</t>
  </si>
  <si>
    <t>SPA Suite DBL</t>
  </si>
  <si>
    <t>SPA Suite SGL</t>
  </si>
  <si>
    <r>
      <t xml:space="preserve">CAYO  SANTA  MARIA - ОСТРОВ  САНТА  МАРИЯ </t>
    </r>
    <r>
      <rPr>
        <i/>
        <sz val="12"/>
        <rFont val="Arial Cyr"/>
        <family val="0"/>
      </rPr>
      <t>( в Атлантическом океане - Северное побережье)</t>
    </r>
  </si>
  <si>
    <t xml:space="preserve">       Внимание! Отель только для взрослых c 18 лет!  Размещение 3-го взрослого в номере не допускается</t>
  </si>
  <si>
    <t>НОВЫЙ</t>
  </si>
  <si>
    <t xml:space="preserve">SUITE  DBL </t>
  </si>
  <si>
    <r>
      <t xml:space="preserve">CAYO COCO    -  ОСТРОВ  КАЙО  КОКО </t>
    </r>
    <r>
      <rPr>
        <i/>
        <sz val="12"/>
        <rFont val="Arial Cyr"/>
        <family val="2"/>
      </rPr>
      <t>(Атлантический океан - Северное побережье)</t>
    </r>
  </si>
  <si>
    <t>Melia Cayo Coco</t>
  </si>
  <si>
    <t>Отель только для взрослых cтарше 18 лет</t>
  </si>
  <si>
    <t>Sol  Cayo  Coco</t>
  </si>
  <si>
    <t>Tryp  Cayo  Coco</t>
  </si>
  <si>
    <t xml:space="preserve">Memories Flamenco </t>
  </si>
  <si>
    <t>Memories Caribe</t>
  </si>
  <si>
    <r>
      <t xml:space="preserve">CAYO GUILLERMO  -  ОСТРОВ  КАЙО  ГИЛЬЕРМО </t>
    </r>
    <r>
      <rPr>
        <i/>
        <sz val="12"/>
        <rFont val="Arial Cyr"/>
        <family val="2"/>
      </rPr>
      <t>(</t>
    </r>
    <r>
      <rPr>
        <b/>
        <i/>
        <sz val="12"/>
        <rFont val="Arial Cyr"/>
        <family val="0"/>
      </rPr>
      <t>А</t>
    </r>
    <r>
      <rPr>
        <b/>
        <i/>
        <sz val="12"/>
        <rFont val="Arial Cyr"/>
        <family val="2"/>
      </rPr>
      <t>тлантический океан - Северное Побережье)</t>
    </r>
  </si>
  <si>
    <t>Melia Cayo Guillermo</t>
  </si>
  <si>
    <t>Sol Cayo Guillermo</t>
  </si>
  <si>
    <t>Iberostar Daiquiri</t>
  </si>
  <si>
    <t>ALL INCLUSIVE</t>
  </si>
  <si>
    <t>Paradisus Rio de Oro</t>
  </si>
  <si>
    <t>Sol Rio de Luna y Mares</t>
  </si>
  <si>
    <t xml:space="preserve">SUITE DBL </t>
  </si>
  <si>
    <t>Brisas Guardalavaca</t>
  </si>
  <si>
    <t>DBL VILLA</t>
  </si>
  <si>
    <t xml:space="preserve">HB  </t>
  </si>
  <si>
    <t>Melia  Santiago  de  Cuba</t>
  </si>
  <si>
    <t>Brisas Sierra Mar</t>
  </si>
  <si>
    <t xml:space="preserve">DBL  TROPICAL  </t>
  </si>
  <si>
    <t xml:space="preserve">SGL  TROPICAL  </t>
  </si>
  <si>
    <t>LA HABANA   -  ГАВАНА</t>
  </si>
  <si>
    <t>Melia Cohiba</t>
  </si>
  <si>
    <t>Melia Habana</t>
  </si>
  <si>
    <t>Tryp  Habana  Libre</t>
  </si>
  <si>
    <t>Presidente</t>
  </si>
  <si>
    <t>Nacional</t>
  </si>
  <si>
    <t xml:space="preserve">Panorama    </t>
  </si>
  <si>
    <t>Comodoro</t>
  </si>
  <si>
    <t>St. John's - Vedado</t>
  </si>
  <si>
    <t>ОТЕЛИ В ИСТОРИЧЕСКОЙ ЧАСТИ ГАВАНЫ</t>
  </si>
  <si>
    <t>Saratoga</t>
  </si>
  <si>
    <t>DELUXE  PATIO  DBL</t>
  </si>
  <si>
    <t>DELUXE  PATIO  SGL</t>
  </si>
  <si>
    <t>SUITE  PRADO  DBL</t>
  </si>
  <si>
    <t>SUITE  PRADO  SGL</t>
  </si>
  <si>
    <t>SUITE  CAPITOLIO  DBL</t>
  </si>
  <si>
    <t>SUITE  CAPITOLIO  SGL</t>
  </si>
  <si>
    <t>SUITE  HABANA  DBL</t>
  </si>
  <si>
    <t>SUITE  HABANA  SGL</t>
  </si>
  <si>
    <t>Iberostar Parque Central</t>
  </si>
  <si>
    <t>Santa Isabel 5*</t>
  </si>
  <si>
    <t>Plaza</t>
  </si>
  <si>
    <t>Inglaterra</t>
  </si>
  <si>
    <t>Florida 4*</t>
  </si>
  <si>
    <t>Armadores de Santander 4*</t>
  </si>
  <si>
    <t>Ambos Mundos 4*</t>
  </si>
  <si>
    <t>Conde de Villanueva 4*</t>
  </si>
  <si>
    <t>Palacio San Miguel 4*</t>
  </si>
  <si>
    <t>Palacio Marques de Prado Ameno 4*</t>
  </si>
  <si>
    <t>Los Frailes 3*</t>
  </si>
  <si>
    <t>Beltran de Santa Cruz 3*</t>
  </si>
  <si>
    <t>Tejadillo 3*</t>
  </si>
  <si>
    <t>2*</t>
  </si>
  <si>
    <t>Villa Los Pinos</t>
  </si>
  <si>
    <t>Вилла с двумя спальнями (макс. 4 чел.)</t>
  </si>
  <si>
    <t>Вилла с тремя спальнями (макс. 6 чел.)</t>
  </si>
  <si>
    <t>Вилла с четырьмя спальнями (макс. 8 чел.)</t>
  </si>
  <si>
    <t>Atlantico</t>
  </si>
  <si>
    <r>
      <t>Внимание</t>
    </r>
    <r>
      <rPr>
        <b/>
        <i/>
        <sz val="12"/>
        <rFont val="Arial Cyr"/>
        <family val="2"/>
      </rPr>
      <t>: расчетный час в гостиницах Кубы - 12 часов.</t>
    </r>
  </si>
  <si>
    <t>СТОИМОСТЬ УКАЗАНА НА ОДНОГО ЧЕЛОВЕКА В НОМЕРЕ!!!</t>
  </si>
  <si>
    <t>Все  виды SUITE при одноместном проживании (SUITE SGL) расчитываются по запросу.</t>
  </si>
  <si>
    <t>ВО ВСЕХ ТАБЛИЦАХ ПРОЖИВАНИЕ EXTRA BED и CHD + 2 ВЗР  РАССЧИТАНО ТОЛЬКО ДЛЯ СТАНДАРТНЫХ НОМЕРОВ!</t>
  </si>
  <si>
    <t xml:space="preserve">Проживание 1-го ребенка с 1-им взрослым и  2 детей  в одном номере - по запросу. </t>
  </si>
  <si>
    <t>Melia Peninsula Varadero</t>
  </si>
  <si>
    <t>PRIVILEGE DELUXE DBL</t>
  </si>
  <si>
    <t>PRIVILEGE DELUXE SGL</t>
  </si>
  <si>
    <t>BUNGALOW DBL</t>
  </si>
  <si>
    <t>BUNGALOW SGL</t>
  </si>
  <si>
    <t>Royalton Cayo Santa Maria  5*</t>
  </si>
  <si>
    <t>ROYALTON SUITE  DBL</t>
  </si>
  <si>
    <t>JR SUITE SGL OCEAN VIEW</t>
  </si>
  <si>
    <t xml:space="preserve">Melia Marina Varadero </t>
  </si>
  <si>
    <t>DBL THE LEVEL</t>
  </si>
  <si>
    <t>SGL THE LEVEL</t>
  </si>
  <si>
    <t>1 BEDROOM APARTMENT</t>
  </si>
  <si>
    <t>2 BEDROOM APARTMENT</t>
  </si>
  <si>
    <t>Отель только для взрослых cтарше 18 лет !!!!    Размешение 3-го взрослого в номерах категории  Royal Service  не допускается</t>
  </si>
  <si>
    <t xml:space="preserve">Отель только для взрослых от 16 лет! </t>
  </si>
  <si>
    <t xml:space="preserve">Bungalow Barcelo Solymar </t>
  </si>
  <si>
    <t>DBL SUPERIOR</t>
  </si>
  <si>
    <t>SGL SUPERIOR</t>
  </si>
  <si>
    <t xml:space="preserve">В отеле размещение 3-го взрослого в номере не допускается!!! Максимально размещение 2 взрослых+1 ребёнок </t>
  </si>
  <si>
    <t>DBL OCEAN VIEW THE LEVEL</t>
  </si>
  <si>
    <t>DBL MARINA VIEW THE LEVEL</t>
  </si>
  <si>
    <t>SGL MARINA VIEW THE LEVEL</t>
  </si>
  <si>
    <t>3 BEDROOM APARTMENT</t>
  </si>
  <si>
    <t>Во всех категориях номеров максимально разрещение 2 взр+2 реб или 3 взр+1 реб, 1 взр+3 реб.</t>
  </si>
  <si>
    <t>Meliá Jardines del Rey</t>
  </si>
  <si>
    <t>JR SUITE OCEAN VIEW DBL</t>
  </si>
  <si>
    <t>Внимание! Отель только для взрослых c 18 лет!  В отеле размещение 3-го человека в номере не допускается</t>
  </si>
  <si>
    <t>JR  SUITE DBL</t>
  </si>
  <si>
    <t>JR  SUITE SGL</t>
  </si>
  <si>
    <t>ROYAL  SUITE DBL</t>
  </si>
  <si>
    <t>ROYAL  SUITE SGL</t>
  </si>
  <si>
    <t>PRESIDENTIAL  SUITE DBL</t>
  </si>
  <si>
    <t>PRESIDENTIAL  SUITE SGL</t>
  </si>
  <si>
    <t>DELUXE  DBL</t>
  </si>
  <si>
    <t>DELUXE  SGL</t>
  </si>
  <si>
    <t>CHD + 2 взр  (от 0 до 4 лет)</t>
  </si>
  <si>
    <t>CHD + 2 взр  (от 5 до 12 лет)</t>
  </si>
  <si>
    <t>SUITE DBL GARDEN VIEW</t>
  </si>
  <si>
    <t>SUITE SGL GARDEN VIEW</t>
  </si>
  <si>
    <t>APARTMENT STUDIO</t>
  </si>
  <si>
    <t>Максимальное размещение в Studio - 2взр+1 реб, 1 Bedroom Apartment - 3 взр+ 1 реб, 2 Bedroom Apartment - 5 взр + 1 реб, 3 Bedroom Apartment - 7 взр + 1 реб.</t>
  </si>
  <si>
    <t>Во всех категориях номеров максимально разрещение 2 взр+2 реб или 3 взр+1 реб</t>
  </si>
  <si>
    <t>Meson de la Flota 2*</t>
  </si>
  <si>
    <t>Hostal Valencia 2*</t>
  </si>
  <si>
    <t>Park View 3*</t>
  </si>
  <si>
    <t>Comendador 3*</t>
  </si>
  <si>
    <t>Terral 4* (на набережной Малекон)</t>
  </si>
  <si>
    <t>JR SUITE  DBL</t>
  </si>
  <si>
    <t>JR SUITE  SGL</t>
  </si>
  <si>
    <t>DBL BUNGALOW</t>
  </si>
  <si>
    <t>SGL BUNGALOW</t>
  </si>
  <si>
    <t xml:space="preserve">     Внимание! Отель только для взрослых от 18 лет!  </t>
  </si>
  <si>
    <r>
      <t xml:space="preserve">                                                         PLAYA SANTA MARIA   -  ПЛЯЖ САНТА МАРИЯ </t>
    </r>
    <r>
      <rPr>
        <b/>
        <i/>
        <sz val="10"/>
        <rFont val="Arial Cyr"/>
        <family val="0"/>
      </rPr>
      <t>самый близкий пляж от Гаваны (18 км)</t>
    </r>
  </si>
  <si>
    <t>Время заселения в гостиницы - 15 или 16 часов</t>
  </si>
  <si>
    <t>Extra BED</t>
  </si>
  <si>
    <t xml:space="preserve">SUITE SGL </t>
  </si>
  <si>
    <t xml:space="preserve">Royalton  Hicacos </t>
  </si>
  <si>
    <t>Starfish  Cuatro  Palmas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</si>
  <si>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63 $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32 $  </t>
    </r>
  </si>
  <si>
    <t>GRAND SUITE  DBL</t>
  </si>
  <si>
    <t>GRAND SUITE  SGL</t>
  </si>
  <si>
    <t>DBL 1 BEDROOM</t>
  </si>
  <si>
    <t>SGL 1 BEDROOM</t>
  </si>
  <si>
    <t>SGL  DELUXE</t>
  </si>
  <si>
    <t xml:space="preserve"> Внимание! Отель только для взрослых от 16 лет!   Размещение 3-го взрослого в номере не допускается</t>
  </si>
  <si>
    <t>JUNIOR SUITE  DBL  ROYAL SERVICE</t>
  </si>
  <si>
    <t>JUNIOR SUITE  SGL  ROYAL SERVICE</t>
  </si>
  <si>
    <t xml:space="preserve">Junior Suite Ocean View  DBL  Royal Service  </t>
  </si>
  <si>
    <t xml:space="preserve">Junior Suite Ocean View  SGL  Royal Service  </t>
  </si>
  <si>
    <t>DBL SUPERIOR OCEAN  VIEW</t>
  </si>
  <si>
    <t>SGL SUPERIOR OCEAN  VIEW</t>
  </si>
  <si>
    <t>Memories Miramar Habana</t>
  </si>
  <si>
    <t>PRIVILEGE  SUITE DBL</t>
  </si>
  <si>
    <t>PRIVILEGE  SUITE SGL</t>
  </si>
  <si>
    <t>DBL  Южное крыло</t>
  </si>
  <si>
    <t>SGL  Южное крыло</t>
  </si>
  <si>
    <t>EXTRA BED Южное крыло</t>
  </si>
  <si>
    <t>DBL  Северное крыло</t>
  </si>
  <si>
    <t>SGL Северное крыло</t>
  </si>
  <si>
    <t>EXTRA BED Северное крыло</t>
  </si>
  <si>
    <r>
      <t xml:space="preserve">CIENFUEGOS  -   СЬЕНФУЭГОС </t>
    </r>
    <r>
      <rPr>
        <i/>
        <sz val="12"/>
        <rFont val="Arial Cyr"/>
        <family val="2"/>
      </rPr>
      <t>(336 км от Гаваны, Карибское побережье)</t>
    </r>
  </si>
  <si>
    <t xml:space="preserve">В номере Park Suite возможно размещение 2 взр+2 реб или 3 взр //  SPA Suite и Duplex только для взрослых от 18 лет, максимально 3 взр. </t>
  </si>
  <si>
    <t>Memories Jibacoa</t>
  </si>
  <si>
    <t xml:space="preserve">Отель только для взрослых с 16 лет! В номере Suite разрешено размещение max 2 взр. </t>
  </si>
  <si>
    <t xml:space="preserve"> - Историческая часть Гаваны</t>
  </si>
  <si>
    <t>Варадеро</t>
  </si>
  <si>
    <t>Тринидад</t>
  </si>
  <si>
    <t>Сьенфуэгос</t>
  </si>
  <si>
    <t>Кайо Ларго</t>
  </si>
  <si>
    <t>Кайо Энсеначос</t>
  </si>
  <si>
    <t>Кайо Санта Мария</t>
  </si>
  <si>
    <t>Кайо Коко</t>
  </si>
  <si>
    <t>Кайо Гильермо</t>
  </si>
  <si>
    <t>Сантьяго-де-Куба</t>
  </si>
  <si>
    <t>Трансферы Гавана, Варадеро (цены на остальные трансферы указаны после каждого курорта)</t>
  </si>
  <si>
    <t>HOLGUIN    -  ОЛЬГИН</t>
  </si>
  <si>
    <t>Ольгин</t>
  </si>
  <si>
    <t>ОБЩИЕ УСЛОВИЯ!!! Читать обязательно.</t>
  </si>
  <si>
    <t xml:space="preserve">         Острова:</t>
  </si>
  <si>
    <t xml:space="preserve">                                               </t>
  </si>
  <si>
    <t xml:space="preserve">    Путеводитель по курортам: </t>
  </si>
  <si>
    <t xml:space="preserve"> - Восточные пляжи Гаваны</t>
  </si>
  <si>
    <t xml:space="preserve"> - Хибакоа</t>
  </si>
  <si>
    <t>Гавана (осн. часть)</t>
  </si>
  <si>
    <t>01.04.17 - 30.04.17</t>
  </si>
  <si>
    <t>DBL CLASSIC</t>
  </si>
  <si>
    <t>SGL CLASSIC</t>
  </si>
  <si>
    <t>DBL CLASSIC OCEAN  VIEW</t>
  </si>
  <si>
    <t>SGL CLASSIC OCEAN  VIEW</t>
  </si>
  <si>
    <t>Во всех категориях номеров максимально разрещение 2 взр+2 реб, 3 взр, 1 взр+3 реб</t>
  </si>
  <si>
    <t>01.11.16 - 21.12.16</t>
  </si>
  <si>
    <t>DBL CLASSIC OCEAN VIEW</t>
  </si>
  <si>
    <t>SGL CLASSIC OCEAN VIEW</t>
  </si>
  <si>
    <t xml:space="preserve">Paradisus Varadero </t>
  </si>
  <si>
    <t>JR SUITE DBL OCEAN VIEW ROYAL SERVICE</t>
  </si>
  <si>
    <t xml:space="preserve">DBL CLASSIC MARINA VIEW </t>
  </si>
  <si>
    <t>SGL CLASSIC MARINA VIEW</t>
  </si>
  <si>
    <t>БЕЗ ПИТАНИЯ! ЦЕНА ЗА НОМЕР!</t>
  </si>
  <si>
    <t>Размещение ребенка во всех  номерах  Apartment - 13 долларов в день</t>
  </si>
  <si>
    <t xml:space="preserve">JR SUITE DBL ROYAL SERVICE </t>
  </si>
  <si>
    <t xml:space="preserve">JR SUITE SGL ROYAL SERVICE </t>
  </si>
  <si>
    <t xml:space="preserve">JR SUITE DBL OCEAN VIEW ROYAL SERVICE </t>
  </si>
  <si>
    <t xml:space="preserve">   22.12.16 - 02.01.17</t>
  </si>
  <si>
    <t>03.01.17 - 31.03.17</t>
  </si>
  <si>
    <t>BUNGALOW DBL OCEAN VIEW</t>
  </si>
  <si>
    <t>BUNGALOW SGL OCEAN VIEW</t>
  </si>
  <si>
    <r>
      <t xml:space="preserve">Iberostar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</si>
  <si>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Во всех остальных категориях номеров разрешено размещение только одного ребёнка в номере с двумя взрослыми!</t>
  </si>
  <si>
    <t>Iberostar Bella Vista</t>
  </si>
  <si>
    <t>DBL ELITE</t>
  </si>
  <si>
    <t>SGL ELITE</t>
  </si>
  <si>
    <t xml:space="preserve">В номерах Стандарт и Стандарт Ocean View max 2 взр+1 реб, 3 взр; в номерах Jr Suite и Suite Elite max 3 взр; во всех остальных категориях max 2 взр!  </t>
  </si>
  <si>
    <t xml:space="preserve">В зоне Elite и в Jr Suite  размещение только для взрослых от 18 лет! </t>
  </si>
  <si>
    <t>Доплата за номер Standard Elite Ocean View - 32 долл с чел в номере в сутки, за номер Suite Elite - 38 долл с чел.</t>
  </si>
  <si>
    <t xml:space="preserve">EXTRA BED  </t>
  </si>
  <si>
    <t xml:space="preserve">Starfish Montehabana </t>
  </si>
  <si>
    <t>DBL Superior</t>
  </si>
  <si>
    <t>SGL Superior</t>
  </si>
  <si>
    <t>Starfish Las  Palmas 3*</t>
  </si>
  <si>
    <t xml:space="preserve">Starfish  Varadero  </t>
  </si>
  <si>
    <t>DBL без балкона</t>
  </si>
  <si>
    <t>SGL без балкона</t>
  </si>
  <si>
    <t>EXTRA  BED без балкона</t>
  </si>
  <si>
    <t>DBL с балконом</t>
  </si>
  <si>
    <t>SGL с балконом</t>
  </si>
  <si>
    <t>EXTRA  BED с балконом</t>
  </si>
  <si>
    <t xml:space="preserve">EXTRA BED STANDARD  </t>
  </si>
  <si>
    <t>CHD + 2 взр (до 12)</t>
  </si>
  <si>
    <t>Доплата за номер Ocean View - 13 долл за номер в сутки</t>
  </si>
  <si>
    <r>
      <t xml:space="preserve">Стоимость дана за виллу в день без питания. </t>
    </r>
    <r>
      <rPr>
        <b/>
        <i/>
        <sz val="11"/>
        <color indexed="10"/>
        <rFont val="Arial Cyr"/>
        <family val="0"/>
      </rPr>
      <t>Доплата за завтрак - 8 $ на человека, завтрак+ужин - 18 $ на человека.</t>
    </r>
  </si>
  <si>
    <t>ПРИ РАННЕМ БРОНИРОВАНИИ ОТЕЛЯ С 01.10.16 ДО 30.11.16 НА ПЕРИОД С 03.01.17 ПО 30.04.17 СКИДКА 15 % СО ВЗРОСЛОГО В DBL (оплата должна быть произведена до 15.12.16)</t>
  </si>
  <si>
    <t xml:space="preserve">JR SUITE DBL SUPERIOR </t>
  </si>
  <si>
    <t xml:space="preserve">JR SUITE DBL OCEAN VIEW </t>
  </si>
  <si>
    <t xml:space="preserve">JR SUITE SGL OCEAN VIEW </t>
  </si>
  <si>
    <t xml:space="preserve">Внимание! Отель только для взрослых c 16 лет! </t>
  </si>
  <si>
    <t>DELUXE GARDEN VIEW SGL</t>
  </si>
  <si>
    <r>
      <t xml:space="preserve">Трансфер групповой отель на Кайо Санта Мария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</si>
  <si>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t>JR SUITE  SARATOGA DBL</t>
  </si>
  <si>
    <t>JR SUITE  SARATOGA SGL</t>
  </si>
  <si>
    <r>
      <t xml:space="preserve">Трансфер групповой отель на Кайо Энсеначос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</si>
  <si>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t>Habana 612  3*</t>
  </si>
  <si>
    <t xml:space="preserve">Las Cuevas </t>
  </si>
  <si>
    <t>SANTIAGO DE CUBA -   САНТЬЯГО-ДЕ-КУБА</t>
  </si>
  <si>
    <t>ДАТА ОТКРЫТИЯ ПОКА НЕ ОПРЕДЕЛЕНА</t>
  </si>
  <si>
    <t>НО НЕ РАНЬШЕ ЯНВАРЯ 2017</t>
  </si>
  <si>
    <t>Be Live Experience Turquesa</t>
  </si>
  <si>
    <t>Be Live Experience Varadero</t>
  </si>
  <si>
    <t>Pelicano</t>
  </si>
  <si>
    <t>Villa Iguana</t>
  </si>
  <si>
    <t xml:space="preserve">Comodoro  Bungalow Alborada </t>
  </si>
  <si>
    <t xml:space="preserve">   </t>
  </si>
  <si>
    <t>Внимание! Отель только для взрослых от 18 лет!         Размещение 3-го взрослого в номере не допускается</t>
  </si>
  <si>
    <t xml:space="preserve">В номере Bungalow Suite max 2 взр, в номерах Jr Suite, Suite и Bungalow 1 Bedroom разрешается max: 1 взр+3 реб, 2 взр+2 реб, 3 взр+1 реб (во всех номерах дополнительно ставится только одна допкровать). </t>
  </si>
  <si>
    <t>Superior  Concierge Service SGL (Дом космонавтов)</t>
  </si>
  <si>
    <t>Superior  Concierge Service DBL (Дом космонавтов)</t>
  </si>
  <si>
    <t xml:space="preserve">*Скидка раннего бронирования </t>
  </si>
  <si>
    <t xml:space="preserve">JR SUITE DBL </t>
  </si>
  <si>
    <t xml:space="preserve">SUITE DBL ROYAL SERVICE </t>
  </si>
  <si>
    <t>ROYAL SUITE DBL THE LEVEL</t>
  </si>
  <si>
    <t>GRAND SUITE DBL OCEAN VIEW THE LEVEL</t>
  </si>
  <si>
    <t xml:space="preserve">LUXURY JR SUITE DBL OCEAN VIEW </t>
  </si>
  <si>
    <t>LUXURY JR SUITE SGL OCEAN VIEW</t>
  </si>
  <si>
    <t xml:space="preserve">SGL THE LEVEL   </t>
  </si>
  <si>
    <r>
      <t xml:space="preserve">Отель только для взрослых от 16 лет! </t>
    </r>
    <r>
      <rPr>
        <i/>
        <sz val="11"/>
        <rFont val="Arial Cyr"/>
        <family val="0"/>
      </rPr>
      <t>Размещение 3-го взрослого в номере не допускается</t>
    </r>
  </si>
  <si>
    <t>Максимальное размещение: в номере Deluxe 2 взр + 2 реб, 3 взр+ 1 реб; в Suite 2 взр+1 реб, 3 взр</t>
  </si>
  <si>
    <t>SUITE DBL POOL VIEW</t>
  </si>
  <si>
    <t>SUITE SGL POOL VIEW</t>
  </si>
  <si>
    <t>DBL cabaña (домик)</t>
  </si>
  <si>
    <t>SGL cabaña (домик)</t>
  </si>
  <si>
    <t>Comodoro  Bungalow Pleamar</t>
  </si>
  <si>
    <t>1 Bedroom DBL</t>
  </si>
  <si>
    <t>1 Bedroom SGL</t>
  </si>
  <si>
    <t>Villa Tropico</t>
  </si>
  <si>
    <t>Raquel 4 *</t>
  </si>
  <si>
    <t>SUITE SWIM OUT SGL</t>
  </si>
  <si>
    <t>Gran Hotel Manzana Kempinski</t>
  </si>
  <si>
    <t>PATIO  DBL</t>
  </si>
  <si>
    <t>PATIO  SGL</t>
  </si>
  <si>
    <t>GRAND DELUXE DBL</t>
  </si>
  <si>
    <t>GRAND DELUXE SGL</t>
  </si>
  <si>
    <t>HAMINGUEY JR SUITE DBL</t>
  </si>
  <si>
    <t>HAMINGUEY JR SUITE SGL</t>
  </si>
  <si>
    <t xml:space="preserve">JR SUITE DBL CONSTANTE </t>
  </si>
  <si>
    <t>SUITE MEZZANINE DBL</t>
  </si>
  <si>
    <t>SUITE MEZZANINE SGL</t>
  </si>
  <si>
    <t>SUITE ESQUINA DBL</t>
  </si>
  <si>
    <t>SUITE ESQUINA SGL</t>
  </si>
  <si>
    <t>CHD + 2 взр (от 0 до 5 лет)</t>
  </si>
  <si>
    <t>Максимальное размещение: Patio и Deluxe - 2 взр, остальные категории номеров - 2 взр+1 реб или 3 взр</t>
  </si>
  <si>
    <t>Минимальное количество проживания в высокий сезон - 2 ночи. ЕР - без питания!</t>
  </si>
  <si>
    <t>Sercotel Experience Cayo Santa Maria</t>
  </si>
  <si>
    <t>SUPERIOR DBL</t>
  </si>
  <si>
    <t>SUPERIOR SGL</t>
  </si>
  <si>
    <t>SUPERIOR OCEAN VIEW DBL</t>
  </si>
  <si>
    <t>SUPERIOR OCEAN VIEW SGL</t>
  </si>
  <si>
    <t>ПРИ РАННЕМ БРОНИРОВАНИИ ОТЕЛЯ ДО 31.10 СКИДКА 10% (оплата должна быть произведена до 25.12)</t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</si>
  <si>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33 </t>
    </r>
    <r>
      <rPr>
        <i/>
        <sz val="11"/>
        <rFont val="Arial Cyr"/>
        <family val="0"/>
      </rPr>
      <t xml:space="preserve">доллара  за взрослого и </t>
    </r>
    <r>
      <rPr>
        <i/>
        <sz val="11"/>
        <color indexed="10"/>
        <rFont val="Arial Cyr"/>
        <family val="0"/>
      </rPr>
      <t>16</t>
    </r>
    <r>
      <rPr>
        <i/>
        <sz val="11"/>
        <rFont val="Arial Cyr"/>
        <family val="0"/>
      </rPr>
      <t xml:space="preserve"> долларов за ребенка</t>
    </r>
  </si>
  <si>
    <t>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</t>
  </si>
  <si>
    <t xml:space="preserve">Cubanacan                          </t>
  </si>
  <si>
    <t xml:space="preserve">Gran Caribe                            </t>
  </si>
  <si>
    <t xml:space="preserve">Gran Caribe                          </t>
  </si>
  <si>
    <t xml:space="preserve">Habaguanex                        </t>
  </si>
  <si>
    <t xml:space="preserve">Gran Caribe                        </t>
  </si>
  <si>
    <t xml:space="preserve">Gran Caribe                    </t>
  </si>
  <si>
    <t xml:space="preserve">Habaguanex                    </t>
  </si>
  <si>
    <t xml:space="preserve">Iberostar                   </t>
  </si>
  <si>
    <t xml:space="preserve">Islazul                                 </t>
  </si>
  <si>
    <t xml:space="preserve">Gran Caribe                       </t>
  </si>
  <si>
    <t xml:space="preserve">Cubanacan                      </t>
  </si>
  <si>
    <t xml:space="preserve">Cubanacan                        </t>
  </si>
  <si>
    <t xml:space="preserve">BlueDiamond                     </t>
  </si>
  <si>
    <t xml:space="preserve">BlueDiamond                       </t>
  </si>
  <si>
    <t xml:space="preserve">Iberostar                              </t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</si>
  <si>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</si>
  <si>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</si>
  <si>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</si>
  <si>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</t>
    </r>
  </si>
  <si>
    <r>
      <rPr>
        <i/>
        <sz val="11"/>
        <rFont val="Arial Cyr"/>
        <family val="0"/>
      </rPr>
      <t xml:space="preserve">Islazul  </t>
    </r>
    <r>
      <rPr>
        <i/>
        <sz val="11"/>
        <color indexed="12"/>
        <rFont val="Arial Cyr"/>
        <family val="0"/>
      </rPr>
      <t xml:space="preserve">       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</si>
  <si>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</t>
    </r>
  </si>
  <si>
    <t xml:space="preserve">Iberostar                                 </t>
  </si>
  <si>
    <t xml:space="preserve">Iberostar                               </t>
  </si>
  <si>
    <t xml:space="preserve">ACCOR                           </t>
  </si>
  <si>
    <t xml:space="preserve">Pestana                            </t>
  </si>
  <si>
    <t xml:space="preserve">BlueDiamond           </t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</si>
  <si>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</si>
  <si>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</t>
    </r>
  </si>
  <si>
    <t xml:space="preserve">Sercotel                                      </t>
  </si>
  <si>
    <t xml:space="preserve">BlueDiamond                          </t>
  </si>
  <si>
    <t xml:space="preserve">BlueDiamond                        </t>
  </si>
  <si>
    <r>
      <t xml:space="preserve">Gaviota 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</t>
    </r>
  </si>
  <si>
    <t xml:space="preserve">Gran Caribe                         </t>
  </si>
  <si>
    <r>
      <t>Gran  Caribe</t>
    </r>
    <r>
      <rPr>
        <i/>
        <sz val="11"/>
        <color indexed="48"/>
        <rFont val="Arial Cyr"/>
        <family val="0"/>
      </rPr>
      <t xml:space="preserve">                      </t>
    </r>
  </si>
  <si>
    <r>
      <t>Gran  Caribe</t>
    </r>
    <r>
      <rPr>
        <i/>
        <sz val="11"/>
        <color indexed="48"/>
        <rFont val="Arial Cyr"/>
        <family val="0"/>
      </rPr>
      <t xml:space="preserve">                         </t>
    </r>
  </si>
  <si>
    <t xml:space="preserve">Iberostar                                  </t>
  </si>
  <si>
    <t xml:space="preserve">Islazul                 </t>
  </si>
  <si>
    <t xml:space="preserve">Islazul                                     </t>
  </si>
  <si>
    <t xml:space="preserve">Islazul                                      </t>
  </si>
  <si>
    <t xml:space="preserve">Gran Caribe                   </t>
  </si>
  <si>
    <t xml:space="preserve">Gran Caribe                      </t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</si>
  <si>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  </t>
    </r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</si>
  <si>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</t>
    </r>
  </si>
  <si>
    <t xml:space="preserve">BlueDiamond                         </t>
  </si>
  <si>
    <t xml:space="preserve">Iberostar                                </t>
  </si>
  <si>
    <t xml:space="preserve">Gran Caribe                           </t>
  </si>
  <si>
    <r>
      <t xml:space="preserve">Трансферы отель в Тринидаде - отель на Варадеро (OW) - такси (1-2 чел) </t>
    </r>
    <r>
      <rPr>
        <b/>
        <i/>
        <sz val="11"/>
        <color indexed="10"/>
        <rFont val="Arial Cyr"/>
        <family val="0"/>
      </rPr>
      <t>218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371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411 долл </t>
    </r>
  </si>
  <si>
    <r>
      <t xml:space="preserve">Трансферы отель в Тринидаде - отель в Сьенфуэгосe (OW) - такси (1-2 чел) </t>
    </r>
    <r>
      <rPr>
        <b/>
        <i/>
        <sz val="11"/>
        <color indexed="10"/>
        <rFont val="Arial Cyr"/>
        <family val="0"/>
      </rPr>
      <t>75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135 долл </t>
    </r>
  </si>
  <si>
    <r>
      <t xml:space="preserve">Трансферы отель в Тринидаде - аэропорт в Гаване (OW) - такси (1-2 чел) </t>
    </r>
    <r>
      <rPr>
        <b/>
        <i/>
        <sz val="11"/>
        <color indexed="10"/>
        <rFont val="Arial Cyr"/>
        <family val="0"/>
      </rPr>
      <t>270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441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490 долл </t>
    </r>
  </si>
  <si>
    <r>
      <t xml:space="preserve">Трансферы отель в Тринидаде - отель на острове Кайо Коко (OW) такси (1-2 чел) </t>
    </r>
    <r>
      <rPr>
        <b/>
        <i/>
        <sz val="11"/>
        <color indexed="10"/>
        <rFont val="Arial Cyr"/>
        <family val="0"/>
      </rPr>
      <t>192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317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351 долл </t>
    </r>
  </si>
  <si>
    <r>
      <t xml:space="preserve">Трансферы отель в Сьенфуэгосe - отель в Тринидаде (OW) - такси (1-2 чел) </t>
    </r>
    <r>
      <rPr>
        <b/>
        <i/>
        <sz val="11"/>
        <color indexed="10"/>
        <rFont val="Arial Cyr"/>
        <family val="0"/>
      </rPr>
      <t>72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135 долл</t>
    </r>
  </si>
  <si>
    <r>
      <t xml:space="preserve">Трансферы отель в Сьенфуэгосe - отель на Варадеро (OW)  - такси (1-2 чел) </t>
    </r>
    <r>
      <rPr>
        <b/>
        <i/>
        <sz val="11"/>
        <color indexed="10"/>
        <rFont val="Arial Cyr"/>
        <family val="0"/>
      </rPr>
      <t>143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255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 </t>
    </r>
  </si>
  <si>
    <r>
      <t xml:space="preserve">Трансфер аэропорт или отель в Гаване - отель на Кайо Энсеначос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</si>
  <si>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Энсеначос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</si>
  <si>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t>VILLA DBL</t>
  </si>
  <si>
    <t>VILLA SGL</t>
  </si>
  <si>
    <r>
      <t xml:space="preserve">Трансфер аэропорт Гаваны - отели Гаваны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</si>
  <si>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Варадеро - отели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</si>
  <si>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- 206 долл</t>
    </r>
    <r>
      <rPr>
        <i/>
        <sz val="11"/>
        <rFont val="Arial Cyr"/>
        <family val="2"/>
      </rPr>
      <t xml:space="preserve"> (1-3 чел.) </t>
    </r>
  </si>
  <si>
    <r>
      <t xml:space="preserve">Трансферы премиум класса минивэн - VW Transporter T5 </t>
    </r>
    <r>
      <rPr>
        <sz val="12"/>
        <rFont val="Arial Cyr"/>
        <family val="0"/>
      </rPr>
      <t>или</t>
    </r>
    <r>
      <rPr>
        <b/>
        <sz val="12"/>
        <color indexed="12"/>
        <rFont val="Arial Cyr"/>
        <family val="0"/>
      </rPr>
      <t xml:space="preserve"> Hyundai H1TQ</t>
    </r>
    <r>
      <rPr>
        <b/>
        <sz val="12"/>
        <color indexed="12"/>
        <rFont val="Arial Cyr"/>
        <family val="0"/>
      </rPr>
      <t>:</t>
    </r>
  </si>
  <si>
    <r>
      <t xml:space="preserve">Трансферы премиум класса минивэн - </t>
    </r>
    <r>
      <rPr>
        <b/>
        <sz val="12"/>
        <color indexed="12"/>
        <rFont val="Arial Cyr"/>
        <family val="0"/>
      </rPr>
      <t>Hyundai H1 Starex: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</si>
  <si>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- 140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</si>
  <si>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- 125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</si>
  <si>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- 260 долл </t>
    </r>
    <r>
      <rPr>
        <i/>
        <sz val="11"/>
        <rFont val="Arial Cyr"/>
        <family val="2"/>
      </rPr>
      <t xml:space="preserve">(3-5 чел.) 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</si>
  <si>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</si>
  <si>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</si>
  <si>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- 300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</si>
  <si>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- 465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</si>
  <si>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</si>
  <si>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- 520 долл </t>
    </r>
    <r>
      <rPr>
        <i/>
        <sz val="11"/>
        <rFont val="Arial Cyr"/>
        <family val="2"/>
      </rPr>
      <t xml:space="preserve">(3-5 чел.) </t>
    </r>
  </si>
  <si>
    <t xml:space="preserve">Memories Paraiso </t>
  </si>
  <si>
    <t>01.11.18 - 21.12.18</t>
  </si>
  <si>
    <t>22.12.18 - 02.01.19</t>
  </si>
  <si>
    <t>03.01.19 - 31.03.19</t>
  </si>
  <si>
    <t>01.04.19 - 30.04.19</t>
  </si>
  <si>
    <t>03.01.19 - 31.01.19</t>
  </si>
  <si>
    <t>Iberostar Habana Riviera</t>
  </si>
  <si>
    <t>Iberostar Gran Hotel Packard</t>
  </si>
  <si>
    <t>DBL SUPERIOR OCEAN VIEW</t>
  </si>
  <si>
    <t>DBL STAR PRESTIGE</t>
  </si>
  <si>
    <t>SGL STAR PRESTIGE</t>
  </si>
  <si>
    <t>DBL STAR PRESTIGE OCEAN  VIEW</t>
  </si>
  <si>
    <t>SGL STAR PRESTIGE OCEAN  VIEW</t>
  </si>
  <si>
    <t>SUITE DBL STAR PRESTIGE</t>
  </si>
  <si>
    <t>SUITE SGL STAR PRESTIGE</t>
  </si>
  <si>
    <t>01.02.19 - 31.03.19</t>
  </si>
  <si>
    <t>Категории номеров Premium, Premium Ocean View, The Level , The Level Ocean View под запрос</t>
  </si>
  <si>
    <t xml:space="preserve">DBL THE LEVEL   </t>
  </si>
  <si>
    <t xml:space="preserve">GRAND SUITE SGL THE LEVEL  </t>
  </si>
  <si>
    <t xml:space="preserve">GRAND SUITE DBL THE LEVEL  </t>
  </si>
  <si>
    <t>Palacio O`Farril 4*</t>
  </si>
  <si>
    <t>JR SUITE DBL (в Beltran de Santa Cruz и Los Frailes)</t>
  </si>
  <si>
    <t>JR SUITE SGL (в Beltran de Santa Cruz и Los Frailes)</t>
  </si>
  <si>
    <t>SUITE DBL (в Armadores de Santander и Conde de Villanueva)</t>
  </si>
  <si>
    <t>SUITE SGL (в Armadores de Santander и Conde de Villanueva)</t>
  </si>
  <si>
    <t>JR SUITE DBL SUPERIOR</t>
  </si>
  <si>
    <t>JR SUITE SGL SUPERIOR</t>
  </si>
  <si>
    <t>Duplex Suite DBL</t>
  </si>
  <si>
    <t>Duplex Suite SGL</t>
  </si>
  <si>
    <t>GARDEN SUITE DBL THE LEVEL</t>
  </si>
  <si>
    <t>GARDEN SUITE SGL THE LEVEL</t>
  </si>
  <si>
    <t>GARDEN GRAND SUITE DBL THE LEVEL</t>
  </si>
  <si>
    <t>GARDEN GRAND SUITE SGL THE LEVEL</t>
  </si>
  <si>
    <t>ПРИ БРОНИРОВАНИИ ОТЕЛЯ МИНИМУМ ЗА 30 ДНЕЙ ДО ЗАЕЗДА СКИДКА (указана в таблице) *cкидка раннего бронирования не даётся с доплаты за Sgl и с SPO!</t>
  </si>
  <si>
    <t>ПРИ БРОНИРОВАНИИ ОТЕЛЯ МИНИМУМ ЗА 30 ДНЕЙ ДО ЗАЕЗДА СКИДКА (указана в таблице)  *cкидка раннего бронирования не даётся с доплаты за Sgl!</t>
  </si>
  <si>
    <t>*Скидка раннего бронирования</t>
  </si>
  <si>
    <t>ПРИ БРОНИРОВАНИИ ОТЕЛЯ МИНИМУМ ЗА 30 ДНЕЙ ДО ЗАЕЗДА СКИДКА (указана в таблице) *cкидка раннего бронирования не даётся с доплаты за Sgl!</t>
  </si>
  <si>
    <t>ПРИ БРОНИРОВАНИИ ОТЕЛЯ МИНИМУМ ЗА 30 ДНЕЙ ДО ЗАЕЗДА СКИДКА (указана в таблице)     *cкидка раннего бронирования не даётся с доплаты за Sgl!</t>
  </si>
  <si>
    <t xml:space="preserve">Номера Royal Service только для взрослых от 18 лет, max 2 взр! В остальных номерах допустимо размещение 3 взр, 2 взр + 2 реб. </t>
  </si>
  <si>
    <t>JR SUITE DBL GARDEN SWIM-UP ROYAL SERVICE</t>
  </si>
  <si>
    <t xml:space="preserve">Melia Internacional            </t>
  </si>
  <si>
    <t>DBL THE LEVEL OCEAN VIEW</t>
  </si>
  <si>
    <t>DBL THE LEVEL PREMIUM OCEAN VIEW</t>
  </si>
  <si>
    <t>JR SUITE DBL THE LEVEL OCEAN VIEW</t>
  </si>
  <si>
    <t>GRAND SUITE DBL THE LEVEL OCEAN VIEW</t>
  </si>
  <si>
    <t>В номере Standard и Superior Ocean View мах 3 взр или 2 взр+1 реб, в номере Jr Suite - 3 взр или 2 взр+2 реб</t>
  </si>
  <si>
    <t>ПРИ БРОНИРОВАНИИ ОТЕЛЯ МИНИМУМ ЗА 30 ДНЕЙ ДО ЗАЕЗДА СКИДКА (указана в таблице) (ИСКЛЮЧАЯ номер Jr Suite)    *cкидка раннего бронирования не даётся с доплаты за Sgl!</t>
  </si>
  <si>
    <t>(ex Iberostar Playa Blanca)</t>
  </si>
  <si>
    <t>Bella Isla Resort</t>
  </si>
  <si>
    <r>
      <t xml:space="preserve">Gran Caribe          </t>
    </r>
    <r>
      <rPr>
        <i/>
        <sz val="11"/>
        <color indexed="48"/>
        <rFont val="Arial Cyr"/>
        <family val="0"/>
      </rPr>
      <t xml:space="preserve">                  </t>
    </r>
  </si>
  <si>
    <t xml:space="preserve">Максимальное размещение: 2 взр + 1 реб или 3 взр во всех номерах, кроме Suite. В Suite возможно размещение 2 взр+2 реб. </t>
  </si>
  <si>
    <t xml:space="preserve">Villa Bellarena </t>
  </si>
  <si>
    <t xml:space="preserve">45 просторных деревянных домиков, в 300 метрах от основной зоны Bella Isla Resort, гости этой зоны также могут пользоваться инфраструктурой основной части отеля </t>
  </si>
  <si>
    <t xml:space="preserve">GRAND SUITE DBL </t>
  </si>
  <si>
    <t xml:space="preserve">GRAND SUITE SGL </t>
  </si>
  <si>
    <t>ПРИ БРОНИРОВАНИИ ОТЕЛЯ МИНИМУМ ЗА 30 ДНЕЙ ДО ЗАЕЗДА СКИДКА (указана в таблице)    *cкидка раннего бронирования не даётся с доплаты за Sgl!</t>
  </si>
  <si>
    <t>ПРИ БРОНИРОВАНИИ ОТЕЛЯ МИНИМУМ ЗА 30 ДНЕЙ ДО ЗАЕЗДА СКИДКА (указана в таблице) (для номера Classic!)   *cкидка раннего бронирования не даётся с доплаты за Sgl!</t>
  </si>
  <si>
    <t>JR SUITE DBL THE LEVEL*</t>
  </si>
  <si>
    <t>JR SUITE DBL OCEAN VIEW THE LEVEL*</t>
  </si>
  <si>
    <t>JR SUITE DBL ROMANCE OCEAN VIEW THE LEVEL*</t>
  </si>
  <si>
    <t>ПРИ БРОНИРОВАНИИ ОТЕЛЯ МИНИМУМ ЗА 30 ДНЕЙ ДО ЗАЕЗДА СКИДКА (указана в таблице) (для номеров, помеченных *)   *cкидка раннего бронирования не даётся с доплаты за Sgl!</t>
  </si>
  <si>
    <t xml:space="preserve">DBL OCEAN  VIEW </t>
  </si>
  <si>
    <t xml:space="preserve">SGL OCEAN  VIEW </t>
  </si>
  <si>
    <t xml:space="preserve">DBL SUPERIOR  OCEAN  VIEW </t>
  </si>
  <si>
    <t xml:space="preserve">SGL SUPERIOR  OCEAN  VIEW </t>
  </si>
  <si>
    <t>Villa Palacio Azul Dbl</t>
  </si>
  <si>
    <t>Villa Casa Verde Dbl</t>
  </si>
  <si>
    <t>Villa Perla del Mar Dbl</t>
  </si>
  <si>
    <t>Villa Perla del Mar Jr Suite Dbl Sea View</t>
  </si>
  <si>
    <t>ПРИ БРОНИРОВАНИИ ОТЕЛЯ МИНИМУМ ЗА 30 ДНЕЙ ДО ЗАЕЗДА СКИДКА (указана в таблице) (только для номера STD)    *cкидка раннего бронирования не даётся с доплаты за Sgl!</t>
  </si>
  <si>
    <t>В номере Standard max 2 взр или 2 взр+1 реб, в Villa Palazio Azul и Perla del Mar max 3 взр или 2 взр+1 реб, в Villa Casa Verde и Villa Perla del Mar Jr Suite Sea View max 2 взр</t>
  </si>
  <si>
    <t>ПРИ БРОНИРОВАНИИ ОТЕЛЯ МИНИМУМ ЗА 30 ДНЕЙ ДО ЗАЕЗДА СКИДКА (указана в таблице) (только для номера Classic)    *cкидка раннего бронирования не даётся с доплаты за Sgl!</t>
  </si>
  <si>
    <t>Melia San Carlos</t>
  </si>
  <si>
    <t>DBL CLASSIC CITY VIEW</t>
  </si>
  <si>
    <t>ПРИ БРОНИРОВАНИИ ОТЕЛЯ МИНИМУМ ЗА 30 ДНЕЙ ДО ЗАЕЗДА СКИДКА (указана в таблице)   *cкидка раннего бронирования не даётся с доплаты за Sgl!</t>
  </si>
  <si>
    <t>В номере Classic и Classic City View max 2 взр или 2 взр+1 инфант</t>
  </si>
  <si>
    <t xml:space="preserve">   01.11.18 - 21.12.18</t>
  </si>
  <si>
    <t>Occidental Arenas Blancas</t>
  </si>
  <si>
    <t xml:space="preserve">  03.01.19 - 31.01.19</t>
  </si>
  <si>
    <t>Allegro Palma Real</t>
  </si>
  <si>
    <t>вторая линия пляжа</t>
  </si>
  <si>
    <t>JR  SUITE SANCTUARY  DBL*</t>
  </si>
  <si>
    <t>JR SUITE SANCTUARY  SGL*</t>
  </si>
  <si>
    <t>SUITE SANCTUARY DBL*</t>
  </si>
  <si>
    <t>SUITE SANCTUARY SGL*</t>
  </si>
  <si>
    <t xml:space="preserve">Максимальное размещение: в номере STD и Superior 2 взр + 2 реб, 3 взр+ 1 реб; *зона Sanctuary только для взрослых!  - max 2 взр </t>
  </si>
  <si>
    <t>Grand Muthu Cayo Guillermo</t>
  </si>
  <si>
    <t>Muthu</t>
  </si>
  <si>
    <t>Доплата за вид на море 20 $  с чел в сутки</t>
  </si>
  <si>
    <t xml:space="preserve">  22.12.18 - 02.01.19 </t>
  </si>
  <si>
    <t xml:space="preserve">  01.02.19 - 31.03.19</t>
  </si>
  <si>
    <t xml:space="preserve"> 01.04.19 - 30.04.19</t>
  </si>
  <si>
    <t xml:space="preserve">Доплата за номер с видом на море 13 долл за человека в сутки </t>
  </si>
  <si>
    <t>CHD + 2 взр (до 13 лет)  (без допкровати)</t>
  </si>
  <si>
    <t>CHD + 2 взр (до 13 лет) (с допкроватью)</t>
  </si>
  <si>
    <t>Pullman - Dos Mares 2*</t>
  </si>
  <si>
    <t>CHD + 2 взр (от 2 до 12 лет) без балкона</t>
  </si>
  <si>
    <t>CHD + 2 взр (от 2 до 12 лет) с балконом</t>
  </si>
  <si>
    <t>Neptuno - Triton</t>
  </si>
  <si>
    <t>PATIO SUITE DBL</t>
  </si>
  <si>
    <t>Playa Cayo Santa Maria</t>
  </si>
  <si>
    <t>Sol Cayo Santa Maria</t>
  </si>
  <si>
    <t>Melia Las Dunas</t>
  </si>
  <si>
    <t>Melia Cayo Santa Maria</t>
  </si>
  <si>
    <t>Melia Buenavista</t>
  </si>
  <si>
    <t xml:space="preserve">Elite Club Vacanze                    </t>
  </si>
  <si>
    <t xml:space="preserve">CHD + 2 взр (до 12 лет)   </t>
  </si>
  <si>
    <t xml:space="preserve">Grand Memories Santa Maria </t>
  </si>
  <si>
    <t>JR SUITE DBL SUPERIOR (OCEAN  VIEW)</t>
  </si>
  <si>
    <t xml:space="preserve">Максимальное размещение: в номере Jr Suite STD и Superior 2 взр + 2 реб, 3 взр; в Suite 3 взр; *зона Sanctuary только для взрослых от 18 лет!  - max 2 взр </t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</si>
  <si>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52 </t>
    </r>
    <r>
      <rPr>
        <i/>
        <sz val="11"/>
        <rFont val="Arial Cyr"/>
        <family val="0"/>
      </rPr>
      <t xml:space="preserve">долл c чел, дети до 12 лет </t>
    </r>
    <r>
      <rPr>
        <i/>
        <sz val="11"/>
        <color indexed="10"/>
        <rFont val="Arial Cyr"/>
        <family val="0"/>
      </rPr>
      <t>26</t>
    </r>
    <r>
      <rPr>
        <i/>
        <sz val="11"/>
        <rFont val="Arial Cyr"/>
        <family val="0"/>
      </rPr>
      <t xml:space="preserve"> долл</t>
    </r>
  </si>
  <si>
    <t>SUPERIOR CLUB SGL</t>
  </si>
  <si>
    <t>OCEAN VIEW CLUB DBL</t>
  </si>
  <si>
    <t>OCEAN VIEW CLUB SGL</t>
  </si>
  <si>
    <t>SUPERIOR CLUB DBL  (зона Club только для взрослых от 18 лет!)</t>
  </si>
  <si>
    <t xml:space="preserve">Доплата за Jr Suite 39 долл с чел, за Suite 65 долл с чел,  за Jr Suite Club 48 долл с чел, за Suite Club 74 долл с чел </t>
  </si>
  <si>
    <t>Максимальное размещение: в номере Jr Suite 2 взр + 2 реб, 3 взр; в Suite 2 взр+1 реб, 3 взр</t>
  </si>
  <si>
    <r>
      <t xml:space="preserve">Доплата за Pestana Prioruty Club 13 долл cо взр. в номере.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</t>
    </r>
    <r>
      <rPr>
        <b/>
        <i/>
        <sz val="11"/>
        <color indexed="10"/>
        <rFont val="Arial Cyr"/>
        <family val="0"/>
      </rPr>
      <t>33 $</t>
    </r>
    <r>
      <rPr>
        <i/>
        <sz val="11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16 $</t>
    </r>
  </si>
  <si>
    <r>
      <t xml:space="preserve">Перелет Ольгин-Кайо Коко и трансферы групповые от отеля до отеля на Кайо Коко или Кайо Гильермо OW - </t>
    </r>
    <r>
      <rPr>
        <b/>
        <i/>
        <sz val="11"/>
        <color indexed="10"/>
        <rFont val="Arial Cyr"/>
        <family val="0"/>
      </rPr>
      <t xml:space="preserve">40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</t>
    </r>
  </si>
  <si>
    <r>
      <t xml:space="preserve">Перелет Гавана-Ольгин (чартер)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140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   </t>
    </r>
  </si>
  <si>
    <r>
      <t xml:space="preserve">Cubanacan Viajes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</t>
    </r>
  </si>
  <si>
    <t>22.12.18 - 26.12.18</t>
  </si>
  <si>
    <t>27.12.18 - 02.01.19</t>
  </si>
  <si>
    <t>01.02.19 - 15.04.19</t>
  </si>
  <si>
    <t>DELUXE DBL PARTIAL OCEAN VIEW</t>
  </si>
  <si>
    <t>DELUXE SGL PARTIAL OCEAN VIEW</t>
  </si>
  <si>
    <t>Dhawa Cayo Santa Maria</t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</si>
  <si>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39 </t>
    </r>
    <r>
      <rPr>
        <i/>
        <sz val="11"/>
        <rFont val="Arial Cyr"/>
        <family val="0"/>
      </rPr>
      <t xml:space="preserve">долл c чел, дети до 12 лет </t>
    </r>
    <r>
      <rPr>
        <i/>
        <sz val="11"/>
        <color indexed="10"/>
        <rFont val="Arial Cyr"/>
        <family val="0"/>
      </rPr>
      <t>20</t>
    </r>
    <r>
      <rPr>
        <i/>
        <sz val="11"/>
        <rFont val="Arial Cyr"/>
        <family val="0"/>
      </rPr>
      <t xml:space="preserve"> долл</t>
    </r>
  </si>
  <si>
    <t xml:space="preserve">Доплата за Premium Ocean Front View 20 долл с чел, за Jr Suite Ocean Front 26 долл с чел, за One Bedroom Suite 46 долл с чел </t>
  </si>
  <si>
    <r>
      <t xml:space="preserve">Трансферы отель в Сьенфуэгосe - отель на острове Санта Мария (OW) такси (1-2 чел) </t>
    </r>
    <r>
      <rPr>
        <b/>
        <i/>
        <sz val="11"/>
        <color indexed="10"/>
        <rFont val="Arial Cyr"/>
        <family val="0"/>
      </rPr>
      <t>136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303 долл</t>
    </r>
  </si>
  <si>
    <r>
      <t xml:space="preserve">Перелет  Сантьяго де Куба-Кайо Коко и трансферы групповые от отеля до отеля на Кайо Коко или Кайо Гильермо OW (чартер) - </t>
    </r>
    <r>
      <rPr>
        <b/>
        <i/>
        <sz val="11"/>
        <color indexed="10"/>
        <rFont val="Arial Cyr"/>
        <family val="0"/>
      </rPr>
      <t xml:space="preserve">90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</t>
    </r>
  </si>
  <si>
    <t>JUNIOR SUITE DBL THE RESERVE</t>
  </si>
  <si>
    <t>JUNIOR SUITE SGL THE RESERVE</t>
  </si>
  <si>
    <t>JUNIOR SUITE DBL THE RESERVE GARDEN SWIM-UP</t>
  </si>
  <si>
    <t>JUNIOR SUITE SGL THE RESERVE GARDEN SWIM-UP</t>
  </si>
  <si>
    <r>
      <t xml:space="preserve">MASTER SUITE TWO BEDROOM THE RESERVE </t>
    </r>
    <r>
      <rPr>
        <b/>
        <sz val="10"/>
        <color indexed="8"/>
        <rFont val="Arial Cyr"/>
        <family val="0"/>
      </rPr>
      <t>(за номер)</t>
    </r>
  </si>
  <si>
    <t>GARDEN VILLA ROYAL SERVICE</t>
  </si>
  <si>
    <t>*Скидка раннего бронирования 2 bdrm THE RESERVE и Garden Villa</t>
  </si>
  <si>
    <t>ПРИ БРОНИРОВАНИИ ОТЕЛЯ МИНИМУМ ЗА 30 ДНЕЙ ДО ЗАЕЗДА СКИДКА (указана в таблице) (исключая Two BEDROOM MASTER SUITE и GARDEN VILLA )  *cкидка раннего бронирования не даётся с доплаты за Sgl!</t>
  </si>
  <si>
    <t>ПРИ БРОНИРОВАНИИ ОТЕЛЯ МИНИМУМ ЗА 90 ДНЕЙ ДО ЗАЕЗДА СКИДКА (указана в таблице) для TWO BEDROOM MASTER SUITE и GARDEN VILLA *cкидка раннего бронирования не даётся с доплаты за Sgl!</t>
  </si>
  <si>
    <t>В номере Master Suite Two Bedroom Concierge Family размещение от 4 до 6 чел. В Garden Villa 2 взр</t>
  </si>
  <si>
    <t>MASTER SUITE ROYAL SERVICE (за номер)</t>
  </si>
  <si>
    <t>SUITE PRESIDENCIAL ROYAL SERVICE</t>
  </si>
  <si>
    <t>ПРИ БРОНИРОВАНИИ ОТЕЛЯ МИНИМУМ ЗА 30 ДНЕЙ ДО ЗАЕЗДА СКИДКА (указана в таблице) (исключая Master Suite Royal Service и Suite Presidencial) *cкидка раннего бронирования не даётся с доплаты за Sgl!</t>
  </si>
  <si>
    <t>*Скидка раннего бронирования для Master Suite Royal Service и  Suite Pres</t>
  </si>
  <si>
    <t>ПРИ БРОНИРОВАНИИ ОТЕЛЯ МИНИМУМ ЗА 90 ДНЕЙ ДО ЗАЕЗДА СКИДКА (указана в таблице) (для Master Suite Royal Service и Suite Presidencial) *cкидка раннего бронирования не даётся с доплаты за Sgl!</t>
  </si>
  <si>
    <t xml:space="preserve">Melia Las Americas   5* </t>
  </si>
  <si>
    <t>The Level Service</t>
  </si>
  <si>
    <t>* Скидка раннего бронирования для всех типов номеров</t>
  </si>
  <si>
    <t>GARDEN SUITE 2 BEDROOM THE LEVEL (за номер)</t>
  </si>
  <si>
    <r>
      <t xml:space="preserve">*Скидка раннего бронирования для </t>
    </r>
    <r>
      <rPr>
        <b/>
        <sz val="10"/>
        <rFont val="Arial Cyr"/>
        <family val="0"/>
      </rPr>
      <t>GARDEN SUITE 2 BEDROOM</t>
    </r>
  </si>
  <si>
    <t>Внимание! Отель только для взрослых c 18 лет! В номере Jr Suite max 2 взр, в остальных категориях max 3 взр. ;в Garden Suite 2 bedroom max 4 взр</t>
  </si>
  <si>
    <t>Отель для взрослых от 16 лет</t>
  </si>
  <si>
    <t>ПРИ БРОНИРОВАНИИ ОТЕЛЯ МИНИМУМ ЗА 30 ДНЕЙ ДО ЗАЕЗДА СКИДКА (указана в таблице) (для номеров Sol Room Sirenas и Superior  *cкидка раннего бронирования не даётся с доплаты за Sgl!</t>
  </si>
  <si>
    <t>Havanatur</t>
  </si>
  <si>
    <t>Gran Caribe</t>
  </si>
  <si>
    <t>В даты 24, 25,31 декбря, с 05 по 12.04. и с 28.10 по 02.11. доплата 12 долл с человека, с ребенка 6 долл; Доплата за ужин 20 долл,ребенок 10 долл</t>
  </si>
  <si>
    <t xml:space="preserve"> Sevilla</t>
  </si>
  <si>
    <t>01.11.19 - 21.12.19</t>
  </si>
  <si>
    <t>22.12.19 - 02.01.20</t>
  </si>
  <si>
    <t>01.04.20 - 30.04.20</t>
  </si>
  <si>
    <t>Доплата за ужин 25 долл с человека, с ребенка 13 долл</t>
  </si>
  <si>
    <t xml:space="preserve">Iberostar Selection Varadero    </t>
  </si>
  <si>
    <t>03.01.20 - 31.03.20</t>
  </si>
  <si>
    <t>Iberostar Selection Bella Vista</t>
  </si>
  <si>
    <t xml:space="preserve">FAMILIAR PREMIUM </t>
  </si>
  <si>
    <t>В номерах STD и Jr Suite max 2 взр+2 реб, 3 взр; в номере Familiar min 4 pax, max 6 pax (4 adt+2 реб)</t>
  </si>
  <si>
    <t>третий-шестой человек</t>
  </si>
  <si>
    <t>JR SUITE Ocean Front DBL</t>
  </si>
  <si>
    <t>третий-шестой pax</t>
  </si>
  <si>
    <t xml:space="preserve">В номерах STD и STD Ocean View max 2 взр+1 реб; в номере Familiar min 4 pax, max 6 pax (4 adt+2chd); в номерах Jr Suite и Prestige max 2 взр!  </t>
  </si>
  <si>
    <t>FAMILY ROOM первый-второй pax</t>
  </si>
  <si>
    <t>FAMILY ROOM третий-шестой pax</t>
  </si>
  <si>
    <t>FAMILY ROOM OCEAN VIEW первый-второй pax</t>
  </si>
  <si>
    <t>FAMILY ROOM OCEAN VIEW третий-шестой pax</t>
  </si>
  <si>
    <t>В номере DBL FAMILIAR разрешается размещение минимально: 4 pax,  // максимально 6 pax</t>
  </si>
  <si>
    <t xml:space="preserve">     Внимание! Отель только для взрослых от 16лет!  </t>
  </si>
  <si>
    <t>Iberostar Bella Costa</t>
  </si>
  <si>
    <t>DBL Bungalow</t>
  </si>
  <si>
    <t>SGL Bungalow</t>
  </si>
  <si>
    <t xml:space="preserve">DBL  Std </t>
  </si>
  <si>
    <t>SGL  Std</t>
  </si>
  <si>
    <t>DBL  Std (Economica) номера расположены в корпусе Las Palmas</t>
  </si>
  <si>
    <t>SGL  Std (Economica) номера расположены в корпусе Las Palmas</t>
  </si>
  <si>
    <t>Memories Trinidad del Mar</t>
  </si>
  <si>
    <t>Blue Daimond</t>
  </si>
  <si>
    <t>DBL Standard</t>
  </si>
  <si>
    <t>SGL Standard</t>
  </si>
  <si>
    <t xml:space="preserve">CHD + 2 взр </t>
  </si>
  <si>
    <t xml:space="preserve">DBL c террасой </t>
  </si>
  <si>
    <t xml:space="preserve">SGL c террасой </t>
  </si>
  <si>
    <r>
      <t>2 Bedroom (</t>
    </r>
    <r>
      <rPr>
        <b/>
        <sz val="10"/>
        <rFont val="Arial Cyr"/>
        <family val="0"/>
      </rPr>
      <t>цена за номер, max 4</t>
    </r>
    <r>
      <rPr>
        <sz val="10"/>
        <rFont val="Arial Cyr"/>
        <family val="0"/>
      </rPr>
      <t>)</t>
    </r>
  </si>
  <si>
    <r>
      <t>2 Bedroom (</t>
    </r>
    <r>
      <rPr>
        <b/>
        <sz val="9"/>
        <rFont val="Arial Cyr"/>
        <family val="0"/>
      </rPr>
      <t>цена за номер, max 5</t>
    </r>
    <r>
      <rPr>
        <sz val="9"/>
        <rFont val="Arial Cyr"/>
        <family val="0"/>
      </rPr>
      <t>)</t>
    </r>
  </si>
  <si>
    <t>ВНИМАНИЕ!!!! 1 ребенок+1 взрослый рассчитывается, как DBL</t>
  </si>
  <si>
    <t>Capri-Victoria</t>
  </si>
  <si>
    <t xml:space="preserve">Gran Caribe-Capri                                   </t>
  </si>
  <si>
    <t>SGL VILLA</t>
  </si>
  <si>
    <t>DBL VILLA Mini Suite</t>
  </si>
  <si>
    <t>JR SUITE SGL OCEAN VIEW ROYAL SERVICE</t>
  </si>
  <si>
    <t>GARDEN VILLA ROYAL SERVICE ( за номер)</t>
  </si>
  <si>
    <t>*Скидка раннего бронирования все типы номеров</t>
  </si>
  <si>
    <t>*Скидка раннего бронирования Garden Villa</t>
  </si>
  <si>
    <t>ПРИ БРОНИРОВАНИИ ОТЕЛЯ МИНИМУМ ЗА 30 ДНЕЙ ДО ЗАЕЗДА, VILLA ЗА 90 ДНЕЙ ДО ЗАЕЗДА СКИДКА (указана в таблице) *cкидка раннего бронирования не даётся с доплаты за Sgl!</t>
  </si>
  <si>
    <t>FAMILIAR VISTA MAR (за номер)</t>
  </si>
  <si>
    <t xml:space="preserve">В номере Familiar min 4 pax (2 adt+2 chd), max 5 pax (4 adt+1chd) </t>
  </si>
  <si>
    <t>JR SUITE SGL THE LEVEL</t>
  </si>
  <si>
    <t>JR SUITE SGL OCEAN VIEW THE LEVEL</t>
  </si>
  <si>
    <t>VILLA ZAIDA DEL RIO THE LEVEL (за номер)</t>
  </si>
  <si>
    <t>FAMILY Park Suite (2 номера коннект) (первый-второй pax)</t>
  </si>
  <si>
    <t>EXTRA BED (третий pax в номере)</t>
  </si>
  <si>
    <t xml:space="preserve"> 4, 5 и 6-й pax  в номере)</t>
  </si>
  <si>
    <t>В номерах Familly Park Suite (2 смежных номера) min 4 pax, max 6 pax</t>
  </si>
  <si>
    <t>Palacio Cueto 5*</t>
  </si>
  <si>
    <t xml:space="preserve">DBL BEACH  </t>
  </si>
  <si>
    <t>SGL BEACH</t>
  </si>
  <si>
    <t xml:space="preserve">DBL  OCEAN VIEW </t>
  </si>
  <si>
    <t xml:space="preserve">SGL  OCEAN VIEW </t>
  </si>
  <si>
    <t>Iberostar Selection  Playa Pilar</t>
  </si>
  <si>
    <t xml:space="preserve">Iberostar </t>
  </si>
  <si>
    <t>FAMILIAR (2 смежных номера)</t>
  </si>
  <si>
    <t>Максимальное размещение во всех типах номеров : 2 взр +2 реб/3 взр. Минимальное размещение в номере Familiar: 4 pax Максимально 6 pax</t>
  </si>
  <si>
    <t xml:space="preserve">CHD + 2 взр  </t>
  </si>
  <si>
    <t>Доплата за номер Ocean View -13 долл за номер в сутки, за Superior Room - 26 долл за номер в сутки.</t>
  </si>
  <si>
    <t>SUITE PARK/PRADO VIEW DBL</t>
  </si>
  <si>
    <t>SUITE PARK/PRADO VIEW SGL</t>
  </si>
  <si>
    <t>JR SUITE PARK/PRADO VIEW DBL</t>
  </si>
  <si>
    <t>JR SUITE PARK /PRADO VIEW SGL</t>
  </si>
  <si>
    <t>STD PARK /PRADO VIEW DBL</t>
  </si>
  <si>
    <t>STD PARK /PRADOVIEW SGL</t>
  </si>
  <si>
    <t>SGL DELUXE</t>
  </si>
  <si>
    <t>DBL DELUXE PRADO</t>
  </si>
  <si>
    <t>SGL DELUXE  PRADO</t>
  </si>
  <si>
    <t>DBL DELUXE ATLANTIC VIEW</t>
  </si>
  <si>
    <t xml:space="preserve">SGL DELUXE ATLANTIC  VIEW </t>
  </si>
  <si>
    <t>Iberostar Selection Holguin</t>
  </si>
  <si>
    <t>FAMILY (первый-второй pax)</t>
  </si>
  <si>
    <t>третий - шестой pax</t>
  </si>
  <si>
    <t xml:space="preserve">Blau  Varadero                                       </t>
  </si>
  <si>
    <t>SGL SUPERIOR OCEAN VIEW</t>
  </si>
  <si>
    <t>DBL SELECT  SEA VIEW</t>
  </si>
  <si>
    <r>
      <rPr>
        <i/>
        <sz val="11"/>
        <rFont val="Arial Cyr"/>
        <family val="0"/>
      </rPr>
      <t xml:space="preserve">Blau                            </t>
    </r>
    <r>
      <rPr>
        <b/>
        <sz val="11"/>
        <rFont val="Arial Cyr"/>
        <family val="0"/>
      </rPr>
      <t xml:space="preserve">    </t>
    </r>
  </si>
  <si>
    <t>Paradisus Los Cayos</t>
  </si>
  <si>
    <t>Melia</t>
  </si>
  <si>
    <t>JUNIOR SUITE  DBL</t>
  </si>
  <si>
    <t>JUNIOR SUITE  SGL</t>
  </si>
  <si>
    <t>JUNIOR SUITE  OCEAN VIEW DBL</t>
  </si>
  <si>
    <t>JUNIOR SUITE  OCEAN VIEW SGL</t>
  </si>
  <si>
    <t>THE RESERVE J SUITE  SGL</t>
  </si>
  <si>
    <t>ROYAL SERVISE J SUITE DBL</t>
  </si>
  <si>
    <t>THE RESERVE J SUITE DBL</t>
  </si>
  <si>
    <t>ROYAL SERVISE J SUITE SGL</t>
  </si>
  <si>
    <t>Зона Royal Service только для взрослых от 18 лет!!!</t>
  </si>
  <si>
    <t>Max размещение в номерах Superior и Superior Ocean View 3 взр+1 реб, 2 взр+2 реб; в номере Suite 3 взр, 2 взр+1 реб</t>
  </si>
  <si>
    <t>Бунгало</t>
  </si>
  <si>
    <t>DBL BGL SUPERIOR</t>
  </si>
  <si>
    <t>SGL BGL SUPERIOR</t>
  </si>
  <si>
    <t>BUNGALOW SUITE  DBL</t>
  </si>
  <si>
    <t>Max размещение в номерах Superior и Superior Ocean View 3 взр,3взр+1 реб; в номере Suite 3 взр, 2 взр+1 реб</t>
  </si>
  <si>
    <t>Max размещение в номерах Bungalow Superior 2 взр, 2 взр+2 реб; в номере Bungalow Suite 3 взр, 3 взр+1 реб</t>
  </si>
  <si>
    <r>
      <t xml:space="preserve">Перелет Гавана - Сантьяго-де-Куба - Гавана (чартер) - </t>
    </r>
    <r>
      <rPr>
        <b/>
        <i/>
        <sz val="11"/>
        <color indexed="10"/>
        <rFont val="Arial Cyr"/>
        <family val="0"/>
      </rPr>
      <t>300 долл</t>
    </r>
    <r>
      <rPr>
        <b/>
        <i/>
        <sz val="11"/>
        <rFont val="Arial Cyr"/>
        <family val="0"/>
      </rPr>
      <t xml:space="preserve">.  Билет в одну сторону - </t>
    </r>
    <r>
      <rPr>
        <b/>
        <i/>
        <sz val="11"/>
        <color indexed="10"/>
        <rFont val="Arial Cyr"/>
        <family val="0"/>
      </rPr>
      <t>150 долл</t>
    </r>
  </si>
  <si>
    <r>
      <t xml:space="preserve">Перелет и трансферы Гавана-Кайо Ларго-Гавана  - </t>
    </r>
    <r>
      <rPr>
        <b/>
        <i/>
        <sz val="11"/>
        <color indexed="10"/>
        <rFont val="Arial Cyr"/>
        <family val="0"/>
      </rPr>
      <t xml:space="preserve">210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</si>
  <si>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Перелет и трансферы Гавана-Кайо Ларго-Варадеро  - </t>
    </r>
    <r>
      <rPr>
        <b/>
        <i/>
        <sz val="11"/>
        <color indexed="10"/>
        <rFont val="Arial Cyr"/>
        <family val="0"/>
      </rPr>
      <t>260 долл</t>
    </r>
    <r>
      <rPr>
        <b/>
        <i/>
        <sz val="11"/>
        <rFont val="Arial Cyr"/>
        <family val="0"/>
      </rPr>
      <t xml:space="preserve">, Варадеро-Кайо Ларго-Варадеро  - </t>
    </r>
    <r>
      <rPr>
        <b/>
        <i/>
        <sz val="11"/>
        <color indexed="10"/>
        <rFont val="Arial Cyr"/>
        <family val="0"/>
      </rPr>
      <t xml:space="preserve">290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</si>
  <si>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(1-2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</si>
  <si>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(1-2 чел.) </t>
    </r>
  </si>
  <si>
    <r>
      <t>Трансфер аэропорт Гаваны или отель Гаваны - отель на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- 235 долл</t>
    </r>
    <r>
      <rPr>
        <i/>
        <sz val="11"/>
        <rFont val="Arial Cyr"/>
        <family val="2"/>
      </rPr>
      <t xml:space="preserve"> (1-2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</si>
  <si>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- 480 долл</t>
    </r>
    <r>
      <rPr>
        <i/>
        <sz val="11"/>
        <rFont val="Arial Cyr"/>
        <family val="2"/>
      </rPr>
      <t xml:space="preserve"> (1-2 чел.) </t>
    </r>
  </si>
  <si>
    <t xml:space="preserve">Roc                                   </t>
  </si>
  <si>
    <t>STD DBL</t>
  </si>
  <si>
    <t>SGL STD</t>
  </si>
  <si>
    <t>Be Live</t>
  </si>
  <si>
    <t>Доплата за номер Superior Deluxe 7 долл/чел/ночь</t>
  </si>
  <si>
    <t xml:space="preserve">JR SUITE SGL </t>
  </si>
  <si>
    <t>SUITE DBL OCEAN VIEW</t>
  </si>
  <si>
    <t>SUITE SGL OCEAN VIEW</t>
  </si>
  <si>
    <t>Copacabana</t>
  </si>
  <si>
    <t>Chateau Miramar</t>
  </si>
  <si>
    <t>Sol Varadero Beach</t>
  </si>
  <si>
    <t>(ex. Sol Sirenas)</t>
  </si>
  <si>
    <t>Sol Coral откроется через 2 года</t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</si>
  <si>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>100 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</si>
  <si>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50 долл </t>
    </r>
    <r>
      <rPr>
        <b/>
        <i/>
        <sz val="11"/>
        <rFont val="Arial Cyr"/>
        <family val="0"/>
      </rPr>
      <t xml:space="preserve"> </t>
    </r>
  </si>
  <si>
    <t xml:space="preserve">Внутренний перелёт Гавана - Кайо Cанта Мария + трансферы групповые от отеля до отеля - 120 долл OW  (*Havanatur)  ВРЕМЕННО ПЕРЕЛЕТЫ ОТМЕНЕНЫ!!!                                                                                                                                          </t>
  </si>
  <si>
    <t>Melia Jagua</t>
  </si>
  <si>
    <t>Melia La Union</t>
  </si>
  <si>
    <r>
      <t xml:space="preserve">Групповые трансферы Гавана - Кайо Коко и обратно от отеля до отеля OW - </t>
    </r>
    <r>
      <rPr>
        <b/>
        <i/>
        <sz val="11"/>
        <color indexed="10"/>
        <rFont val="Arial Cyr"/>
        <family val="0"/>
      </rPr>
      <t>60 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</si>
  <si>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t>ВНИМАНИЕ!!! СКИДКА "РАННЕЕ БРОНИРОВАНИЕ" НЕ РАСПРОСТРАНЯЕТСЯ НА СПЕЦПРЕДЛОЖЕНИЯ В ГОЛУБОМ ФОНЕ</t>
  </si>
  <si>
    <t>FAMILY CORAL VILLAGE</t>
  </si>
  <si>
    <t>CORAL VILLAGE DBL</t>
  </si>
  <si>
    <t>CORAL VILLAGE SGL</t>
  </si>
  <si>
    <t xml:space="preserve">DBL Superior </t>
  </si>
  <si>
    <t xml:space="preserve">SGL Superior </t>
  </si>
  <si>
    <t>DBL Tropical</t>
  </si>
  <si>
    <t>SGL Tropical</t>
  </si>
  <si>
    <t>Islazul</t>
  </si>
  <si>
    <t>Caribbean</t>
  </si>
  <si>
    <t xml:space="preserve">Lido  </t>
  </si>
  <si>
    <t>SO/Paseo del Prado</t>
  </si>
  <si>
    <t>Accor</t>
  </si>
  <si>
    <t>DBL  SO COSY PATIO</t>
  </si>
  <si>
    <t>SGL SO COSY PATIO</t>
  </si>
  <si>
    <t>DBL SO COSY PRADO</t>
  </si>
  <si>
    <t>SGL SO COSY PRADO</t>
  </si>
  <si>
    <t>DBL  SO COSY MALECON</t>
  </si>
  <si>
    <t>SGL SO COSY MALECON</t>
  </si>
  <si>
    <t>DBL SO URBAN PATIO</t>
  </si>
  <si>
    <t>SGL SO URBAN PATIO</t>
  </si>
  <si>
    <t>DBL SO URBAN MALECON</t>
  </si>
  <si>
    <t>SGL SO URBAN MALECON</t>
  </si>
  <si>
    <t>DBL SO SUITE MALECON</t>
  </si>
  <si>
    <t>SGL SO SUITE MALECON</t>
  </si>
  <si>
    <t>DBL SO VIP MALECON</t>
  </si>
  <si>
    <t>SGL SO VIP MALECON</t>
  </si>
  <si>
    <t>Максимальное размещение в номерах COSY 2 взрослых+инфант (0-4года). Третий взрослый или ребенок размещается в категориях начиная с COMFY.</t>
  </si>
  <si>
    <t>Стоимость третьего взрослого минус 15% от 1/2 DBL, стоимость ребенка (4-12 лет) 50% от 1/2 DBL</t>
  </si>
  <si>
    <t>DBL SO COMFY PRADO</t>
  </si>
  <si>
    <t>SGL SO COMFY</t>
  </si>
  <si>
    <r>
      <t>Перелет и трансферы Гавана - Кайо Коко или Кайо Гильермо и трансферы групповые от отеля до отеля OW -100</t>
    </r>
    <r>
      <rPr>
        <b/>
        <i/>
        <sz val="11"/>
        <color indexed="10"/>
        <rFont val="Arial Cyr"/>
        <family val="0"/>
      </rPr>
      <t xml:space="preserve"> 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</si>
  <si>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t>Angsana Cayo Santa Maria</t>
  </si>
  <si>
    <t>Banyan Tree</t>
  </si>
  <si>
    <t>SUPERIOR GARDEN VIEW</t>
  </si>
  <si>
    <t>SUPERIOR GARDEN VIEW  SGL</t>
  </si>
  <si>
    <t>SUPERIOR OCEAN VIEW</t>
  </si>
  <si>
    <t>Be Live Cayo Santa Maria</t>
  </si>
  <si>
    <t>J SUITE GARDEN VIEW DBL</t>
  </si>
  <si>
    <t>J SUITE GARDEN VIEW  SGL</t>
  </si>
  <si>
    <t>CHD + 2 взр (от 3 до 13 лет)</t>
  </si>
  <si>
    <t xml:space="preserve">Be Live </t>
  </si>
  <si>
    <t>J SUITE SEA VIEW DBL</t>
  </si>
  <si>
    <t>J SUITE SEA VIEW  SGL</t>
  </si>
  <si>
    <t>PREMIUM OCEAN FRONT DBL</t>
  </si>
  <si>
    <t>PREMIUM OCEAN FRONT SGL</t>
  </si>
  <si>
    <t xml:space="preserve">DBL THE LEVEL </t>
  </si>
  <si>
    <t xml:space="preserve">SGL THE LEVEL </t>
  </si>
  <si>
    <t>Be Live Los Cactus</t>
  </si>
  <si>
    <t>SUITE FARO DBL</t>
  </si>
  <si>
    <t xml:space="preserve">SUITE FARO SGL </t>
  </si>
  <si>
    <t xml:space="preserve">SUITE BAHIA DBL </t>
  </si>
  <si>
    <t xml:space="preserve">SUITE BAHIA SGL </t>
  </si>
  <si>
    <t>SPO- DIC0419 до 21.12.</t>
  </si>
  <si>
    <t>Valentin Perla Blanca</t>
  </si>
  <si>
    <t>DELUXE DBL GARDEN VIEW</t>
  </si>
  <si>
    <t>DELUXE SGL GARDEN VIEW</t>
  </si>
  <si>
    <t>DELUXE DBL POOL VIEW</t>
  </si>
  <si>
    <t>DELUXE SGL POOL VIEW</t>
  </si>
  <si>
    <t>DELUXE DBL OCEAN OCEAN VIEW</t>
  </si>
  <si>
    <t>CHD+2 взр</t>
  </si>
  <si>
    <t xml:space="preserve">ПРИ БРОНИРОВАНИИ ОТЕЛЯ МИНИМУМ ЗА 30 ДНЕЙ ДО ЗАЕЗДА СКИДКА 15%    (cкидка с доплаты за Sgl и с SPO) </t>
  </si>
  <si>
    <t>ПРИ БРОНИРОВАНИИ ОТЕЛЯ МИНИМУМ ЗА 30 ДНЕЙ ДО ЗАЕЗДА СКИДКА 15%  *cкидка раннего бронирования не даётся с доплаты за Sgl и с SPO!</t>
  </si>
  <si>
    <t>DBL TRYP</t>
  </si>
  <si>
    <t>SGL TRYP</t>
  </si>
  <si>
    <t>DBL  TRYP PANORAMIC  VIEW</t>
  </si>
  <si>
    <t>SGL  TRYP PANORAMIC  VIEW</t>
  </si>
  <si>
    <t>ПРИ БРОНИРОВАНИИ ОТЕЛЯ МИНИМУМ ЗА 30 ДНЕЙ ДО ЗАЕЗДА СКИДКА 15%   *cкидка раннего бронирования не даётся с доплаты за Sgl и с SPO!</t>
  </si>
  <si>
    <t>ПРИ БРОНИРОВАНИИ ОТЕЛЯ МИНИМУМ ЗА90 ДНЕЙ ДО ЗАЕЗДА СКИДКА (указана в таблице для  Garden Suite 2 bedroom) *cкидка раннего бронирования не даётся с доплаты за Sgl и с SPO!</t>
  </si>
  <si>
    <t>ПРИ БРОНИРОВАНИИ ОТЕЛЯ МИНИМУМ ЗА 30 ДНЕЙ ДО ЗАЕЗДА СКИДКА 15%   *cкидка раннего бронирования не даётся с доплаты за Sgl!</t>
  </si>
  <si>
    <t>JR SUITE  Ocean FrontSGL</t>
  </si>
  <si>
    <t>FAMILIAR (первый-второй взр)</t>
  </si>
  <si>
    <r>
      <t>4</t>
    </r>
    <r>
      <rPr>
        <sz val="11"/>
        <rFont val="Arial Cyr"/>
        <family val="2"/>
      </rPr>
      <t>*</t>
    </r>
  </si>
  <si>
    <t>Cubanacan</t>
  </si>
  <si>
    <t>исторический центр</t>
  </si>
  <si>
    <t xml:space="preserve">JR SUITE SGL CONSTANTE </t>
  </si>
  <si>
    <t>Доплата за завтрак 38 долл- взрослый и 19 долл реб с 6 до 12 лет. Ребенок до 6 лет завтрак бесплатно</t>
  </si>
  <si>
    <t xml:space="preserve">                           </t>
  </si>
  <si>
    <t xml:space="preserve">4* </t>
  </si>
  <si>
    <t xml:space="preserve"> San Felix </t>
  </si>
  <si>
    <t>Отель для взрослых от 18 лет</t>
  </si>
  <si>
    <t>Coral Village Suite для туристов от 14 лет (до 3 взр) // Family Grand Village Suite с двумя спальнями  для туристов от 14 лет (от 4 до 6 взр)</t>
  </si>
  <si>
    <t>Valentin</t>
  </si>
  <si>
    <t xml:space="preserve">Blue Daimond </t>
  </si>
  <si>
    <t>CAYO CRUZ    -  ОСТРОВ  КАЙО  КРУЗ (Атлантический океан - Северное побережье)</t>
  </si>
  <si>
    <t>Iberostar Selection Esmeralda</t>
  </si>
  <si>
    <t>CORAL JR SUITE DBL</t>
  </si>
  <si>
    <t>CORAL JR SUITE SGL</t>
  </si>
  <si>
    <t xml:space="preserve">CORAL JR SUITE DBL OCEAN VIEW </t>
  </si>
  <si>
    <t xml:space="preserve">CORAL LEVEL </t>
  </si>
  <si>
    <t xml:space="preserve">CORAL JR SUITE SGL  OCEAN VIEW </t>
  </si>
  <si>
    <t>для взрослых от 16 лет</t>
  </si>
  <si>
    <t>CORAL JR SUITE DBL SWIM UP</t>
  </si>
  <si>
    <t>SGL JR SUITE DBL SWIM UP</t>
  </si>
  <si>
    <t>НОВЫЙ!!!</t>
  </si>
  <si>
    <t>Kempinski</t>
  </si>
  <si>
    <t>Cayo Guillermo Resort Kempinski</t>
  </si>
  <si>
    <t xml:space="preserve">                         5*</t>
  </si>
  <si>
    <t xml:space="preserve">                  НОВЫЙ!!!</t>
  </si>
  <si>
    <t>DBL Deluxe Ocean View</t>
  </si>
  <si>
    <t>SGL Deluxe Ocean View</t>
  </si>
  <si>
    <t>DBL Deluxe Ocean Front</t>
  </si>
  <si>
    <t>SGL Deluxe Ocean Front</t>
  </si>
  <si>
    <t>DBL Ocean Deluxe Suite</t>
  </si>
  <si>
    <t>SGL Ocean Deluxe Suite</t>
  </si>
  <si>
    <t>DBL Sunset Villa</t>
  </si>
  <si>
    <t>SGL Sunset Villa</t>
  </si>
  <si>
    <t>DBL Playa Pilar Water Villa</t>
  </si>
  <si>
    <t>SGL Playa Pilar Water Villa</t>
  </si>
  <si>
    <r>
      <t xml:space="preserve">Presidential Water Villa Hemingway </t>
    </r>
    <r>
      <rPr>
        <b/>
        <sz val="10"/>
        <color indexed="10"/>
        <rFont val="Arial Cyr"/>
        <family val="0"/>
      </rPr>
      <t>ПОД ЗАПРОС</t>
    </r>
  </si>
  <si>
    <t>При бронировании от 60 дней до заезда скидка 15%</t>
  </si>
  <si>
    <t>При бронировании от 30 до 59 дней до заезда скидка 10%</t>
  </si>
  <si>
    <r>
      <t>Telegrafo 4*</t>
    </r>
    <r>
      <rPr>
        <b/>
        <sz val="11"/>
        <color indexed="10"/>
        <rFont val="Arial Cyr"/>
        <family val="0"/>
      </rPr>
      <t>ЗАКРЫТ!!!</t>
    </r>
  </si>
  <si>
    <t>DBL STD</t>
  </si>
  <si>
    <t>OFERTA</t>
  </si>
  <si>
    <t>При бронировании на период</t>
  </si>
  <si>
    <t>(01.11.2020 - 30.04.2021)</t>
  </si>
  <si>
    <r>
      <rPr>
        <b/>
        <i/>
        <sz val="22"/>
        <color indexed="18"/>
        <rFont val="Arial Cyr"/>
        <family val="0"/>
      </rPr>
      <t xml:space="preserve">Туроператор Havanatour International          </t>
    </r>
    <r>
      <rPr>
        <b/>
        <i/>
        <sz val="18"/>
        <color indexed="48"/>
        <rFont val="Arial Cyr"/>
        <family val="0"/>
      </rPr>
      <t xml:space="preserve">                                                                                                                          </t>
    </r>
    <r>
      <rPr>
        <b/>
        <i/>
        <sz val="18"/>
        <color indexed="10"/>
        <rFont val="Arial Cyr"/>
        <family val="0"/>
      </rPr>
      <t xml:space="preserve">ЦЕНОВОЙ КАТAЛОГ ЗИМА 2021- ВЕСНА  2021 ГОДА  </t>
    </r>
    <r>
      <rPr>
        <b/>
        <i/>
        <sz val="18"/>
        <color indexed="48"/>
        <rFont val="Arial Cyr"/>
        <family val="0"/>
      </rPr>
      <t xml:space="preserve">                                         </t>
    </r>
  </si>
  <si>
    <t xml:space="preserve">                                               ЦЕНОВОЙ КАТAЛОГ ЗИМА 2021- ВЕСНА  2021 ГОДА         </t>
  </si>
  <si>
    <t xml:space="preserve">  04.01.20 - 31.01.21</t>
  </si>
  <si>
    <t>01.02.21-31.03.21</t>
  </si>
  <si>
    <t>01.04.21-30.04.21</t>
  </si>
  <si>
    <t xml:space="preserve">   22.12.20 - 03.01.21</t>
  </si>
  <si>
    <t xml:space="preserve">  01.11.20 - 21.12.20</t>
  </si>
  <si>
    <t>*Скидка раннего бронирования для номеров  RoyalService и The Reserve</t>
  </si>
  <si>
    <t>*Скидка раннего бронирования для всех типов номеров J Suite и J Suite SV</t>
  </si>
  <si>
    <t xml:space="preserve">Доплата  за одноместное проживание во всех категориях Royal Service + 107 долларов.   </t>
  </si>
  <si>
    <t>*Скидка раннего бронирования для номеров Royal Service</t>
  </si>
  <si>
    <t>Доплата  за одноместное проживание в номерах The Level и Ocean View The Level +88 долл</t>
  </si>
  <si>
    <t>DBL PREMIUM</t>
  </si>
  <si>
    <t>SGL PREMIUM</t>
  </si>
  <si>
    <t>JUNIOR SUITE FAMILIAR</t>
  </si>
  <si>
    <t>*Скидка раннего бронирования для номеров Classic и Premium</t>
  </si>
  <si>
    <t>*Скидка раннего бронирования для номеров J Suite Familiar (за номер)</t>
  </si>
  <si>
    <t>Melia Marina Varadero апартаменты</t>
  </si>
  <si>
    <t xml:space="preserve">Доплата  за одноместное проживание в номерах  Jr Suite Ocean View + 113 долл, во всех категориях The Level + 138 долл   </t>
  </si>
  <si>
    <t>PENTHOUSE SUITE OCEAN VIEW THE LEVEL (за номер)</t>
  </si>
  <si>
    <t>ПРИ БРОНИРОВАНИИ ОТЕЛЯ МИНИМУМ ЗА 90 ДНЕЙ ДО ЗАЕЗДА СКИДКА (указана в таблице для номеров J Suite Familar)     *cкидка раннего бронирования не даётся с доплаты за Sgl!</t>
  </si>
  <si>
    <t>Bungalow FAMILIAR (за номер)</t>
  </si>
  <si>
    <t xml:space="preserve">В номере Bungalow Familiar разрешается max размещение:  4 взр, 4 взр+1 реб. Минимум 4 взр. </t>
  </si>
  <si>
    <t xml:space="preserve">The Level  только для взрослых от 18 лет, max 3 чел. В остальных категориях номеров разрешено размещение 3 взр или 2 взр+2 реб. </t>
  </si>
  <si>
    <t>*Скидка раннего бронирования для всех номеров кроме Bungalow Familiar</t>
  </si>
  <si>
    <t xml:space="preserve">ПРИ БРОНИРОВАНИИ ОТЕЛЯ МИНИМУМ ЗА 90 ДНЕЙ ДО ЗАЕЗДА СКИДКА ДЛЯ НОМЕРОВ Bungalow Familar (указана в таблице)  </t>
  </si>
  <si>
    <t xml:space="preserve">SOL ROOM DBL  </t>
  </si>
  <si>
    <t>SGL  ROOM  SGL</t>
  </si>
  <si>
    <t>SUPERIOR ROOM  DBL</t>
  </si>
  <si>
    <t>SUPERIOR ROOM SGL</t>
  </si>
  <si>
    <t>*Скидка раннего бронирования для номеров Sol Room  и Superior Room</t>
  </si>
  <si>
    <t>CHD + 2 взр (от 2 до 13 лет)</t>
  </si>
  <si>
    <t xml:space="preserve">В зоне Prestige и в Jr Suite  размещение только для взрослых от 16 лет! </t>
  </si>
  <si>
    <t xml:space="preserve">   22.12.20 - 02.01.21</t>
  </si>
  <si>
    <t xml:space="preserve">  03.01.20 - 31.01.21</t>
  </si>
  <si>
    <t>Connecting room (первый-второй pax  в номере)</t>
  </si>
  <si>
    <t>Connecting Room (третий-шестой pax в номере)</t>
  </si>
  <si>
    <t>В номере DBL STD разрешается размещение 3 взр, в номере Connecting Room от 4 до 6 взр (это 2 смежных номера)</t>
  </si>
  <si>
    <t>1-й CHD + 2 взр (от 2 до 13 лет)</t>
  </si>
  <si>
    <t>2-й CHD + 2 взр (от 2 до 13 лет)</t>
  </si>
  <si>
    <t>Max размещение в номерах Superior и Superior Ocean View 3 взр или 2 взр+1 реб,  в номере JR Suite 3 взр, 2 взр+1 реб</t>
  </si>
  <si>
    <t>DBL ROC PLUS</t>
  </si>
  <si>
    <t>SGL ROC PLUS</t>
  </si>
  <si>
    <t>ВНИМАНИЕ!!!! 1 ребенок+1 взрослый рассчитывается, как SGL</t>
  </si>
  <si>
    <t xml:space="preserve">Barlovento </t>
  </si>
  <si>
    <t>Максимальное размещение: 2 взр</t>
  </si>
  <si>
    <t>Roc</t>
  </si>
  <si>
    <t>Playa Caleta)</t>
  </si>
  <si>
    <t>Roc Varadero (ex Puntarena-</t>
  </si>
  <si>
    <t xml:space="preserve">EXTRA BED </t>
  </si>
  <si>
    <t>DBL  ROC PLUS</t>
  </si>
  <si>
    <t>SGL  ROC PLUS</t>
  </si>
  <si>
    <t>Максимальное размещение: 3 взр или 2 взр+1  реб</t>
  </si>
  <si>
    <t>Максимальное размещение: 3 взр или 2 взр+1 реб</t>
  </si>
  <si>
    <t>Be Live Experience Las Morlas</t>
  </si>
  <si>
    <t xml:space="preserve">   22.12.20 - 01.01.21</t>
  </si>
  <si>
    <t xml:space="preserve">  02.01.20 - 31.01.21</t>
  </si>
  <si>
    <t>24,25,31.12.</t>
  </si>
  <si>
    <t>ПРИ РАННЕМ БРОНИРОВАНИИ за 40 дней до заезда и ранее скидка 20%</t>
  </si>
  <si>
    <t>ПРИ РАННЕМ БРОНИРОВАНИИ за 15 дней до заезда и ранее скидка 15%</t>
  </si>
  <si>
    <t xml:space="preserve">Valentin El Patriarca </t>
  </si>
  <si>
    <t>(ex.Ocean Varadero el Patriarca)</t>
  </si>
  <si>
    <t>В номерах зоны Privilege max размещение 2 чел</t>
  </si>
  <si>
    <t xml:space="preserve">                                                                                                                                                                               </t>
  </si>
  <si>
    <t>STANDARD DBL</t>
  </si>
  <si>
    <t>STANDARD SGL</t>
  </si>
  <si>
    <t>DBL STANDARD</t>
  </si>
  <si>
    <t>SGL STANDARD</t>
  </si>
  <si>
    <t>Максимальное размещение: в номерах Std и Superior 3 взр или 2 взр + 2 реб,в бунгало  3 взр+ 1 реб или 2 взр+2 реб</t>
  </si>
  <si>
    <t>для взрослых 15+</t>
  </si>
  <si>
    <t>Доплата за завтрак 20 долл,за ужин 25 долл, рождественский и новогодний ужины 70 долл</t>
  </si>
  <si>
    <t>Размещение 3 взр только в номерах с террассой, скидка на третьего взрослого 15% от 1/2 DBL</t>
  </si>
  <si>
    <r>
      <t xml:space="preserve">5* (новый отель </t>
    </r>
    <r>
      <rPr>
        <b/>
        <sz val="11"/>
        <color indexed="10"/>
        <rFont val="Arial Cyr"/>
        <family val="0"/>
      </rPr>
      <t>16+</t>
    </r>
    <r>
      <rPr>
        <b/>
        <sz val="11"/>
        <rFont val="Arial Cyr"/>
        <family val="0"/>
      </rPr>
      <t>)</t>
    </r>
  </si>
  <si>
    <t>DBL Junior Suite DELUXE</t>
  </si>
  <si>
    <t>SGL Junior Suite DELUXE</t>
  </si>
  <si>
    <t>DBL Junior Suite PREMIUM</t>
  </si>
  <si>
    <t>SGL Junior Suite PREMIUM</t>
  </si>
  <si>
    <t>Mystique Casa Perla</t>
  </si>
  <si>
    <t>Во  всех категория размещение Max 2 чел. ; В номерах Superior Max 3 чел ( скидка на третьего взрослого 15% от стоимости 1/2 DBL)</t>
  </si>
  <si>
    <t>В Jr Suite размещение max 3 чел , Royal Suite размещение max 2 чел, в Presidential Suite max 4 чел (третий и четвёртый в номере - скидка 15% от 1/2 DBL)</t>
  </si>
  <si>
    <t>Максимальное размещение: 2 взр+1 реб в виллах и 3 взр или 2 взр +1 реб в STD. Скидка на третьего взрослого  15% от 1/2 DBL</t>
  </si>
  <si>
    <t>Максимальное размещение: 3 взр,скидка на третьего взрослого  15% от 1/2 DBL</t>
  </si>
  <si>
    <t>Размещение max 2 взр</t>
  </si>
  <si>
    <t>AL</t>
  </si>
  <si>
    <t>Max размещение 3 взр или 2 взр+2 реб</t>
  </si>
  <si>
    <t xml:space="preserve">на территории </t>
  </si>
  <si>
    <t xml:space="preserve">Starfish Cuatro Palmas </t>
  </si>
  <si>
    <t>виллы</t>
  </si>
  <si>
    <t>Tuxpan</t>
  </si>
  <si>
    <t>CHD + 2 взр (до 12 лет) (с допкроватью)</t>
  </si>
  <si>
    <t xml:space="preserve"> 01.11.20 - 21.12.20</t>
  </si>
  <si>
    <t>01.02.21-04.04.21</t>
  </si>
  <si>
    <t>05.04.21-30.04.21</t>
  </si>
  <si>
    <t>2 CHD + 2 взр (от 2 до 13 лет)</t>
  </si>
  <si>
    <t>ВНИМАНИЕ!!!! 1 или 2 реб+1 взрослый рассчитывается, как SGL</t>
  </si>
  <si>
    <t>DBL  TROPICAL VIEW</t>
  </si>
  <si>
    <t>SGL  TROPICAL VIEW</t>
  </si>
  <si>
    <t>Club Karey 3*</t>
  </si>
  <si>
    <t>BB на завтраках!!!!</t>
  </si>
  <si>
    <t>BB завтраки!!!</t>
  </si>
  <si>
    <t>Без доп кровати ребенок  с 2 взр размещается бесплатно</t>
  </si>
  <si>
    <t>Без доп кровати ребенок с 2 взр размещается бесплатно</t>
  </si>
  <si>
    <t>Максимальное размещение:  в номере с доп кроватью 3 взр+ 1 реб или 2 взр+2 реб , в однокомн. апартаментах 2 взр+1 реб, в двухкомн.- 4 взр+2 реб</t>
  </si>
  <si>
    <t>Доплата за ужин 15 долл с человека</t>
  </si>
  <si>
    <t xml:space="preserve">Trinidad 500 </t>
  </si>
  <si>
    <t>Finca Ma Dolores</t>
  </si>
  <si>
    <t>DBL BGL</t>
  </si>
  <si>
    <t>SGL BGL</t>
  </si>
  <si>
    <t>Доплата за ужин 9 долл с человека</t>
  </si>
  <si>
    <t>CHD + 2 взр (от 7 до 13 лет)</t>
  </si>
  <si>
    <t>La Calesa или La Ronda</t>
  </si>
  <si>
    <t>Доплата за ужин 20 долл взрослый, 10 долл реб</t>
  </si>
  <si>
    <t xml:space="preserve"> 24,25,31.12.20</t>
  </si>
  <si>
    <t>ПРИ РАННЕМ БРОНИРОВАНИИ за 40 дней до заезда и ранее скидка 25%</t>
  </si>
  <si>
    <t>DBL  BGL</t>
  </si>
  <si>
    <t>Максимальное размещение: 2 взр + 2 реб, доплата за второго реб. С 2-мя взр  50%</t>
  </si>
  <si>
    <t>CHD  + 2 взр (от 2 до 13 лет)</t>
  </si>
  <si>
    <t>*Скидка раннего бронирования для номеров в основной зоне</t>
  </si>
  <si>
    <t>*Скидка раннего бронирования для номеров The Reserve и Royal Servise</t>
  </si>
  <si>
    <t>*Скидка раннего бронирования для виллы ZAIDA</t>
  </si>
  <si>
    <t>ПРИ БРОНИРОВАНИИ ОТЕЛЯ МИНИМУМ ЗА 90 ДНЕЙ ДО ЗАЕЗДА СКИДКА (указана в таблице)   *cкидка раннего бронирования не даётся с доплаты за Sgl!</t>
  </si>
  <si>
    <t xml:space="preserve">SUITE  DBL  </t>
  </si>
  <si>
    <t xml:space="preserve">JR SUITE SANCTUARY  DBL </t>
  </si>
  <si>
    <t>STANDARD OCEAN VIEW  DBL</t>
  </si>
  <si>
    <t xml:space="preserve">SUITE OCEAN VIEW   DBL </t>
  </si>
  <si>
    <t>Grand Aston Cayo Las Brujas</t>
  </si>
  <si>
    <t>Aston</t>
  </si>
  <si>
    <t>GARDEN VIEW  DBL</t>
  </si>
  <si>
    <t>GARDEN VIEW SGL</t>
  </si>
  <si>
    <t>CHD + 2 взр (до 13 лет)</t>
  </si>
  <si>
    <t>OCEAN VIEW DBL</t>
  </si>
  <si>
    <t>OCEAN VIEW SGL</t>
  </si>
  <si>
    <t>ONE -BEDROOM  SUITE DBL</t>
  </si>
  <si>
    <t>ONE -BEDROOM SUITE  SGL</t>
  </si>
  <si>
    <t>FAMILY SUITE DBL</t>
  </si>
  <si>
    <t>Aston Fiesta (зона для взрослых)</t>
  </si>
  <si>
    <t>TWO-BEDROOM SUITE DBL</t>
  </si>
  <si>
    <t>FIESTA GARDEN VIEW  DBL</t>
  </si>
  <si>
    <t>FIESTA GARDEN VIEW SGL</t>
  </si>
  <si>
    <t>FIESTA OCEAN VIEW DBL</t>
  </si>
  <si>
    <t>FIESTA OCEAN VIEW SGL</t>
  </si>
  <si>
    <t>FIESTA POOL ACCESS DBL</t>
  </si>
  <si>
    <t>FIESTA POOL ACCESS   SGL</t>
  </si>
  <si>
    <t>(ex.Sercotel)</t>
  </si>
  <si>
    <t>01.02.21-03.04.21</t>
  </si>
  <si>
    <t>04.04.21-30.04.21</t>
  </si>
  <si>
    <t>Максимальное размещение в зоне Family: 3 взр или 2 взр + 2 реб, в номерах One-bedroom 2 взр+2 реб или 3 взр1 реб, в Family Suite 5 взр или 3 взр+2 реб.</t>
  </si>
  <si>
    <t>Grand Aston Family  (зона для семей)</t>
  </si>
  <si>
    <t>Grand Aston (зона для взрослых)</t>
  </si>
  <si>
    <t>Максимальное размещение в зоне Grand Aston : 3 взр, в номерах Two bedroom 4 взр ;в зоне Aston Fiesta 2 взр</t>
  </si>
  <si>
    <t xml:space="preserve">Playa Vista Azul (ex.Ocean Vista Azul)  </t>
  </si>
  <si>
    <t>Gaviota</t>
  </si>
  <si>
    <t>PREMIUM DBL</t>
  </si>
  <si>
    <t>PREMIUM SGL</t>
  </si>
  <si>
    <t>PREMIUM OCEAN VIEW DBL</t>
  </si>
  <si>
    <t>PREMIUM OCEAN VIEW  SGL</t>
  </si>
  <si>
    <t>PREMIUM OCEAN FRONT  SGL</t>
  </si>
  <si>
    <t>SUITE PLAYA  DBL</t>
  </si>
  <si>
    <t>SUITE PLAYA| SGL</t>
  </si>
  <si>
    <t>Максимум размещения в номерах STD 3 взр или 2 взр+2 реб,в номерах Premium OV и OF 2 взр+1 реб,размещение третьего взр не допускается. В Suite max 2взр</t>
  </si>
  <si>
    <t>*Скидка раннего бронирования для Bungalow Familiar</t>
  </si>
  <si>
    <t>5*(для взрослых от 18 лет)</t>
  </si>
  <si>
    <t>CABANA DELUXE GARDEN VIEW DBL</t>
  </si>
  <si>
    <t>CABANA DELUXE GARDEN VIEW SGL</t>
  </si>
  <si>
    <t>CABANA JR SUITE GARDEN VIEW SGL</t>
  </si>
  <si>
    <t>CABANA JR SUITE GARDEN VIEW DBL</t>
  </si>
  <si>
    <t>CABANA DELUXE OCEAN VIEW DBL</t>
  </si>
  <si>
    <t>CABANA DELUXE OCEAN VIEW SGL</t>
  </si>
  <si>
    <t>CABANA JR SUITE OCEAN VIEW DBL</t>
  </si>
  <si>
    <t>CABANA JR SUITE OCEAN VIEW SGL</t>
  </si>
  <si>
    <t xml:space="preserve">  01.11.20 - 25.12.20</t>
  </si>
  <si>
    <t xml:space="preserve">   26.12.20 - 03.01.21</t>
  </si>
  <si>
    <t xml:space="preserve">доплата за EXB во всех категориях </t>
  </si>
  <si>
    <t>Минимальное бронирование 3 ночи</t>
  </si>
  <si>
    <t>JR SUITE VISTA LAGUNA DBL</t>
  </si>
  <si>
    <t>JR SUITE VISTA SGL</t>
  </si>
  <si>
    <t>GRAND SUITE VISTA   LAGUNA DBL</t>
  </si>
  <si>
    <t>GRAND SUITE VISTA  LAGUNA SGL</t>
  </si>
  <si>
    <t>ПРИ БРОНИРОВАНИИ МИНИМУМ ЗА 30 ДНЕЙ ДО ЗАЕЗДА СКИДКА 15% *cкидка раннего бронирования не даётся с доплаты за Sgl!</t>
  </si>
  <si>
    <t>TRYP DBL</t>
  </si>
  <si>
    <t>TRYP SGL</t>
  </si>
  <si>
    <t>TRYP OCEAN  VIEW DBL</t>
  </si>
  <si>
    <t xml:space="preserve">TRYP OCEAN  VIEW SGL </t>
  </si>
  <si>
    <t>JR SUITE  OCEAN VIEW</t>
  </si>
  <si>
    <t>Во всех категориях номеров максимально размещение 3 взр</t>
  </si>
  <si>
    <t>В категориях номеров Jr Suite  максимально размещение 3 взр или 2 взр+2 реб. В Suite 3 взр или 2 взр+1 реб</t>
  </si>
  <si>
    <t>Во всех категориях номеров максимально размещение 2 взр</t>
  </si>
  <si>
    <t>ROOM  DBL</t>
  </si>
  <si>
    <t>ROOM  SGL</t>
  </si>
  <si>
    <t>ROOM  OCEAN FRONT DBL</t>
  </si>
  <si>
    <t>ROOM  OCEAN FRONT  SGL</t>
  </si>
  <si>
    <t>JR SUITE SEA VIEW DBL</t>
  </si>
  <si>
    <t>JR SUITE SEA VIEW SGL</t>
  </si>
  <si>
    <t>Во всех категориях номеров максимально размещение 2 взр+2 реб. Размещение третьего взрослого не допускается.</t>
  </si>
  <si>
    <t>РОЖДЕСТВЕНСКИЙ и НОВОГОДНИЙ УЖИНЫ НЕ ВКЛЮЧЕНЫ В СТОИМОСТЬ!!! СТОИМОСТЬ УЖИНА 64 долл взрослый , реб 32 долл</t>
  </si>
  <si>
    <t>НОВЫЙ!!!!</t>
  </si>
  <si>
    <t>Во всех категориях номеров максимально разрещение 3 взр или 2 взр+1 реб</t>
  </si>
  <si>
    <t>Во всех категориях номеров максимально разрещение 3 взр или 2 взр+2 реб</t>
  </si>
  <si>
    <t>Strafish Cayo Guillermo</t>
  </si>
  <si>
    <t>OCEAN VIEW  DBL</t>
  </si>
  <si>
    <t>В категориях номеров STD  максимально разрещение 3 взр или 2 взр+2 реб, в бунгало 2 взр</t>
  </si>
  <si>
    <t xml:space="preserve">Минимальное бронирование: 3 ночи. </t>
  </si>
  <si>
    <t xml:space="preserve">STANDARD  DBL </t>
  </si>
  <si>
    <t xml:space="preserve">STANDARD SGL </t>
  </si>
  <si>
    <t>CHD+2 ВЗР (от 2 до 13 лет)</t>
  </si>
  <si>
    <t>STANDARD  SEA VIEW DBL</t>
  </si>
  <si>
    <t>STANDARD SEA VIEW SGL</t>
  </si>
  <si>
    <t>Во всех категориях номеров максимально разрещение 3 взр или  2 взр+2 реб</t>
  </si>
  <si>
    <t>Playa Cayo Coco</t>
  </si>
  <si>
    <t>4+*</t>
  </si>
  <si>
    <t>ПРИ БРОНИРОВАНИИ ОТЕЛЯ МИНИМУМ ЗА 30 ДНЕЙ ДО ЗАЕЗДА СКИДКА 5 долл/взр/ночь</t>
  </si>
  <si>
    <t>Playa Paraiso (ex.Pestana Cayo Coco)</t>
  </si>
  <si>
    <t>Valentin Cayo Cruz</t>
  </si>
  <si>
    <t>DELUXE GARDEN VIEW  DBL</t>
  </si>
  <si>
    <t>JUNIOR SUITE DBL</t>
  </si>
  <si>
    <t>SUITE   DBL</t>
  </si>
  <si>
    <t>IMPERIAL SUITE DBL</t>
  </si>
  <si>
    <t>01.02.21-15.04.21</t>
  </si>
  <si>
    <t>16.04.21-30.04.21</t>
  </si>
  <si>
    <t>DELUXE SGL OCEAN VIEW</t>
  </si>
  <si>
    <t>*Скидка раннего бронирования все типы номеров Royal Service</t>
  </si>
  <si>
    <t>ПРИ БРОНИРОВАНИИ ОТЕЛЯ МИНИМУМ ЗА 30 ДНЕЙ ДО ЗАЕЗДА СКИДКА,FAMILIAR ЗА 90 ДНЕЙ (указана в таблице)  *cкидка раннего бронирования не даётся с доплаты за Sgl!</t>
  </si>
  <si>
    <t>DBL CORAL (для взрослых от 16 лет)</t>
  </si>
  <si>
    <t>JR SUITE DBL CORAL (для взрослых от 16 лет)</t>
  </si>
  <si>
    <t xml:space="preserve">В номерах STD и STD Ocean View max 2 взр+2 реб, 3 взр; в Familiar min 4 pax max 6 pax; в номерах CORAL max 2 взр!  </t>
  </si>
  <si>
    <t>Iberostar</t>
  </si>
  <si>
    <t>Club Atlantico Guardalavaca</t>
  </si>
  <si>
    <t>BB!!!</t>
  </si>
  <si>
    <t xml:space="preserve"> DBL</t>
  </si>
  <si>
    <t xml:space="preserve"> SGL</t>
  </si>
  <si>
    <t>Доплата за ужин 25 долл с человека,13 долл с ребенка</t>
  </si>
  <si>
    <t>Доплата за ужин 20 долл с человека.</t>
  </si>
  <si>
    <t xml:space="preserve">Casa Granda </t>
  </si>
  <si>
    <t>Обязательная доплата 24.12. и 31.12. 32 долл с человека</t>
  </si>
  <si>
    <t>Imperial</t>
  </si>
  <si>
    <t>Доплата за ужин 15 долл</t>
  </si>
  <si>
    <r>
      <t xml:space="preserve">Обязательная доплата 24 и 31 декабря  </t>
    </r>
    <r>
      <rPr>
        <i/>
        <sz val="11"/>
        <rFont val="Arial Cyr"/>
        <family val="0"/>
      </rPr>
      <t xml:space="preserve">15 $ на </t>
    </r>
    <r>
      <rPr>
        <i/>
        <sz val="11"/>
        <rFont val="Arial Cyr"/>
        <family val="2"/>
      </rPr>
      <t xml:space="preserve">человека </t>
    </r>
  </si>
  <si>
    <t>DELUXE LAGUNA EXTRA BED</t>
  </si>
  <si>
    <t>CHD + 2 взр (до 5 лет)</t>
  </si>
  <si>
    <t>CHD + 2 взр (от 5 до 12 лет)</t>
  </si>
  <si>
    <t>DELUXE LAGUNA VIEW DBL</t>
  </si>
  <si>
    <t>DELUXE LAGUNA VIEW SGL</t>
  </si>
  <si>
    <t>DELUXE GARDEN SGL</t>
  </si>
  <si>
    <t xml:space="preserve">Accor                                       </t>
  </si>
  <si>
    <r>
      <t>GOLDEN VILLA (</t>
    </r>
    <r>
      <rPr>
        <b/>
        <sz val="10"/>
        <color indexed="8"/>
        <rFont val="Arial Cyr"/>
        <family val="0"/>
      </rPr>
      <t>за виллу,  4 взр</t>
    </r>
    <r>
      <rPr>
        <sz val="10"/>
        <color indexed="8"/>
        <rFont val="Arial Cyr"/>
        <family val="0"/>
      </rPr>
      <t xml:space="preserve">) </t>
    </r>
  </si>
  <si>
    <t>DELUXE OCEAN FRONT DBL</t>
  </si>
  <si>
    <t>DELUXE OCEAN FRONT SGL</t>
  </si>
  <si>
    <t>ПРИ РАННЕМ БРОНИРОВАНИИ до 31.03. на период с 01.04. по 30.04. скидка 25%</t>
  </si>
  <si>
    <t>BB!!</t>
  </si>
  <si>
    <t>В Jr Suite разрешено размещение max 2 чел, во всех остальных номерах максимально разрещение 2 взр+2 реб или 3 взр+1 реб</t>
  </si>
  <si>
    <t>Доплата за ужин 24 долл взрослый и 13 долл реб</t>
  </si>
  <si>
    <t>01.11.20 - 31.03.21</t>
  </si>
  <si>
    <t>01.04.20-30.04.20</t>
  </si>
  <si>
    <t>Доплата за ROC plus 13 долл/чел/ночь</t>
  </si>
  <si>
    <t xml:space="preserve">  01.11.20 -18.12.20</t>
  </si>
  <si>
    <t xml:space="preserve">   19.12.20 - 05.01.21</t>
  </si>
  <si>
    <t xml:space="preserve">  06.01.21 - 04.04.21</t>
  </si>
  <si>
    <t>05.04.21-31.05.21</t>
  </si>
  <si>
    <t>01.06.21-30.09.21</t>
  </si>
  <si>
    <t>Максимум размещения 2 взр+1 реб до 12 лет.В Ocean Suite 2 взр+2 реб. В вилле 4 взр+1 реб. Стоимость ребенка 95 долл в сутки</t>
  </si>
  <si>
    <t>Стоимость ужина для взр 23 долл, для реб 18 долл</t>
  </si>
  <si>
    <t xml:space="preserve">  01.11.20 - 30.11.20</t>
  </si>
  <si>
    <t>03.01.21-31.01.21</t>
  </si>
  <si>
    <r>
      <t xml:space="preserve">Доплата за номер Ocean View - 25 долл за номер в сутки, за Executive Floor - 63 долл за номер в сутки. </t>
    </r>
    <r>
      <rPr>
        <b/>
        <sz val="11"/>
        <rFont val="Arial Cyr"/>
        <family val="0"/>
      </rPr>
      <t>Доплата за HB 32 долл с человека</t>
    </r>
  </si>
  <si>
    <t xml:space="preserve"> 24,25,31.20</t>
  </si>
  <si>
    <t>04.01.21-31.03.21</t>
  </si>
  <si>
    <t>ПРИ РАННЕМ БРОНИРОВАНИИ за 40 дней до заезда и ранее скидка 35%</t>
  </si>
  <si>
    <t>ПРИ РАННЕМ БРОНИРОВАНИИ за 15 дней до заезда и ранее скидка 25%</t>
  </si>
  <si>
    <t>Доплата за Panoramic View Dbl - 5 $  с человека в сутки</t>
  </si>
  <si>
    <t>Доплата за ужин 25 долл</t>
  </si>
  <si>
    <t>Мах размещение 3 взр или 2 взр+2 реб.</t>
  </si>
  <si>
    <t>Обязательная доплата на даты 24.12. и 31.12. 25 долл с человека</t>
  </si>
  <si>
    <t xml:space="preserve">  24,25,31.12.20</t>
  </si>
  <si>
    <t>22.12.20-03.01.21</t>
  </si>
  <si>
    <t>Доплата за ужин 13 долл</t>
  </si>
  <si>
    <t>ПРИ РАННЕМ БРОНИРОВАНИИ за 40 дней до заезда и ранее скидка 30%</t>
  </si>
  <si>
    <t>ПРИ РАННЕМ БРОНИРОВАНИИ за 15 дней до заезда и ранее скидка 20%</t>
  </si>
  <si>
    <t xml:space="preserve">3* </t>
  </si>
  <si>
    <t>Доплата за номер Superior Room - 13 долл за человека в сутки</t>
  </si>
  <si>
    <t>ВНИМАНИЕ!!!! 1  реб+1 взрослый рассчитывается, как SGL</t>
  </si>
  <si>
    <t xml:space="preserve">  01.11.20 - 22.12.20</t>
  </si>
  <si>
    <t xml:space="preserve">  23.12.20-02.01.21</t>
  </si>
  <si>
    <t>22.12.20-02.01.21</t>
  </si>
  <si>
    <t>04.01.21-04.04.21</t>
  </si>
  <si>
    <t>Paseo Habana</t>
  </si>
  <si>
    <t>04.01.21-01.04.21</t>
  </si>
  <si>
    <t>CHD + 2 взр (до 13 лет)   (без допкровати)</t>
  </si>
  <si>
    <t>Muthu Playa Varadero</t>
  </si>
  <si>
    <t xml:space="preserve">Muthu </t>
  </si>
  <si>
    <t>DBL STD PROMO</t>
  </si>
  <si>
    <t>SGL STD PROMO</t>
  </si>
  <si>
    <t xml:space="preserve">EXTRA BED STANDARD PROMO </t>
  </si>
  <si>
    <t>CHD + 2 взр (от 2 до 14 лет)</t>
  </si>
  <si>
    <t>ВНИМАНИЕ!!!!НА НОМЕРА PROMO СКИДКА РАННЕГО БРОНИРОВАНИЯ НЕ ДЕЙСТВУЕТ</t>
  </si>
  <si>
    <t>EP!!! (без питания)</t>
  </si>
  <si>
    <t>01.11.20 - 30.11.20</t>
  </si>
  <si>
    <t>01.12.20- 22.12.20</t>
  </si>
  <si>
    <t>23.12.20 - 05.01.21</t>
  </si>
  <si>
    <t>06.01.21 - 04.04.21</t>
  </si>
  <si>
    <t>05.04.21 - 31.05.21</t>
  </si>
  <si>
    <t>с 01.11.20 по 31.03.21</t>
  </si>
  <si>
    <t>от 2 до 4 ночей скидка 10%</t>
  </si>
  <si>
    <t>от 5 ночей скидка 15%</t>
  </si>
  <si>
    <t>(бронирование до 31.03.21)</t>
  </si>
  <si>
    <t>WINTER OFFER 2020-2021</t>
  </si>
  <si>
    <t>завтраки включены по спецпредложению</t>
  </si>
  <si>
    <t>CHD + 2 взр  (от 2 до 13 лет)</t>
  </si>
  <si>
    <t>Доплата за завтрак 19 долл, за ужин 32 долл</t>
  </si>
  <si>
    <t>Максимальное размещение: 2 взр+2 реб или 3 взр</t>
  </si>
  <si>
    <t>В номерах Cosmos max 2 взр, в остальных категориях максимальное размещение 2 взр+2 реб, 3 взр</t>
  </si>
  <si>
    <t>DBL DELUXE COSMOS PRADO VIEW</t>
  </si>
  <si>
    <t xml:space="preserve">SGL DELUXE COSMOS Prado  VIEW  </t>
  </si>
  <si>
    <t>DBL DELUXE COSMOS  ATLANTIC VIEW</t>
  </si>
  <si>
    <t xml:space="preserve">SGL DELUXE COSMOS  ATLANTIC  VIEW  </t>
  </si>
  <si>
    <t>Доплата за ужин 19 долл</t>
  </si>
  <si>
    <t>Доплата за Superior 32 долл номер/ночь</t>
  </si>
  <si>
    <t>EP!!! (без питания)!!!</t>
  </si>
  <si>
    <t>06.01.21-31.01.21</t>
  </si>
  <si>
    <t xml:space="preserve">  01.12.20 - 05.01.21</t>
  </si>
  <si>
    <t>Доплата за завтрак 7 долл, за ужин 18 долл</t>
  </si>
  <si>
    <t>Доплата за вид на море 13 долл/номер/ночь</t>
  </si>
  <si>
    <t>CHD + 2 взр (до 12 лет)  без дополнительной кровати</t>
  </si>
  <si>
    <t>Обязательная доплата на даты 24.12. и 31.12. 15 долл/чел</t>
  </si>
  <si>
    <r>
      <t xml:space="preserve">Для расчета  необходимо включить стоимость туристический сбор  </t>
    </r>
    <r>
      <rPr>
        <b/>
        <i/>
        <u val="single"/>
        <sz val="14"/>
        <color indexed="10"/>
        <rFont val="Arial Cyr"/>
        <family val="0"/>
      </rPr>
      <t>3</t>
    </r>
    <r>
      <rPr>
        <b/>
        <i/>
        <u val="single"/>
        <sz val="14"/>
        <color indexed="10"/>
        <rFont val="Arial Cyr"/>
        <family val="0"/>
      </rPr>
      <t xml:space="preserve"> долл</t>
    </r>
    <r>
      <rPr>
        <b/>
        <i/>
        <u val="single"/>
        <sz val="14"/>
        <color indexed="12"/>
        <rFont val="Arial Cyr"/>
        <family val="0"/>
      </rPr>
      <t xml:space="preserve"> с человека за весь тур + страховку 1,5 долл  в день </t>
    </r>
  </si>
  <si>
    <t>(бунгало, вторая линия пляжа)</t>
  </si>
  <si>
    <t>BB!!!завтраки</t>
  </si>
  <si>
    <t>EP БЕЗ ПИТАНИЯ!!!</t>
  </si>
  <si>
    <r>
      <t xml:space="preserve">Для расчета  необходимо включить стоимость туристический сбор  </t>
    </r>
    <r>
      <rPr>
        <b/>
        <i/>
        <u val="single"/>
        <sz val="12"/>
        <color indexed="10"/>
        <rFont val="Arial Cyr"/>
        <family val="0"/>
      </rPr>
      <t>3</t>
    </r>
    <r>
      <rPr>
        <b/>
        <i/>
        <u val="single"/>
        <sz val="12"/>
        <color indexed="10"/>
        <rFont val="Arial Cyr"/>
        <family val="0"/>
      </rPr>
      <t xml:space="preserve"> долл</t>
    </r>
    <r>
      <rPr>
        <b/>
        <i/>
        <u val="single"/>
        <sz val="12"/>
        <color indexed="12"/>
        <rFont val="Arial Cyr"/>
        <family val="0"/>
      </rPr>
      <t xml:space="preserve"> с человека за весь тур + страховку 1,5 долл  в день </t>
    </r>
  </si>
  <si>
    <t>EP!!! Без питания</t>
  </si>
  <si>
    <t>CLASSIC PATIO  DBL</t>
  </si>
  <si>
    <t>Gran Hotel Bristol</t>
  </si>
  <si>
    <t>CLASSIC PATIO  SGL</t>
  </si>
  <si>
    <t>LA HABANA CLASSIC ROOM  DBL</t>
  </si>
  <si>
    <t>LA HABANA CLASSIC ROOM  SGL</t>
  </si>
  <si>
    <t>LA HABANA DELUXE ROOM DBL</t>
  </si>
  <si>
    <t>LA HABANA  DELUXE ROOM  SGL</t>
  </si>
  <si>
    <t>LA HABANA GRAN DELUXE ROOM  DBL</t>
  </si>
  <si>
    <t>LA HABANA GRAN DELUXE ROOM  SGL</t>
  </si>
  <si>
    <t>SUITE DELUXE DBL</t>
  </si>
  <si>
    <t>SUITE DELUXE SGL</t>
  </si>
  <si>
    <r>
      <t xml:space="preserve">SUITE PRESIDENCIAL CAPITOLIO </t>
    </r>
    <r>
      <rPr>
        <b/>
        <sz val="10"/>
        <color indexed="10"/>
        <rFont val="Arial Cyr"/>
        <family val="0"/>
      </rPr>
      <t>под запрос!!!</t>
    </r>
  </si>
  <si>
    <t>CHD + 2 взр (от 6 до 13 лет)</t>
  </si>
  <si>
    <t>Доплата за завтрак 32 долл- взрослый и 16 долл реб с 6 до 12 лет. Ребенок до 6 лет завтрак бесплатно</t>
  </si>
  <si>
    <r>
      <t xml:space="preserve">Трансфер групповой отель в Гаване - отель на Кайо Энсеначос - </t>
    </r>
    <r>
      <rPr>
        <b/>
        <i/>
        <sz val="11"/>
        <color indexed="10"/>
        <rFont val="Arial Cyr"/>
        <family val="0"/>
      </rPr>
      <t>35 долл  OW</t>
    </r>
  </si>
  <si>
    <r>
      <t xml:space="preserve">Трансфер групповой отель в Гаване - отель на Кайо Санта Мария  (выезд в 5.00) - </t>
    </r>
    <r>
      <rPr>
        <b/>
        <i/>
        <sz val="11"/>
        <color indexed="10"/>
        <rFont val="Arial Cyr"/>
        <family val="0"/>
      </rPr>
      <t xml:space="preserve">35 долл OW   </t>
    </r>
  </si>
  <si>
    <r>
      <t xml:space="preserve">Трансфер групповой отель на Кайо Санта Мария - отель в Гаване (выезд в 14.00) - </t>
    </r>
    <r>
      <rPr>
        <b/>
        <i/>
        <sz val="11"/>
        <color indexed="10"/>
        <rFont val="Arial Cyr"/>
        <family val="0"/>
      </rPr>
      <t xml:space="preserve">35 долл OW   </t>
    </r>
  </si>
  <si>
    <r>
      <t>Трансферы групповые аэропорт Гаваны - отели Гаваны</t>
    </r>
    <r>
      <rPr>
        <i/>
        <sz val="11"/>
        <color indexed="10"/>
        <rFont val="Arial Cyr"/>
        <family val="2"/>
      </rPr>
      <t xml:space="preserve"> 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rFont val="Arial Cyr"/>
        <family val="0"/>
      </rPr>
      <t>-</t>
    </r>
    <r>
      <rPr>
        <i/>
        <sz val="11"/>
        <color indexed="10"/>
        <rFont val="Arial Cyr"/>
        <family val="2"/>
      </rPr>
      <t xml:space="preserve"> 30 долл </t>
    </r>
    <r>
      <rPr>
        <i/>
        <sz val="11"/>
        <rFont val="Arial Cyr"/>
        <family val="0"/>
      </rPr>
      <t xml:space="preserve">// минивен (3 чел) - </t>
    </r>
    <r>
      <rPr>
        <i/>
        <sz val="11"/>
        <color indexed="10"/>
        <rFont val="Arial Cyr"/>
        <family val="0"/>
      </rPr>
      <t>50 долл</t>
    </r>
    <r>
      <rPr>
        <i/>
        <sz val="11"/>
        <rFont val="Arial Cyr"/>
        <family val="0"/>
      </rPr>
      <t xml:space="preserve"> // минибас (4-8 чел) - </t>
    </r>
    <r>
      <rPr>
        <i/>
        <sz val="11"/>
        <color indexed="10"/>
        <rFont val="Arial Cyr"/>
        <family val="0"/>
      </rPr>
      <t xml:space="preserve">85 долл  </t>
    </r>
  </si>
  <si>
    <r>
      <t xml:space="preserve">Трансферы групповые аэропорт Гаваны - отели Варадеро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- 135 долл </t>
    </r>
    <r>
      <rPr>
        <i/>
        <sz val="11"/>
        <rFont val="Arial Cyr"/>
        <family val="0"/>
      </rPr>
      <t xml:space="preserve">// минивен (3 чел) - </t>
    </r>
    <r>
      <rPr>
        <i/>
        <sz val="11"/>
        <color indexed="10"/>
        <rFont val="Arial Cyr"/>
        <family val="0"/>
      </rPr>
      <t>150</t>
    </r>
    <r>
      <rPr>
        <i/>
        <sz val="11"/>
        <color indexed="10"/>
        <rFont val="Arial Cyr"/>
        <family val="0"/>
      </rPr>
      <t xml:space="preserve"> долл</t>
    </r>
    <r>
      <rPr>
        <i/>
        <sz val="11"/>
        <rFont val="Arial Cyr"/>
        <family val="0"/>
      </rPr>
      <t xml:space="preserve"> // минибас (4-8 чел) - </t>
    </r>
    <r>
      <rPr>
        <i/>
        <sz val="11"/>
        <color indexed="10"/>
        <rFont val="Arial Cyr"/>
        <family val="0"/>
      </rPr>
      <t xml:space="preserve">285 долл  </t>
    </r>
  </si>
  <si>
    <r>
      <t xml:space="preserve">Трансферы групповые отели Варадеро - аэропорт Гаваны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- 135 долл </t>
    </r>
    <r>
      <rPr>
        <i/>
        <sz val="11"/>
        <rFont val="Arial Cyr"/>
        <family val="0"/>
      </rPr>
      <t xml:space="preserve">// минивен (3 чел) - </t>
    </r>
    <r>
      <rPr>
        <i/>
        <sz val="11"/>
        <color indexed="10"/>
        <rFont val="Arial Cyr"/>
        <family val="0"/>
      </rPr>
      <t>150 долл</t>
    </r>
    <r>
      <rPr>
        <i/>
        <sz val="11"/>
        <rFont val="Arial Cyr"/>
        <family val="0"/>
      </rPr>
      <t xml:space="preserve"> // минибас (4-8 чел) - </t>
    </r>
    <r>
      <rPr>
        <i/>
        <sz val="11"/>
        <color indexed="10"/>
        <rFont val="Arial Cyr"/>
        <family val="0"/>
      </rPr>
      <t xml:space="preserve">285 долл  </t>
    </r>
  </si>
  <si>
    <r>
      <t xml:space="preserve">Трансферы групповые отели Гаваны - отели Варадеро </t>
    </r>
    <r>
      <rPr>
        <i/>
        <sz val="11"/>
        <color indexed="10"/>
        <rFont val="Arial Cyr"/>
        <family val="2"/>
      </rPr>
      <t xml:space="preserve">- 20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>- 120 долл</t>
    </r>
    <r>
      <rPr>
        <i/>
        <sz val="11"/>
        <rFont val="Arial Cyr"/>
        <family val="0"/>
      </rPr>
      <t xml:space="preserve"> // минивен (3  чел) - </t>
    </r>
    <r>
      <rPr>
        <i/>
        <sz val="11"/>
        <color indexed="10"/>
        <rFont val="Arial Cyr"/>
        <family val="0"/>
      </rPr>
      <t xml:space="preserve">150 долл </t>
    </r>
    <r>
      <rPr>
        <i/>
        <sz val="11"/>
        <rFont val="Arial Cyr"/>
        <family val="0"/>
      </rPr>
      <t xml:space="preserve">// минибас (4-8 чел) -  </t>
    </r>
    <r>
      <rPr>
        <i/>
        <sz val="11"/>
        <color indexed="10"/>
        <rFont val="Arial Cyr"/>
        <family val="0"/>
      </rPr>
      <t xml:space="preserve">260 долл  </t>
    </r>
  </si>
  <si>
    <t>ПОД ЗАПРОС!!!!!!!!</t>
  </si>
  <si>
    <r>
      <t xml:space="preserve">Трансфер индивидуальный аэропорт Гавана - Хибакоа  такси (1-2 чел.) - </t>
    </r>
    <r>
      <rPr>
        <b/>
        <i/>
        <sz val="11"/>
        <color indexed="10"/>
        <rFont val="Arial Cyr"/>
        <family val="0"/>
      </rPr>
      <t>65 долл</t>
    </r>
    <r>
      <rPr>
        <b/>
        <i/>
        <sz val="11"/>
        <rFont val="Arial Cyr"/>
        <family val="0"/>
      </rPr>
      <t>, минивен (3 чел)</t>
    </r>
    <r>
      <rPr>
        <b/>
        <i/>
        <sz val="11"/>
        <color indexed="10"/>
        <rFont val="Arial Cyr"/>
        <family val="0"/>
      </rPr>
      <t xml:space="preserve"> 80 долл, </t>
    </r>
    <r>
      <rPr>
        <b/>
        <i/>
        <sz val="11"/>
        <rFont val="Arial Cyr"/>
        <family val="0"/>
      </rPr>
      <t xml:space="preserve">минибас (4-8 чел) </t>
    </r>
    <r>
      <rPr>
        <b/>
        <i/>
        <sz val="11"/>
        <color indexed="10"/>
        <rFont val="Arial Cyr"/>
        <family val="0"/>
      </rPr>
      <t xml:space="preserve">125 долл     </t>
    </r>
    <r>
      <rPr>
        <b/>
        <i/>
        <sz val="11"/>
        <rFont val="Arial Cyr"/>
        <family val="0"/>
      </rPr>
      <t xml:space="preserve"> </t>
    </r>
  </si>
  <si>
    <r>
      <t xml:space="preserve">Трансфер индивидуальный аэропорт Гаваны - Пляж Санта Мария такси (1-2 чел.) - </t>
    </r>
    <r>
      <rPr>
        <b/>
        <i/>
        <sz val="11"/>
        <color indexed="10"/>
        <rFont val="Arial Cyr"/>
        <family val="0"/>
      </rPr>
      <t>45</t>
    </r>
    <r>
      <rPr>
        <b/>
        <i/>
        <sz val="11"/>
        <color indexed="10"/>
        <rFont val="Arial Cyr"/>
        <family val="0"/>
      </rPr>
      <t xml:space="preserve">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 xml:space="preserve">60 долл, </t>
    </r>
    <r>
      <rPr>
        <b/>
        <i/>
        <sz val="11"/>
        <rFont val="Arial Cyr"/>
        <family val="0"/>
      </rPr>
      <t>минибас (4-8 чел)</t>
    </r>
    <r>
      <rPr>
        <b/>
        <i/>
        <sz val="11"/>
        <color indexed="10"/>
        <rFont val="Arial Cyr"/>
        <family val="0"/>
      </rPr>
      <t xml:space="preserve"> 90 долл     </t>
    </r>
    <r>
      <rPr>
        <b/>
        <i/>
        <sz val="11"/>
        <rFont val="Arial Cyr"/>
        <family val="0"/>
      </rPr>
      <t xml:space="preserve">  </t>
    </r>
  </si>
  <si>
    <r>
      <t xml:space="preserve">Трансферы а/п Сантьяго - отели Сантьяго (в городе) - такси (1-2 чел) </t>
    </r>
    <r>
      <rPr>
        <b/>
        <i/>
        <sz val="11"/>
        <color indexed="10"/>
        <rFont val="Arial Cyr"/>
        <family val="0"/>
      </rPr>
      <t>30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50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 xml:space="preserve">85 долл </t>
    </r>
  </si>
  <si>
    <r>
      <t xml:space="preserve">Трансферы групповые аэропорт Ольгина - отель на пляже Гуардалавака - </t>
    </r>
    <r>
      <rPr>
        <b/>
        <i/>
        <sz val="11"/>
        <color indexed="10"/>
        <rFont val="Arial Cyr"/>
        <family val="0"/>
      </rPr>
      <t>20 долл</t>
    </r>
    <r>
      <rPr>
        <b/>
        <i/>
        <sz val="11"/>
        <rFont val="Arial Cyr"/>
        <family val="0"/>
      </rPr>
      <t xml:space="preserve">;                                                                                                                                                                      Аэропорт Ольгина - отель в Сантьяго де Куба -такси (1-2 чел) </t>
    </r>
    <r>
      <rPr>
        <b/>
        <i/>
        <sz val="11"/>
        <color indexed="10"/>
        <rFont val="Arial Cyr"/>
        <family val="0"/>
      </rPr>
      <t>120</t>
    </r>
    <r>
      <rPr>
        <b/>
        <i/>
        <sz val="11"/>
        <rFont val="Arial Cyr"/>
        <family val="0"/>
      </rPr>
      <t xml:space="preserve"> долл, минивен (3 чел) </t>
    </r>
    <r>
      <rPr>
        <b/>
        <i/>
        <sz val="11"/>
        <color indexed="10"/>
        <rFont val="Arial Cyr"/>
        <family val="0"/>
      </rPr>
      <t>150</t>
    </r>
    <r>
      <rPr>
        <b/>
        <i/>
        <sz val="11"/>
        <rFont val="Arial Cyr"/>
        <family val="0"/>
      </rPr>
      <t xml:space="preserve"> долл, минибас (5-8 чел) </t>
    </r>
    <r>
      <rPr>
        <b/>
        <i/>
        <sz val="11"/>
        <color indexed="10"/>
        <rFont val="Arial Cyr"/>
        <family val="0"/>
      </rPr>
      <t>230</t>
    </r>
    <r>
      <rPr>
        <b/>
        <i/>
        <sz val="11"/>
        <rFont val="Arial Cyr"/>
        <family val="0"/>
      </rPr>
      <t xml:space="preserve"> долл </t>
    </r>
  </si>
  <si>
    <r>
      <t xml:space="preserve">Трансферы а/п Ольгина - отель на пляже - такси (1-2 чел) </t>
    </r>
    <r>
      <rPr>
        <b/>
        <i/>
        <sz val="11"/>
        <color indexed="10"/>
        <rFont val="Arial Cyr"/>
        <family val="0"/>
      </rPr>
      <t>75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90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115 долл </t>
    </r>
  </si>
  <si>
    <r>
      <t xml:space="preserve">Трансфер аэропорт или отель в Гаване - отель на Кайо Гильермо OW - такси (1-2 чел) </t>
    </r>
    <r>
      <rPr>
        <b/>
        <i/>
        <sz val="11"/>
        <color indexed="10"/>
        <rFont val="Arial Cyr"/>
        <family val="0"/>
      </rPr>
      <t>420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520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 xml:space="preserve">720 долл </t>
    </r>
  </si>
  <si>
    <r>
      <t xml:space="preserve">Трансфер отель на Кайо Гильермо - отель на Варадеро OW - такси (1-2 чел) </t>
    </r>
    <r>
      <rPr>
        <b/>
        <i/>
        <sz val="11"/>
        <color indexed="10"/>
        <rFont val="Arial Cyr"/>
        <family val="0"/>
      </rPr>
      <t>360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460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655 долл </t>
    </r>
  </si>
  <si>
    <r>
      <t xml:space="preserve">Трансфер аэропорт или отель в Гаване - отель на Кайо Круз OW - такси (1-2 чел) </t>
    </r>
    <r>
      <rPr>
        <b/>
        <i/>
        <sz val="11"/>
        <color indexed="10"/>
        <rFont val="Arial Cyr"/>
        <family val="0"/>
      </rPr>
      <t>460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560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 xml:space="preserve">760 долл </t>
    </r>
  </si>
  <si>
    <r>
      <t xml:space="preserve">Трансфер отель на Кайо Круз - отель на Варадеро OW - такси (1-2 чел) </t>
    </r>
    <r>
      <rPr>
        <b/>
        <i/>
        <sz val="11"/>
        <color indexed="10"/>
        <rFont val="Arial Cyr"/>
        <family val="0"/>
      </rPr>
      <t>400</t>
    </r>
    <r>
      <rPr>
        <b/>
        <i/>
        <sz val="11"/>
        <color indexed="10"/>
        <rFont val="Arial Cyr"/>
        <family val="0"/>
      </rPr>
      <t xml:space="preserve">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500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 xml:space="preserve">740 долл </t>
    </r>
  </si>
  <si>
    <r>
      <t xml:space="preserve">Трансфер аэропорт или отель в Гаване - отель на Кайо Коко OW - такси (1-2 чел) </t>
    </r>
    <r>
      <rPr>
        <b/>
        <i/>
        <sz val="11"/>
        <color indexed="10"/>
        <rFont val="Arial Cyr"/>
        <family val="0"/>
      </rPr>
      <t>400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500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 xml:space="preserve">680 долл </t>
    </r>
  </si>
  <si>
    <r>
      <t xml:space="preserve">Трансфер отель на Кайо Коко - отель на Варадеро OW - такси (1-2 чел) </t>
    </r>
    <r>
      <rPr>
        <b/>
        <i/>
        <sz val="11"/>
        <color indexed="10"/>
        <rFont val="Arial Cyr"/>
        <family val="0"/>
      </rPr>
      <t>350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450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 xml:space="preserve">630 долл </t>
    </r>
  </si>
  <si>
    <r>
      <t xml:space="preserve">Трансфер аэропорт или отель в Гаване - отель на Кайо Санта Мария OW - такси (1-2 чел) </t>
    </r>
    <r>
      <rPr>
        <b/>
        <i/>
        <sz val="11"/>
        <color indexed="10"/>
        <rFont val="Arial Cyr"/>
        <family val="0"/>
      </rPr>
      <t>300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400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</si>
  <si>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Санта Мария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 чел) </t>
    </r>
    <r>
      <rPr>
        <b/>
        <i/>
        <sz val="11"/>
        <color indexed="10"/>
        <rFont val="Arial Cyr"/>
        <family val="0"/>
      </rPr>
      <t>350 долл</t>
    </r>
    <r>
      <rPr>
        <b/>
        <i/>
        <sz val="11"/>
        <rFont val="Arial Cyr"/>
        <family val="0"/>
      </rPr>
      <t xml:space="preserve">, минибас (4-8 чел) </t>
    </r>
    <r>
      <rPr>
        <b/>
        <i/>
        <sz val="11"/>
        <color indexed="10"/>
        <rFont val="Arial Cyr"/>
        <family val="0"/>
      </rPr>
      <t>450 долл</t>
    </r>
  </si>
  <si>
    <r>
      <t xml:space="preserve">Трансферы  групповые аэропорт Варадеро - отели Варадеро </t>
    </r>
    <r>
      <rPr>
        <i/>
        <sz val="11"/>
        <color indexed="10"/>
        <rFont val="Arial Cyr"/>
        <family val="0"/>
      </rPr>
      <t>- 15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color indexed="10"/>
        <rFont val="Arial Cyr"/>
        <family val="2"/>
      </rPr>
      <t>- 40 долл</t>
    </r>
    <r>
      <rPr>
        <i/>
        <sz val="11"/>
        <rFont val="Arial Cyr"/>
        <family val="0"/>
      </rPr>
      <t xml:space="preserve"> // минивен (3 чел) - </t>
    </r>
    <r>
      <rPr>
        <i/>
        <sz val="11"/>
        <color indexed="10"/>
        <rFont val="Arial Cyr"/>
        <family val="0"/>
      </rPr>
      <t>55 долл</t>
    </r>
    <r>
      <rPr>
        <i/>
        <sz val="11"/>
        <rFont val="Arial Cyr"/>
        <family val="0"/>
      </rPr>
      <t xml:space="preserve"> // минибас (4-8 чел) - </t>
    </r>
    <r>
      <rPr>
        <i/>
        <sz val="11"/>
        <color indexed="10"/>
        <rFont val="Arial Cyr"/>
        <family val="0"/>
      </rPr>
      <t xml:space="preserve">85 долл   </t>
    </r>
  </si>
  <si>
    <t xml:space="preserve">Внимание! Отель только для взрослых c 18 лет!               </t>
  </si>
  <si>
    <t xml:space="preserve">   22.12.20 - 05.01.21</t>
  </si>
  <si>
    <t xml:space="preserve">  06.01.20 - 15.01.21</t>
  </si>
  <si>
    <t>16.01.21-31.03.21</t>
  </si>
  <si>
    <t xml:space="preserve">Blau Arenal Habana Beach </t>
  </si>
  <si>
    <t>Blau</t>
  </si>
  <si>
    <t>DBL SUPERIOR PLUS</t>
  </si>
  <si>
    <t>SGL SUPERIOR PLUS</t>
  </si>
  <si>
    <t>DBL  JUNIOR SUITE</t>
  </si>
  <si>
    <t>SGL  JUNIOR SUITE</t>
  </si>
  <si>
    <t xml:space="preserve"> 06.01.20 - 15.01.21</t>
  </si>
  <si>
    <t>отель для взрослых от 16 лет</t>
  </si>
  <si>
    <r>
      <rPr>
        <b/>
        <sz val="11"/>
        <color indexed="10"/>
        <rFont val="Arial Cyr"/>
        <family val="0"/>
      </rPr>
      <t xml:space="preserve">Отель только для взрослых от 16 лет! </t>
    </r>
    <r>
      <rPr>
        <i/>
        <sz val="11"/>
        <rFont val="Arial Cyr"/>
        <family val="0"/>
      </rPr>
      <t>Во всех категориях номеров максимально 3 взр</t>
    </r>
  </si>
  <si>
    <t>CHD+2 взр (от 2 до 13 лет)</t>
  </si>
  <si>
    <t xml:space="preserve"> 03.01.20 - 21.01.21</t>
  </si>
  <si>
    <t>22.01.21-31.03.21</t>
  </si>
  <si>
    <t>Grand Muthu Imperial Cayo Guillermo</t>
  </si>
  <si>
    <t>для взрослых от 18 лет</t>
  </si>
  <si>
    <t>Grand Muthu Rainbow Cayo Guillermo</t>
  </si>
  <si>
    <t>LGBT</t>
  </si>
  <si>
    <t>01.02.21-31.0321</t>
  </si>
  <si>
    <t>ПРИ БРОНИРОВАНИИ ОТЕЛЯ ПМИНИМУМ ЗА 90 ДНЕЙ ДО ЗАЕЗДА СКИДКА 10% для PENTHOUSE</t>
  </si>
  <si>
    <t xml:space="preserve">                                                                                                </t>
  </si>
  <si>
    <t>Aston Costa Verde Beach Resort</t>
  </si>
  <si>
    <t xml:space="preserve">Aston </t>
  </si>
  <si>
    <t xml:space="preserve">DBL SUPERIOR  </t>
  </si>
  <si>
    <t xml:space="preserve">SGL SUPERIOR  </t>
  </si>
  <si>
    <t xml:space="preserve">DBL SUPERIOR OCEAN  VIEW </t>
  </si>
  <si>
    <t xml:space="preserve">DBL CLUB ROOM </t>
  </si>
  <si>
    <t>SGL CLUB ROOM</t>
  </si>
  <si>
    <t>ASTON SUITE  DBL</t>
  </si>
  <si>
    <t>В номерах max 2 взр+2 реб, 3 взр+1 реб; в Aston Suite 2взр+1 реб или 3 взр+2 реб</t>
  </si>
  <si>
    <t>ex. Playa Costa Verde</t>
  </si>
  <si>
    <t>CHD + 2 взр (до 12 лет)  (без допкровати)</t>
  </si>
  <si>
    <t>06.01.21-31.03.21</t>
  </si>
  <si>
    <t>01.04.21-12.04.21</t>
  </si>
  <si>
    <t>13.04.21-31.05.21</t>
  </si>
  <si>
    <t xml:space="preserve">OFerta </t>
  </si>
  <si>
    <t xml:space="preserve">  03.01.21 - 31.01.21</t>
  </si>
  <si>
    <t>WNEBB20 до 31.01.21</t>
  </si>
  <si>
    <t>WNEBB20 до 15.01.21</t>
  </si>
  <si>
    <t>STOP ДО ДЕКАБРЯ 21 ГОДА</t>
  </si>
  <si>
    <t>OFERTA!!!</t>
  </si>
  <si>
    <t>OFERTA!!! 201112-W-HVR1</t>
  </si>
  <si>
    <t>Доплата за завтрак 19 долл, за ужин 32 долл,дети 50%</t>
  </si>
  <si>
    <t xml:space="preserve">OFERTA!!! 201112-W-HVR1   </t>
  </si>
  <si>
    <t xml:space="preserve">OFERTA!!! 201112-W-HVR1  </t>
  </si>
  <si>
    <t>Unique Promotion c 22.12.20</t>
  </si>
  <si>
    <t>спецпредложение (размещение c 22.12.)</t>
  </si>
  <si>
    <t>01.11.20-30.04.21</t>
  </si>
  <si>
    <t>Montehermoso</t>
  </si>
  <si>
    <t xml:space="preserve">Palacio San Felipe y Santiago  </t>
  </si>
  <si>
    <t>JR SUITE DBL (в Santa Isabel , в Palacio Cueto,в Montehermoso)</t>
  </si>
  <si>
    <t>JR SUITE SGL (в Santa Isabel ,в Palacio Cueto, в Моntehermoso)</t>
  </si>
  <si>
    <t>SUITE  DBL( в Santa Isabel, в San Felipe)</t>
  </si>
  <si>
    <t>SUITE  SGL ( в Santa Isabel, в San Felipe)</t>
  </si>
  <si>
    <t>Доплата за ужин 38 долл,ребенок 19 долл</t>
  </si>
  <si>
    <t>Доплата за ужин 25 долл, в отеле Terrla 38 доллб ребенок 50%</t>
  </si>
  <si>
    <t>Доплата за ужин 25 доллб ребенок 50%</t>
  </si>
  <si>
    <t>Доплапта за ужин 20 долл, ребенок 50%</t>
  </si>
  <si>
    <t>ЗАКРЫТ!!!!</t>
  </si>
  <si>
    <t>HNC-WIN2021</t>
  </si>
  <si>
    <t>открывается 26 марта 2021</t>
  </si>
  <si>
    <t>BB!!!!</t>
  </si>
  <si>
    <t>BB!!! За номер!!!</t>
  </si>
  <si>
    <t>Ребенок размещается бесплатно, скидка на третьего взрослого 15%</t>
  </si>
  <si>
    <t>Максимальное размещение: в номерах Deluxe Patio и Junior Suite Saratoga 2 взр+1 реб ; в Suite  3 взр или 2 взр+2 реб до 13 лет</t>
  </si>
  <si>
    <t>Раннее бронирование: за 60 дней до заезда и более: Deluxe Patio 258 долл за номер;J Suite Saratoga 333 долл за номер;Suite Prado 620 долл за номер;Capitolio 722 долл за номер;Habana 1030 долл за номер</t>
  </si>
  <si>
    <t>OFERTA!!! 2020RUS5544</t>
  </si>
  <si>
    <t>2020RUS5543 до 31.03.21</t>
  </si>
  <si>
    <t>2020RUS5542 до 31.03.21</t>
  </si>
  <si>
    <t>SPO-1012-1501 до 15.01.21</t>
  </si>
  <si>
    <t xml:space="preserve">  01.11.20 - 28.12.20</t>
  </si>
  <si>
    <t>29.12.20-03.01.21</t>
  </si>
  <si>
    <t>29.12.21-31.01.21</t>
  </si>
  <si>
    <t>OFERTA!!!201208-W-HVR2 на период с 03.01. до 30.04. скадка 40%</t>
  </si>
  <si>
    <t xml:space="preserve">OFERTA!!! 201208-W-HVR2  </t>
  </si>
  <si>
    <t>OFERTA!!!201208-W-HVR2   на период с 03.01. по 31.01. скидка 35%</t>
  </si>
  <si>
    <t>OFERTA!!!201208-W-HVR2   на период с 01.02. по 30.04. скидка 30%</t>
  </si>
  <si>
    <t>OFERTA201208-W-HVR2</t>
  </si>
  <si>
    <t>OFERTA!!!201208-W-HVR2   на период с 03.01. по 31.01. скидка 40%</t>
  </si>
  <si>
    <t>OFERTA!!!201208-W-HVR2   на период с 01.02. по 30.04. скидка 35%</t>
  </si>
  <si>
    <t>OFERTA!!!201208-W-HVR2   на период с 03.01. по 31.03. скидка 30%</t>
  </si>
  <si>
    <t>OFERTA!!!201208-W-HVR2   на период с 01.04. по 30.04. скидка 25%</t>
  </si>
  <si>
    <t>OFERTA!!! 201112-W-HVR1   на период с 01.02. до 30.04. скидка 35%</t>
  </si>
  <si>
    <t>OFERTA!!! 201112-W-HVR1  на номера CORAL LEVEL на период с 01.02. до 30.04. скидка 40%</t>
  </si>
  <si>
    <t>OFERTA 201208-W-HVR2</t>
  </si>
  <si>
    <t>OFERTA!!!201208-W-HVR2   на период с 01.04. по 30.04. скидка 20%</t>
  </si>
  <si>
    <t>OFERTA!!! 201112-W-HVR1  на номера CORAL LEVEL на период с 01.02. до 30.04. скидка 35%</t>
  </si>
  <si>
    <t>2020RUS5901 до 31.03.21</t>
  </si>
  <si>
    <t>2020RUS5901 до 31.03.2021</t>
  </si>
  <si>
    <t>VRV20RUS04</t>
  </si>
  <si>
    <t>Oferta при бронировании до 31.01.</t>
  </si>
  <si>
    <t>2020ALRU0261 до 28.02.21</t>
  </si>
  <si>
    <t xml:space="preserve">  20.01.20 - 31.01.21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</si>
</sst>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#,##0.00&quot;р.&quot;"/>
    <numFmt numFmtId="196" formatCode="#,##0.0_р_.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10"/>
      <name val="Arial Cyr"/>
      <family val="2"/>
    </font>
    <font>
      <b/>
      <i/>
      <sz val="11"/>
      <color indexed="12"/>
      <name val="Arial Cyr"/>
      <family val="2"/>
    </font>
    <font>
      <sz val="11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0"/>
    </font>
    <font>
      <i/>
      <sz val="11"/>
      <color indexed="12"/>
      <name val="Arial Cyr"/>
      <family val="0"/>
    </font>
    <font>
      <sz val="11"/>
      <color indexed="12"/>
      <name val="Arial Cyr"/>
      <family val="2"/>
    </font>
    <font>
      <i/>
      <sz val="11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i/>
      <sz val="11"/>
      <color indexed="8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1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2"/>
      <color indexed="12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i/>
      <sz val="18"/>
      <color indexed="48"/>
      <name val="Arial Cyr"/>
      <family val="0"/>
    </font>
    <font>
      <b/>
      <i/>
      <sz val="11"/>
      <color indexed="48"/>
      <name val="Arial Cyr"/>
      <family val="0"/>
    </font>
    <font>
      <b/>
      <sz val="12"/>
      <color indexed="10"/>
      <name val="Arial Cyr"/>
      <family val="0"/>
    </font>
    <font>
      <b/>
      <i/>
      <sz val="16"/>
      <color indexed="12"/>
      <name val="Arial Cyr"/>
      <family val="0"/>
    </font>
    <font>
      <sz val="11"/>
      <color indexed="10"/>
      <name val="Arial Cyr"/>
      <family val="2"/>
    </font>
    <font>
      <i/>
      <sz val="11"/>
      <color indexed="48"/>
      <name val="Arial Cyr"/>
      <family val="0"/>
    </font>
    <font>
      <b/>
      <i/>
      <sz val="18"/>
      <color indexed="10"/>
      <name val="Arial Cyr"/>
      <family val="0"/>
    </font>
    <font>
      <b/>
      <sz val="12"/>
      <color indexed="12"/>
      <name val="Arial Cyr"/>
      <family val="2"/>
    </font>
    <font>
      <b/>
      <sz val="11"/>
      <color indexed="48"/>
      <name val="Arial Cyr"/>
      <family val="0"/>
    </font>
    <font>
      <b/>
      <i/>
      <sz val="12"/>
      <name val="Arial Cyr"/>
      <family val="2"/>
    </font>
    <font>
      <b/>
      <i/>
      <sz val="12"/>
      <color indexed="10"/>
      <name val="Arial Cyr"/>
      <family val="0"/>
    </font>
    <font>
      <b/>
      <i/>
      <u val="single"/>
      <sz val="12"/>
      <name val="Arial Cyr"/>
      <family val="2"/>
    </font>
    <font>
      <b/>
      <i/>
      <sz val="11"/>
      <color indexed="30"/>
      <name val="Arial Cyr"/>
      <family val="0"/>
    </font>
    <font>
      <i/>
      <sz val="11"/>
      <color indexed="3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2"/>
      <color indexed="18"/>
      <name val="Arial Cyr"/>
      <family val="0"/>
    </font>
    <font>
      <b/>
      <sz val="12"/>
      <color indexed="8"/>
      <name val="Arial Cyr"/>
      <family val="2"/>
    </font>
    <font>
      <sz val="12"/>
      <color indexed="8"/>
      <name val="Arial Cyr"/>
      <family val="0"/>
    </font>
    <font>
      <b/>
      <sz val="15"/>
      <name val="Arial Cyr"/>
      <family val="0"/>
    </font>
    <font>
      <b/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 Cyr"/>
      <family val="0"/>
    </font>
    <font>
      <u val="single"/>
      <sz val="7.5"/>
      <color indexed="12"/>
      <name val="Arial Cyr"/>
      <family val="0"/>
    </font>
    <font>
      <b/>
      <i/>
      <u val="single"/>
      <sz val="12"/>
      <color indexed="12"/>
      <name val="Arial Cyr"/>
      <family val="0"/>
    </font>
    <font>
      <sz val="14"/>
      <name val="Arial Cyr"/>
      <family val="0"/>
    </font>
    <font>
      <b/>
      <i/>
      <u val="single"/>
      <sz val="14"/>
      <color indexed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2"/>
      <color indexed="10"/>
      <name val="Arial Cyr"/>
      <family val="0"/>
    </font>
    <font>
      <u val="single"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4"/>
      <color indexed="12"/>
      <name val="Calibri"/>
      <family val="2"/>
    </font>
    <font>
      <b/>
      <sz val="14"/>
      <color indexed="12"/>
      <name val="Calibri"/>
      <family val="2"/>
    </font>
    <font>
      <b/>
      <i/>
      <sz val="16"/>
      <color indexed="10"/>
      <name val="Arial Cyr"/>
      <family val="2"/>
    </font>
    <font>
      <b/>
      <sz val="11"/>
      <color indexed="12"/>
      <name val="Calibri"/>
      <family val="2"/>
    </font>
    <font>
      <b/>
      <sz val="9"/>
      <color indexed="10"/>
      <name val="Arial Cyr"/>
      <family val="2"/>
    </font>
    <font>
      <b/>
      <u val="single"/>
      <sz val="14"/>
      <color indexed="12"/>
      <name val="Calibri"/>
      <family val="2"/>
    </font>
    <font>
      <b/>
      <i/>
      <u val="single"/>
      <sz val="14"/>
      <color indexed="12"/>
      <name val="Calibri"/>
      <family val="2"/>
    </font>
    <font>
      <b/>
      <i/>
      <sz val="14"/>
      <color indexed="12"/>
      <name val="Arial Cyr"/>
      <family val="2"/>
    </font>
    <font>
      <sz val="14"/>
      <color indexed="12"/>
      <name val="Arial Cyr"/>
      <family val="0"/>
    </font>
    <font>
      <sz val="14"/>
      <color indexed="12"/>
      <name val="Calibri"/>
      <family val="2"/>
    </font>
    <font>
      <b/>
      <sz val="11"/>
      <color indexed="10"/>
      <name val="Calibri"/>
      <family val="2"/>
    </font>
    <font>
      <sz val="10"/>
      <color indexed="12"/>
      <name val="Arial Cyr"/>
      <family val="0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30"/>
      <name val="Arial Cyr"/>
      <family val="0"/>
    </font>
    <font>
      <b/>
      <sz val="11"/>
      <color indexed="30"/>
      <name val="Arial Cyr"/>
      <family val="2"/>
    </font>
    <font>
      <sz val="10"/>
      <color indexed="10"/>
      <name val="Arial Cyr"/>
      <family val="0"/>
    </font>
    <font>
      <b/>
      <i/>
      <u val="single"/>
      <sz val="12"/>
      <color indexed="12"/>
      <name val="Calibri"/>
      <family val="2"/>
    </font>
    <font>
      <b/>
      <sz val="10"/>
      <color indexed="30"/>
      <name val="Arial"/>
      <family val="2"/>
    </font>
    <font>
      <i/>
      <sz val="11"/>
      <name val="Calibri"/>
      <family val="2"/>
    </font>
    <font>
      <i/>
      <sz val="10"/>
      <color indexed="8"/>
      <name val="Arial Cyr"/>
      <family val="0"/>
    </font>
    <font>
      <b/>
      <sz val="11"/>
      <color indexed="30"/>
      <name val="Calibri"/>
      <family val="2"/>
    </font>
    <font>
      <b/>
      <sz val="11"/>
      <color indexed="40"/>
      <name val="Arial Cyr"/>
      <family val="0"/>
    </font>
    <font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56"/>
      <name val="Arial Cyr"/>
      <family val="0"/>
    </font>
    <font>
      <sz val="11"/>
      <color indexed="56"/>
      <name val="Arial Cyr"/>
      <family val="2"/>
    </font>
    <font>
      <b/>
      <i/>
      <sz val="18"/>
      <color indexed="14"/>
      <name val="Arial Cyr"/>
      <family val="0"/>
    </font>
    <font>
      <sz val="18"/>
      <color indexed="14"/>
      <name val="Calibri"/>
      <family val="2"/>
    </font>
    <font>
      <sz val="11"/>
      <color indexed="14"/>
      <name val="Calibri"/>
      <family val="2"/>
    </font>
    <font>
      <sz val="11"/>
      <color indexed="14"/>
      <name val="Arial Cyr"/>
      <family val="0"/>
    </font>
    <font>
      <sz val="10"/>
      <color indexed="14"/>
      <name val="Arial Cyr"/>
      <family val="0"/>
    </font>
    <font>
      <b/>
      <sz val="11"/>
      <color indexed="10"/>
      <name val="Arial"/>
      <family val="2"/>
    </font>
    <font>
      <b/>
      <u val="single"/>
      <sz val="11"/>
      <color indexed="12"/>
      <name val="Calibri"/>
      <family val="2"/>
    </font>
    <font>
      <b/>
      <sz val="20"/>
      <color indexed="56"/>
      <name val="Calibri"/>
      <family val="2"/>
    </font>
    <font>
      <b/>
      <i/>
      <sz val="18"/>
      <color indexed="56"/>
      <name val="Arial Cyr"/>
      <family val="0"/>
    </font>
    <font>
      <b/>
      <i/>
      <sz val="9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i/>
      <sz val="16"/>
      <color rgb="FFFF0000"/>
      <name val="Arial Cyr"/>
      <family val="2"/>
    </font>
    <font>
      <b/>
      <i/>
      <sz val="11"/>
      <color rgb="FFFF0000"/>
      <name val="Arial Cyr"/>
      <family val="2"/>
    </font>
    <font>
      <i/>
      <sz val="11"/>
      <color rgb="FFFF0000"/>
      <name val="Arial Cyr"/>
      <family val="2"/>
    </font>
    <font>
      <b/>
      <sz val="12"/>
      <color rgb="FFFF0000"/>
      <name val="Arial Cyr"/>
      <family val="0"/>
    </font>
    <font>
      <b/>
      <sz val="10"/>
      <color rgb="FF0000FF"/>
      <name val="Arial Cyr"/>
      <family val="0"/>
    </font>
    <font>
      <b/>
      <sz val="11"/>
      <color rgb="FF0000FF"/>
      <name val="Calibri"/>
      <family val="2"/>
    </font>
    <font>
      <b/>
      <sz val="11"/>
      <color rgb="FFFF0000"/>
      <name val="Arial Cyr"/>
      <family val="2"/>
    </font>
    <font>
      <b/>
      <sz val="9"/>
      <color rgb="FFFF0000"/>
      <name val="Arial Cyr"/>
      <family val="2"/>
    </font>
    <font>
      <b/>
      <sz val="10"/>
      <color rgb="FFFF0000"/>
      <name val="Arial Cyr"/>
      <family val="0"/>
    </font>
    <font>
      <b/>
      <u val="single"/>
      <sz val="14"/>
      <color rgb="FF0000FF"/>
      <name val="Calibri"/>
      <family val="2"/>
    </font>
    <font>
      <b/>
      <i/>
      <u val="single"/>
      <sz val="14"/>
      <color rgb="FF0000FF"/>
      <name val="Calibri"/>
      <family val="2"/>
    </font>
    <font>
      <b/>
      <i/>
      <sz val="14"/>
      <color rgb="FF0000FF"/>
      <name val="Arial Cyr"/>
      <family val="2"/>
    </font>
    <font>
      <sz val="14"/>
      <color rgb="FF0000FF"/>
      <name val="Arial Cyr"/>
      <family val="0"/>
    </font>
    <font>
      <sz val="14"/>
      <color rgb="FF0000FF"/>
      <name val="Calibri"/>
      <family val="2"/>
    </font>
    <font>
      <b/>
      <i/>
      <sz val="11"/>
      <color rgb="FF0070C0"/>
      <name val="Arial Cyr"/>
      <family val="0"/>
    </font>
    <font>
      <b/>
      <sz val="11"/>
      <color rgb="FFFF0000"/>
      <name val="Calibri"/>
      <family val="2"/>
    </font>
    <font>
      <i/>
      <sz val="11"/>
      <color rgb="FF0070C0"/>
      <name val="Arial Cyr"/>
      <family val="2"/>
    </font>
    <font>
      <b/>
      <i/>
      <sz val="11"/>
      <color rgb="FF0000FF"/>
      <name val="Arial Cyr"/>
      <family val="0"/>
    </font>
    <font>
      <b/>
      <i/>
      <sz val="12"/>
      <color rgb="FF0000FF"/>
      <name val="Arial Cyr"/>
      <family val="0"/>
    </font>
    <font>
      <sz val="11"/>
      <color rgb="FF0000FF"/>
      <name val="Arial Cyr"/>
      <family val="0"/>
    </font>
    <font>
      <sz val="10"/>
      <color rgb="FF0000FF"/>
      <name val="Arial Cyr"/>
      <family val="0"/>
    </font>
    <font>
      <sz val="11"/>
      <color rgb="FF0000FF"/>
      <name val="Calibri"/>
      <family val="2"/>
    </font>
    <font>
      <b/>
      <sz val="10"/>
      <color rgb="FF0070C0"/>
      <name val="Arial Cyr"/>
      <family val="0"/>
    </font>
    <font>
      <b/>
      <sz val="11"/>
      <color rgb="FF0070C0"/>
      <name val="Arial Cyr"/>
      <family val="2"/>
    </font>
    <font>
      <sz val="11"/>
      <color rgb="FFFF0000"/>
      <name val="Arial Cyr"/>
      <family val="2"/>
    </font>
    <font>
      <sz val="10"/>
      <color rgb="FFFF0000"/>
      <name val="Arial Cyr"/>
      <family val="0"/>
    </font>
    <font>
      <b/>
      <i/>
      <u val="single"/>
      <sz val="12"/>
      <color rgb="FF0000FF"/>
      <name val="Arial Cyr"/>
      <family val="2"/>
    </font>
    <font>
      <b/>
      <i/>
      <u val="single"/>
      <sz val="12"/>
      <color rgb="FF0000FF"/>
      <name val="Calibri"/>
      <family val="2"/>
    </font>
    <font>
      <b/>
      <sz val="11"/>
      <color theme="1"/>
      <name val="Arial Cyr"/>
      <family val="2"/>
    </font>
    <font>
      <i/>
      <sz val="11"/>
      <color theme="1"/>
      <name val="Arial Cyr"/>
      <family val="2"/>
    </font>
    <font>
      <b/>
      <sz val="11"/>
      <color rgb="FF0000FF"/>
      <name val="Arial Cyr"/>
      <family val="0"/>
    </font>
    <font>
      <b/>
      <sz val="11"/>
      <color rgb="FF2C14DC"/>
      <name val="Arial Cyr"/>
      <family val="2"/>
    </font>
    <font>
      <b/>
      <sz val="10"/>
      <color rgb="FF0070C0"/>
      <name val="Arial"/>
      <family val="2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  <font>
      <b/>
      <sz val="11"/>
      <color rgb="FF0070C0"/>
      <name val="Calibri"/>
      <family val="2"/>
    </font>
    <font>
      <b/>
      <sz val="12"/>
      <color rgb="FF0000FF"/>
      <name val="Arial Cyr"/>
      <family val="0"/>
    </font>
    <font>
      <b/>
      <i/>
      <sz val="11"/>
      <color rgb="FF2C14DC"/>
      <name val="Arial Cyr"/>
      <family val="0"/>
    </font>
    <font>
      <sz val="11"/>
      <color rgb="FF2C14DC"/>
      <name val="Arial Cyr"/>
      <family val="0"/>
    </font>
    <font>
      <sz val="11"/>
      <color rgb="FF2C14DC"/>
      <name val="Calibri"/>
      <family val="2"/>
    </font>
    <font>
      <b/>
      <sz val="11"/>
      <color rgb="FF00B0F0"/>
      <name val="Arial Cyr"/>
      <family val="0"/>
    </font>
    <font>
      <sz val="11"/>
      <color rgb="FF002060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rgb="FF002060"/>
      <name val="Arial Cyr"/>
      <family val="0"/>
    </font>
    <font>
      <sz val="11"/>
      <color rgb="FF002060"/>
      <name val="Arial Cyr"/>
      <family val="2"/>
    </font>
    <font>
      <b/>
      <i/>
      <sz val="12"/>
      <color rgb="FFFF0000"/>
      <name val="Arial Cyr"/>
      <family val="0"/>
    </font>
    <font>
      <b/>
      <i/>
      <sz val="18"/>
      <color rgb="FFFF00FF"/>
      <name val="Arial Cyr"/>
      <family val="0"/>
    </font>
    <font>
      <sz val="18"/>
      <color rgb="FFFF00FF"/>
      <name val="Calibri"/>
      <family val="2"/>
    </font>
    <font>
      <sz val="11"/>
      <color rgb="FFFF00FF"/>
      <name val="Calibri"/>
      <family val="2"/>
    </font>
    <font>
      <sz val="11"/>
      <color rgb="FFFF00FF"/>
      <name val="Arial Cyr"/>
      <family val="0"/>
    </font>
    <font>
      <sz val="10"/>
      <color rgb="FFFF00FF"/>
      <name val="Arial Cyr"/>
      <family val="0"/>
    </font>
    <font>
      <b/>
      <sz val="11"/>
      <color rgb="FFFF0000"/>
      <name val="Arial"/>
      <family val="2"/>
    </font>
    <font>
      <b/>
      <u val="single"/>
      <sz val="11"/>
      <color rgb="FF0000FF"/>
      <name val="Calibri"/>
      <family val="2"/>
    </font>
    <font>
      <b/>
      <sz val="20"/>
      <color theme="3"/>
      <name val="Calibri"/>
      <family val="2"/>
    </font>
    <font>
      <b/>
      <i/>
      <sz val="18"/>
      <color rgb="FF002060"/>
      <name val="Arial Cyr"/>
      <family val="0"/>
    </font>
    <font>
      <b/>
      <i/>
      <sz val="9"/>
      <color rgb="FFFF0000"/>
      <name val="Arial Cyr"/>
      <family val="0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117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117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17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17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17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18" fillId="32" borderId="1" applyNumberFormat="0" applyAlignment="0" applyProtection="0"/>
    <xf numFmtId="0" fontId="54" fillId="33" borderId="2" applyNumberFormat="0" applyAlignment="0" applyProtection="0"/>
    <xf numFmtId="0" fontId="54" fillId="33" borderId="2" applyNumberFormat="0" applyAlignment="0" applyProtection="0"/>
    <xf numFmtId="0" fontId="54" fillId="33" borderId="2" applyNumberFormat="0" applyAlignment="0" applyProtection="0"/>
    <xf numFmtId="0" fontId="119" fillId="34" borderId="3" applyNumberFormat="0" applyAlignment="0" applyProtection="0"/>
    <xf numFmtId="0" fontId="55" fillId="35" borderId="4" applyNumberFormat="0" applyAlignment="0" applyProtection="0"/>
    <xf numFmtId="0" fontId="55" fillId="35" borderId="4" applyNumberFormat="0" applyAlignment="0" applyProtection="0"/>
    <xf numFmtId="0" fontId="55" fillId="35" borderId="4" applyNumberFormat="0" applyAlignment="0" applyProtection="0"/>
    <xf numFmtId="0" fontId="120" fillId="34" borderId="1" applyNumberFormat="0" applyAlignment="0" applyProtection="0"/>
    <xf numFmtId="0" fontId="56" fillId="35" borderId="2" applyNumberFormat="0" applyAlignment="0" applyProtection="0"/>
    <xf numFmtId="0" fontId="56" fillId="35" borderId="2" applyNumberFormat="0" applyAlignment="0" applyProtection="0"/>
    <xf numFmtId="0" fontId="56" fillId="35" borderId="2" applyNumberFormat="0" applyAlignment="0" applyProtection="0"/>
    <xf numFmtId="0" fontId="1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2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123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124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5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126" fillId="36" borderId="13" applyNumberFormat="0" applyAlignment="0" applyProtection="0"/>
    <xf numFmtId="0" fontId="61" fillId="37" borderId="14" applyNumberFormat="0" applyAlignment="0" applyProtection="0"/>
    <xf numFmtId="0" fontId="61" fillId="37" borderId="14" applyNumberFormat="0" applyAlignment="0" applyProtection="0"/>
    <xf numFmtId="0" fontId="61" fillId="37" borderId="14" applyNumberFormat="0" applyAlignment="0" applyProtection="0"/>
    <xf numFmtId="0" fontId="1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8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9" fillId="0" borderId="0" applyNumberFormat="0" applyFill="0" applyBorder="0" applyAlignment="0" applyProtection="0"/>
    <xf numFmtId="0" fontId="130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9" fontId="1" fillId="0" borderId="0" applyFont="0" applyFill="0" applyBorder="0" applyAlignment="0" applyProtection="0"/>
    <xf numFmtId="0" fontId="132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1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4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</cellStyleXfs>
  <cellXfs count="1589">
    <xf numFmtId="0" fontId="0" fillId="0" borderId="0" xfId="0" applyFont="1" applyAlignment="1">
      <alignment/>
    </xf>
    <xf numFmtId="1" fontId="34" fillId="46" borderId="0" xfId="105" applyNumberFormat="1" applyFont="1" applyFill="1" applyBorder="1" applyAlignment="1" applyProtection="1">
      <alignment horizontal="center"/>
      <protection hidden="1"/>
    </xf>
    <xf numFmtId="1" fontId="5" fillId="46" borderId="19" xfId="105" applyNumberFormat="1" applyFont="1" applyFill="1" applyBorder="1" applyAlignment="1" applyProtection="1">
      <alignment horizontal="center"/>
      <protection hidden="1"/>
    </xf>
    <xf numFmtId="1" fontId="5" fillId="46" borderId="0" xfId="105" applyNumberFormat="1" applyFont="1" applyFill="1" applyBorder="1" applyAlignment="1" applyProtection="1">
      <alignment horizontal="center"/>
      <protection hidden="1"/>
    </xf>
    <xf numFmtId="1" fontId="5" fillId="46" borderId="20" xfId="105" applyNumberFormat="1" applyFont="1" applyFill="1" applyBorder="1" applyAlignment="1" applyProtection="1">
      <alignment horizontal="center"/>
      <protection hidden="1"/>
    </xf>
    <xf numFmtId="1" fontId="5" fillId="46" borderId="21" xfId="105" applyNumberFormat="1" applyFont="1" applyFill="1" applyBorder="1" applyAlignment="1" applyProtection="1">
      <alignment horizontal="center"/>
      <protection hidden="1"/>
    </xf>
    <xf numFmtId="1" fontId="5" fillId="46" borderId="22" xfId="105" applyNumberFormat="1" applyFont="1" applyFill="1" applyBorder="1" applyAlignment="1" applyProtection="1">
      <alignment horizontal="center"/>
      <protection hidden="1"/>
    </xf>
    <xf numFmtId="1" fontId="5" fillId="46" borderId="23" xfId="105" applyNumberFormat="1" applyFont="1" applyFill="1" applyBorder="1" applyAlignment="1" applyProtection="1">
      <alignment horizontal="center"/>
      <protection hidden="1"/>
    </xf>
    <xf numFmtId="1" fontId="5" fillId="46" borderId="24" xfId="105" applyNumberFormat="1" applyFont="1" applyFill="1" applyBorder="1" applyAlignment="1" applyProtection="1">
      <alignment horizontal="center"/>
      <protection hidden="1"/>
    </xf>
    <xf numFmtId="1" fontId="5" fillId="46" borderId="25" xfId="105" applyNumberFormat="1" applyFont="1" applyFill="1" applyBorder="1" applyAlignment="1" applyProtection="1">
      <alignment horizontal="center"/>
      <protection hidden="1"/>
    </xf>
    <xf numFmtId="0" fontId="23" fillId="46" borderId="21" xfId="105" applyFont="1" applyFill="1" applyBorder="1" applyProtection="1">
      <alignment/>
      <protection hidden="1"/>
    </xf>
    <xf numFmtId="0" fontId="23" fillId="46" borderId="20" xfId="105" applyFont="1" applyFill="1" applyBorder="1" applyProtection="1">
      <alignment/>
      <protection hidden="1"/>
    </xf>
    <xf numFmtId="0" fontId="2" fillId="46" borderId="21" xfId="105" applyFont="1" applyFill="1" applyBorder="1" applyProtection="1">
      <alignment/>
      <protection hidden="1"/>
    </xf>
    <xf numFmtId="0" fontId="2" fillId="46" borderId="22" xfId="105" applyFont="1" applyFill="1" applyBorder="1" applyProtection="1">
      <alignment/>
      <protection hidden="1"/>
    </xf>
    <xf numFmtId="0" fontId="13" fillId="46" borderId="20" xfId="105" applyFont="1" applyFill="1" applyBorder="1" applyAlignment="1" applyProtection="1">
      <alignment horizontal="center"/>
      <protection hidden="1"/>
    </xf>
    <xf numFmtId="0" fontId="13" fillId="46" borderId="0" xfId="105" applyFont="1" applyFill="1" applyBorder="1" applyAlignment="1" applyProtection="1">
      <alignment horizontal="center"/>
      <protection hidden="1"/>
    </xf>
    <xf numFmtId="0" fontId="5" fillId="46" borderId="0" xfId="105" applyFont="1" applyFill="1" applyProtection="1">
      <alignment/>
      <protection hidden="1"/>
    </xf>
    <xf numFmtId="0" fontId="4" fillId="46" borderId="0" xfId="105" applyFont="1" applyFill="1" applyAlignment="1" applyProtection="1">
      <alignment horizontal="center"/>
      <protection hidden="1"/>
    </xf>
    <xf numFmtId="0" fontId="8" fillId="46" borderId="0" xfId="105" applyFont="1" applyFill="1" applyBorder="1" applyAlignment="1" applyProtection="1">
      <alignment horizontal="left"/>
      <protection hidden="1"/>
    </xf>
    <xf numFmtId="0" fontId="25" fillId="46" borderId="19" xfId="105" applyFont="1" applyFill="1" applyBorder="1" applyAlignment="1" applyProtection="1">
      <alignment horizontal="right"/>
      <protection hidden="1"/>
    </xf>
    <xf numFmtId="0" fontId="5" fillId="46" borderId="0" xfId="105" applyFont="1" applyFill="1" applyBorder="1" applyProtection="1">
      <alignment/>
      <protection hidden="1"/>
    </xf>
    <xf numFmtId="0" fontId="5" fillId="46" borderId="20" xfId="105" applyFont="1" applyFill="1" applyBorder="1" applyProtection="1">
      <alignment/>
      <protection hidden="1"/>
    </xf>
    <xf numFmtId="0" fontId="6" fillId="46" borderId="0" xfId="105" applyFont="1" applyFill="1" applyBorder="1" applyAlignment="1" applyProtection="1">
      <alignment horizontal="left"/>
      <protection hidden="1"/>
    </xf>
    <xf numFmtId="0" fontId="17" fillId="46" borderId="0" xfId="105" applyFont="1" applyFill="1" applyBorder="1" applyAlignment="1" applyProtection="1">
      <alignment horizontal="center"/>
      <protection hidden="1"/>
    </xf>
    <xf numFmtId="0" fontId="5" fillId="46" borderId="0" xfId="105" applyFont="1" applyFill="1" applyBorder="1" applyAlignment="1" applyProtection="1">
      <alignment horizontal="center"/>
      <protection hidden="1"/>
    </xf>
    <xf numFmtId="0" fontId="5" fillId="46" borderId="0" xfId="105" applyFont="1" applyFill="1" applyBorder="1" applyAlignment="1" applyProtection="1">
      <alignment horizontal="center" vertical="center"/>
      <protection hidden="1"/>
    </xf>
    <xf numFmtId="0" fontId="2" fillId="46" borderId="20" xfId="105" applyFill="1" applyBorder="1" applyProtection="1">
      <alignment/>
      <protection hidden="1"/>
    </xf>
    <xf numFmtId="0" fontId="12" fillId="46" borderId="26" xfId="105" applyFont="1" applyFill="1" applyBorder="1" applyAlignment="1" applyProtection="1">
      <alignment horizontal="left"/>
      <protection hidden="1"/>
    </xf>
    <xf numFmtId="0" fontId="12" fillId="46" borderId="26" xfId="105" applyFont="1" applyFill="1" applyBorder="1" applyAlignment="1" applyProtection="1">
      <alignment horizontal="center"/>
      <protection hidden="1"/>
    </xf>
    <xf numFmtId="0" fontId="2" fillId="46" borderId="20" xfId="105" applyFont="1" applyFill="1" applyBorder="1" applyProtection="1">
      <alignment/>
      <protection hidden="1"/>
    </xf>
    <xf numFmtId="0" fontId="7" fillId="46" borderId="0" xfId="105" applyFont="1" applyFill="1" applyBorder="1" applyAlignment="1" applyProtection="1">
      <alignment horizontal="left"/>
      <protection hidden="1"/>
    </xf>
    <xf numFmtId="0" fontId="7" fillId="46" borderId="0" xfId="105" applyFont="1" applyFill="1" applyBorder="1" applyAlignment="1" applyProtection="1">
      <alignment horizontal="center"/>
      <protection hidden="1"/>
    </xf>
    <xf numFmtId="0" fontId="6" fillId="46" borderId="19" xfId="105" applyFont="1" applyFill="1" applyBorder="1" applyAlignment="1" applyProtection="1">
      <alignment horizontal="left"/>
      <protection hidden="1"/>
    </xf>
    <xf numFmtId="0" fontId="6" fillId="46" borderId="19" xfId="105" applyFont="1" applyFill="1" applyBorder="1" applyAlignment="1" applyProtection="1">
      <alignment horizontal="center"/>
      <protection hidden="1"/>
    </xf>
    <xf numFmtId="0" fontId="12" fillId="46" borderId="27" xfId="105" applyFont="1" applyFill="1" applyBorder="1" applyProtection="1">
      <alignment/>
      <protection hidden="1"/>
    </xf>
    <xf numFmtId="0" fontId="12" fillId="46" borderId="27" xfId="105" applyFont="1" applyFill="1" applyBorder="1" applyAlignment="1" applyProtection="1">
      <alignment horizontal="center"/>
      <protection hidden="1"/>
    </xf>
    <xf numFmtId="0" fontId="2" fillId="46" borderId="21" xfId="105" applyFont="1" applyFill="1" applyBorder="1" applyAlignment="1" applyProtection="1">
      <alignment horizontal="left"/>
      <protection hidden="1"/>
    </xf>
    <xf numFmtId="0" fontId="2" fillId="46" borderId="21" xfId="105" applyFill="1" applyBorder="1" applyProtection="1">
      <alignment/>
      <protection hidden="1"/>
    </xf>
    <xf numFmtId="0" fontId="2" fillId="46" borderId="22" xfId="105" applyFill="1" applyBorder="1" applyProtection="1">
      <alignment/>
      <protection hidden="1"/>
    </xf>
    <xf numFmtId="0" fontId="6" fillId="46" borderId="0" xfId="105" applyFont="1" applyFill="1" applyBorder="1" applyAlignment="1" applyProtection="1">
      <alignment horizontal="center"/>
      <protection hidden="1"/>
    </xf>
    <xf numFmtId="0" fontId="2" fillId="46" borderId="25" xfId="105" applyFont="1" applyFill="1" applyBorder="1" applyProtection="1">
      <alignment/>
      <protection hidden="1"/>
    </xf>
    <xf numFmtId="0" fontId="5" fillId="46" borderId="19" xfId="105" applyFont="1" applyFill="1" applyBorder="1" applyProtection="1">
      <alignment/>
      <protection hidden="1"/>
    </xf>
    <xf numFmtId="0" fontId="23" fillId="46" borderId="22" xfId="105" applyFont="1" applyFill="1" applyBorder="1" applyProtection="1">
      <alignment/>
      <protection hidden="1"/>
    </xf>
    <xf numFmtId="0" fontId="5" fillId="46" borderId="0" xfId="105" applyFont="1" applyFill="1" applyBorder="1" applyProtection="1">
      <alignment/>
      <protection hidden="1"/>
    </xf>
    <xf numFmtId="0" fontId="23" fillId="46" borderId="0" xfId="105" applyFont="1" applyFill="1" applyBorder="1" applyProtection="1">
      <alignment/>
      <protection hidden="1"/>
    </xf>
    <xf numFmtId="1" fontId="16" fillId="46" borderId="0" xfId="105" applyNumberFormat="1" applyFont="1" applyFill="1" applyBorder="1" applyAlignment="1" applyProtection="1">
      <alignment horizontal="center"/>
      <protection hidden="1"/>
    </xf>
    <xf numFmtId="0" fontId="8" fillId="46" borderId="19" xfId="105" applyFont="1" applyFill="1" applyBorder="1" applyAlignment="1" applyProtection="1">
      <alignment horizontal="left"/>
      <protection hidden="1"/>
    </xf>
    <xf numFmtId="0" fontId="12" fillId="46" borderId="21" xfId="105" applyFont="1" applyFill="1" applyBorder="1" applyAlignment="1" applyProtection="1">
      <alignment horizontal="center"/>
      <protection hidden="1"/>
    </xf>
    <xf numFmtId="0" fontId="12" fillId="47" borderId="21" xfId="105" applyFont="1" applyFill="1" applyBorder="1" applyAlignment="1" applyProtection="1">
      <alignment horizontal="center" vertical="center"/>
      <protection hidden="1"/>
    </xf>
    <xf numFmtId="0" fontId="12" fillId="46" borderId="25" xfId="105" applyFont="1" applyFill="1" applyBorder="1" applyProtection="1">
      <alignment/>
      <protection hidden="1"/>
    </xf>
    <xf numFmtId="0" fontId="2" fillId="46" borderId="0" xfId="105" applyFont="1" applyFill="1" applyBorder="1" applyProtection="1">
      <alignment/>
      <protection hidden="1"/>
    </xf>
    <xf numFmtId="0" fontId="5" fillId="46" borderId="19" xfId="105" applyFont="1" applyFill="1" applyBorder="1" applyProtection="1">
      <alignment/>
      <protection hidden="1"/>
    </xf>
    <xf numFmtId="0" fontId="2" fillId="46" borderId="19" xfId="105" applyFont="1" applyFill="1" applyBorder="1" applyProtection="1">
      <alignment/>
      <protection hidden="1"/>
    </xf>
    <xf numFmtId="0" fontId="17" fillId="46" borderId="0" xfId="105" applyFont="1" applyFill="1" applyBorder="1" applyAlignment="1" applyProtection="1">
      <alignment horizontal="left"/>
      <protection hidden="1"/>
    </xf>
    <xf numFmtId="0" fontId="12" fillId="47" borderId="28" xfId="105" applyFont="1" applyFill="1" applyBorder="1" applyAlignment="1" applyProtection="1">
      <alignment horizontal="center" vertical="center"/>
      <protection hidden="1"/>
    </xf>
    <xf numFmtId="1" fontId="5" fillId="46" borderId="0" xfId="105" applyNumberFormat="1" applyFont="1" applyFill="1" applyBorder="1" applyAlignment="1" applyProtection="1">
      <alignment horizontal="center" vertical="center"/>
      <protection hidden="1"/>
    </xf>
    <xf numFmtId="0" fontId="17" fillId="46" borderId="0" xfId="105" applyFont="1" applyFill="1" applyBorder="1" applyAlignment="1" applyProtection="1">
      <alignment horizontal="left"/>
      <protection hidden="1"/>
    </xf>
    <xf numFmtId="0" fontId="7" fillId="46" borderId="19" xfId="105" applyFont="1" applyFill="1" applyBorder="1" applyAlignment="1" applyProtection="1">
      <alignment/>
      <protection hidden="1"/>
    </xf>
    <xf numFmtId="0" fontId="7" fillId="46" borderId="0" xfId="105" applyFont="1" applyFill="1" applyBorder="1" applyAlignment="1" applyProtection="1">
      <alignment/>
      <protection hidden="1"/>
    </xf>
    <xf numFmtId="0" fontId="17" fillId="46" borderId="29" xfId="105" applyFont="1" applyFill="1" applyBorder="1" applyProtection="1">
      <alignment/>
      <protection hidden="1"/>
    </xf>
    <xf numFmtId="0" fontId="24" fillId="47" borderId="28" xfId="105" applyFont="1" applyFill="1" applyBorder="1" applyAlignment="1" applyProtection="1">
      <alignment horizontal="center" vertical="center"/>
      <protection hidden="1"/>
    </xf>
    <xf numFmtId="0" fontId="5" fillId="46" borderId="0" xfId="105" applyFont="1" applyFill="1" applyAlignment="1" applyProtection="1">
      <alignment horizontal="center" vertical="center"/>
      <protection hidden="1"/>
    </xf>
    <xf numFmtId="0" fontId="12" fillId="46" borderId="27" xfId="105" applyFont="1" applyFill="1" applyBorder="1" applyAlignment="1" applyProtection="1">
      <alignment horizontal="left"/>
      <protection hidden="1"/>
    </xf>
    <xf numFmtId="0" fontId="5" fillId="46" borderId="20" xfId="105" applyFont="1" applyFill="1" applyBorder="1" applyAlignment="1" applyProtection="1">
      <alignment horizontal="center"/>
      <protection hidden="1"/>
    </xf>
    <xf numFmtId="0" fontId="7" fillId="46" borderId="19" xfId="105" applyFont="1" applyFill="1" applyBorder="1" applyAlignment="1" applyProtection="1">
      <alignment horizontal="left"/>
      <protection hidden="1"/>
    </xf>
    <xf numFmtId="0" fontId="12" fillId="46" borderId="27" xfId="105" applyFont="1" applyFill="1" applyBorder="1" applyAlignment="1" applyProtection="1">
      <alignment horizontal="center"/>
      <protection hidden="1"/>
    </xf>
    <xf numFmtId="0" fontId="13" fillId="46" borderId="27" xfId="105" applyFont="1" applyFill="1" applyBorder="1" applyAlignment="1" applyProtection="1">
      <alignment horizontal="center"/>
      <protection hidden="1"/>
    </xf>
    <xf numFmtId="0" fontId="5" fillId="46" borderId="19" xfId="105" applyFont="1" applyFill="1" applyBorder="1" applyAlignment="1" applyProtection="1">
      <alignment horizontal="left"/>
      <protection hidden="1"/>
    </xf>
    <xf numFmtId="0" fontId="2" fillId="46" borderId="21" xfId="105" applyFill="1" applyBorder="1" applyAlignment="1" applyProtection="1">
      <alignment horizontal="left"/>
      <protection hidden="1"/>
    </xf>
    <xf numFmtId="0" fontId="2" fillId="46" borderId="19" xfId="105" applyFont="1" applyFill="1" applyBorder="1" applyAlignment="1" applyProtection="1">
      <alignment horizontal="left"/>
      <protection hidden="1"/>
    </xf>
    <xf numFmtId="0" fontId="11" fillId="46" borderId="19" xfId="105" applyFont="1" applyFill="1" applyBorder="1" applyAlignment="1" applyProtection="1">
      <alignment/>
      <protection hidden="1"/>
    </xf>
    <xf numFmtId="0" fontId="12" fillId="47" borderId="28" xfId="105" applyFont="1" applyFill="1" applyBorder="1" applyAlignment="1" applyProtection="1">
      <alignment horizontal="center" vertical="center"/>
      <protection hidden="1"/>
    </xf>
    <xf numFmtId="0" fontId="7" fillId="46" borderId="19" xfId="105" applyFont="1" applyFill="1" applyBorder="1" applyProtection="1">
      <alignment/>
      <protection hidden="1"/>
    </xf>
    <xf numFmtId="0" fontId="19" fillId="46" borderId="0" xfId="105" applyFont="1" applyFill="1" applyBorder="1" applyProtection="1">
      <alignment/>
      <protection hidden="1"/>
    </xf>
    <xf numFmtId="1" fontId="5" fillId="46" borderId="0" xfId="105" applyNumberFormat="1" applyFont="1" applyFill="1" applyBorder="1" applyAlignment="1" applyProtection="1">
      <alignment horizontal="center"/>
      <protection hidden="1"/>
    </xf>
    <xf numFmtId="0" fontId="7" fillId="46" borderId="0" xfId="105" applyFont="1" applyFill="1" applyBorder="1" applyProtection="1">
      <alignment/>
      <protection hidden="1"/>
    </xf>
    <xf numFmtId="0" fontId="2" fillId="46" borderId="0" xfId="105" applyFont="1" applyFill="1" applyBorder="1" applyAlignment="1" applyProtection="1">
      <alignment horizontal="left"/>
      <protection hidden="1"/>
    </xf>
    <xf numFmtId="0" fontId="2" fillId="46" borderId="24" xfId="105" applyFont="1" applyFill="1" applyBorder="1" applyProtection="1">
      <alignment/>
      <protection hidden="1"/>
    </xf>
    <xf numFmtId="0" fontId="12" fillId="46" borderId="20" xfId="105" applyFont="1" applyFill="1" applyBorder="1" applyAlignment="1" applyProtection="1">
      <alignment horizontal="left"/>
      <protection hidden="1"/>
    </xf>
    <xf numFmtId="0" fontId="7" fillId="46" borderId="30" xfId="105" applyFont="1" applyFill="1" applyBorder="1" applyProtection="1">
      <alignment/>
      <protection hidden="1"/>
    </xf>
    <xf numFmtId="0" fontId="7" fillId="46" borderId="29" xfId="105" applyFont="1" applyFill="1" applyBorder="1" applyProtection="1">
      <alignment/>
      <protection hidden="1"/>
    </xf>
    <xf numFmtId="0" fontId="18" fillId="46" borderId="20" xfId="105" applyFont="1" applyFill="1" applyBorder="1" applyAlignment="1" applyProtection="1">
      <alignment horizontal="center"/>
      <protection hidden="1"/>
    </xf>
    <xf numFmtId="0" fontId="12" fillId="46" borderId="27" xfId="105" applyFont="1" applyFill="1" applyBorder="1" applyAlignment="1" applyProtection="1">
      <alignment horizontal="left"/>
      <protection hidden="1"/>
    </xf>
    <xf numFmtId="0" fontId="12" fillId="46" borderId="24" xfId="105" applyFont="1" applyFill="1" applyBorder="1" applyAlignment="1" applyProtection="1">
      <alignment horizontal="left"/>
      <protection hidden="1"/>
    </xf>
    <xf numFmtId="0" fontId="12" fillId="46" borderId="0" xfId="105" applyFont="1" applyFill="1" applyBorder="1" applyAlignment="1" applyProtection="1">
      <alignment horizontal="center"/>
      <protection hidden="1"/>
    </xf>
    <xf numFmtId="0" fontId="7" fillId="46" borderId="0" xfId="105" applyFont="1" applyFill="1" applyBorder="1" applyAlignment="1" applyProtection="1">
      <alignment/>
      <protection hidden="1"/>
    </xf>
    <xf numFmtId="0" fontId="7" fillId="46" borderId="19" xfId="105" applyFont="1" applyFill="1" applyBorder="1" applyAlignment="1" applyProtection="1">
      <alignment/>
      <protection hidden="1"/>
    </xf>
    <xf numFmtId="0" fontId="12" fillId="46" borderId="0" xfId="105" applyFont="1" applyFill="1" applyBorder="1" applyProtection="1">
      <alignment/>
      <protection hidden="1"/>
    </xf>
    <xf numFmtId="0" fontId="13" fillId="0" borderId="19" xfId="105" applyFont="1" applyBorder="1" applyAlignment="1" applyProtection="1">
      <alignment vertical="center"/>
      <protection hidden="1"/>
    </xf>
    <xf numFmtId="0" fontId="13" fillId="46" borderId="19" xfId="105" applyFont="1" applyFill="1" applyBorder="1" applyAlignment="1" applyProtection="1">
      <alignment vertical="center"/>
      <protection hidden="1"/>
    </xf>
    <xf numFmtId="0" fontId="3" fillId="46" borderId="21" xfId="105" applyFont="1" applyFill="1" applyBorder="1" applyAlignment="1" applyProtection="1">
      <alignment horizontal="center"/>
      <protection hidden="1"/>
    </xf>
    <xf numFmtId="1" fontId="16" fillId="46" borderId="19" xfId="105" applyNumberFormat="1" applyFont="1" applyFill="1" applyBorder="1" applyAlignment="1" applyProtection="1">
      <alignment horizontal="center"/>
      <protection hidden="1"/>
    </xf>
    <xf numFmtId="0" fontId="2" fillId="46" borderId="0" xfId="105" applyFont="1" applyFill="1" applyBorder="1" applyAlignment="1" applyProtection="1">
      <alignment horizontal="center"/>
      <protection hidden="1"/>
    </xf>
    <xf numFmtId="0" fontId="11" fillId="46" borderId="0" xfId="105" applyFont="1" applyFill="1" applyBorder="1" applyAlignment="1" applyProtection="1">
      <alignment horizontal="left"/>
      <protection hidden="1"/>
    </xf>
    <xf numFmtId="0" fontId="5" fillId="46" borderId="0" xfId="105" applyFont="1" applyFill="1" applyBorder="1" applyAlignment="1" applyProtection="1">
      <alignment/>
      <protection hidden="1"/>
    </xf>
    <xf numFmtId="0" fontId="17" fillId="46" borderId="30" xfId="105" applyFont="1" applyFill="1" applyBorder="1" applyAlignment="1" applyProtection="1">
      <alignment horizontal="center"/>
      <protection hidden="1"/>
    </xf>
    <xf numFmtId="0" fontId="17" fillId="46" borderId="19" xfId="105" applyFont="1" applyFill="1" applyBorder="1" applyAlignment="1" applyProtection="1">
      <alignment horizontal="center"/>
      <protection hidden="1"/>
    </xf>
    <xf numFmtId="0" fontId="17" fillId="46" borderId="19" xfId="105" applyFont="1" applyFill="1" applyBorder="1" applyAlignment="1" applyProtection="1">
      <alignment horizontal="left"/>
      <protection hidden="1"/>
    </xf>
    <xf numFmtId="0" fontId="12" fillId="46" borderId="26" xfId="105" applyFont="1" applyFill="1" applyBorder="1" applyProtection="1">
      <alignment/>
      <protection hidden="1"/>
    </xf>
    <xf numFmtId="0" fontId="5" fillId="46" borderId="0" xfId="105" applyNumberFormat="1" applyFont="1" applyFill="1" applyBorder="1" applyAlignment="1" applyProtection="1">
      <alignment horizontal="center"/>
      <protection hidden="1"/>
    </xf>
    <xf numFmtId="1" fontId="7" fillId="46" borderId="0" xfId="105" applyNumberFormat="1" applyFont="1" applyFill="1" applyBorder="1" applyAlignment="1" applyProtection="1">
      <alignment horizontal="center" vertical="center" wrapText="1"/>
      <protection hidden="1"/>
    </xf>
    <xf numFmtId="1" fontId="8" fillId="46" borderId="0" xfId="105" applyNumberFormat="1" applyFont="1" applyFill="1" applyBorder="1" applyAlignment="1" applyProtection="1">
      <alignment horizontal="left" vertical="center" wrapText="1"/>
      <protection hidden="1"/>
    </xf>
    <xf numFmtId="1" fontId="26" fillId="46" borderId="0" xfId="105" applyNumberFormat="1" applyFont="1" applyFill="1" applyBorder="1" applyAlignment="1" applyProtection="1">
      <alignment horizontal="center" vertical="center" wrapText="1"/>
      <protection hidden="1"/>
    </xf>
    <xf numFmtId="0" fontId="27" fillId="46" borderId="19" xfId="105" applyFont="1" applyFill="1" applyBorder="1" applyAlignment="1" applyProtection="1">
      <alignment horizontal="center"/>
      <protection hidden="1"/>
    </xf>
    <xf numFmtId="1" fontId="7" fillId="46" borderId="0" xfId="105" applyNumberFormat="1" applyFont="1" applyFill="1" applyBorder="1" applyAlignment="1" applyProtection="1">
      <alignment horizontal="center"/>
      <protection hidden="1"/>
    </xf>
    <xf numFmtId="0" fontId="7" fillId="46" borderId="22" xfId="105" applyFont="1" applyFill="1" applyBorder="1" applyProtection="1">
      <alignment/>
      <protection hidden="1"/>
    </xf>
    <xf numFmtId="0" fontId="12" fillId="46" borderId="21" xfId="105" applyFont="1" applyFill="1" applyBorder="1" applyProtection="1">
      <alignment/>
      <protection hidden="1"/>
    </xf>
    <xf numFmtId="0" fontId="7" fillId="46" borderId="0" xfId="105" applyFont="1" applyFill="1" applyBorder="1" applyAlignment="1" applyProtection="1">
      <alignment horizontal="left"/>
      <protection hidden="1"/>
    </xf>
    <xf numFmtId="1" fontId="8" fillId="46" borderId="0" xfId="105" applyNumberFormat="1" applyFont="1" applyFill="1" applyBorder="1" applyAlignment="1" applyProtection="1">
      <alignment horizontal="left"/>
      <protection hidden="1"/>
    </xf>
    <xf numFmtId="0" fontId="27" fillId="46" borderId="0" xfId="105" applyFont="1" applyFill="1" applyBorder="1" applyAlignment="1" applyProtection="1">
      <alignment/>
      <protection hidden="1"/>
    </xf>
    <xf numFmtId="0" fontId="4" fillId="46" borderId="19" xfId="105" applyFont="1" applyFill="1" applyBorder="1" applyAlignment="1" applyProtection="1">
      <alignment horizontal="center"/>
      <protection hidden="1"/>
    </xf>
    <xf numFmtId="0" fontId="4" fillId="46" borderId="0" xfId="105" applyFont="1" applyFill="1" applyBorder="1" applyAlignment="1" applyProtection="1">
      <alignment horizontal="center"/>
      <protection hidden="1"/>
    </xf>
    <xf numFmtId="0" fontId="5" fillId="46" borderId="0" xfId="105" applyFont="1" applyFill="1" applyBorder="1" applyAlignment="1" applyProtection="1">
      <alignment/>
      <protection hidden="1"/>
    </xf>
    <xf numFmtId="0" fontId="7" fillId="46" borderId="19" xfId="105" applyFont="1" applyFill="1" applyBorder="1" applyAlignment="1" applyProtection="1">
      <alignment horizontal="left"/>
      <protection hidden="1"/>
    </xf>
    <xf numFmtId="0" fontId="8" fillId="46" borderId="0" xfId="105" applyFont="1" applyFill="1" applyBorder="1" applyAlignment="1" applyProtection="1">
      <alignment horizontal="center"/>
      <protection hidden="1"/>
    </xf>
    <xf numFmtId="0" fontId="23" fillId="46" borderId="23" xfId="105" applyFont="1" applyFill="1" applyBorder="1" applyProtection="1">
      <alignment/>
      <protection hidden="1"/>
    </xf>
    <xf numFmtId="1" fontId="8" fillId="46" borderId="0" xfId="105" applyNumberFormat="1" applyFont="1" applyFill="1" applyBorder="1" applyAlignment="1" applyProtection="1">
      <alignment wrapText="1"/>
      <protection hidden="1"/>
    </xf>
    <xf numFmtId="1" fontId="7" fillId="46" borderId="0" xfId="105" applyNumberFormat="1" applyFont="1" applyFill="1" applyBorder="1" applyAlignment="1" applyProtection="1">
      <alignment horizontal="center" wrapText="1"/>
      <protection hidden="1"/>
    </xf>
    <xf numFmtId="0" fontId="6" fillId="46" borderId="30" xfId="105" applyFont="1" applyFill="1" applyBorder="1" applyAlignment="1" applyProtection="1">
      <alignment/>
      <protection hidden="1"/>
    </xf>
    <xf numFmtId="0" fontId="6" fillId="0" borderId="19" xfId="105" applyFont="1" applyBorder="1" applyAlignment="1" applyProtection="1">
      <alignment/>
      <protection hidden="1"/>
    </xf>
    <xf numFmtId="0" fontId="6" fillId="46" borderId="19" xfId="105" applyFont="1" applyFill="1" applyBorder="1" applyAlignment="1" applyProtection="1">
      <alignment/>
      <protection hidden="1"/>
    </xf>
    <xf numFmtId="0" fontId="2" fillId="46" borderId="0" xfId="105" applyFill="1" applyBorder="1" applyAlignment="1" applyProtection="1">
      <alignment/>
      <protection hidden="1"/>
    </xf>
    <xf numFmtId="0" fontId="2" fillId="46" borderId="20" xfId="105" applyFont="1" applyFill="1" applyBorder="1" applyProtection="1">
      <alignment/>
      <protection hidden="1"/>
    </xf>
    <xf numFmtId="0" fontId="2" fillId="46" borderId="21" xfId="105" applyFont="1" applyFill="1" applyBorder="1" applyProtection="1">
      <alignment/>
      <protection hidden="1"/>
    </xf>
    <xf numFmtId="0" fontId="7" fillId="46" borderId="0" xfId="105" applyFont="1" applyFill="1" applyAlignment="1" applyProtection="1">
      <alignment horizontal="center"/>
      <protection hidden="1"/>
    </xf>
    <xf numFmtId="0" fontId="8" fillId="46" borderId="0" xfId="105" applyFont="1" applyFill="1" applyAlignment="1" applyProtection="1">
      <alignment horizontal="left"/>
      <protection hidden="1"/>
    </xf>
    <xf numFmtId="0" fontId="7" fillId="46" borderId="0" xfId="105" applyFont="1" applyFill="1" applyAlignment="1" applyProtection="1">
      <alignment horizontal="left"/>
      <protection hidden="1"/>
    </xf>
    <xf numFmtId="0" fontId="2" fillId="46" borderId="20" xfId="105" applyFont="1" applyFill="1" applyBorder="1" applyAlignment="1" applyProtection="1">
      <alignment horizontal="left"/>
      <protection hidden="1"/>
    </xf>
    <xf numFmtId="0" fontId="12" fillId="46" borderId="26" xfId="105" applyFont="1" applyFill="1" applyBorder="1" applyAlignment="1" applyProtection="1">
      <alignment horizontal="left"/>
      <protection hidden="1"/>
    </xf>
    <xf numFmtId="0" fontId="2" fillId="46" borderId="0" xfId="105" applyFill="1" applyBorder="1" applyProtection="1">
      <alignment/>
      <protection hidden="1"/>
    </xf>
    <xf numFmtId="0" fontId="2" fillId="46" borderId="19" xfId="105" applyFill="1" applyBorder="1" applyProtection="1">
      <alignment/>
      <protection hidden="1"/>
    </xf>
    <xf numFmtId="0" fontId="23" fillId="46" borderId="25" xfId="105" applyFont="1" applyFill="1" applyBorder="1" applyProtection="1">
      <alignment/>
      <protection hidden="1"/>
    </xf>
    <xf numFmtId="0" fontId="11" fillId="46" borderId="0" xfId="105" applyFont="1" applyFill="1" applyBorder="1" applyAlignment="1" applyProtection="1">
      <alignment horizontal="left"/>
      <protection hidden="1"/>
    </xf>
    <xf numFmtId="0" fontId="23" fillId="46" borderId="24" xfId="105" applyFont="1" applyFill="1" applyBorder="1" applyProtection="1">
      <alignment/>
      <protection hidden="1"/>
    </xf>
    <xf numFmtId="0" fontId="23" fillId="46" borderId="19" xfId="105" applyFont="1" applyFill="1" applyBorder="1" applyProtection="1">
      <alignment/>
      <protection hidden="1"/>
    </xf>
    <xf numFmtId="0" fontId="25" fillId="46" borderId="0" xfId="105" applyFont="1" applyFill="1" applyAlignment="1" applyProtection="1">
      <alignment horizontal="left" wrapText="1"/>
      <protection hidden="1"/>
    </xf>
    <xf numFmtId="0" fontId="2" fillId="46" borderId="0" xfId="105" applyFont="1" applyFill="1" applyBorder="1" applyAlignment="1" applyProtection="1">
      <alignment horizontal="center" vertical="center"/>
      <protection hidden="1"/>
    </xf>
    <xf numFmtId="0" fontId="12" fillId="46" borderId="27" xfId="105" applyFont="1" applyFill="1" applyBorder="1">
      <alignment/>
      <protection/>
    </xf>
    <xf numFmtId="0" fontId="2" fillId="46" borderId="21" xfId="105" applyFont="1" applyFill="1" applyBorder="1">
      <alignment/>
      <protection/>
    </xf>
    <xf numFmtId="0" fontId="12" fillId="46" borderId="27" xfId="105" applyFont="1" applyFill="1" applyBorder="1" applyAlignment="1">
      <alignment horizontal="center"/>
      <protection/>
    </xf>
    <xf numFmtId="0" fontId="22" fillId="46" borderId="27" xfId="105" applyFont="1" applyFill="1" applyBorder="1" applyAlignment="1">
      <alignment horizontal="center"/>
      <protection/>
    </xf>
    <xf numFmtId="0" fontId="2" fillId="46" borderId="21" xfId="105" applyFont="1" applyFill="1" applyBorder="1" applyAlignment="1">
      <alignment horizontal="left"/>
      <protection/>
    </xf>
    <xf numFmtId="0" fontId="2" fillId="46" borderId="21" xfId="105" applyFill="1" applyBorder="1">
      <alignment/>
      <protection/>
    </xf>
    <xf numFmtId="0" fontId="23" fillId="46" borderId="21" xfId="105" applyFont="1" applyFill="1" applyBorder="1">
      <alignment/>
      <protection/>
    </xf>
    <xf numFmtId="0" fontId="2" fillId="46" borderId="22" xfId="105" applyFont="1" applyFill="1" applyBorder="1">
      <alignment/>
      <protection/>
    </xf>
    <xf numFmtId="0" fontId="6" fillId="46" borderId="0" xfId="105" applyFont="1" applyFill="1" applyBorder="1" applyAlignment="1">
      <alignment horizontal="left"/>
      <protection/>
    </xf>
    <xf numFmtId="0" fontId="5" fillId="46" borderId="0" xfId="105" applyFont="1" applyFill="1">
      <alignment/>
      <protection/>
    </xf>
    <xf numFmtId="0" fontId="2" fillId="46" borderId="20" xfId="105" applyFont="1" applyFill="1" applyBorder="1">
      <alignment/>
      <protection/>
    </xf>
    <xf numFmtId="0" fontId="2" fillId="46" borderId="0" xfId="105" applyFont="1" applyFill="1" applyBorder="1">
      <alignment/>
      <protection/>
    </xf>
    <xf numFmtId="0" fontId="5" fillId="46" borderId="0" xfId="105" applyFont="1" applyFill="1" applyBorder="1">
      <alignment/>
      <protection/>
    </xf>
    <xf numFmtId="0" fontId="7" fillId="46" borderId="20" xfId="105" applyFont="1" applyFill="1" applyBorder="1" applyAlignment="1" applyProtection="1">
      <alignment horizontal="left"/>
      <protection hidden="1"/>
    </xf>
    <xf numFmtId="0" fontId="12" fillId="46" borderId="0" xfId="105" applyFont="1" applyFill="1" applyBorder="1" applyAlignment="1" applyProtection="1">
      <alignment horizontal="center"/>
      <protection hidden="1"/>
    </xf>
    <xf numFmtId="0" fontId="8" fillId="46" borderId="0" xfId="105" applyFont="1" applyFill="1" applyAlignment="1">
      <alignment horizontal="left"/>
      <protection/>
    </xf>
    <xf numFmtId="0" fontId="7" fillId="46" borderId="0" xfId="105" applyFont="1" applyFill="1" applyAlignment="1">
      <alignment horizontal="left"/>
      <protection/>
    </xf>
    <xf numFmtId="0" fontId="7" fillId="46" borderId="0" xfId="105" applyFont="1" applyFill="1">
      <alignment/>
      <protection/>
    </xf>
    <xf numFmtId="0" fontId="7" fillId="46" borderId="19" xfId="105" applyFont="1" applyFill="1" applyBorder="1" applyAlignment="1">
      <alignment horizontal="left"/>
      <protection/>
    </xf>
    <xf numFmtId="0" fontId="2" fillId="46" borderId="19" xfId="105" applyFill="1" applyBorder="1">
      <alignment/>
      <protection/>
    </xf>
    <xf numFmtId="0" fontId="7" fillId="46" borderId="30" xfId="105" applyFont="1" applyFill="1" applyBorder="1" applyAlignment="1" applyProtection="1">
      <alignment horizontal="left"/>
      <protection hidden="1"/>
    </xf>
    <xf numFmtId="0" fontId="2" fillId="46" borderId="0" xfId="105" applyFill="1">
      <alignment/>
      <protection/>
    </xf>
    <xf numFmtId="1" fontId="5" fillId="46" borderId="31" xfId="105" applyNumberFormat="1" applyFont="1" applyFill="1" applyBorder="1" applyAlignment="1" applyProtection="1">
      <alignment horizontal="center"/>
      <protection hidden="1"/>
    </xf>
    <xf numFmtId="0" fontId="7" fillId="46" borderId="22" xfId="105" applyFont="1" applyFill="1" applyBorder="1" applyAlignment="1">
      <alignment horizontal="left"/>
      <protection/>
    </xf>
    <xf numFmtId="0" fontId="12" fillId="46" borderId="26" xfId="105" applyFont="1" applyFill="1" applyBorder="1" applyAlignment="1" applyProtection="1">
      <alignment horizontal="center"/>
      <protection hidden="1"/>
    </xf>
    <xf numFmtId="0" fontId="12" fillId="46" borderId="20" xfId="105" applyFont="1" applyFill="1" applyBorder="1" applyAlignment="1" applyProtection="1">
      <alignment horizontal="left"/>
      <protection hidden="1"/>
    </xf>
    <xf numFmtId="0" fontId="17" fillId="46" borderId="22" xfId="105" applyFont="1" applyFill="1" applyBorder="1" applyProtection="1">
      <alignment/>
      <protection hidden="1"/>
    </xf>
    <xf numFmtId="0" fontId="13" fillId="46" borderId="20" xfId="105" applyFont="1" applyFill="1" applyBorder="1" applyProtection="1">
      <alignment/>
      <protection hidden="1"/>
    </xf>
    <xf numFmtId="0" fontId="13" fillId="46" borderId="23" xfId="105" applyFont="1" applyFill="1" applyBorder="1" applyProtection="1">
      <alignment/>
      <protection hidden="1"/>
    </xf>
    <xf numFmtId="0" fontId="0" fillId="46" borderId="0" xfId="0" applyFill="1" applyBorder="1" applyAlignment="1">
      <alignment/>
    </xf>
    <xf numFmtId="0" fontId="0" fillId="46" borderId="19" xfId="0" applyFill="1" applyBorder="1" applyAlignment="1">
      <alignment/>
    </xf>
    <xf numFmtId="0" fontId="24" fillId="46" borderId="26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0" xfId="0" applyFill="1" applyAlignment="1">
      <alignment/>
    </xf>
    <xf numFmtId="0" fontId="17" fillId="46" borderId="32" xfId="105" applyFont="1" applyFill="1" applyBorder="1" applyAlignment="1" applyProtection="1">
      <alignment/>
      <protection hidden="1"/>
    </xf>
    <xf numFmtId="0" fontId="42" fillId="46" borderId="0" xfId="105" applyFont="1" applyFill="1" applyBorder="1" applyAlignment="1" applyProtection="1">
      <alignment horizontal="left"/>
      <protection hidden="1"/>
    </xf>
    <xf numFmtId="0" fontId="5" fillId="46" borderId="0" xfId="0" applyFont="1" applyFill="1" applyAlignment="1">
      <alignment/>
    </xf>
    <xf numFmtId="0" fontId="23" fillId="46" borderId="22" xfId="105" applyFont="1" applyFill="1" applyBorder="1">
      <alignment/>
      <protection/>
    </xf>
    <xf numFmtId="0" fontId="12" fillId="46" borderId="21" xfId="105" applyFont="1" applyFill="1" applyBorder="1" applyAlignment="1" applyProtection="1">
      <alignment horizontal="left"/>
      <protection hidden="1"/>
    </xf>
    <xf numFmtId="0" fontId="12" fillId="46" borderId="0" xfId="105" applyFont="1" applyFill="1" applyBorder="1" applyAlignment="1" applyProtection="1">
      <alignment horizontal="left"/>
      <protection hidden="1"/>
    </xf>
    <xf numFmtId="0" fontId="12" fillId="46" borderId="25" xfId="105" applyFont="1" applyFill="1" applyBorder="1" applyAlignment="1" applyProtection="1">
      <alignment horizontal="left"/>
      <protection hidden="1"/>
    </xf>
    <xf numFmtId="0" fontId="25" fillId="46" borderId="0" xfId="105" applyFont="1" applyFill="1" applyBorder="1" applyProtection="1">
      <alignment/>
      <protection hidden="1"/>
    </xf>
    <xf numFmtId="0" fontId="2" fillId="46" borderId="24" xfId="105" applyFill="1" applyBorder="1" applyProtection="1">
      <alignment/>
      <protection hidden="1"/>
    </xf>
    <xf numFmtId="0" fontId="21" fillId="46" borderId="27" xfId="105" applyFont="1" applyFill="1" applyBorder="1" applyAlignment="1">
      <alignment horizontal="center"/>
      <protection/>
    </xf>
    <xf numFmtId="0" fontId="3" fillId="46" borderId="27" xfId="105" applyFont="1" applyFill="1" applyBorder="1" applyAlignment="1" applyProtection="1">
      <alignment horizontal="center"/>
      <protection hidden="1"/>
    </xf>
    <xf numFmtId="0" fontId="12" fillId="46" borderId="20" xfId="105" applyFont="1" applyFill="1" applyBorder="1" applyAlignment="1" applyProtection="1">
      <alignment horizontal="center"/>
      <protection hidden="1"/>
    </xf>
    <xf numFmtId="0" fontId="21" fillId="46" borderId="20" xfId="105" applyFont="1" applyFill="1" applyBorder="1" applyAlignment="1">
      <alignment horizontal="center"/>
      <protection/>
    </xf>
    <xf numFmtId="0" fontId="2" fillId="46" borderId="23" xfId="105" applyFont="1" applyFill="1" applyBorder="1" applyProtection="1">
      <alignment/>
      <protection hidden="1"/>
    </xf>
    <xf numFmtId="0" fontId="2" fillId="46" borderId="20" xfId="105" applyFill="1" applyBorder="1" applyAlignment="1" applyProtection="1">
      <alignment horizontal="left"/>
      <protection hidden="1"/>
    </xf>
    <xf numFmtId="0" fontId="12" fillId="46" borderId="33" xfId="105" applyFont="1" applyFill="1" applyBorder="1" applyAlignment="1" applyProtection="1">
      <alignment horizontal="center"/>
      <protection hidden="1"/>
    </xf>
    <xf numFmtId="0" fontId="17" fillId="46" borderId="30" xfId="105" applyFont="1" applyFill="1" applyBorder="1" applyProtection="1">
      <alignment/>
      <protection hidden="1"/>
    </xf>
    <xf numFmtId="1" fontId="8" fillId="46" borderId="0" xfId="0" applyNumberFormat="1" applyFont="1" applyFill="1" applyBorder="1" applyAlignment="1">
      <alignment horizontal="left"/>
    </xf>
    <xf numFmtId="0" fontId="0" fillId="46" borderId="0" xfId="0" applyFill="1" applyBorder="1" applyAlignment="1">
      <alignment/>
    </xf>
    <xf numFmtId="0" fontId="12" fillId="46" borderId="0" xfId="105" applyFont="1" applyFill="1" applyBorder="1" applyAlignment="1" applyProtection="1">
      <alignment horizontal="center" vertical="center"/>
      <protection hidden="1"/>
    </xf>
    <xf numFmtId="0" fontId="0" fillId="46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7" fillId="46" borderId="0" xfId="105" applyFont="1" applyFill="1" applyBorder="1" applyAlignment="1" applyProtection="1">
      <alignment horizontal="center"/>
      <protection hidden="1"/>
    </xf>
    <xf numFmtId="0" fontId="11" fillId="46" borderId="34" xfId="105" applyFont="1" applyFill="1" applyBorder="1" applyAlignment="1" applyProtection="1">
      <alignment horizontal="left"/>
      <protection hidden="1"/>
    </xf>
    <xf numFmtId="0" fontId="11" fillId="0" borderId="0" xfId="105" applyFont="1" applyBorder="1" applyAlignment="1" applyProtection="1">
      <alignment horizontal="left"/>
      <protection hidden="1"/>
    </xf>
    <xf numFmtId="0" fontId="25" fillId="46" borderId="0" xfId="105" applyFont="1" applyFill="1" applyBorder="1" applyAlignment="1" applyProtection="1">
      <alignment horizontal="left" wrapText="1"/>
      <protection hidden="1"/>
    </xf>
    <xf numFmtId="0" fontId="7" fillId="46" borderId="0" xfId="105" applyFont="1" applyFill="1" applyBorder="1" applyAlignment="1">
      <alignment horizontal="left"/>
      <protection/>
    </xf>
    <xf numFmtId="0" fontId="12" fillId="46" borderId="24" xfId="105" applyFont="1" applyFill="1" applyBorder="1" applyProtection="1">
      <alignment/>
      <protection hidden="1"/>
    </xf>
    <xf numFmtId="0" fontId="0" fillId="0" borderId="19" xfId="0" applyBorder="1" applyAlignment="1">
      <alignment/>
    </xf>
    <xf numFmtId="0" fontId="10" fillId="46" borderId="0" xfId="105" applyFont="1" applyFill="1" applyBorder="1" applyProtection="1">
      <alignment/>
      <protection hidden="1"/>
    </xf>
    <xf numFmtId="0" fontId="14" fillId="46" borderId="27" xfId="105" applyFont="1" applyFill="1" applyBorder="1" applyProtection="1">
      <alignment/>
      <protection hidden="1"/>
    </xf>
    <xf numFmtId="0" fontId="24" fillId="46" borderId="26" xfId="0" applyFont="1" applyFill="1" applyBorder="1" applyAlignment="1">
      <alignment horizontal="center"/>
    </xf>
    <xf numFmtId="0" fontId="12" fillId="46" borderId="26" xfId="105" applyFont="1" applyFill="1" applyBorder="1" applyAlignment="1" applyProtection="1">
      <alignment horizontal="left" wrapText="1"/>
      <protection hidden="1"/>
    </xf>
    <xf numFmtId="0" fontId="14" fillId="46" borderId="24" xfId="105" applyFont="1" applyFill="1" applyBorder="1" applyProtection="1">
      <alignment/>
      <protection hidden="1"/>
    </xf>
    <xf numFmtId="0" fontId="14" fillId="46" borderId="20" xfId="105" applyFont="1" applyFill="1" applyBorder="1" applyAlignment="1" applyProtection="1">
      <alignment horizontal="center"/>
      <protection hidden="1"/>
    </xf>
    <xf numFmtId="0" fontId="24" fillId="46" borderId="20" xfId="0" applyFont="1" applyFill="1" applyBorder="1" applyAlignment="1">
      <alignment horizontal="center"/>
    </xf>
    <xf numFmtId="0" fontId="14" fillId="46" borderId="20" xfId="105" applyFont="1" applyFill="1" applyBorder="1" applyAlignment="1" applyProtection="1">
      <alignment horizontal="left" vertical="center"/>
      <protection hidden="1"/>
    </xf>
    <xf numFmtId="0" fontId="14" fillId="46" borderId="20" xfId="105" applyFont="1" applyFill="1" applyBorder="1" applyAlignment="1" applyProtection="1">
      <alignment horizontal="center" vertical="center"/>
      <protection hidden="1"/>
    </xf>
    <xf numFmtId="0" fontId="24" fillId="46" borderId="0" xfId="0" applyFont="1" applyFill="1" applyBorder="1" applyAlignment="1">
      <alignment horizontal="center"/>
    </xf>
    <xf numFmtId="0" fontId="12" fillId="46" borderId="0" xfId="105" applyFont="1" applyFill="1" applyBorder="1" applyAlignment="1" applyProtection="1">
      <alignment horizontal="left"/>
      <protection hidden="1"/>
    </xf>
    <xf numFmtId="0" fontId="44" fillId="46" borderId="0" xfId="0" applyFont="1" applyFill="1" applyBorder="1" applyAlignment="1">
      <alignment horizontal="left"/>
    </xf>
    <xf numFmtId="0" fontId="12" fillId="46" borderId="24" xfId="105" applyFont="1" applyFill="1" applyBorder="1">
      <alignment/>
      <protection/>
    </xf>
    <xf numFmtId="0" fontId="2" fillId="46" borderId="25" xfId="105" applyFont="1" applyFill="1" applyBorder="1">
      <alignment/>
      <protection/>
    </xf>
    <xf numFmtId="0" fontId="12" fillId="46" borderId="20" xfId="105" applyFont="1" applyFill="1" applyBorder="1" applyAlignment="1">
      <alignment horizontal="center"/>
      <protection/>
    </xf>
    <xf numFmtId="0" fontId="7" fillId="46" borderId="35" xfId="105" applyFont="1" applyFill="1" applyBorder="1" applyAlignment="1">
      <alignment horizontal="left"/>
      <protection/>
    </xf>
    <xf numFmtId="0" fontId="12" fillId="46" borderId="24" xfId="105" applyFont="1" applyFill="1" applyBorder="1" applyAlignment="1" applyProtection="1">
      <alignment horizontal="left"/>
      <protection hidden="1"/>
    </xf>
    <xf numFmtId="0" fontId="24" fillId="46" borderId="27" xfId="0" applyFont="1" applyFill="1" applyBorder="1" applyAlignment="1">
      <alignment horizontal="center"/>
    </xf>
    <xf numFmtId="0" fontId="20" fillId="46" borderId="25" xfId="105" applyFont="1" applyFill="1" applyBorder="1" applyProtection="1">
      <alignment/>
      <protection hidden="1"/>
    </xf>
    <xf numFmtId="0" fontId="20" fillId="46" borderId="21" xfId="105" applyFont="1" applyFill="1" applyBorder="1" applyProtection="1">
      <alignment/>
      <protection hidden="1"/>
    </xf>
    <xf numFmtId="0" fontId="5" fillId="46" borderId="21" xfId="105" applyFont="1" applyFill="1" applyBorder="1" applyProtection="1">
      <alignment/>
      <protection hidden="1"/>
    </xf>
    <xf numFmtId="0" fontId="22" fillId="46" borderId="26" xfId="0" applyFont="1" applyFill="1" applyBorder="1" applyAlignment="1">
      <alignment horizontal="center"/>
    </xf>
    <xf numFmtId="0" fontId="22" fillId="46" borderId="20" xfId="0" applyFont="1" applyFill="1" applyBorder="1" applyAlignment="1">
      <alignment horizontal="center"/>
    </xf>
    <xf numFmtId="0" fontId="12" fillId="46" borderId="20" xfId="105" applyFont="1" applyFill="1" applyBorder="1" applyProtection="1">
      <alignment/>
      <protection hidden="1"/>
    </xf>
    <xf numFmtId="0" fontId="12" fillId="46" borderId="36" xfId="105" applyFont="1" applyFill="1" applyBorder="1" applyProtection="1">
      <alignment/>
      <protection hidden="1"/>
    </xf>
    <xf numFmtId="0" fontId="12" fillId="46" borderId="37" xfId="105" applyFont="1" applyFill="1" applyBorder="1" applyAlignment="1" applyProtection="1">
      <alignment horizontal="left"/>
      <protection hidden="1"/>
    </xf>
    <xf numFmtId="0" fontId="2" fillId="46" borderId="20" xfId="105" applyFill="1" applyBorder="1">
      <alignment/>
      <protection/>
    </xf>
    <xf numFmtId="0" fontId="12" fillId="46" borderId="20" xfId="105" applyFont="1" applyFill="1" applyBorder="1" applyAlignment="1" applyProtection="1">
      <alignment horizontal="center"/>
      <protection hidden="1"/>
    </xf>
    <xf numFmtId="0" fontId="14" fillId="46" borderId="26" xfId="105" applyFont="1" applyFill="1" applyBorder="1" applyProtection="1">
      <alignment/>
      <protection hidden="1"/>
    </xf>
    <xf numFmtId="0" fontId="14" fillId="46" borderId="26" xfId="105" applyFont="1" applyFill="1" applyBorder="1" applyAlignment="1" applyProtection="1">
      <alignment horizontal="center"/>
      <protection hidden="1"/>
    </xf>
    <xf numFmtId="0" fontId="32" fillId="46" borderId="26" xfId="105" applyFont="1" applyFill="1" applyBorder="1" applyAlignment="1" applyProtection="1">
      <alignment horizontal="center"/>
      <protection hidden="1"/>
    </xf>
    <xf numFmtId="0" fontId="6" fillId="46" borderId="34" xfId="105" applyFont="1" applyFill="1" applyBorder="1" applyAlignment="1" applyProtection="1">
      <alignment horizontal="left"/>
      <protection hidden="1"/>
    </xf>
    <xf numFmtId="0" fontId="19" fillId="46" borderId="20" xfId="105" applyFont="1" applyFill="1" applyBorder="1" applyAlignment="1" applyProtection="1">
      <alignment horizontal="left"/>
      <protection hidden="1"/>
    </xf>
    <xf numFmtId="0" fontId="2" fillId="46" borderId="28" xfId="105" applyFont="1" applyFill="1" applyBorder="1" applyProtection="1">
      <alignment/>
      <protection hidden="1"/>
    </xf>
    <xf numFmtId="0" fontId="2" fillId="46" borderId="0" xfId="105" applyFill="1" applyBorder="1">
      <alignment/>
      <protection/>
    </xf>
    <xf numFmtId="0" fontId="4" fillId="46" borderId="0" xfId="105" applyFont="1" applyFill="1" applyBorder="1" applyAlignment="1" applyProtection="1">
      <alignment/>
      <protection hidden="1"/>
    </xf>
    <xf numFmtId="0" fontId="7" fillId="46" borderId="29" xfId="105" applyFont="1" applyFill="1" applyBorder="1" applyAlignment="1" applyProtection="1">
      <alignment horizontal="left"/>
      <protection hidden="1"/>
    </xf>
    <xf numFmtId="0" fontId="2" fillId="46" borderId="21" xfId="0" applyFont="1" applyFill="1" applyBorder="1" applyAlignment="1">
      <alignment/>
    </xf>
    <xf numFmtId="0" fontId="2" fillId="46" borderId="20" xfId="0" applyFont="1" applyFill="1" applyBorder="1" applyAlignment="1">
      <alignment/>
    </xf>
    <xf numFmtId="0" fontId="23" fillId="46" borderId="21" xfId="0" applyFont="1" applyFill="1" applyBorder="1" applyAlignment="1">
      <alignment/>
    </xf>
    <xf numFmtId="0" fontId="2" fillId="46" borderId="23" xfId="0" applyFont="1" applyFill="1" applyBorder="1" applyAlignment="1">
      <alignment/>
    </xf>
    <xf numFmtId="0" fontId="2" fillId="46" borderId="31" xfId="105" applyFill="1" applyBorder="1" applyProtection="1">
      <alignment/>
      <protection hidden="1"/>
    </xf>
    <xf numFmtId="0" fontId="12" fillId="46" borderId="21" xfId="105" applyFont="1" applyFill="1" applyBorder="1" applyAlignment="1">
      <alignment horizontal="left"/>
      <protection/>
    </xf>
    <xf numFmtId="0" fontId="12" fillId="46" borderId="21" xfId="105" applyFont="1" applyFill="1" applyBorder="1" applyAlignment="1">
      <alignment horizontal="center"/>
      <protection/>
    </xf>
    <xf numFmtId="0" fontId="3" fillId="46" borderId="20" xfId="105" applyFont="1" applyFill="1" applyBorder="1" applyAlignment="1" applyProtection="1">
      <alignment horizontal="center"/>
      <protection hidden="1"/>
    </xf>
    <xf numFmtId="0" fontId="2" fillId="46" borderId="25" xfId="105" applyFill="1" applyBorder="1" applyProtection="1">
      <alignment/>
      <protection hidden="1"/>
    </xf>
    <xf numFmtId="0" fontId="2" fillId="46" borderId="38" xfId="105" applyFill="1" applyBorder="1" applyAlignment="1" applyProtection="1">
      <alignment horizontal="left"/>
      <protection hidden="1"/>
    </xf>
    <xf numFmtId="0" fontId="2" fillId="46" borderId="0" xfId="105" applyFill="1" applyBorder="1" applyAlignment="1" applyProtection="1">
      <alignment horizontal="left"/>
      <protection hidden="1"/>
    </xf>
    <xf numFmtId="0" fontId="7" fillId="46" borderId="21" xfId="105" applyFont="1" applyFill="1" applyBorder="1" applyAlignment="1">
      <alignment horizontal="left"/>
      <protection/>
    </xf>
    <xf numFmtId="0" fontId="2" fillId="46" borderId="25" xfId="105" applyFill="1" applyBorder="1" applyAlignment="1" applyProtection="1">
      <alignment horizontal="left"/>
      <protection hidden="1"/>
    </xf>
    <xf numFmtId="0" fontId="7" fillId="46" borderId="20" xfId="105" applyFont="1" applyFill="1" applyBorder="1" applyAlignment="1">
      <alignment horizontal="left"/>
      <protection/>
    </xf>
    <xf numFmtId="0" fontId="42" fillId="46" borderId="20" xfId="105" applyFont="1" applyFill="1" applyBorder="1" applyAlignment="1" applyProtection="1">
      <alignment horizontal="right"/>
      <protection hidden="1"/>
    </xf>
    <xf numFmtId="0" fontId="7" fillId="46" borderId="23" xfId="105" applyFont="1" applyFill="1" applyBorder="1" applyAlignment="1" applyProtection="1">
      <alignment horizontal="left"/>
      <protection hidden="1"/>
    </xf>
    <xf numFmtId="0" fontId="6" fillId="46" borderId="0" xfId="105" applyFont="1" applyFill="1" applyBorder="1" applyAlignment="1" applyProtection="1">
      <alignment/>
      <protection hidden="1"/>
    </xf>
    <xf numFmtId="0" fontId="29" fillId="46" borderId="23" xfId="105" applyFont="1" applyFill="1" applyBorder="1" applyProtection="1">
      <alignment/>
      <protection hidden="1"/>
    </xf>
    <xf numFmtId="0" fontId="12" fillId="46" borderId="24" xfId="0" applyFont="1" applyFill="1" applyBorder="1" applyAlignment="1">
      <alignment horizontal="left"/>
    </xf>
    <xf numFmtId="0" fontId="12" fillId="46" borderId="20" xfId="0" applyFont="1" applyFill="1" applyBorder="1" applyAlignment="1">
      <alignment horizontal="center"/>
    </xf>
    <xf numFmtId="0" fontId="7" fillId="46" borderId="23" xfId="105" applyFont="1" applyFill="1" applyBorder="1" applyAlignment="1">
      <alignment horizontal="left"/>
      <protection/>
    </xf>
    <xf numFmtId="0" fontId="9" fillId="46" borderId="0" xfId="105" applyFont="1" applyFill="1" applyBorder="1" applyAlignment="1" applyProtection="1">
      <alignment/>
      <protection hidden="1"/>
    </xf>
    <xf numFmtId="0" fontId="14" fillId="46" borderId="39" xfId="105" applyFont="1" applyFill="1" applyBorder="1" applyProtection="1">
      <alignment/>
      <protection hidden="1"/>
    </xf>
    <xf numFmtId="0" fontId="14" fillId="46" borderId="39" xfId="105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6" fillId="46" borderId="40" xfId="105" applyFont="1" applyFill="1" applyBorder="1" applyAlignment="1" applyProtection="1">
      <alignment/>
      <protection hidden="1"/>
    </xf>
    <xf numFmtId="0" fontId="42" fillId="46" borderId="19" xfId="105" applyFont="1" applyFill="1" applyBorder="1" applyAlignment="1" applyProtection="1">
      <alignment horizontal="left"/>
      <protection hidden="1"/>
    </xf>
    <xf numFmtId="0" fontId="24" fillId="46" borderId="26" xfId="0" applyFont="1" applyFill="1" applyBorder="1" applyAlignment="1">
      <alignment horizontal="left"/>
    </xf>
    <xf numFmtId="0" fontId="12" fillId="46" borderId="24" xfId="105" applyFont="1" applyFill="1" applyBorder="1" applyAlignment="1" applyProtection="1">
      <alignment wrapText="1"/>
      <protection hidden="1"/>
    </xf>
    <xf numFmtId="0" fontId="2" fillId="46" borderId="24" xfId="105" applyFont="1" applyFill="1" applyBorder="1" applyAlignment="1" applyProtection="1">
      <alignment wrapText="1"/>
      <protection hidden="1"/>
    </xf>
    <xf numFmtId="0" fontId="12" fillId="46" borderId="20" xfId="105" applyFont="1" applyFill="1" applyBorder="1" applyAlignment="1" applyProtection="1">
      <alignment horizontal="center" wrapText="1"/>
      <protection hidden="1"/>
    </xf>
    <xf numFmtId="0" fontId="2" fillId="46" borderId="20" xfId="105" applyFont="1" applyFill="1" applyBorder="1" applyAlignment="1" applyProtection="1">
      <alignment wrapText="1"/>
      <protection hidden="1"/>
    </xf>
    <xf numFmtId="0" fontId="2" fillId="46" borderId="20" xfId="105" applyFont="1" applyFill="1" applyBorder="1" applyAlignment="1" applyProtection="1">
      <alignment horizontal="left" wrapText="1"/>
      <protection hidden="1"/>
    </xf>
    <xf numFmtId="0" fontId="23" fillId="46" borderId="20" xfId="105" applyFont="1" applyFill="1" applyBorder="1" applyAlignment="1" applyProtection="1">
      <alignment wrapText="1"/>
      <protection hidden="1"/>
    </xf>
    <xf numFmtId="0" fontId="23" fillId="46" borderId="20" xfId="0" applyFont="1" applyFill="1" applyBorder="1" applyAlignment="1">
      <alignment/>
    </xf>
    <xf numFmtId="0" fontId="23" fillId="46" borderId="23" xfId="0" applyFont="1" applyFill="1" applyBorder="1" applyAlignment="1">
      <alignment/>
    </xf>
    <xf numFmtId="1" fontId="5" fillId="46" borderId="0" xfId="0" applyNumberFormat="1" applyFont="1" applyFill="1" applyBorder="1" applyAlignment="1" applyProtection="1">
      <alignment horizontal="center"/>
      <protection hidden="1"/>
    </xf>
    <xf numFmtId="0" fontId="22" fillId="46" borderId="0" xfId="105" applyFont="1" applyFill="1" applyBorder="1" applyAlignment="1">
      <alignment horizontal="center"/>
      <protection/>
    </xf>
    <xf numFmtId="0" fontId="42" fillId="46" borderId="0" xfId="105" applyFont="1" applyFill="1" applyBorder="1" applyAlignment="1" applyProtection="1">
      <alignment horizontal="left"/>
      <protection hidden="1"/>
    </xf>
    <xf numFmtId="1" fontId="16" fillId="46" borderId="0" xfId="105" applyNumberFormat="1" applyFont="1" applyFill="1" applyBorder="1" applyAlignment="1" applyProtection="1">
      <alignment horizontal="center"/>
      <protection hidden="1"/>
    </xf>
    <xf numFmtId="0" fontId="12" fillId="46" borderId="0" xfId="105" applyFont="1" applyFill="1" applyBorder="1" applyAlignment="1" applyProtection="1">
      <alignment horizontal="left" vertical="center"/>
      <protection hidden="1"/>
    </xf>
    <xf numFmtId="1" fontId="12" fillId="46" borderId="0" xfId="105" applyNumberFormat="1" applyFont="1" applyFill="1" applyBorder="1" applyAlignment="1" applyProtection="1">
      <alignment horizontal="left"/>
      <protection hidden="1"/>
    </xf>
    <xf numFmtId="1" fontId="5" fillId="46" borderId="0" xfId="105" applyNumberFormat="1" applyFont="1" applyFill="1" applyBorder="1" applyAlignment="1" applyProtection="1">
      <alignment/>
      <protection hidden="1"/>
    </xf>
    <xf numFmtId="0" fontId="25" fillId="46" borderId="19" xfId="105" applyFont="1" applyFill="1" applyBorder="1" applyProtection="1">
      <alignment/>
      <protection hidden="1"/>
    </xf>
    <xf numFmtId="0" fontId="5" fillId="46" borderId="21" xfId="105" applyFont="1" applyFill="1" applyBorder="1" applyAlignment="1" applyProtection="1">
      <alignment horizontal="center"/>
      <protection hidden="1"/>
    </xf>
    <xf numFmtId="0" fontId="24" fillId="46" borderId="33" xfId="0" applyFont="1" applyFill="1" applyBorder="1" applyAlignment="1">
      <alignment horizontal="center"/>
    </xf>
    <xf numFmtId="0" fontId="6" fillId="46" borderId="0" xfId="0" applyFont="1" applyFill="1" applyAlignment="1">
      <alignment/>
    </xf>
    <xf numFmtId="0" fontId="40" fillId="46" borderId="27" xfId="0" applyFont="1" applyFill="1" applyBorder="1" applyAlignment="1">
      <alignment horizontal="center"/>
    </xf>
    <xf numFmtId="0" fontId="24" fillId="46" borderId="26" xfId="0" applyFont="1" applyFill="1" applyBorder="1" applyAlignment="1">
      <alignment horizontal="center" wrapText="1"/>
    </xf>
    <xf numFmtId="0" fontId="24" fillId="46" borderId="21" xfId="0" applyFont="1" applyFill="1" applyBorder="1" applyAlignment="1">
      <alignment horizontal="center"/>
    </xf>
    <xf numFmtId="0" fontId="17" fillId="46" borderId="25" xfId="105" applyFont="1" applyFill="1" applyBorder="1" applyAlignment="1" applyProtection="1">
      <alignment horizontal="left"/>
      <protection hidden="1"/>
    </xf>
    <xf numFmtId="0" fontId="42" fillId="46" borderId="19" xfId="105" applyFont="1" applyFill="1" applyBorder="1" applyAlignment="1" applyProtection="1">
      <alignment horizontal="left"/>
      <protection hidden="1"/>
    </xf>
    <xf numFmtId="0" fontId="2" fillId="46" borderId="22" xfId="105" applyFill="1" applyBorder="1">
      <alignment/>
      <protection/>
    </xf>
    <xf numFmtId="0" fontId="6" fillId="46" borderId="20" xfId="105" applyFont="1" applyFill="1" applyBorder="1" applyAlignment="1" applyProtection="1">
      <alignment horizontal="left"/>
      <protection hidden="1"/>
    </xf>
    <xf numFmtId="0" fontId="23" fillId="46" borderId="20" xfId="105" applyFont="1" applyFill="1" applyBorder="1">
      <alignment/>
      <protection/>
    </xf>
    <xf numFmtId="0" fontId="6" fillId="46" borderId="20" xfId="105" applyFont="1" applyFill="1" applyBorder="1" applyAlignment="1" applyProtection="1">
      <alignment horizontal="center"/>
      <protection hidden="1"/>
    </xf>
    <xf numFmtId="0" fontId="6" fillId="46" borderId="0" xfId="105" applyFont="1" applyFill="1" applyBorder="1" applyAlignment="1">
      <alignment horizontal="left"/>
      <protection/>
    </xf>
    <xf numFmtId="0" fontId="20" fillId="46" borderId="22" xfId="105" applyFont="1" applyFill="1" applyBorder="1" applyProtection="1">
      <alignment/>
      <protection hidden="1"/>
    </xf>
    <xf numFmtId="0" fontId="27" fillId="46" borderId="19" xfId="105" applyFont="1" applyFill="1" applyBorder="1" applyAlignment="1" applyProtection="1">
      <alignment horizontal="center"/>
      <protection hidden="1"/>
    </xf>
    <xf numFmtId="0" fontId="5" fillId="46" borderId="19" xfId="105" applyFont="1" applyFill="1" applyBorder="1" applyAlignment="1" applyProtection="1">
      <alignment/>
      <protection hidden="1"/>
    </xf>
    <xf numFmtId="0" fontId="2" fillId="46" borderId="23" xfId="105" applyFill="1" applyBorder="1">
      <alignment/>
      <protection/>
    </xf>
    <xf numFmtId="0" fontId="2" fillId="46" borderId="20" xfId="105" applyFont="1" applyFill="1" applyBorder="1" applyAlignment="1">
      <alignment horizontal="left"/>
      <protection/>
    </xf>
    <xf numFmtId="0" fontId="4" fillId="46" borderId="19" xfId="0" applyFont="1" applyFill="1" applyBorder="1" applyAlignment="1">
      <alignment horizontal="center"/>
    </xf>
    <xf numFmtId="0" fontId="5" fillId="46" borderId="19" xfId="0" applyFont="1" applyFill="1" applyBorder="1" applyAlignment="1">
      <alignment/>
    </xf>
    <xf numFmtId="0" fontId="22" fillId="46" borderId="0" xfId="105" applyFont="1" applyFill="1" applyAlignment="1">
      <alignment/>
      <protection/>
    </xf>
    <xf numFmtId="0" fontId="6" fillId="46" borderId="0" xfId="0" applyFont="1" applyFill="1" applyBorder="1" applyAlignment="1">
      <alignment horizontal="left"/>
    </xf>
    <xf numFmtId="0" fontId="12" fillId="46" borderId="0" xfId="105" applyFont="1" applyFill="1" applyBorder="1" applyAlignment="1" applyProtection="1">
      <alignment/>
      <protection hidden="1"/>
    </xf>
    <xf numFmtId="0" fontId="4" fillId="46" borderId="0" xfId="0" applyFont="1" applyFill="1" applyBorder="1" applyAlignment="1">
      <alignment horizontal="center"/>
    </xf>
    <xf numFmtId="0" fontId="6" fillId="46" borderId="19" xfId="105" applyFont="1" applyFill="1" applyBorder="1" applyAlignment="1">
      <alignment horizontal="left"/>
      <protection/>
    </xf>
    <xf numFmtId="0" fontId="30" fillId="46" borderId="0" xfId="0" applyFont="1" applyFill="1" applyAlignment="1">
      <alignment horizontal="left" wrapText="1"/>
    </xf>
    <xf numFmtId="0" fontId="4" fillId="46" borderId="0" xfId="0" applyFont="1" applyFill="1" applyAlignment="1">
      <alignment horizontal="center"/>
    </xf>
    <xf numFmtId="0" fontId="4" fillId="48" borderId="0" xfId="0" applyFont="1" applyFill="1" applyAlignment="1">
      <alignment horizontal="center"/>
    </xf>
    <xf numFmtId="0" fontId="135" fillId="46" borderId="0" xfId="0" applyFont="1" applyFill="1" applyAlignment="1">
      <alignment horizontal="left" wrapText="1"/>
    </xf>
    <xf numFmtId="0" fontId="135" fillId="46" borderId="0" xfId="0" applyFont="1" applyFill="1" applyAlignment="1">
      <alignment horizontal="center"/>
    </xf>
    <xf numFmtId="0" fontId="135" fillId="48" borderId="0" xfId="0" applyFont="1" applyFill="1" applyAlignment="1">
      <alignment horizontal="center"/>
    </xf>
    <xf numFmtId="0" fontId="136" fillId="48" borderId="0" xfId="0" applyFont="1" applyFill="1" applyAlignment="1">
      <alignment horizontal="left" indent="3"/>
    </xf>
    <xf numFmtId="0" fontId="5" fillId="46" borderId="0" xfId="105" applyFont="1" applyFill="1" applyAlignment="1" applyProtection="1">
      <alignment/>
      <protection hidden="1"/>
    </xf>
    <xf numFmtId="0" fontId="0" fillId="46" borderId="0" xfId="0" applyFill="1" applyAlignment="1">
      <alignment/>
    </xf>
    <xf numFmtId="0" fontId="5" fillId="46" borderId="0" xfId="105" applyFont="1" applyFill="1" applyBorder="1" applyAlignment="1">
      <alignment/>
      <protection/>
    </xf>
    <xf numFmtId="0" fontId="5" fillId="46" borderId="20" xfId="105" applyFont="1" applyFill="1" applyBorder="1" applyAlignment="1" applyProtection="1">
      <alignment/>
      <protection hidden="1"/>
    </xf>
    <xf numFmtId="0" fontId="2" fillId="46" borderId="0" xfId="105" applyFill="1" applyAlignment="1">
      <alignment/>
      <protection/>
    </xf>
    <xf numFmtId="0" fontId="5" fillId="46" borderId="0" xfId="105" applyFont="1" applyFill="1" applyAlignment="1">
      <alignment/>
      <protection/>
    </xf>
    <xf numFmtId="0" fontId="10" fillId="46" borderId="0" xfId="105" applyFont="1" applyFill="1" applyBorder="1" applyAlignment="1" applyProtection="1">
      <alignment/>
      <protection hidden="1"/>
    </xf>
    <xf numFmtId="0" fontId="2" fillId="46" borderId="0" xfId="105" applyFont="1" applyFill="1" applyBorder="1" applyAlignment="1" applyProtection="1">
      <alignment/>
      <protection hidden="1"/>
    </xf>
    <xf numFmtId="0" fontId="5" fillId="46" borderId="0" xfId="0" applyFont="1" applyFill="1" applyAlignment="1">
      <alignment/>
    </xf>
    <xf numFmtId="0" fontId="4" fillId="46" borderId="0" xfId="105" applyFont="1" applyFill="1" applyAlignment="1" applyProtection="1">
      <alignment/>
      <protection hidden="1"/>
    </xf>
    <xf numFmtId="1" fontId="5" fillId="46" borderId="20" xfId="105" applyNumberFormat="1" applyFont="1" applyFill="1" applyBorder="1" applyAlignment="1" applyProtection="1">
      <alignment/>
      <protection hidden="1"/>
    </xf>
    <xf numFmtId="0" fontId="6" fillId="46" borderId="0" xfId="105" applyFont="1" applyFill="1" applyBorder="1" applyAlignment="1">
      <alignment/>
      <protection/>
    </xf>
    <xf numFmtId="1" fontId="16" fillId="46" borderId="0" xfId="105" applyNumberFormat="1" applyFont="1" applyFill="1" applyBorder="1" applyAlignment="1" applyProtection="1">
      <alignment/>
      <protection hidden="1"/>
    </xf>
    <xf numFmtId="1" fontId="12" fillId="46" borderId="0" xfId="105" applyNumberFormat="1" applyFont="1" applyFill="1" applyBorder="1" applyAlignment="1" applyProtection="1">
      <alignment/>
      <protection hidden="1"/>
    </xf>
    <xf numFmtId="0" fontId="13" fillId="46" borderId="0" xfId="105" applyFont="1" applyFill="1" applyBorder="1" applyAlignment="1" applyProtection="1">
      <alignment/>
      <protection hidden="1"/>
    </xf>
    <xf numFmtId="0" fontId="2" fillId="46" borderId="0" xfId="105" applyFont="1" applyFill="1" applyBorder="1" applyAlignment="1" applyProtection="1">
      <alignment/>
      <protection hidden="1"/>
    </xf>
    <xf numFmtId="0" fontId="8" fillId="46" borderId="0" xfId="105" applyFont="1" applyFill="1" applyBorder="1" applyAlignment="1" applyProtection="1">
      <alignment/>
      <protection hidden="1"/>
    </xf>
    <xf numFmtId="0" fontId="8" fillId="46" borderId="20" xfId="105" applyFont="1" applyFill="1" applyBorder="1" applyAlignment="1" applyProtection="1">
      <alignment/>
      <protection hidden="1"/>
    </xf>
    <xf numFmtId="0" fontId="0" fillId="48" borderId="0" xfId="0" applyFill="1" applyAlignment="1">
      <alignment/>
    </xf>
    <xf numFmtId="0" fontId="5" fillId="48" borderId="0" xfId="105" applyFont="1" applyFill="1" applyBorder="1" applyAlignment="1" applyProtection="1">
      <alignment/>
      <protection hidden="1"/>
    </xf>
    <xf numFmtId="0" fontId="5" fillId="48" borderId="0" xfId="105" applyFont="1" applyFill="1" applyAlignment="1" applyProtection="1">
      <alignment/>
      <protection hidden="1"/>
    </xf>
    <xf numFmtId="0" fontId="0" fillId="48" borderId="0" xfId="0" applyFill="1" applyAlignment="1">
      <alignment/>
    </xf>
    <xf numFmtId="0" fontId="0" fillId="48" borderId="0" xfId="0" applyFill="1" applyBorder="1" applyAlignment="1">
      <alignment/>
    </xf>
    <xf numFmtId="0" fontId="4" fillId="46" borderId="0" xfId="105" applyFont="1" applyFill="1" applyAlignment="1">
      <alignment horizontal="left"/>
      <protection/>
    </xf>
    <xf numFmtId="0" fontId="7" fillId="46" borderId="0" xfId="105" applyFont="1" applyFill="1" applyBorder="1" applyAlignment="1">
      <alignment horizontal="left"/>
      <protection/>
    </xf>
    <xf numFmtId="0" fontId="137" fillId="49" borderId="41" xfId="105" applyFont="1" applyFill="1" applyBorder="1" applyAlignment="1">
      <alignment horizontal="left"/>
      <protection/>
    </xf>
    <xf numFmtId="0" fontId="138" fillId="49" borderId="42" xfId="105" applyFont="1" applyFill="1" applyBorder="1" applyAlignment="1">
      <alignment horizontal="center"/>
      <protection/>
    </xf>
    <xf numFmtId="0" fontId="139" fillId="49" borderId="42" xfId="105" applyFont="1" applyFill="1" applyBorder="1">
      <alignment/>
      <protection/>
    </xf>
    <xf numFmtId="0" fontId="37" fillId="46" borderId="26" xfId="0" applyFont="1" applyFill="1" applyBorder="1" applyAlignment="1">
      <alignment horizontal="center"/>
    </xf>
    <xf numFmtId="0" fontId="5" fillId="48" borderId="0" xfId="105" applyFont="1" applyFill="1" applyBorder="1" applyProtection="1">
      <alignment/>
      <protection hidden="1"/>
    </xf>
    <xf numFmtId="0" fontId="26" fillId="48" borderId="0" xfId="0" applyFont="1" applyFill="1" applyAlignment="1">
      <alignment horizontal="left"/>
    </xf>
    <xf numFmtId="0" fontId="7" fillId="48" borderId="0" xfId="0" applyFont="1" applyFill="1" applyAlignment="1">
      <alignment horizontal="center"/>
    </xf>
    <xf numFmtId="0" fontId="5" fillId="48" borderId="0" xfId="0" applyFont="1" applyFill="1" applyAlignment="1">
      <alignment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/>
      <protection hidden="1"/>
    </xf>
    <xf numFmtId="0" fontId="12" fillId="48" borderId="0" xfId="105" applyFont="1" applyFill="1" applyBorder="1" applyAlignment="1" applyProtection="1">
      <alignment horizontal="left"/>
      <protection hidden="1"/>
    </xf>
    <xf numFmtId="0" fontId="13" fillId="48" borderId="0" xfId="105" applyFont="1" applyFill="1" applyBorder="1" applyAlignment="1" applyProtection="1">
      <alignment horizontal="center"/>
      <protection hidden="1"/>
    </xf>
    <xf numFmtId="0" fontId="12" fillId="48" borderId="20" xfId="105" applyFont="1" applyFill="1" applyBorder="1" applyAlignment="1" applyProtection="1">
      <alignment horizontal="left"/>
      <protection hidden="1"/>
    </xf>
    <xf numFmtId="0" fontId="13" fillId="48" borderId="20" xfId="105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/>
      <protection hidden="1"/>
    </xf>
    <xf numFmtId="0" fontId="3" fillId="46" borderId="43" xfId="105" applyFont="1" applyFill="1" applyBorder="1" applyProtection="1">
      <alignment/>
      <protection hidden="1"/>
    </xf>
    <xf numFmtId="0" fontId="0" fillId="48" borderId="0" xfId="0" applyFill="1" applyBorder="1" applyAlignment="1">
      <alignment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" fontId="8" fillId="45" borderId="0" xfId="0" applyNumberFormat="1" applyFont="1" applyFill="1" applyBorder="1" applyAlignment="1">
      <alignment horizontal="left" vertical="center"/>
    </xf>
    <xf numFmtId="0" fontId="140" fillId="46" borderId="26" xfId="0" applyFont="1" applyFill="1" applyBorder="1" applyAlignment="1">
      <alignment horizontal="center"/>
    </xf>
    <xf numFmtId="0" fontId="12" fillId="48" borderId="0" xfId="105" applyFont="1" applyFill="1" applyBorder="1" applyAlignment="1" applyProtection="1">
      <alignment horizontal="left" vertical="center"/>
      <protection hidden="1"/>
    </xf>
    <xf numFmtId="0" fontId="12" fillId="48" borderId="0" xfId="105" applyFont="1" applyFill="1" applyBorder="1" applyAlignment="1" applyProtection="1">
      <alignment/>
      <protection hidden="1"/>
    </xf>
    <xf numFmtId="0" fontId="8" fillId="46" borderId="0" xfId="105" applyFont="1" applyFill="1" applyBorder="1" applyAlignment="1">
      <alignment horizontal="left"/>
      <protection/>
    </xf>
    <xf numFmtId="0" fontId="5" fillId="46" borderId="0" xfId="105" applyFont="1" applyFill="1" applyBorder="1" applyAlignment="1" applyProtection="1">
      <alignment horizontal="left"/>
      <protection hidden="1"/>
    </xf>
    <xf numFmtId="0" fontId="43" fillId="46" borderId="30" xfId="105" applyFont="1" applyFill="1" applyBorder="1" applyAlignment="1" applyProtection="1">
      <alignment horizontal="left"/>
      <protection hidden="1"/>
    </xf>
    <xf numFmtId="0" fontId="0" fillId="46" borderId="20" xfId="0" applyFill="1" applyBorder="1" applyAlignment="1">
      <alignment/>
    </xf>
    <xf numFmtId="0" fontId="7" fillId="46" borderId="0" xfId="106" applyFont="1" applyFill="1" applyBorder="1" applyProtection="1">
      <alignment/>
      <protection hidden="1"/>
    </xf>
    <xf numFmtId="0" fontId="46" fillId="46" borderId="21" xfId="105" applyFont="1" applyFill="1" applyBorder="1" applyAlignment="1" applyProtection="1">
      <alignment horizontal="left"/>
      <protection hidden="1"/>
    </xf>
    <xf numFmtId="0" fontId="47" fillId="46" borderId="21" xfId="105" applyFont="1" applyFill="1" applyBorder="1" applyProtection="1">
      <alignment/>
      <protection hidden="1"/>
    </xf>
    <xf numFmtId="0" fontId="46" fillId="46" borderId="21" xfId="105" applyFont="1" applyFill="1" applyBorder="1" applyProtection="1">
      <alignment/>
      <protection hidden="1"/>
    </xf>
    <xf numFmtId="0" fontId="46" fillId="46" borderId="22" xfId="105" applyFont="1" applyFill="1" applyBorder="1">
      <alignment/>
      <protection/>
    </xf>
    <xf numFmtId="1" fontId="5" fillId="48" borderId="19" xfId="105" applyNumberFormat="1" applyFont="1" applyFill="1" applyBorder="1" applyAlignment="1" applyProtection="1">
      <alignment horizontal="center"/>
      <protection hidden="1"/>
    </xf>
    <xf numFmtId="0" fontId="7" fillId="46" borderId="0" xfId="106" applyFont="1" applyFill="1" applyBorder="1" applyAlignment="1" applyProtection="1">
      <alignment horizontal="left"/>
      <protection hidden="1"/>
    </xf>
    <xf numFmtId="0" fontId="2" fillId="46" borderId="23" xfId="105" applyFont="1" applyFill="1" applyBorder="1" applyAlignment="1" applyProtection="1">
      <alignment horizontal="left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1" fillId="48" borderId="19" xfId="105" applyFont="1" applyFill="1" applyBorder="1" applyAlignment="1" applyProtection="1">
      <alignment horizontal="left"/>
      <protection hidden="1"/>
    </xf>
    <xf numFmtId="0" fontId="7" fillId="48" borderId="0" xfId="105" applyFont="1" applyFill="1" applyBorder="1" applyAlignment="1" applyProtection="1">
      <alignment/>
      <protection hidden="1"/>
    </xf>
    <xf numFmtId="1" fontId="16" fillId="48" borderId="0" xfId="105" applyNumberFormat="1" applyFont="1" applyFill="1" applyBorder="1" applyAlignment="1" applyProtection="1">
      <alignment horizontal="center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11" fillId="48" borderId="0" xfId="105" applyFont="1" applyFill="1" applyBorder="1" applyAlignment="1" applyProtection="1">
      <alignment horizontal="left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12" fillId="46" borderId="26" xfId="105" applyFont="1" applyFill="1" applyBorder="1" applyProtection="1">
      <alignment/>
      <protection hidden="1"/>
    </xf>
    <xf numFmtId="0" fontId="5" fillId="46" borderId="20" xfId="105" applyFont="1" applyFill="1" applyBorder="1" applyAlignment="1" applyProtection="1">
      <alignment horizontal="center" vertic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9" fillId="46" borderId="29" xfId="105" applyFont="1" applyFill="1" applyBorder="1" applyProtection="1">
      <alignment/>
      <protection hidden="1"/>
    </xf>
    <xf numFmtId="0" fontId="23" fillId="46" borderId="21" xfId="105" applyFont="1" applyFill="1" applyBorder="1" applyAlignment="1" applyProtection="1">
      <alignment horizontal="left"/>
      <protection hidden="1"/>
    </xf>
    <xf numFmtId="0" fontId="139" fillId="46" borderId="0" xfId="105" applyFont="1" applyFill="1" applyBorder="1" applyAlignment="1">
      <alignment horizontal="left"/>
      <protection/>
    </xf>
    <xf numFmtId="0" fontId="5" fillId="46" borderId="19" xfId="105" applyFont="1" applyFill="1" applyBorder="1" applyAlignment="1" applyProtection="1">
      <alignment/>
      <protection hidden="1"/>
    </xf>
    <xf numFmtId="0" fontId="2" fillId="48" borderId="0" xfId="105" applyFill="1" applyBorder="1">
      <alignment/>
      <protection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4" fillId="46" borderId="0" xfId="105" applyFont="1" applyFill="1" applyBorder="1" applyAlignment="1" applyProtection="1">
      <alignment horizontal="center"/>
      <protection hidden="1"/>
    </xf>
    <xf numFmtId="1" fontId="5" fillId="50" borderId="0" xfId="105" applyNumberFormat="1" applyFont="1" applyFill="1" applyBorder="1" applyAlignment="1" applyProtection="1">
      <alignment horizontal="center"/>
      <protection hidden="1"/>
    </xf>
    <xf numFmtId="0" fontId="5" fillId="50" borderId="0" xfId="105" applyFont="1" applyFill="1">
      <alignment/>
      <protection/>
    </xf>
    <xf numFmtId="0" fontId="5" fillId="50" borderId="0" xfId="105" applyFont="1" applyFill="1" applyAlignment="1" applyProtection="1">
      <alignment/>
      <protection hidden="1"/>
    </xf>
    <xf numFmtId="1" fontId="8" fillId="50" borderId="0" xfId="105" applyNumberFormat="1" applyFont="1" applyFill="1" applyBorder="1" applyAlignment="1" applyProtection="1">
      <alignment horizontal="left"/>
      <protection hidden="1"/>
    </xf>
    <xf numFmtId="1" fontId="8" fillId="50" borderId="0" xfId="105" applyNumberFormat="1" applyFont="1" applyFill="1" applyBorder="1" applyAlignment="1" applyProtection="1">
      <alignment wrapText="1"/>
      <protection hidden="1"/>
    </xf>
    <xf numFmtId="0" fontId="7" fillId="46" borderId="19" xfId="106" applyFont="1" applyFill="1" applyBorder="1" applyAlignment="1" applyProtection="1">
      <alignment horizontal="left"/>
      <protection hidden="1"/>
    </xf>
    <xf numFmtId="0" fontId="141" fillId="46" borderId="26" xfId="0" applyFont="1" applyFill="1" applyBorder="1" applyAlignment="1">
      <alignment horizontal="center"/>
    </xf>
    <xf numFmtId="0" fontId="141" fillId="46" borderId="26" xfId="105" applyFont="1" applyFill="1" applyBorder="1" applyAlignment="1" applyProtection="1">
      <alignment horizontal="center"/>
      <protection hidden="1"/>
    </xf>
    <xf numFmtId="0" fontId="142" fillId="48" borderId="0" xfId="0" applyFont="1" applyFill="1" applyAlignment="1">
      <alignment horizontal="center"/>
    </xf>
    <xf numFmtId="0" fontId="24" fillId="48" borderId="2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48" borderId="20" xfId="105" applyFont="1" applyFill="1" applyBorder="1" applyProtection="1">
      <alignment/>
      <protection hidden="1"/>
    </xf>
    <xf numFmtId="0" fontId="0" fillId="0" borderId="0" xfId="0" applyAlignment="1">
      <alignment/>
    </xf>
    <xf numFmtId="0" fontId="141" fillId="46" borderId="0" xfId="105" applyFont="1" applyFill="1" applyBorder="1" applyAlignment="1">
      <alignment horizontal="center"/>
      <protection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19" xfId="105" applyFont="1" applyFill="1" applyBorder="1" applyAlignment="1" applyProtection="1">
      <alignment horizontal="left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2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2" fillId="48" borderId="20" xfId="105" applyFont="1" applyFill="1" applyBorder="1" applyAlignment="1" applyProtection="1">
      <alignment horizontal="center"/>
      <protection hidden="1"/>
    </xf>
    <xf numFmtId="0" fontId="12" fillId="46" borderId="33" xfId="105" applyFont="1" applyFill="1" applyBorder="1" applyProtection="1">
      <alignment/>
      <protection hidden="1"/>
    </xf>
    <xf numFmtId="0" fontId="5" fillId="46" borderId="31" xfId="105" applyFont="1" applyFill="1" applyBorder="1" applyAlignment="1" applyProtection="1">
      <alignment/>
      <protection hidden="1"/>
    </xf>
    <xf numFmtId="0" fontId="23" fillId="46" borderId="23" xfId="105" applyFont="1" applyFill="1" applyBorder="1" applyAlignment="1" applyProtection="1">
      <alignment wrapText="1"/>
      <protection hidden="1"/>
    </xf>
    <xf numFmtId="0" fontId="2" fillId="46" borderId="35" xfId="105" applyFont="1" applyFill="1" applyBorder="1" applyProtection="1">
      <alignment/>
      <protection hidden="1"/>
    </xf>
    <xf numFmtId="0" fontId="2" fillId="46" borderId="28" xfId="105" applyFill="1" applyBorder="1" applyProtection="1">
      <alignment/>
      <protection hidden="1"/>
    </xf>
    <xf numFmtId="0" fontId="6" fillId="46" borderId="0" xfId="105" applyFont="1" applyFill="1" applyBorder="1" applyAlignment="1" applyProtection="1">
      <alignment horizontal="left"/>
      <protection hidden="1"/>
    </xf>
    <xf numFmtId="0" fontId="0" fillId="48" borderId="0" xfId="0" applyFill="1" applyBorder="1" applyAlignment="1">
      <alignment horizontal="center" vertical="center"/>
    </xf>
    <xf numFmtId="0" fontId="44" fillId="48" borderId="0" xfId="0" applyFont="1" applyFill="1" applyBorder="1" applyAlignment="1">
      <alignment horizontal="center" vertical="center"/>
    </xf>
    <xf numFmtId="0" fontId="5" fillId="48" borderId="0" xfId="105" applyFont="1" applyFill="1" applyBorder="1" applyAlignment="1" applyProtection="1">
      <alignment horizontal="center" vertical="center"/>
      <protection hidden="1"/>
    </xf>
    <xf numFmtId="0" fontId="5" fillId="48" borderId="0" xfId="105" applyFont="1" applyFill="1" applyBorder="1" applyAlignment="1" applyProtection="1">
      <alignment horizontal="center" vertical="center"/>
      <protection hidden="1"/>
    </xf>
    <xf numFmtId="192" fontId="5" fillId="48" borderId="21" xfId="105" applyNumberFormat="1" applyFont="1" applyFill="1" applyBorder="1" applyAlignment="1" applyProtection="1">
      <alignment horizontal="center"/>
      <protection hidden="1"/>
    </xf>
    <xf numFmtId="192" fontId="5" fillId="48" borderId="22" xfId="105" applyNumberFormat="1" applyFont="1" applyFill="1" applyBorder="1" applyAlignment="1" applyProtection="1">
      <alignment horizontal="center"/>
      <protection hidden="1"/>
    </xf>
    <xf numFmtId="1" fontId="5" fillId="48" borderId="0" xfId="0" applyNumberFormat="1" applyFont="1" applyFill="1" applyBorder="1" applyAlignment="1" applyProtection="1">
      <alignment horizontal="center"/>
      <protection hidden="1"/>
    </xf>
    <xf numFmtId="0" fontId="5" fillId="46" borderId="19" xfId="105" applyNumberFormat="1" applyFont="1" applyFill="1" applyBorder="1" applyAlignment="1" applyProtection="1">
      <alignment horizontal="center"/>
      <protection hidden="1"/>
    </xf>
    <xf numFmtId="0" fontId="12" fillId="48" borderId="0" xfId="105" applyFont="1" applyFill="1" applyBorder="1" applyAlignment="1" applyProtection="1">
      <alignment horizontal="left"/>
      <protection hidden="1"/>
    </xf>
    <xf numFmtId="0" fontId="44" fillId="48" borderId="0" xfId="0" applyFont="1" applyFill="1" applyBorder="1" applyAlignment="1">
      <alignment horizontal="left"/>
    </xf>
    <xf numFmtId="0" fontId="12" fillId="46" borderId="27" xfId="0" applyFont="1" applyFill="1" applyBorder="1" applyAlignment="1">
      <alignment/>
    </xf>
    <xf numFmtId="0" fontId="12" fillId="46" borderId="27" xfId="0" applyFont="1" applyFill="1" applyBorder="1" applyAlignment="1">
      <alignment horizontal="center"/>
    </xf>
    <xf numFmtId="0" fontId="2" fillId="46" borderId="22" xfId="105" applyFont="1" applyFill="1" applyBorder="1" applyProtection="1">
      <alignment/>
      <protection hidden="1"/>
    </xf>
    <xf numFmtId="0" fontId="12" fillId="46" borderId="26" xfId="0" applyFont="1" applyFill="1" applyBorder="1" applyAlignment="1">
      <alignment/>
    </xf>
    <xf numFmtId="0" fontId="12" fillId="46" borderId="26" xfId="0" applyFont="1" applyFill="1" applyBorder="1" applyAlignment="1">
      <alignment horizontal="center"/>
    </xf>
    <xf numFmtId="0" fontId="23" fillId="48" borderId="20" xfId="105" applyFont="1" applyFill="1" applyBorder="1" applyProtection="1">
      <alignment/>
      <protection hidden="1"/>
    </xf>
    <xf numFmtId="0" fontId="143" fillId="46" borderId="27" xfId="0" applyFont="1" applyFill="1" applyBorder="1" applyAlignment="1">
      <alignment horizontal="center"/>
    </xf>
    <xf numFmtId="0" fontId="7" fillId="46" borderId="30" xfId="0" applyFont="1" applyFill="1" applyBorder="1" applyAlignment="1">
      <alignment/>
    </xf>
    <xf numFmtId="0" fontId="23" fillId="46" borderId="28" xfId="105" applyFont="1" applyFill="1" applyBorder="1" applyProtection="1">
      <alignment/>
      <protection hidden="1"/>
    </xf>
    <xf numFmtId="0" fontId="8" fillId="46" borderId="0" xfId="0" applyFont="1" applyFill="1" applyBorder="1" applyAlignment="1">
      <alignment horizontal="left"/>
    </xf>
    <xf numFmtId="0" fontId="7" fillId="46" borderId="0" xfId="0" applyFont="1" applyFill="1" applyBorder="1" applyAlignment="1">
      <alignment horizontal="left"/>
    </xf>
    <xf numFmtId="0" fontId="12" fillId="46" borderId="21" xfId="105" applyFont="1" applyFill="1" applyBorder="1" applyAlignment="1" applyProtection="1">
      <alignment horizontal="left" wrapText="1"/>
      <protection hidden="1"/>
    </xf>
    <xf numFmtId="0" fontId="7" fillId="46" borderId="22" xfId="105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37" fillId="48" borderId="0" xfId="0" applyFont="1" applyFill="1" applyAlignment="1">
      <alignment/>
    </xf>
    <xf numFmtId="0" fontId="7" fillId="48" borderId="0" xfId="106" applyFont="1" applyFill="1" applyAlignment="1">
      <alignment horizontal="left"/>
      <protection/>
    </xf>
    <xf numFmtId="0" fontId="2" fillId="48" borderId="0" xfId="106" applyFont="1" applyFill="1" applyAlignment="1">
      <alignment/>
      <protection/>
    </xf>
    <xf numFmtId="0" fontId="144" fillId="46" borderId="0" xfId="105" applyFont="1" applyFill="1" applyBorder="1" applyAlignment="1" applyProtection="1">
      <alignment wrapText="1"/>
      <protection hidden="1"/>
    </xf>
    <xf numFmtId="192" fontId="5" fillId="48" borderId="28" xfId="105" applyNumberFormat="1" applyFont="1" applyFill="1" applyBorder="1" applyAlignment="1" applyProtection="1">
      <alignment horizontal="center"/>
      <protection hidden="1"/>
    </xf>
    <xf numFmtId="0" fontId="143" fillId="46" borderId="27" xfId="105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4" fillId="46" borderId="0" xfId="105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2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4" fillId="46" borderId="21" xfId="105" applyFont="1" applyFill="1" applyBorder="1" applyAlignment="1" applyProtection="1">
      <alignment horizontal="center"/>
      <protection hidden="1"/>
    </xf>
    <xf numFmtId="0" fontId="29" fillId="46" borderId="22" xfId="105" applyFont="1" applyFill="1" applyBorder="1" applyProtection="1">
      <alignment/>
      <protection hidden="1"/>
    </xf>
    <xf numFmtId="0" fontId="14" fillId="46" borderId="25" xfId="105" applyFont="1" applyFill="1" applyBorder="1" applyProtection="1">
      <alignment/>
      <protection hidden="1"/>
    </xf>
    <xf numFmtId="0" fontId="141" fillId="46" borderId="27" xfId="105" applyFont="1" applyFill="1" applyBorder="1" applyAlignment="1">
      <alignment horizontal="center"/>
      <protection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0" fontId="7" fillId="0" borderId="19" xfId="105" applyFont="1" applyBorder="1" applyProtection="1">
      <alignment/>
      <protection hidden="1"/>
    </xf>
    <xf numFmtId="0" fontId="7" fillId="48" borderId="19" xfId="105" applyFont="1" applyFill="1" applyBorder="1" applyProtection="1">
      <alignment/>
      <protection hidden="1"/>
    </xf>
    <xf numFmtId="0" fontId="7" fillId="46" borderId="20" xfId="105" applyFont="1" applyFill="1" applyBorder="1" applyProtection="1">
      <alignment/>
      <protection hidden="1"/>
    </xf>
    <xf numFmtId="0" fontId="2" fillId="48" borderId="25" xfId="105" applyFont="1" applyFill="1" applyBorder="1" applyProtection="1">
      <alignment/>
      <protection hidden="1"/>
    </xf>
    <xf numFmtId="0" fontId="2" fillId="48" borderId="21" xfId="105" applyFont="1" applyFill="1" applyBorder="1" applyProtection="1">
      <alignment/>
      <protection hidden="1"/>
    </xf>
    <xf numFmtId="0" fontId="2" fillId="48" borderId="28" xfId="105" applyFont="1" applyFill="1" applyBorder="1" applyProtection="1">
      <alignment/>
      <protection hidden="1"/>
    </xf>
    <xf numFmtId="0" fontId="2" fillId="48" borderId="20" xfId="105" applyFont="1" applyFill="1" applyBorder="1" applyProtection="1">
      <alignment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5" fillId="46" borderId="32" xfId="105" applyFont="1" applyFill="1" applyBorder="1" applyAlignment="1" applyProtection="1">
      <alignment/>
      <protection hidden="1"/>
    </xf>
    <xf numFmtId="0" fontId="141" fillId="46" borderId="0" xfId="105" applyFont="1" applyFill="1" applyBorder="1" applyAlignment="1" applyProtection="1">
      <alignment horizontal="center"/>
      <protection hidden="1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5" fillId="46" borderId="30" xfId="105" applyFont="1" applyFill="1" applyBorder="1" applyProtection="1">
      <alignment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20" fillId="46" borderId="20" xfId="105" applyFont="1" applyFill="1" applyBorder="1" applyProtection="1">
      <alignment/>
      <protection hidden="1"/>
    </xf>
    <xf numFmtId="0" fontId="0" fillId="0" borderId="0" xfId="0" applyAlignment="1">
      <alignment/>
    </xf>
    <xf numFmtId="0" fontId="0" fillId="46" borderId="0" xfId="0" applyFill="1" applyAlignment="1">
      <alignment/>
    </xf>
    <xf numFmtId="0" fontId="0" fillId="46" borderId="0" xfId="0" applyFill="1" applyBorder="1" applyAlignment="1">
      <alignment/>
    </xf>
    <xf numFmtId="0" fontId="29" fillId="46" borderId="0" xfId="105" applyFont="1" applyFill="1" applyBorder="1" applyProtection="1">
      <alignment/>
      <protection hidden="1"/>
    </xf>
    <xf numFmtId="0" fontId="145" fillId="46" borderId="26" xfId="0" applyFont="1" applyFill="1" applyBorder="1" applyAlignment="1">
      <alignment horizontal="center"/>
    </xf>
    <xf numFmtId="0" fontId="27" fillId="46" borderId="0" xfId="105" applyFont="1" applyFill="1" applyBorder="1" applyAlignment="1" applyProtection="1">
      <alignment horizontal="center"/>
      <protection hidden="1"/>
    </xf>
    <xf numFmtId="0" fontId="13" fillId="46" borderId="30" xfId="105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27" fillId="46" borderId="0" xfId="105" applyFont="1" applyFill="1" applyAlignment="1" applyProtection="1">
      <alignment horizontal="center" vertical="center"/>
      <protection hidden="1"/>
    </xf>
    <xf numFmtId="0" fontId="2" fillId="46" borderId="35" xfId="105" applyFill="1" applyBorder="1" applyProtection="1">
      <alignment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3" fillId="46" borderId="0" xfId="105" applyFont="1" applyFill="1" applyBorder="1" applyAlignment="1" applyProtection="1">
      <alignment horizontal="center"/>
      <protection hidden="1"/>
    </xf>
    <xf numFmtId="0" fontId="2" fillId="46" borderId="0" xfId="105" applyFont="1" applyFill="1">
      <alignment/>
      <protection/>
    </xf>
    <xf numFmtId="0" fontId="44" fillId="46" borderId="0" xfId="0" applyFont="1" applyFill="1" applyBorder="1" applyAlignment="1">
      <alignment/>
    </xf>
    <xf numFmtId="0" fontId="44" fillId="46" borderId="0" xfId="0" applyFont="1" applyFill="1" applyAlignment="1">
      <alignment/>
    </xf>
    <xf numFmtId="0" fontId="44" fillId="0" borderId="0" xfId="0" applyFont="1" applyAlignment="1">
      <alignment/>
    </xf>
    <xf numFmtId="9" fontId="12" fillId="48" borderId="0" xfId="105" applyNumberFormat="1" applyFont="1" applyFill="1" applyBorder="1" applyAlignment="1" applyProtection="1">
      <alignment horizontal="center"/>
      <protection hidden="1"/>
    </xf>
    <xf numFmtId="0" fontId="27" fillId="46" borderId="19" xfId="105" applyFont="1" applyFill="1" applyBorder="1" applyAlignment="1" applyProtection="1">
      <alignment horizontal="center" vertical="center"/>
      <protection hidden="1"/>
    </xf>
    <xf numFmtId="9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5" fillId="46" borderId="27" xfId="105" applyFont="1" applyFill="1" applyBorder="1" applyAlignment="1" applyProtection="1">
      <alignment horizontal="center"/>
      <protection hidden="1"/>
    </xf>
    <xf numFmtId="0" fontId="6" fillId="46" borderId="19" xfId="105" applyFont="1" applyFill="1" applyBorder="1" applyAlignment="1" applyProtection="1">
      <alignment horizontal="left"/>
      <protection hidden="1"/>
    </xf>
    <xf numFmtId="0" fontId="29" fillId="46" borderId="30" xfId="105" applyFont="1" applyFill="1" applyBorder="1" applyAlignment="1">
      <alignment horizontal="left"/>
      <protection/>
    </xf>
    <xf numFmtId="0" fontId="2" fillId="46" borderId="23" xfId="105" applyFill="1" applyBorder="1" applyProtection="1">
      <alignment/>
      <protection hidden="1"/>
    </xf>
    <xf numFmtId="192" fontId="5" fillId="48" borderId="23" xfId="105" applyNumberFormat="1" applyFont="1" applyFill="1" applyBorder="1" applyAlignment="1" applyProtection="1">
      <alignment horizontal="center"/>
      <protection hidden="1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8" fillId="45" borderId="0" xfId="105" applyFont="1" applyFill="1" applyBorder="1" applyAlignment="1">
      <alignment horizontal="left"/>
      <protection/>
    </xf>
    <xf numFmtId="1" fontId="5" fillId="48" borderId="19" xfId="105" applyNumberFormat="1" applyFont="1" applyFill="1" applyBorder="1" applyAlignment="1" applyProtection="1">
      <alignment horizontal="center"/>
      <protection hidden="1"/>
    </xf>
    <xf numFmtId="0" fontId="2" fillId="48" borderId="20" xfId="105" applyFont="1" applyFill="1" applyBorder="1" applyAlignment="1" applyProtection="1">
      <alignment horizontal="center"/>
      <protection hidden="1"/>
    </xf>
    <xf numFmtId="0" fontId="17" fillId="46" borderId="19" xfId="105" applyFont="1" applyFill="1" applyBorder="1" applyAlignment="1" applyProtection="1">
      <alignment horizontal="left"/>
      <protection hidden="1"/>
    </xf>
    <xf numFmtId="0" fontId="2" fillId="46" borderId="35" xfId="105" applyFont="1" applyFill="1" applyBorder="1" applyAlignment="1" applyProtection="1">
      <alignment horizontal="left"/>
      <protection hidden="1"/>
    </xf>
    <xf numFmtId="0" fontId="7" fillId="46" borderId="34" xfId="106" applyFont="1" applyFill="1" applyBorder="1" applyAlignment="1" applyProtection="1">
      <alignment horizontal="left"/>
      <protection hidden="1"/>
    </xf>
    <xf numFmtId="0" fontId="8" fillId="48" borderId="0" xfId="105" applyFont="1" applyFill="1" applyBorder="1" applyAlignment="1">
      <alignment horizontal="left"/>
      <protection/>
    </xf>
    <xf numFmtId="0" fontId="6" fillId="48" borderId="0" xfId="105" applyFont="1" applyFill="1" applyBorder="1" applyAlignment="1">
      <alignment horizontal="left"/>
      <protection/>
    </xf>
    <xf numFmtId="0" fontId="146" fillId="46" borderId="0" xfId="105" applyFont="1" applyFill="1" applyBorder="1" applyAlignment="1" applyProtection="1">
      <alignment horizontal="left" wrapText="1"/>
      <protection hidden="1"/>
    </xf>
    <xf numFmtId="0" fontId="147" fillId="46" borderId="0" xfId="0" applyFont="1" applyFill="1" applyAlignment="1">
      <alignment horizontal="left" wrapText="1"/>
    </xf>
    <xf numFmtId="0" fontId="147" fillId="46" borderId="0" xfId="0" applyFont="1" applyFill="1" applyAlignment="1">
      <alignment horizontal="center"/>
    </xf>
    <xf numFmtId="0" fontId="148" fillId="46" borderId="0" xfId="0" applyFont="1" applyFill="1" applyBorder="1" applyAlignment="1">
      <alignment horizontal="center"/>
    </xf>
    <xf numFmtId="0" fontId="149" fillId="46" borderId="0" xfId="105" applyFont="1" applyFill="1" applyProtection="1">
      <alignment/>
      <protection hidden="1"/>
    </xf>
    <xf numFmtId="0" fontId="149" fillId="46" borderId="0" xfId="105" applyFont="1" applyFill="1">
      <alignment/>
      <protection/>
    </xf>
    <xf numFmtId="0" fontId="150" fillId="46" borderId="0" xfId="0" applyFont="1" applyFill="1" applyAlignment="1">
      <alignment/>
    </xf>
    <xf numFmtId="0" fontId="150" fillId="0" borderId="0" xfId="0" applyFont="1" applyAlignment="1">
      <alignment/>
    </xf>
    <xf numFmtId="0" fontId="150" fillId="0" borderId="0" xfId="0" applyFont="1" applyBorder="1" applyAlignment="1">
      <alignment/>
    </xf>
    <xf numFmtId="0" fontId="148" fillId="46" borderId="0" xfId="105" applyFont="1" applyFill="1" applyAlignment="1" applyProtection="1">
      <alignment horizontal="center"/>
      <protection hidden="1"/>
    </xf>
    <xf numFmtId="0" fontId="148" fillId="46" borderId="0" xfId="0" applyFont="1" applyFill="1" applyBorder="1" applyAlignment="1">
      <alignment horizontal="left" indent="3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0" fontId="12" fillId="51" borderId="44" xfId="105" applyFont="1" applyFill="1" applyBorder="1" applyAlignment="1" applyProtection="1">
      <alignment horizontal="center" vertical="center"/>
      <protection hidden="1"/>
    </xf>
    <xf numFmtId="0" fontId="141" fillId="46" borderId="0" xfId="0" applyFont="1" applyFill="1" applyBorder="1" applyAlignment="1">
      <alignment horizontal="center"/>
    </xf>
    <xf numFmtId="1" fontId="5" fillId="48" borderId="19" xfId="105" applyNumberFormat="1" applyFont="1" applyFill="1" applyBorder="1" applyAlignment="1" applyProtection="1">
      <alignment horizontal="center"/>
      <protection hidden="1"/>
    </xf>
    <xf numFmtId="0" fontId="151" fillId="46" borderId="19" xfId="105" applyFont="1" applyFill="1" applyBorder="1" applyAlignment="1" applyProtection="1">
      <alignment horizontal="left"/>
      <protection hidden="1"/>
    </xf>
    <xf numFmtId="0" fontId="143" fillId="46" borderId="27" xfId="105" applyFont="1" applyFill="1" applyBorder="1" applyAlignment="1" applyProtection="1">
      <alignment horizontal="center"/>
      <protection hidden="1"/>
    </xf>
    <xf numFmtId="0" fontId="138" fillId="46" borderId="19" xfId="105" applyFont="1" applyFill="1" applyBorder="1" applyProtection="1">
      <alignment/>
      <protection hidden="1"/>
    </xf>
    <xf numFmtId="0" fontId="145" fillId="46" borderId="19" xfId="105" applyFont="1" applyFill="1" applyBorder="1" applyProtection="1">
      <alignment/>
      <protection hidden="1"/>
    </xf>
    <xf numFmtId="1" fontId="143" fillId="46" borderId="19" xfId="105" applyNumberFormat="1" applyFont="1" applyFill="1" applyBorder="1" applyAlignment="1" applyProtection="1">
      <alignment horizontal="center"/>
      <protection hidden="1"/>
    </xf>
    <xf numFmtId="0" fontId="152" fillId="0" borderId="19" xfId="0" applyFont="1" applyBorder="1" applyAlignment="1">
      <alignment/>
    </xf>
    <xf numFmtId="0" fontId="152" fillId="46" borderId="0" xfId="0" applyFont="1" applyFill="1" applyBorder="1" applyAlignment="1">
      <alignment/>
    </xf>
    <xf numFmtId="0" fontId="152" fillId="46" borderId="0" xfId="0" applyFont="1" applyFill="1" applyAlignment="1">
      <alignment/>
    </xf>
    <xf numFmtId="0" fontId="152" fillId="0" borderId="0" xfId="0" applyFont="1" applyAlignment="1">
      <alignment/>
    </xf>
    <xf numFmtId="0" fontId="151" fillId="46" borderId="0" xfId="105" applyFont="1" applyFill="1" applyBorder="1" applyAlignment="1" applyProtection="1">
      <alignment horizontal="left"/>
      <protection hidden="1"/>
    </xf>
    <xf numFmtId="0" fontId="12" fillId="51" borderId="28" xfId="105" applyFont="1" applyFill="1" applyBorder="1" applyAlignment="1" applyProtection="1">
      <alignment horizontal="center"/>
      <protection hidden="1"/>
    </xf>
    <xf numFmtId="192" fontId="5" fillId="48" borderId="35" xfId="105" applyNumberFormat="1" applyFont="1" applyFill="1" applyBorder="1" applyAlignment="1" applyProtection="1">
      <alignment/>
      <protection hidden="1"/>
    </xf>
    <xf numFmtId="192" fontId="5" fillId="48" borderId="45" xfId="105" applyNumberFormat="1" applyFont="1" applyFill="1" applyBorder="1" applyAlignment="1" applyProtection="1">
      <alignment/>
      <protection hidden="1"/>
    </xf>
    <xf numFmtId="0" fontId="32" fillId="46" borderId="0" xfId="105" applyFont="1" applyFill="1" applyBorder="1" applyAlignment="1" applyProtection="1">
      <alignment horizontal="center"/>
      <protection hidden="1"/>
    </xf>
    <xf numFmtId="0" fontId="14" fillId="46" borderId="21" xfId="105" applyFont="1" applyFill="1" applyBorder="1" applyProtection="1">
      <alignment/>
      <protection hidden="1"/>
    </xf>
    <xf numFmtId="0" fontId="17" fillId="46" borderId="28" xfId="105" applyFont="1" applyFill="1" applyBorder="1" applyProtection="1">
      <alignment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0" fontId="12" fillId="46" borderId="35" xfId="105" applyFont="1" applyFill="1" applyBorder="1" applyAlignment="1" applyProtection="1">
      <alignment horizontal="center"/>
      <protection hidden="1"/>
    </xf>
    <xf numFmtId="0" fontId="125" fillId="0" borderId="19" xfId="0" applyFont="1" applyBorder="1" applyAlignment="1">
      <alignment/>
    </xf>
    <xf numFmtId="0" fontId="12" fillId="46" borderId="0" xfId="105" applyFont="1" applyFill="1" applyProtection="1">
      <alignment/>
      <protection hidden="1"/>
    </xf>
    <xf numFmtId="0" fontId="13" fillId="46" borderId="0" xfId="105" applyFont="1" applyFill="1">
      <alignment/>
      <protection/>
    </xf>
    <xf numFmtId="0" fontId="125" fillId="46" borderId="0" xfId="0" applyFont="1" applyFill="1" applyAlignment="1">
      <alignment/>
    </xf>
    <xf numFmtId="0" fontId="125" fillId="0" borderId="0" xfId="0" applyFont="1" applyAlignment="1">
      <alignment/>
    </xf>
    <xf numFmtId="0" fontId="138" fillId="46" borderId="0" xfId="0" applyFont="1" applyFill="1" applyBorder="1" applyAlignment="1">
      <alignment horizontal="left"/>
    </xf>
    <xf numFmtId="0" fontId="139" fillId="46" borderId="0" xfId="0" applyFont="1" applyFill="1" applyBorder="1" applyAlignment="1">
      <alignment horizontal="left"/>
    </xf>
    <xf numFmtId="0" fontId="138" fillId="46" borderId="19" xfId="105" applyFont="1" applyFill="1" applyBorder="1" applyAlignment="1" applyProtection="1">
      <alignment horizontal="left"/>
      <protection hidden="1"/>
    </xf>
    <xf numFmtId="0" fontId="3" fillId="46" borderId="27" xfId="105" applyFont="1" applyFill="1" applyBorder="1" applyAlignment="1" applyProtection="1">
      <alignment horizontal="left"/>
      <protection hidden="1"/>
    </xf>
    <xf numFmtId="0" fontId="2" fillId="51" borderId="46" xfId="105" applyFont="1" applyFill="1" applyBorder="1" applyAlignment="1" applyProtection="1">
      <alignment horizontal="center" vertical="center"/>
      <protection hidden="1"/>
    </xf>
    <xf numFmtId="0" fontId="2" fillId="46" borderId="28" xfId="105" applyFill="1" applyBorder="1">
      <alignment/>
      <protection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19" xfId="105" applyFont="1" applyFill="1" applyBorder="1" applyAlignment="1" applyProtection="1">
      <alignment horizontal="left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38" fillId="46" borderId="19" xfId="105" applyFont="1" applyFill="1" applyBorder="1" applyAlignment="1" applyProtection="1">
      <alignment horizontal="left"/>
      <protection hidden="1"/>
    </xf>
    <xf numFmtId="0" fontId="3" fillId="51" borderId="44" xfId="105" applyFont="1" applyFill="1" applyBorder="1" applyAlignment="1" applyProtection="1">
      <alignment horizontal="center" vertical="center"/>
      <protection hidden="1"/>
    </xf>
    <xf numFmtId="0" fontId="12" fillId="51" borderId="46" xfId="105" applyFont="1" applyFill="1" applyBorder="1" applyAlignment="1" applyProtection="1">
      <alignment horizontal="center" vertical="center"/>
      <protection hidden="1"/>
    </xf>
    <xf numFmtId="0" fontId="50" fillId="46" borderId="21" xfId="105" applyFont="1" applyFill="1" applyBorder="1" applyProtection="1">
      <alignment/>
      <protection hidden="1"/>
    </xf>
    <xf numFmtId="0" fontId="29" fillId="48" borderId="21" xfId="105" applyFont="1" applyFill="1" applyBorder="1" applyProtection="1">
      <alignment/>
      <protection hidden="1"/>
    </xf>
    <xf numFmtId="0" fontId="50" fillId="46" borderId="28" xfId="105" applyFont="1" applyFill="1" applyBorder="1" applyProtection="1">
      <alignment/>
      <protection hidden="1"/>
    </xf>
    <xf numFmtId="0" fontId="29" fillId="48" borderId="28" xfId="105" applyFont="1" applyFill="1" applyBorder="1" applyProtection="1">
      <alignment/>
      <protection hidden="1"/>
    </xf>
    <xf numFmtId="0" fontId="28" fillId="48" borderId="0" xfId="105" applyFont="1" applyFill="1" applyBorder="1" applyAlignment="1">
      <alignment horizontal="left"/>
      <protection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53" fillId="46" borderId="0" xfId="105" applyFont="1" applyFill="1" applyBorder="1" applyAlignment="1" applyProtection="1">
      <alignment/>
      <protection hidden="1"/>
    </xf>
    <xf numFmtId="0" fontId="22" fillId="46" borderId="21" xfId="105" applyFont="1" applyFill="1" applyBorder="1" applyAlignment="1">
      <alignment horizontal="center"/>
      <protection/>
    </xf>
    <xf numFmtId="0" fontId="7" fillId="46" borderId="28" xfId="105" applyFont="1" applyFill="1" applyBorder="1" applyAlignment="1">
      <alignment horizontal="left"/>
      <protection/>
    </xf>
    <xf numFmtId="0" fontId="27" fillId="46" borderId="19" xfId="105" applyFont="1" applyFill="1" applyBorder="1" applyAlignment="1" applyProtection="1">
      <alignment horizontal="left"/>
      <protection hidden="1"/>
    </xf>
    <xf numFmtId="0" fontId="5" fillId="46" borderId="0" xfId="105" applyFont="1" applyFill="1" applyAlignment="1" applyProtection="1">
      <alignment horizontal="left"/>
      <protection hidden="1"/>
    </xf>
    <xf numFmtId="0" fontId="2" fillId="46" borderId="0" xfId="105" applyFill="1" applyAlignment="1">
      <alignment horizontal="left"/>
      <protection/>
    </xf>
    <xf numFmtId="0" fontId="0" fillId="46" borderId="0" xfId="0" applyFill="1" applyAlignment="1">
      <alignment horizontal="left"/>
    </xf>
    <xf numFmtId="0" fontId="154" fillId="46" borderId="0" xfId="105" applyFont="1" applyFill="1" applyBorder="1" applyAlignment="1" applyProtection="1">
      <alignment horizontal="left"/>
      <protection hidden="1"/>
    </xf>
    <xf numFmtId="0" fontId="154" fillId="48" borderId="0" xfId="105" applyFont="1" applyFill="1" applyBorder="1" applyAlignment="1" applyProtection="1">
      <alignment horizontal="left"/>
      <protection hidden="1"/>
    </xf>
    <xf numFmtId="0" fontId="155" fillId="46" borderId="0" xfId="105" applyFont="1" applyFill="1" applyBorder="1" applyAlignment="1" applyProtection="1">
      <alignment horizontal="center"/>
      <protection hidden="1"/>
    </xf>
    <xf numFmtId="0" fontId="156" fillId="46" borderId="0" xfId="105" applyFont="1" applyFill="1" applyBorder="1" applyAlignment="1" applyProtection="1">
      <alignment/>
      <protection hidden="1"/>
    </xf>
    <xf numFmtId="0" fontId="156" fillId="46" borderId="0" xfId="105" applyFont="1" applyFill="1" applyAlignment="1" applyProtection="1">
      <alignment/>
      <protection hidden="1"/>
    </xf>
    <xf numFmtId="0" fontId="156" fillId="46" borderId="0" xfId="105" applyFont="1" applyFill="1" applyProtection="1">
      <alignment/>
      <protection hidden="1"/>
    </xf>
    <xf numFmtId="0" fontId="157" fillId="46" borderId="0" xfId="105" applyFont="1" applyFill="1">
      <alignment/>
      <protection/>
    </xf>
    <xf numFmtId="0" fontId="158" fillId="46" borderId="0" xfId="0" applyFont="1" applyFill="1" applyAlignment="1">
      <alignment/>
    </xf>
    <xf numFmtId="0" fontId="158" fillId="0" borderId="0" xfId="0" applyFont="1" applyAlignment="1">
      <alignment/>
    </xf>
    <xf numFmtId="0" fontId="92" fillId="48" borderId="0" xfId="0" applyFont="1" applyFill="1" applyAlignment="1">
      <alignment horizontal="center"/>
    </xf>
    <xf numFmtId="0" fontId="18" fillId="46" borderId="35" xfId="0" applyFont="1" applyFill="1" applyBorder="1" applyAlignment="1">
      <alignment horizontal="center"/>
    </xf>
    <xf numFmtId="0" fontId="143" fillId="46" borderId="0" xfId="105" applyFont="1" applyFill="1" applyBorder="1" applyAlignment="1" applyProtection="1">
      <alignment horizontal="center"/>
      <protection hidden="1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35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8" fillId="48" borderId="0" xfId="105" applyFont="1" applyFill="1" applyBorder="1" applyAlignment="1">
      <alignment horizontal="left"/>
      <protection/>
    </xf>
    <xf numFmtId="0" fontId="12" fillId="46" borderId="47" xfId="105" applyFont="1" applyFill="1" applyBorder="1" applyProtection="1">
      <alignment/>
      <protection hidden="1"/>
    </xf>
    <xf numFmtId="0" fontId="151" fillId="46" borderId="0" xfId="105" applyFont="1" applyFill="1" applyBorder="1" applyProtection="1">
      <alignment/>
      <protection hidden="1"/>
    </xf>
    <xf numFmtId="0" fontId="159" fillId="46" borderId="0" xfId="105" applyFont="1" applyFill="1" applyBorder="1" applyProtection="1">
      <alignment/>
      <protection hidden="1"/>
    </xf>
    <xf numFmtId="192" fontId="160" fillId="48" borderId="0" xfId="105" applyNumberFormat="1" applyFont="1" applyFill="1" applyBorder="1" applyAlignment="1" applyProtection="1">
      <alignment horizontal="center"/>
      <protection hidden="1"/>
    </xf>
    <xf numFmtId="1" fontId="5" fillId="46" borderId="28" xfId="105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7" fillId="48" borderId="0" xfId="105" applyFont="1" applyFill="1" applyBorder="1" applyProtection="1">
      <alignment/>
      <protection hidden="1"/>
    </xf>
    <xf numFmtId="0" fontId="7" fillId="0" borderId="0" xfId="105" applyFont="1" applyBorder="1" applyProtection="1">
      <alignment/>
      <protection hidden="1"/>
    </xf>
    <xf numFmtId="0" fontId="7" fillId="46" borderId="28" xfId="105" applyFont="1" applyFill="1" applyBorder="1" applyProtection="1">
      <alignment/>
      <protection hidden="1"/>
    </xf>
    <xf numFmtId="0" fontId="7" fillId="46" borderId="35" xfId="105" applyFont="1" applyFill="1" applyBorder="1" applyProtection="1">
      <alignment/>
      <protection hidden="1"/>
    </xf>
    <xf numFmtId="0" fontId="14" fillId="46" borderId="20" xfId="105" applyFont="1" applyFill="1" applyBorder="1" applyProtection="1">
      <alignment/>
      <protection hidden="1"/>
    </xf>
    <xf numFmtId="0" fontId="125" fillId="48" borderId="0" xfId="0" applyFont="1" applyFill="1" applyAlignment="1">
      <alignment/>
    </xf>
    <xf numFmtId="0" fontId="125" fillId="0" borderId="0" xfId="0" applyFont="1" applyFill="1" applyAlignment="1">
      <alignment/>
    </xf>
    <xf numFmtId="0" fontId="5" fillId="50" borderId="0" xfId="105" applyFont="1" applyFill="1" applyBorder="1">
      <alignment/>
      <protection/>
    </xf>
    <xf numFmtId="0" fontId="12" fillId="46" borderId="35" xfId="105" applyFont="1" applyFill="1" applyBorder="1" applyAlignment="1" applyProtection="1">
      <alignment horizontal="left"/>
      <protection hidden="1"/>
    </xf>
    <xf numFmtId="0" fontId="23" fillId="46" borderId="35" xfId="105" applyFont="1" applyFill="1" applyBorder="1" applyProtection="1">
      <alignment/>
      <protection hidden="1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2" fillId="48" borderId="0" xfId="105" applyFont="1" applyFill="1" applyBorder="1" applyAlignment="1" applyProtection="1">
      <alignment/>
      <protection hidden="1"/>
    </xf>
    <xf numFmtId="0" fontId="12" fillId="48" borderId="0" xfId="105" applyFont="1" applyFill="1" applyBorder="1" applyAlignment="1" applyProtection="1">
      <alignment horizontal="left" vertical="center"/>
      <protection hidden="1"/>
    </xf>
    <xf numFmtId="0" fontId="12" fillId="48" borderId="20" xfId="105" applyFont="1" applyFill="1" applyBorder="1" applyAlignment="1" applyProtection="1">
      <alignment/>
      <protection hidden="1"/>
    </xf>
    <xf numFmtId="1" fontId="8" fillId="49" borderId="0" xfId="0" applyNumberFormat="1" applyFont="1" applyFill="1" applyBorder="1" applyAlignment="1">
      <alignment horizontal="left"/>
    </xf>
    <xf numFmtId="1" fontId="34" fillId="49" borderId="0" xfId="105" applyNumberFormat="1" applyFont="1" applyFill="1" applyBorder="1" applyAlignment="1" applyProtection="1">
      <alignment horizontal="center"/>
      <protection hidden="1"/>
    </xf>
    <xf numFmtId="0" fontId="5" fillId="49" borderId="0" xfId="105" applyFont="1" applyFill="1" applyAlignment="1" applyProtection="1">
      <alignment/>
      <protection hidden="1"/>
    </xf>
    <xf numFmtId="0" fontId="2" fillId="48" borderId="0" xfId="105" applyFill="1" applyBorder="1" applyAlignment="1">
      <alignment/>
      <protection/>
    </xf>
    <xf numFmtId="0" fontId="10" fillId="48" borderId="0" xfId="105" applyFont="1" applyFill="1" applyBorder="1" applyAlignment="1" applyProtection="1">
      <alignment/>
      <protection hidden="1"/>
    </xf>
    <xf numFmtId="0" fontId="145" fillId="48" borderId="0" xfId="105" applyFont="1" applyFill="1" applyBorder="1" applyAlignment="1" applyProtection="1">
      <alignment horizontal="center"/>
      <protection hidden="1"/>
    </xf>
    <xf numFmtId="1" fontId="161" fillId="48" borderId="0" xfId="105" applyNumberFormat="1" applyFont="1" applyFill="1" applyBorder="1" applyAlignment="1" applyProtection="1">
      <alignment horizontal="center"/>
      <protection hidden="1"/>
    </xf>
    <xf numFmtId="0" fontId="5" fillId="0" borderId="0" xfId="105" applyFont="1" applyFill="1" applyBorder="1">
      <alignment/>
      <protection/>
    </xf>
    <xf numFmtId="0" fontId="151" fillId="48" borderId="0" xfId="105" applyFont="1" applyFill="1" applyBorder="1" applyAlignment="1" applyProtection="1">
      <alignment horizontal="left"/>
      <protection hidden="1"/>
    </xf>
    <xf numFmtId="0" fontId="5" fillId="48" borderId="0" xfId="105" applyFont="1" applyFill="1" applyBorder="1" applyAlignment="1">
      <alignment/>
      <protection/>
    </xf>
    <xf numFmtId="0" fontId="5" fillId="48" borderId="0" xfId="105" applyFont="1" applyFill="1" applyBorder="1" applyAlignment="1">
      <alignment/>
      <protection/>
    </xf>
    <xf numFmtId="0" fontId="5" fillId="48" borderId="0" xfId="0" applyFont="1" applyFill="1" applyAlignment="1">
      <alignment horizontal="left" vertical="top"/>
    </xf>
    <xf numFmtId="0" fontId="149" fillId="48" borderId="0" xfId="0" applyFont="1" applyFill="1" applyAlignment="1">
      <alignment horizontal="left" vertical="top"/>
    </xf>
    <xf numFmtId="0" fontId="149" fillId="48" borderId="0" xfId="105" applyFont="1" applyFill="1" applyAlignment="1" applyProtection="1">
      <alignment/>
      <protection hidden="1"/>
    </xf>
    <xf numFmtId="0" fontId="36" fillId="48" borderId="0" xfId="0" applyFont="1" applyFill="1" applyAlignment="1">
      <alignment wrapText="1"/>
    </xf>
    <xf numFmtId="0" fontId="121" fillId="48" borderId="0" xfId="69" applyFill="1" applyBorder="1" applyAlignment="1" applyProtection="1">
      <alignment horizontal="left" indent="3"/>
      <protection/>
    </xf>
    <xf numFmtId="0" fontId="51" fillId="52" borderId="0" xfId="0" applyFont="1" applyFill="1" applyAlignment="1">
      <alignment vertical="center"/>
    </xf>
    <xf numFmtId="0" fontId="143" fillId="46" borderId="0" xfId="105" applyFont="1" applyFill="1" applyBorder="1" applyProtection="1">
      <alignment/>
      <protection hidden="1"/>
    </xf>
    <xf numFmtId="0" fontId="24" fillId="46" borderId="0" xfId="0" applyFont="1" applyFill="1" applyBorder="1" applyAlignment="1">
      <alignment horizontal="center"/>
    </xf>
    <xf numFmtId="0" fontId="143" fillId="46" borderId="26" xfId="105" applyFont="1" applyFill="1" applyBorder="1" applyAlignment="1" applyProtection="1">
      <alignment horizontal="center"/>
      <protection hidden="1"/>
    </xf>
    <xf numFmtId="0" fontId="143" fillId="46" borderId="20" xfId="105" applyFont="1" applyFill="1" applyBorder="1" applyAlignment="1" applyProtection="1">
      <alignment horizontal="center"/>
      <protection hidden="1"/>
    </xf>
    <xf numFmtId="0" fontId="145" fillId="46" borderId="27" xfId="105" applyFont="1" applyFill="1" applyBorder="1" applyAlignment="1" applyProtection="1">
      <alignment horizontal="center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43" fillId="46" borderId="20" xfId="105" applyFont="1" applyFill="1" applyBorder="1" applyAlignment="1">
      <alignment horizontal="center"/>
      <protection/>
    </xf>
    <xf numFmtId="0" fontId="7" fillId="48" borderId="0" xfId="105" applyFont="1" applyFill="1" applyBorder="1" applyAlignment="1" applyProtection="1">
      <alignment horizontal="left"/>
      <protection hidden="1"/>
    </xf>
    <xf numFmtId="0" fontId="27" fillId="46" borderId="0" xfId="105" applyFont="1" applyFill="1" applyBorder="1" applyAlignment="1" applyProtection="1">
      <alignment horizontal="center"/>
      <protection hidden="1"/>
    </xf>
    <xf numFmtId="0" fontId="143" fillId="46" borderId="20" xfId="105" applyFont="1" applyFill="1" applyBorder="1" applyAlignment="1">
      <alignment horizontal="center"/>
      <protection/>
    </xf>
    <xf numFmtId="0" fontId="162" fillId="46" borderId="0" xfId="105" applyFont="1" applyFill="1" applyBorder="1">
      <alignment/>
      <protection/>
    </xf>
    <xf numFmtId="0" fontId="133" fillId="0" borderId="0" xfId="0" applyFont="1" applyAlignment="1">
      <alignment/>
    </xf>
    <xf numFmtId="0" fontId="143" fillId="46" borderId="21" xfId="105" applyFont="1" applyFill="1" applyBorder="1" applyAlignment="1" applyProtection="1">
      <alignment horizontal="center"/>
      <protection hidden="1"/>
    </xf>
    <xf numFmtId="0" fontId="145" fillId="46" borderId="27" xfId="0" applyFont="1" applyFill="1" applyBorder="1" applyAlignment="1">
      <alignment horizontal="center"/>
    </xf>
    <xf numFmtId="0" fontId="40" fillId="46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05" applyFont="1" applyFill="1" applyBorder="1" applyAlignment="1" applyProtection="1">
      <alignment horizontal="center"/>
      <protection hidden="1"/>
    </xf>
    <xf numFmtId="1" fontId="5" fillId="0" borderId="0" xfId="105" applyNumberFormat="1" applyFont="1" applyFill="1" applyBorder="1" applyAlignment="1" applyProtection="1">
      <alignment horizontal="center"/>
      <protection hidden="1"/>
    </xf>
    <xf numFmtId="0" fontId="143" fillId="46" borderId="20" xfId="105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/>
    </xf>
    <xf numFmtId="0" fontId="0" fillId="49" borderId="0" xfId="0" applyFill="1" applyBorder="1" applyAlignment="1">
      <alignment/>
    </xf>
    <xf numFmtId="0" fontId="2" fillId="46" borderId="31" xfId="105" applyFill="1" applyBorder="1">
      <alignment/>
      <protection/>
    </xf>
    <xf numFmtId="0" fontId="0" fillId="46" borderId="31" xfId="0" applyFill="1" applyBorder="1" applyAlignment="1">
      <alignment/>
    </xf>
    <xf numFmtId="0" fontId="0" fillId="0" borderId="31" xfId="0" applyBorder="1" applyAlignment="1">
      <alignment/>
    </xf>
    <xf numFmtId="0" fontId="40" fillId="46" borderId="21" xfId="0" applyFont="1" applyFill="1" applyBorder="1" applyAlignment="1">
      <alignment horizontal="center"/>
    </xf>
    <xf numFmtId="0" fontId="143" fillId="46" borderId="20" xfId="105" applyFont="1" applyFill="1" applyBorder="1" applyProtection="1">
      <alignment/>
      <protection hidden="1"/>
    </xf>
    <xf numFmtId="0" fontId="143" fillId="46" borderId="20" xfId="105" applyFont="1" applyFill="1" applyBorder="1" applyProtection="1">
      <alignment/>
      <protection hidden="1"/>
    </xf>
    <xf numFmtId="0" fontId="143" fillId="46" borderId="21" xfId="105" applyFont="1" applyFill="1" applyBorder="1" applyAlignment="1" applyProtection="1">
      <alignment horizontal="center"/>
      <protection hidden="1"/>
    </xf>
    <xf numFmtId="0" fontId="0" fillId="49" borderId="0" xfId="0" applyFill="1" applyAlignment="1">
      <alignment/>
    </xf>
    <xf numFmtId="0" fontId="5" fillId="48" borderId="0" xfId="105" applyFont="1" applyFill="1" applyProtection="1">
      <alignment/>
      <protection hidden="1"/>
    </xf>
    <xf numFmtId="0" fontId="2" fillId="48" borderId="0" xfId="105" applyFill="1">
      <alignment/>
      <protection/>
    </xf>
    <xf numFmtId="0" fontId="13" fillId="49" borderId="46" xfId="105" applyFont="1" applyFill="1" applyBorder="1" applyAlignment="1" applyProtection="1">
      <alignment horizontal="center"/>
      <protection hidden="1"/>
    </xf>
    <xf numFmtId="0" fontId="163" fillId="48" borderId="19" xfId="105" applyFont="1" applyFill="1" applyBorder="1" applyProtection="1">
      <alignment/>
      <protection hidden="1"/>
    </xf>
    <xf numFmtId="0" fontId="163" fillId="48" borderId="19" xfId="105" applyFont="1" applyFill="1" applyBorder="1" applyProtection="1">
      <alignment/>
      <protection hidden="1"/>
    </xf>
    <xf numFmtId="1" fontId="163" fillId="48" borderId="19" xfId="105" applyNumberFormat="1" applyFont="1" applyFill="1" applyBorder="1" applyAlignment="1" applyProtection="1">
      <alignment horizontal="center"/>
      <protection hidden="1"/>
    </xf>
    <xf numFmtId="0" fontId="163" fillId="48" borderId="0" xfId="105" applyFont="1" applyFill="1" applyBorder="1" applyAlignment="1" applyProtection="1">
      <alignment/>
      <protection hidden="1"/>
    </xf>
    <xf numFmtId="0" fontId="164" fillId="48" borderId="0" xfId="0" applyFont="1" applyFill="1" applyAlignment="1">
      <alignment/>
    </xf>
    <xf numFmtId="192" fontId="5" fillId="48" borderId="24" xfId="105" applyNumberFormat="1" applyFont="1" applyFill="1" applyBorder="1" applyAlignment="1" applyProtection="1">
      <alignment/>
      <protection hidden="1"/>
    </xf>
    <xf numFmtId="192" fontId="5" fillId="48" borderId="48" xfId="105" applyNumberFormat="1" applyFont="1" applyFill="1" applyBorder="1" applyAlignment="1" applyProtection="1">
      <alignment/>
      <protection hidden="1"/>
    </xf>
    <xf numFmtId="192" fontId="5" fillId="48" borderId="20" xfId="105" applyNumberFormat="1" applyFont="1" applyFill="1" applyBorder="1" applyAlignment="1" applyProtection="1">
      <alignment/>
      <protection hidden="1"/>
    </xf>
    <xf numFmtId="192" fontId="5" fillId="48" borderId="33" xfId="105" applyNumberFormat="1" applyFont="1" applyFill="1" applyBorder="1" applyAlignment="1" applyProtection="1">
      <alignment/>
      <protection hidden="1"/>
    </xf>
    <xf numFmtId="0" fontId="44" fillId="49" borderId="0" xfId="0" applyFont="1" applyFill="1" applyAlignment="1">
      <alignment/>
    </xf>
    <xf numFmtId="0" fontId="142" fillId="48" borderId="20" xfId="0" applyFont="1" applyFill="1" applyBorder="1" applyAlignment="1">
      <alignment horizontal="center"/>
    </xf>
    <xf numFmtId="0" fontId="7" fillId="49" borderId="28" xfId="105" applyFont="1" applyFill="1" applyBorder="1" applyAlignment="1" applyProtection="1">
      <alignment horizontal="center"/>
      <protection hidden="1"/>
    </xf>
    <xf numFmtId="0" fontId="13" fillId="49" borderId="40" xfId="105" applyFont="1" applyFill="1" applyBorder="1" applyAlignment="1" applyProtection="1">
      <alignment horizontal="center"/>
      <protection hidden="1"/>
    </xf>
    <xf numFmtId="0" fontId="13" fillId="49" borderId="49" xfId="105" applyFont="1" applyFill="1" applyBorder="1" applyAlignment="1" applyProtection="1">
      <alignment horizontal="center"/>
      <protection hidden="1"/>
    </xf>
    <xf numFmtId="0" fontId="27" fillId="46" borderId="0" xfId="105" applyFont="1" applyFill="1" applyAlignment="1" applyProtection="1">
      <alignment horizontal="center"/>
      <protection hidden="1"/>
    </xf>
    <xf numFmtId="0" fontId="49" fillId="46" borderId="25" xfId="106" applyFont="1" applyFill="1" applyBorder="1" applyProtection="1">
      <alignment/>
      <protection hidden="1"/>
    </xf>
    <xf numFmtId="0" fontId="49" fillId="46" borderId="21" xfId="106" applyFont="1" applyFill="1" applyBorder="1" applyAlignment="1" applyProtection="1">
      <alignment horizontal="center"/>
      <protection hidden="1"/>
    </xf>
    <xf numFmtId="0" fontId="140" fillId="46" borderId="21" xfId="0" applyFont="1" applyFill="1" applyBorder="1" applyAlignment="1">
      <alignment horizontal="center"/>
    </xf>
    <xf numFmtId="0" fontId="140" fillId="46" borderId="21" xfId="105" applyFont="1" applyFill="1" applyBorder="1" applyAlignment="1">
      <alignment horizontal="center"/>
      <protection/>
    </xf>
    <xf numFmtId="0" fontId="32" fillId="46" borderId="21" xfId="106" applyFont="1" applyFill="1" applyBorder="1" applyAlignment="1" applyProtection="1">
      <alignment horizontal="center"/>
      <protection hidden="1"/>
    </xf>
    <xf numFmtId="0" fontId="32" fillId="48" borderId="21" xfId="106" applyFont="1" applyFill="1" applyBorder="1" applyAlignment="1" applyProtection="1">
      <alignment horizontal="center"/>
      <protection hidden="1"/>
    </xf>
    <xf numFmtId="0" fontId="12" fillId="48" borderId="36" xfId="105" applyFont="1" applyFill="1" applyBorder="1" applyProtection="1">
      <alignment/>
      <protection hidden="1"/>
    </xf>
    <xf numFmtId="0" fontId="12" fillId="48" borderId="26" xfId="105" applyFont="1" applyFill="1" applyBorder="1" applyAlignment="1" applyProtection="1">
      <alignment horizontal="center"/>
      <protection hidden="1"/>
    </xf>
    <xf numFmtId="0" fontId="2" fillId="48" borderId="21" xfId="105" applyFill="1" applyBorder="1" applyProtection="1">
      <alignment/>
      <protection hidden="1"/>
    </xf>
    <xf numFmtId="0" fontId="145" fillId="48" borderId="27" xfId="105" applyFont="1" applyFill="1" applyBorder="1" applyAlignment="1" applyProtection="1">
      <alignment horizontal="center"/>
      <protection hidden="1"/>
    </xf>
    <xf numFmtId="0" fontId="23" fillId="48" borderId="21" xfId="105" applyFont="1" applyFill="1" applyBorder="1" applyProtection="1">
      <alignment/>
      <protection hidden="1"/>
    </xf>
    <xf numFmtId="0" fontId="7" fillId="48" borderId="47" xfId="105" applyFont="1" applyFill="1" applyBorder="1" applyProtection="1">
      <alignment/>
      <protection hidden="1"/>
    </xf>
    <xf numFmtId="0" fontId="2" fillId="48" borderId="35" xfId="105" applyFont="1" applyFill="1" applyBorder="1" applyProtection="1">
      <alignment/>
      <protection hidden="1"/>
    </xf>
    <xf numFmtId="0" fontId="12" fillId="48" borderId="38" xfId="105" applyFont="1" applyFill="1" applyBorder="1" applyAlignment="1" applyProtection="1">
      <alignment horizontal="left" vertical="top" wrapText="1"/>
      <protection hidden="1"/>
    </xf>
    <xf numFmtId="0" fontId="5" fillId="48" borderId="25" xfId="105" applyFont="1" applyFill="1" applyBorder="1" applyProtection="1">
      <alignment/>
      <protection hidden="1"/>
    </xf>
    <xf numFmtId="0" fontId="12" fillId="48" borderId="0" xfId="105" applyFont="1" applyFill="1" applyBorder="1" applyAlignment="1" applyProtection="1">
      <alignment horizontal="center" vertical="top" wrapText="1"/>
      <protection hidden="1"/>
    </xf>
    <xf numFmtId="0" fontId="5" fillId="48" borderId="21" xfId="105" applyFont="1" applyFill="1" applyBorder="1" applyProtection="1">
      <alignment/>
      <protection hidden="1"/>
    </xf>
    <xf numFmtId="0" fontId="5" fillId="48" borderId="28" xfId="105" applyFont="1" applyFill="1" applyBorder="1" applyProtection="1">
      <alignment/>
      <protection hidden="1"/>
    </xf>
    <xf numFmtId="0" fontId="3" fillId="48" borderId="0" xfId="105" applyFont="1" applyFill="1" applyBorder="1" applyAlignment="1" applyProtection="1">
      <alignment horizontal="center" vertical="top" wrapText="1"/>
      <protection hidden="1"/>
    </xf>
    <xf numFmtId="0" fontId="151" fillId="46" borderId="0" xfId="105" applyFont="1" applyFill="1" applyBorder="1" applyAlignment="1">
      <alignment horizontal="left"/>
      <protection/>
    </xf>
    <xf numFmtId="0" fontId="159" fillId="46" borderId="0" xfId="105" applyFont="1" applyFill="1" applyBorder="1">
      <alignment/>
      <protection/>
    </xf>
    <xf numFmtId="0" fontId="165" fillId="48" borderId="26" xfId="105" applyFont="1" applyFill="1" applyBorder="1" applyProtection="1">
      <alignment/>
      <protection hidden="1"/>
    </xf>
    <xf numFmtId="0" fontId="2" fillId="48" borderId="24" xfId="105" applyFont="1" applyFill="1" applyBorder="1" applyProtection="1">
      <alignment/>
      <protection hidden="1"/>
    </xf>
    <xf numFmtId="0" fontId="165" fillId="48" borderId="26" xfId="105" applyFont="1" applyFill="1" applyBorder="1" applyAlignment="1" applyProtection="1">
      <alignment horizontal="center"/>
      <protection hidden="1"/>
    </xf>
    <xf numFmtId="0" fontId="143" fillId="48" borderId="27" xfId="105" applyFont="1" applyFill="1" applyBorder="1" applyAlignment="1" applyProtection="1">
      <alignment horizontal="center"/>
      <protection hidden="1"/>
    </xf>
    <xf numFmtId="0" fontId="166" fillId="48" borderId="29" xfId="105" applyFont="1" applyFill="1" applyBorder="1" applyProtection="1">
      <alignment/>
      <protection hidden="1"/>
    </xf>
    <xf numFmtId="0" fontId="2" fillId="48" borderId="22" xfId="105" applyFont="1" applyFill="1" applyBorder="1" applyProtection="1">
      <alignment/>
      <protection hidden="1"/>
    </xf>
    <xf numFmtId="0" fontId="22" fillId="46" borderId="20" xfId="105" applyFont="1" applyFill="1" applyBorder="1" applyAlignment="1">
      <alignment horizontal="center"/>
      <protection/>
    </xf>
    <xf numFmtId="1" fontId="5" fillId="48" borderId="45" xfId="105" applyNumberFormat="1" applyFont="1" applyFill="1" applyBorder="1" applyAlignment="1" applyProtection="1">
      <alignment/>
      <protection hidden="1"/>
    </xf>
    <xf numFmtId="0" fontId="143" fillId="46" borderId="20" xfId="105" applyFont="1" applyFill="1" applyBorder="1" applyAlignment="1" applyProtection="1">
      <alignment horizontal="center"/>
      <protection hidden="1"/>
    </xf>
    <xf numFmtId="192" fontId="5" fillId="48" borderId="20" xfId="105" applyNumberFormat="1" applyFont="1" applyFill="1" applyBorder="1" applyAlignment="1" applyProtection="1">
      <alignment horizontal="right"/>
      <protection hidden="1"/>
    </xf>
    <xf numFmtId="192" fontId="5" fillId="48" borderId="33" xfId="105" applyNumberFormat="1" applyFont="1" applyFill="1" applyBorder="1" applyAlignment="1" applyProtection="1">
      <alignment horizontal="right"/>
      <protection hidden="1"/>
    </xf>
    <xf numFmtId="1" fontId="5" fillId="48" borderId="20" xfId="105" applyNumberFormat="1" applyFont="1" applyFill="1" applyBorder="1" applyAlignment="1" applyProtection="1">
      <alignment horizontal="right"/>
      <protection hidden="1"/>
    </xf>
    <xf numFmtId="1" fontId="5" fillId="48" borderId="33" xfId="105" applyNumberFormat="1" applyFont="1" applyFill="1" applyBorder="1" applyAlignment="1" applyProtection="1">
      <alignment horizontal="right"/>
      <protection hidden="1"/>
    </xf>
    <xf numFmtId="1" fontId="5" fillId="48" borderId="35" xfId="105" applyNumberFormat="1" applyFont="1" applyFill="1" applyBorder="1" applyAlignment="1" applyProtection="1">
      <alignment horizontal="right"/>
      <protection hidden="1"/>
    </xf>
    <xf numFmtId="1" fontId="5" fillId="48" borderId="45" xfId="105" applyNumberFormat="1" applyFont="1" applyFill="1" applyBorder="1" applyAlignment="1" applyProtection="1">
      <alignment horizontal="right"/>
      <protection hidden="1"/>
    </xf>
    <xf numFmtId="0" fontId="167" fillId="46" borderId="20" xfId="105" applyFont="1" applyFill="1" applyBorder="1" applyAlignment="1" applyProtection="1">
      <alignment horizontal="center"/>
      <protection hidden="1"/>
    </xf>
    <xf numFmtId="0" fontId="167" fillId="46" borderId="20" xfId="105" applyFont="1" applyFill="1" applyBorder="1" applyProtection="1">
      <alignment/>
      <protection hidden="1"/>
    </xf>
    <xf numFmtId="0" fontId="12" fillId="48" borderId="27" xfId="105" applyFont="1" applyFill="1" applyBorder="1" applyAlignment="1" applyProtection="1">
      <alignment horizontal="left"/>
      <protection hidden="1"/>
    </xf>
    <xf numFmtId="0" fontId="12" fillId="48" borderId="27" xfId="105" applyFont="1" applyFill="1" applyBorder="1" applyAlignment="1" applyProtection="1">
      <alignment horizontal="center"/>
      <protection hidden="1"/>
    </xf>
    <xf numFmtId="0" fontId="143" fillId="48" borderId="0" xfId="105" applyFont="1" applyFill="1" applyBorder="1" applyAlignment="1" applyProtection="1">
      <alignment horizontal="center"/>
      <protection hidden="1"/>
    </xf>
    <xf numFmtId="0" fontId="0" fillId="48" borderId="0" xfId="0" applyFont="1" applyFill="1" applyAlignment="1">
      <alignment/>
    </xf>
    <xf numFmtId="0" fontId="42" fillId="46" borderId="20" xfId="105" applyFont="1" applyFill="1" applyBorder="1" applyAlignment="1" applyProtection="1">
      <alignment horizontal="right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144" fillId="46" borderId="20" xfId="105" applyFont="1" applyFill="1" applyBorder="1" applyAlignment="1" applyProtection="1">
      <alignment horizontal="center"/>
      <protection hidden="1"/>
    </xf>
    <xf numFmtId="0" fontId="5" fillId="46" borderId="33" xfId="105" applyFont="1" applyFill="1" applyBorder="1" applyAlignment="1" applyProtection="1">
      <alignment/>
      <protection hidden="1"/>
    </xf>
    <xf numFmtId="0" fontId="138" fillId="48" borderId="0" xfId="105" applyFont="1" applyFill="1" applyBorder="1" applyProtection="1">
      <alignment/>
      <protection hidden="1"/>
    </xf>
    <xf numFmtId="0" fontId="145" fillId="48" borderId="0" xfId="105" applyFont="1" applyFill="1" applyBorder="1" applyProtection="1">
      <alignment/>
      <protection hidden="1"/>
    </xf>
    <xf numFmtId="1" fontId="143" fillId="48" borderId="0" xfId="105" applyNumberFormat="1" applyFont="1" applyFill="1" applyBorder="1" applyAlignment="1" applyProtection="1">
      <alignment horizontal="center"/>
      <protection hidden="1"/>
    </xf>
    <xf numFmtId="0" fontId="143" fillId="48" borderId="0" xfId="105" applyFont="1" applyFill="1" applyBorder="1" applyAlignment="1" applyProtection="1">
      <alignment/>
      <protection hidden="1"/>
    </xf>
    <xf numFmtId="0" fontId="143" fillId="46" borderId="21" xfId="105" applyFont="1" applyFill="1" applyBorder="1" applyAlignment="1">
      <alignment horizontal="center"/>
      <protection/>
    </xf>
    <xf numFmtId="0" fontId="168" fillId="46" borderId="27" xfId="0" applyFont="1" applyFill="1" applyBorder="1" applyAlignment="1">
      <alignment horizontal="center"/>
    </xf>
    <xf numFmtId="0" fontId="169" fillId="0" borderId="0" xfId="0" applyFont="1" applyAlignment="1">
      <alignment/>
    </xf>
    <xf numFmtId="0" fontId="4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2" fillId="24" borderId="44" xfId="105" applyFont="1" applyFill="1" applyBorder="1" applyAlignment="1" applyProtection="1">
      <alignment horizontal="center" vertical="center"/>
      <protection hidden="1"/>
    </xf>
    <xf numFmtId="0" fontId="12" fillId="24" borderId="50" xfId="105" applyNumberFormat="1" applyFont="1" applyFill="1" applyBorder="1" applyAlignment="1" applyProtection="1">
      <alignment vertical="center"/>
      <protection hidden="1"/>
    </xf>
    <xf numFmtId="0" fontId="12" fillId="24" borderId="51" xfId="105" applyNumberFormat="1" applyFont="1" applyFill="1" applyBorder="1" applyAlignment="1" applyProtection="1">
      <alignment vertical="center"/>
      <protection hidden="1"/>
    </xf>
    <xf numFmtId="0" fontId="12" fillId="24" borderId="50" xfId="105" applyFont="1" applyFill="1" applyBorder="1" applyAlignment="1" applyProtection="1">
      <alignment vertical="center"/>
      <protection hidden="1"/>
    </xf>
    <xf numFmtId="0" fontId="12" fillId="24" borderId="51" xfId="105" applyFont="1" applyFill="1" applyBorder="1" applyAlignment="1" applyProtection="1">
      <alignment vertical="center"/>
      <protection hidden="1"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6" fillId="48" borderId="0" xfId="105" applyFont="1" applyFill="1" applyBorder="1" applyAlignment="1" applyProtection="1">
      <alignment horizontal="left"/>
      <protection hidden="1"/>
    </xf>
    <xf numFmtId="0" fontId="23" fillId="46" borderId="46" xfId="105" applyFont="1" applyFill="1" applyBorder="1">
      <alignment/>
      <protection/>
    </xf>
    <xf numFmtId="0" fontId="2" fillId="46" borderId="46" xfId="105" applyFill="1" applyBorder="1" applyProtection="1">
      <alignment/>
      <protection hidden="1"/>
    </xf>
    <xf numFmtId="0" fontId="13" fillId="53" borderId="27" xfId="105" applyFont="1" applyFill="1" applyBorder="1" applyAlignment="1">
      <alignment horizontal="left"/>
      <protection/>
    </xf>
    <xf numFmtId="0" fontId="23" fillId="46" borderId="46" xfId="105" applyFont="1" applyFill="1" applyBorder="1" applyProtection="1">
      <alignment/>
      <protection hidden="1"/>
    </xf>
    <xf numFmtId="0" fontId="29" fillId="46" borderId="23" xfId="105" applyFont="1" applyFill="1" applyBorder="1" applyAlignment="1" applyProtection="1">
      <alignment/>
      <protection hidden="1"/>
    </xf>
    <xf numFmtId="0" fontId="12" fillId="24" borderId="52" xfId="105" applyFont="1" applyFill="1" applyBorder="1" applyAlignment="1" applyProtection="1">
      <alignment vertical="center"/>
      <protection hidden="1"/>
    </xf>
    <xf numFmtId="0" fontId="12" fillId="24" borderId="53" xfId="105" applyFont="1" applyFill="1" applyBorder="1" applyAlignment="1" applyProtection="1">
      <alignment vertical="center"/>
      <protection hidden="1"/>
    </xf>
    <xf numFmtId="0" fontId="2" fillId="46" borderId="46" xfId="105" applyFill="1" applyBorder="1" applyAlignment="1" applyProtection="1">
      <alignment/>
      <protection hidden="1"/>
    </xf>
    <xf numFmtId="0" fontId="29" fillId="46" borderId="46" xfId="105" applyFont="1" applyFill="1" applyBorder="1" applyProtection="1">
      <alignment/>
      <protection hidden="1"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12" fillId="24" borderId="43" xfId="105" applyFont="1" applyFill="1" applyBorder="1" applyAlignment="1" applyProtection="1">
      <alignment vertical="center"/>
      <protection hidden="1"/>
    </xf>
    <xf numFmtId="0" fontId="12" fillId="24" borderId="49" xfId="105" applyFont="1" applyFill="1" applyBorder="1" applyAlignment="1" applyProtection="1">
      <alignment vertic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6" fillId="48" borderId="19" xfId="105" applyFont="1" applyFill="1" applyBorder="1" applyAlignment="1" applyProtection="1">
      <alignment horizontal="left"/>
      <protection hidden="1"/>
    </xf>
    <xf numFmtId="0" fontId="138" fillId="46" borderId="19" xfId="105" applyFont="1" applyFill="1" applyBorder="1" applyAlignment="1" applyProtection="1">
      <alignment horizontal="left"/>
      <protection hidden="1"/>
    </xf>
    <xf numFmtId="0" fontId="138" fillId="46" borderId="19" xfId="105" applyFont="1" applyFill="1" applyBorder="1" applyAlignment="1" applyProtection="1">
      <alignment horizontal="left"/>
      <protection hidden="1"/>
    </xf>
    <xf numFmtId="0" fontId="6" fillId="48" borderId="19" xfId="105" applyFont="1" applyFill="1" applyBorder="1" applyAlignment="1" applyProtection="1">
      <alignment horizontal="left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12" fillId="24" borderId="40" xfId="105" applyFont="1" applyFill="1" applyBorder="1" applyAlignment="1" applyProtection="1">
      <alignment vertical="center"/>
      <protection hidden="1"/>
    </xf>
    <xf numFmtId="0" fontId="17" fillId="46" borderId="54" xfId="105" applyFont="1" applyFill="1" applyBorder="1" applyProtection="1">
      <alignment/>
      <protection hidden="1"/>
    </xf>
    <xf numFmtId="1" fontId="5" fillId="19" borderId="0" xfId="105" applyNumberFormat="1" applyFont="1" applyFill="1" applyBorder="1" applyAlignment="1" applyProtection="1">
      <alignment/>
      <protection hidden="1"/>
    </xf>
    <xf numFmtId="0" fontId="0" fillId="19" borderId="0" xfId="0" applyFill="1" applyBorder="1" applyAlignment="1">
      <alignment/>
    </xf>
    <xf numFmtId="0" fontId="0" fillId="19" borderId="0" xfId="0" applyFill="1" applyAlignment="1">
      <alignment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6" fillId="48" borderId="19" xfId="105" applyFont="1" applyFill="1" applyBorder="1" applyAlignment="1" applyProtection="1">
      <alignment horizontal="left"/>
      <protection hidden="1"/>
    </xf>
    <xf numFmtId="0" fontId="138" fillId="46" borderId="19" xfId="105" applyFont="1" applyFill="1" applyBorder="1" applyAlignment="1" applyProtection="1">
      <alignment horizontal="left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7" fillId="46" borderId="35" xfId="105" applyFont="1" applyFill="1" applyBorder="1" applyAlignment="1" applyProtection="1">
      <alignment horizontal="left"/>
      <protection hidden="1"/>
    </xf>
    <xf numFmtId="0" fontId="12" fillId="24" borderId="55" xfId="105" applyFont="1" applyFill="1" applyBorder="1" applyAlignment="1" applyProtection="1">
      <alignment horizontal="center" vertical="center"/>
      <protection hidden="1"/>
    </xf>
    <xf numFmtId="0" fontId="12" fillId="24" borderId="52" xfId="105" applyNumberFormat="1" applyFont="1" applyFill="1" applyBorder="1" applyAlignment="1" applyProtection="1">
      <alignment vertical="center"/>
      <protection hidden="1"/>
    </xf>
    <xf numFmtId="0" fontId="12" fillId="24" borderId="53" xfId="105" applyNumberFormat="1" applyFont="1" applyFill="1" applyBorder="1" applyAlignment="1" applyProtection="1">
      <alignment vertical="center"/>
      <protection hidden="1"/>
    </xf>
    <xf numFmtId="0" fontId="12" fillId="24" borderId="38" xfId="105" applyFont="1" applyFill="1" applyBorder="1" applyAlignment="1" applyProtection="1">
      <alignment vertical="center"/>
      <protection hidden="1"/>
    </xf>
    <xf numFmtId="0" fontId="12" fillId="24" borderId="48" xfId="105" applyFont="1" applyFill="1" applyBorder="1" applyAlignment="1" applyProtection="1">
      <alignment vertical="center"/>
      <protection hidden="1"/>
    </xf>
    <xf numFmtId="0" fontId="141" fillId="46" borderId="21" xfId="0" applyFont="1" applyFill="1" applyBorder="1" applyAlignment="1">
      <alignment horizontal="center"/>
    </xf>
    <xf numFmtId="0" fontId="12" fillId="46" borderId="0" xfId="105" applyFont="1" applyFill="1" applyBorder="1" applyProtection="1">
      <alignment/>
      <protection hidden="1"/>
    </xf>
    <xf numFmtId="0" fontId="12" fillId="46" borderId="31" xfId="105" applyFont="1" applyFill="1" applyBorder="1" applyAlignment="1" applyProtection="1">
      <alignment horizontal="center"/>
      <protection hidden="1"/>
    </xf>
    <xf numFmtId="0" fontId="12" fillId="24" borderId="46" xfId="105" applyFont="1" applyFill="1" applyBorder="1" applyAlignment="1" applyProtection="1">
      <alignment horizontal="center" vertical="center"/>
      <protection hidden="1"/>
    </xf>
    <xf numFmtId="0" fontId="12" fillId="24" borderId="43" xfId="105" applyNumberFormat="1" applyFont="1" applyFill="1" applyBorder="1" applyAlignment="1" applyProtection="1">
      <alignment vertical="center"/>
      <protection hidden="1"/>
    </xf>
    <xf numFmtId="0" fontId="12" fillId="24" borderId="49" xfId="105" applyNumberFormat="1" applyFont="1" applyFill="1" applyBorder="1" applyAlignment="1" applyProtection="1">
      <alignment vertical="center"/>
      <protection hidden="1"/>
    </xf>
    <xf numFmtId="0" fontId="138" fillId="46" borderId="0" xfId="105" applyFont="1" applyFill="1" applyBorder="1" applyAlignment="1" applyProtection="1">
      <alignment horizontal="left"/>
      <protection hidden="1"/>
    </xf>
    <xf numFmtId="0" fontId="12" fillId="24" borderId="24" xfId="105" applyNumberFormat="1" applyFont="1" applyFill="1" applyBorder="1" applyAlignment="1" applyProtection="1">
      <alignment vertical="center"/>
      <protection hidden="1"/>
    </xf>
    <xf numFmtId="0" fontId="12" fillId="24" borderId="48" xfId="105" applyNumberFormat="1" applyFont="1" applyFill="1" applyBorder="1" applyAlignment="1" applyProtection="1">
      <alignment vertical="center"/>
      <protection hidden="1"/>
    </xf>
    <xf numFmtId="0" fontId="2" fillId="46" borderId="24" xfId="105" applyFont="1" applyFill="1" applyBorder="1">
      <alignment/>
      <protection/>
    </xf>
    <xf numFmtId="0" fontId="2" fillId="46" borderId="23" xfId="105" applyFont="1" applyFill="1" applyBorder="1">
      <alignment/>
      <protection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125" fillId="48" borderId="0" xfId="0" applyFont="1" applyFill="1" applyBorder="1" applyAlignment="1">
      <alignment/>
    </xf>
    <xf numFmtId="0" fontId="13" fillId="46" borderId="27" xfId="105" applyFont="1" applyFill="1" applyBorder="1" applyAlignment="1">
      <alignment horizontal="center"/>
      <protection/>
    </xf>
    <xf numFmtId="1" fontId="156" fillId="46" borderId="0" xfId="105" applyNumberFormat="1" applyFont="1" applyFill="1" applyBorder="1" applyAlignment="1" applyProtection="1">
      <alignment/>
      <protection hidden="1"/>
    </xf>
    <xf numFmtId="0" fontId="12" fillId="24" borderId="32" xfId="105" applyFont="1" applyFill="1" applyBorder="1" applyAlignment="1" applyProtection="1">
      <alignment vertical="center"/>
      <protection hidden="1"/>
    </xf>
    <xf numFmtId="1" fontId="5" fillId="48" borderId="38" xfId="105" applyNumberFormat="1" applyFont="1" applyFill="1" applyBorder="1" applyAlignment="1" applyProtection="1">
      <alignment/>
      <protection hidden="1"/>
    </xf>
    <xf numFmtId="1" fontId="5" fillId="48" borderId="48" xfId="105" applyNumberFormat="1" applyFont="1" applyFill="1" applyBorder="1" applyAlignment="1" applyProtection="1">
      <alignment/>
      <protection hidden="1"/>
    </xf>
    <xf numFmtId="0" fontId="12" fillId="24" borderId="25" xfId="105" applyFont="1" applyFill="1" applyBorder="1" applyAlignment="1" applyProtection="1">
      <alignment horizontal="center" vertical="center"/>
      <protection hidden="1"/>
    </xf>
    <xf numFmtId="1" fontId="5" fillId="46" borderId="33" xfId="105" applyNumberFormat="1" applyFont="1" applyFill="1" applyBorder="1" applyAlignment="1" applyProtection="1">
      <alignment/>
      <protection hidden="1"/>
    </xf>
    <xf numFmtId="1" fontId="5" fillId="46" borderId="31" xfId="105" applyNumberFormat="1" applyFont="1" applyFill="1" applyBorder="1" applyAlignment="1" applyProtection="1">
      <alignment/>
      <protection hidden="1"/>
    </xf>
    <xf numFmtId="0" fontId="167" fillId="24" borderId="44" xfId="105" applyFont="1" applyFill="1" applyBorder="1" applyAlignment="1" applyProtection="1">
      <alignment horizontal="center"/>
      <protection hidden="1"/>
    </xf>
    <xf numFmtId="0" fontId="2" fillId="46" borderId="24" xfId="105" applyFont="1" applyFill="1" applyBorder="1" applyAlignment="1" applyProtection="1">
      <alignment horizontal="left"/>
      <protection hidden="1"/>
    </xf>
    <xf numFmtId="0" fontId="12" fillId="24" borderId="24" xfId="105" applyFont="1" applyFill="1" applyBorder="1" applyAlignment="1" applyProtection="1">
      <alignment vertical="center"/>
      <protection hidden="1"/>
    </xf>
    <xf numFmtId="0" fontId="12" fillId="24" borderId="48" xfId="105" applyFont="1" applyFill="1" applyBorder="1" applyAlignment="1" applyProtection="1">
      <alignment horizontal="center" vertical="center"/>
      <protection hidden="1"/>
    </xf>
    <xf numFmtId="0" fontId="167" fillId="24" borderId="25" xfId="105" applyFont="1" applyFill="1" applyBorder="1" applyAlignment="1" applyProtection="1">
      <alignment horizontal="center"/>
      <protection hidden="1"/>
    </xf>
    <xf numFmtId="0" fontId="167" fillId="24" borderId="46" xfId="105" applyFont="1" applyFill="1" applyBorder="1" applyAlignment="1" applyProtection="1">
      <alignment horizontal="center"/>
      <protection hidden="1"/>
    </xf>
    <xf numFmtId="0" fontId="12" fillId="46" borderId="24" xfId="105" applyFont="1" applyFill="1" applyBorder="1" applyAlignment="1" applyProtection="1">
      <alignment horizontal="center"/>
      <protection hidden="1"/>
    </xf>
    <xf numFmtId="0" fontId="17" fillId="46" borderId="0" xfId="105" applyFont="1" applyFill="1" applyBorder="1" applyProtection="1">
      <alignment/>
      <protection hidden="1"/>
    </xf>
    <xf numFmtId="0" fontId="0" fillId="51" borderId="38" xfId="0" applyFill="1" applyBorder="1" applyAlignment="1">
      <alignment/>
    </xf>
    <xf numFmtId="192" fontId="5" fillId="48" borderId="24" xfId="105" applyNumberFormat="1" applyFont="1" applyFill="1" applyBorder="1" applyAlignment="1" applyProtection="1">
      <alignment horizontal="center"/>
      <protection hidden="1"/>
    </xf>
    <xf numFmtId="192" fontId="5" fillId="48" borderId="48" xfId="105" applyNumberFormat="1" applyFont="1" applyFill="1" applyBorder="1" applyAlignment="1" applyProtection="1">
      <alignment horizontal="center"/>
      <protection hidden="1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33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35" xfId="105" applyNumberFormat="1" applyFont="1" applyFill="1" applyBorder="1" applyAlignment="1" applyProtection="1">
      <alignment horizontal="center"/>
      <protection hidden="1"/>
    </xf>
    <xf numFmtId="192" fontId="5" fillId="48" borderId="45" xfId="105" applyNumberFormat="1" applyFont="1" applyFill="1" applyBorder="1" applyAlignment="1" applyProtection="1">
      <alignment horizontal="center"/>
      <protection hidden="1"/>
    </xf>
    <xf numFmtId="9" fontId="12" fillId="48" borderId="35" xfId="105" applyNumberFormat="1" applyFont="1" applyFill="1" applyBorder="1" applyAlignment="1" applyProtection="1">
      <alignment horizontal="center"/>
      <protection hidden="1"/>
    </xf>
    <xf numFmtId="192" fontId="5" fillId="48" borderId="38" xfId="105" applyNumberFormat="1" applyFont="1" applyFill="1" applyBorder="1" applyAlignment="1" applyProtection="1">
      <alignment horizontal="center"/>
      <protection hidden="1"/>
    </xf>
    <xf numFmtId="192" fontId="5" fillId="48" borderId="31" xfId="105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38" fillId="46" borderId="19" xfId="105" applyFont="1" applyFill="1" applyBorder="1" applyAlignment="1" applyProtection="1">
      <alignment horizontal="left"/>
      <protection hidden="1"/>
    </xf>
    <xf numFmtId="0" fontId="6" fillId="48" borderId="19" xfId="105" applyFont="1" applyFill="1" applyBorder="1" applyAlignment="1" applyProtection="1">
      <alignment horizontal="left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0" fillId="51" borderId="0" xfId="0" applyFill="1" applyBorder="1" applyAlignment="1">
      <alignment/>
    </xf>
    <xf numFmtId="0" fontId="17" fillId="0" borderId="0" xfId="105" applyFont="1" applyBorder="1" applyProtection="1">
      <alignment/>
      <protection hidden="1"/>
    </xf>
    <xf numFmtId="0" fontId="16" fillId="46" borderId="28" xfId="105" applyFont="1" applyFill="1" applyBorder="1" applyProtection="1">
      <alignment/>
      <protection hidden="1"/>
    </xf>
    <xf numFmtId="0" fontId="5" fillId="48" borderId="0" xfId="105" applyFont="1" applyFill="1" applyBorder="1" applyProtection="1">
      <alignment/>
      <protection hidden="1"/>
    </xf>
    <xf numFmtId="0" fontId="154" fillId="13" borderId="0" xfId="105" applyFont="1" applyFill="1" applyBorder="1" applyProtection="1">
      <alignment/>
      <protection hidden="1"/>
    </xf>
    <xf numFmtId="0" fontId="157" fillId="13" borderId="0" xfId="105" applyFont="1" applyFill="1" applyBorder="1" applyProtection="1">
      <alignment/>
      <protection hidden="1"/>
    </xf>
    <xf numFmtId="192" fontId="156" fillId="13" borderId="0" xfId="105" applyNumberFormat="1" applyFont="1" applyFill="1" applyBorder="1" applyAlignment="1" applyProtection="1">
      <alignment horizontal="center"/>
      <protection hidden="1"/>
    </xf>
    <xf numFmtId="1" fontId="156" fillId="13" borderId="0" xfId="105" applyNumberFormat="1" applyFont="1" applyFill="1" applyBorder="1" applyAlignment="1" applyProtection="1">
      <alignment horizontal="center"/>
      <protection hidden="1"/>
    </xf>
    <xf numFmtId="0" fontId="156" fillId="13" borderId="0" xfId="105" applyFont="1" applyFill="1" applyBorder="1" applyAlignment="1" applyProtection="1">
      <alignment/>
      <protection hidden="1"/>
    </xf>
    <xf numFmtId="0" fontId="156" fillId="13" borderId="0" xfId="105" applyFont="1" applyFill="1" applyAlignment="1" applyProtection="1">
      <alignment/>
      <protection hidden="1"/>
    </xf>
    <xf numFmtId="0" fontId="158" fillId="13" borderId="0" xfId="0" applyFont="1" applyFill="1" applyAlignment="1">
      <alignment/>
    </xf>
    <xf numFmtId="0" fontId="7" fillId="46" borderId="54" xfId="105" applyFont="1" applyFill="1" applyBorder="1" applyAlignment="1" applyProtection="1">
      <alignment horizontal="left"/>
      <protection hidden="1"/>
    </xf>
    <xf numFmtId="0" fontId="5" fillId="48" borderId="0" xfId="105" applyFont="1" applyFill="1" applyBorder="1">
      <alignment/>
      <protection/>
    </xf>
    <xf numFmtId="0" fontId="0" fillId="48" borderId="31" xfId="0" applyFill="1" applyBorder="1" applyAlignment="1">
      <alignment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33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8" fillId="48" borderId="0" xfId="105" applyFont="1" applyFill="1" applyBorder="1" applyAlignment="1">
      <alignment horizontal="left"/>
      <protection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8" fillId="46" borderId="34" xfId="105" applyFont="1" applyFill="1" applyBorder="1" applyAlignment="1" applyProtection="1">
      <alignment horizontal="left"/>
      <protection hidden="1"/>
    </xf>
    <xf numFmtId="0" fontId="26" fillId="46" borderId="0" xfId="105" applyFont="1" applyFill="1" applyBorder="1" applyProtection="1">
      <alignment/>
      <protection hidden="1"/>
    </xf>
    <xf numFmtId="0" fontId="98" fillId="46" borderId="0" xfId="0" applyFont="1" applyFill="1" applyBorder="1" applyAlignment="1">
      <alignment/>
    </xf>
    <xf numFmtId="0" fontId="7" fillId="46" borderId="0" xfId="105" applyFont="1" applyFill="1" applyProtection="1">
      <alignment/>
      <protection hidden="1"/>
    </xf>
    <xf numFmtId="0" fontId="26" fillId="46" borderId="0" xfId="105" applyFont="1" applyFill="1">
      <alignment/>
      <protection/>
    </xf>
    <xf numFmtId="0" fontId="98" fillId="46" borderId="0" xfId="0" applyFont="1" applyFill="1" applyAlignment="1">
      <alignment/>
    </xf>
    <xf numFmtId="1" fontId="7" fillId="48" borderId="0" xfId="105" applyNumberFormat="1" applyFont="1" applyFill="1" applyBorder="1" applyAlignment="1" applyProtection="1">
      <alignment horizontal="center"/>
      <protection hidden="1"/>
    </xf>
    <xf numFmtId="0" fontId="98" fillId="0" borderId="0" xfId="0" applyFont="1" applyAlignment="1">
      <alignment/>
    </xf>
    <xf numFmtId="0" fontId="0" fillId="46" borderId="35" xfId="0" applyFill="1" applyBorder="1" applyAlignment="1">
      <alignment/>
    </xf>
    <xf numFmtId="0" fontId="5" fillId="48" borderId="0" xfId="105" applyFont="1" applyFill="1">
      <alignment/>
      <protection/>
    </xf>
    <xf numFmtId="0" fontId="44" fillId="49" borderId="0" xfId="0" applyFont="1" applyFill="1" applyBorder="1" applyAlignment="1">
      <alignment/>
    </xf>
    <xf numFmtId="0" fontId="17" fillId="48" borderId="47" xfId="105" applyFont="1" applyFill="1" applyBorder="1" applyProtection="1">
      <alignment/>
      <protection hidden="1"/>
    </xf>
    <xf numFmtId="0" fontId="44" fillId="48" borderId="0" xfId="0" applyFont="1" applyFill="1" applyBorder="1" applyAlignment="1">
      <alignment/>
    </xf>
    <xf numFmtId="1" fontId="34" fillId="48" borderId="0" xfId="105" applyNumberFormat="1" applyFont="1" applyFill="1" applyBorder="1" applyAlignment="1">
      <alignment horizontal="center"/>
      <protection/>
    </xf>
    <xf numFmtId="9" fontId="12" fillId="48" borderId="23" xfId="105" applyNumberFormat="1" applyFont="1" applyFill="1" applyBorder="1" applyAlignment="1" applyProtection="1">
      <alignment/>
      <protection hidden="1"/>
    </xf>
    <xf numFmtId="9" fontId="12" fillId="48" borderId="56" xfId="105" applyNumberFormat="1" applyFont="1" applyFill="1" applyBorder="1" applyAlignment="1" applyProtection="1">
      <alignment/>
      <protection hidden="1"/>
    </xf>
    <xf numFmtId="0" fontId="23" fillId="46" borderId="33" xfId="105" applyFont="1" applyFill="1" applyBorder="1">
      <alignment/>
      <protection/>
    </xf>
    <xf numFmtId="0" fontId="2" fillId="46" borderId="56" xfId="105" applyFill="1" applyBorder="1" applyProtection="1">
      <alignment/>
      <protection hidden="1"/>
    </xf>
    <xf numFmtId="0" fontId="12" fillId="46" borderId="25" xfId="105" applyFont="1" applyFill="1" applyBorder="1">
      <alignment/>
      <protection/>
    </xf>
    <xf numFmtId="0" fontId="2" fillId="46" borderId="48" xfId="105" applyFont="1" applyFill="1" applyBorder="1">
      <alignment/>
      <protection/>
    </xf>
    <xf numFmtId="0" fontId="2" fillId="46" borderId="33" xfId="105" applyFont="1" applyFill="1" applyBorder="1">
      <alignment/>
      <protection/>
    </xf>
    <xf numFmtId="0" fontId="2" fillId="46" borderId="33" xfId="105" applyFont="1" applyFill="1" applyBorder="1" applyAlignment="1">
      <alignment horizontal="left"/>
      <protection/>
    </xf>
    <xf numFmtId="0" fontId="2" fillId="46" borderId="33" xfId="105" applyFont="1" applyFill="1" applyBorder="1" applyProtection="1">
      <alignment/>
      <protection hidden="1"/>
    </xf>
    <xf numFmtId="0" fontId="23" fillId="46" borderId="45" xfId="105" applyFont="1" applyFill="1" applyBorder="1">
      <alignment/>
      <protection/>
    </xf>
    <xf numFmtId="0" fontId="7" fillId="46" borderId="33" xfId="105" applyFont="1" applyFill="1" applyBorder="1" applyAlignment="1">
      <alignment horizontal="left"/>
      <protection/>
    </xf>
    <xf numFmtId="0" fontId="7" fillId="46" borderId="56" xfId="105" applyFont="1" applyFill="1" applyBorder="1" applyAlignment="1">
      <alignment horizontal="left"/>
      <protection/>
    </xf>
    <xf numFmtId="0" fontId="27" fillId="46" borderId="31" xfId="105" applyFont="1" applyFill="1" applyBorder="1" applyAlignment="1" applyProtection="1">
      <alignment/>
      <protection hidden="1"/>
    </xf>
    <xf numFmtId="0" fontId="22" fillId="46" borderId="28" xfId="105" applyFont="1" applyFill="1" applyBorder="1" applyAlignment="1">
      <alignment horizontal="center"/>
      <protection/>
    </xf>
    <xf numFmtId="0" fontId="23" fillId="46" borderId="0" xfId="105" applyFont="1" applyFill="1" applyBorder="1">
      <alignment/>
      <protection/>
    </xf>
    <xf numFmtId="0" fontId="170" fillId="46" borderId="21" xfId="105" applyFont="1" applyFill="1" applyBorder="1" applyAlignment="1">
      <alignment horizontal="center"/>
      <protection/>
    </xf>
    <xf numFmtId="0" fontId="40" fillId="46" borderId="20" xfId="0" applyFont="1" applyFill="1" applyBorder="1" applyAlignment="1">
      <alignment horizontal="center"/>
    </xf>
    <xf numFmtId="0" fontId="22" fillId="46" borderId="35" xfId="105" applyFont="1" applyFill="1" applyBorder="1" applyAlignment="1">
      <alignment horizontal="center"/>
      <protection/>
    </xf>
    <xf numFmtId="0" fontId="171" fillId="46" borderId="35" xfId="105" applyFont="1" applyFill="1" applyBorder="1" applyAlignment="1">
      <alignment horizontal="left"/>
      <protection/>
    </xf>
    <xf numFmtId="0" fontId="2" fillId="46" borderId="35" xfId="105" applyFont="1" applyFill="1" applyBorder="1">
      <alignment/>
      <protection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33" xfId="105" applyNumberFormat="1" applyFont="1" applyFill="1" applyBorder="1" applyAlignment="1" applyProtection="1">
      <alignment horizontal="center"/>
      <protection hidden="1"/>
    </xf>
    <xf numFmtId="192" fontId="5" fillId="48" borderId="56" xfId="105" applyNumberFormat="1" applyFont="1" applyFill="1" applyBorder="1" applyAlignment="1" applyProtection="1">
      <alignment horizontal="center"/>
      <protection hidden="1"/>
    </xf>
    <xf numFmtId="192" fontId="5" fillId="48" borderId="48" xfId="105" applyNumberFormat="1" applyFont="1" applyFill="1" applyBorder="1" applyAlignment="1" applyProtection="1">
      <alignment horizontal="center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7" fillId="48" borderId="34" xfId="105" applyFont="1" applyFill="1" applyBorder="1" applyAlignment="1" applyProtection="1">
      <alignment horizontal="left"/>
      <protection hidden="1"/>
    </xf>
    <xf numFmtId="0" fontId="12" fillId="48" borderId="0" xfId="105" applyFont="1" applyFill="1" applyBorder="1" applyAlignment="1" applyProtection="1">
      <alignment horizontal="center"/>
      <protection hidden="1"/>
    </xf>
    <xf numFmtId="0" fontId="12" fillId="48" borderId="0" xfId="105" applyFont="1" applyFill="1" applyBorder="1" applyAlignment="1" applyProtection="1">
      <alignment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8" fillId="46" borderId="0" xfId="105" applyFont="1" applyFill="1" applyBorder="1" applyAlignment="1" applyProtection="1">
      <alignment/>
      <protection hidden="1"/>
    </xf>
    <xf numFmtId="0" fontId="2" fillId="46" borderId="57" xfId="105" applyFill="1" applyBorder="1" applyProtection="1">
      <alignment/>
      <protection hidden="1"/>
    </xf>
    <xf numFmtId="0" fontId="12" fillId="24" borderId="58" xfId="105" applyFont="1" applyFill="1" applyBorder="1" applyAlignment="1" applyProtection="1">
      <alignment vertical="center"/>
      <protection hidden="1"/>
    </xf>
    <xf numFmtId="0" fontId="12" fillId="24" borderId="59" xfId="105" applyFont="1" applyFill="1" applyBorder="1" applyAlignment="1" applyProtection="1">
      <alignment vertical="center"/>
      <protection hidden="1"/>
    </xf>
    <xf numFmtId="0" fontId="139" fillId="46" borderId="0" xfId="105" applyFont="1" applyFill="1" applyBorder="1" applyAlignment="1" applyProtection="1">
      <alignment horizontal="left"/>
      <protection hidden="1"/>
    </xf>
    <xf numFmtId="0" fontId="139" fillId="48" borderId="0" xfId="105" applyFont="1" applyFill="1" applyBorder="1" applyAlignment="1" applyProtection="1">
      <alignment horizontal="left"/>
      <protection hidden="1"/>
    </xf>
    <xf numFmtId="0" fontId="133" fillId="46" borderId="0" xfId="0" applyFont="1" applyFill="1" applyBorder="1" applyAlignment="1">
      <alignment/>
    </xf>
    <xf numFmtId="0" fontId="8" fillId="46" borderId="33" xfId="105" applyFont="1" applyFill="1" applyBorder="1" applyAlignment="1" applyProtection="1">
      <alignment/>
      <protection hidden="1"/>
    </xf>
    <xf numFmtId="0" fontId="5" fillId="46" borderId="56" xfId="105" applyFont="1" applyFill="1" applyBorder="1" applyAlignment="1" applyProtection="1">
      <alignment/>
      <protection hidden="1"/>
    </xf>
    <xf numFmtId="0" fontId="145" fillId="46" borderId="0" xfId="105" applyFont="1" applyFill="1" applyBorder="1">
      <alignment/>
      <protection/>
    </xf>
    <xf numFmtId="0" fontId="152" fillId="46" borderId="0" xfId="0" applyFont="1" applyFill="1" applyBorder="1" applyAlignment="1">
      <alignment/>
    </xf>
    <xf numFmtId="192" fontId="5" fillId="48" borderId="0" xfId="105" applyNumberFormat="1" applyFont="1" applyFill="1" applyBorder="1" applyAlignment="1" applyProtection="1">
      <alignment horizontal="right"/>
      <protection hidden="1"/>
    </xf>
    <xf numFmtId="0" fontId="143" fillId="46" borderId="0" xfId="105" applyFont="1" applyFill="1" applyBorder="1" applyAlignment="1" applyProtection="1">
      <alignment horizontal="center"/>
      <protection hidden="1"/>
    </xf>
    <xf numFmtId="0" fontId="152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1" fontId="5" fillId="46" borderId="0" xfId="105" applyNumberFormat="1" applyFont="1" applyFill="1" applyBorder="1" applyAlignment="1" applyProtection="1">
      <alignment horizontal="right"/>
      <protection hidden="1"/>
    </xf>
    <xf numFmtId="0" fontId="12" fillId="51" borderId="0" xfId="105" applyFont="1" applyFill="1" applyBorder="1" applyAlignment="1" applyProtection="1">
      <alignment horizontal="center" vertical="center"/>
      <protection hidden="1"/>
    </xf>
    <xf numFmtId="0" fontId="12" fillId="51" borderId="0" xfId="105" applyFont="1" applyFill="1" applyBorder="1" applyAlignment="1" applyProtection="1">
      <alignment horizontal="right" vertical="center" wrapText="1"/>
      <protection hidden="1"/>
    </xf>
    <xf numFmtId="0" fontId="12" fillId="46" borderId="0" xfId="105" applyFont="1" applyFill="1" applyBorder="1">
      <alignment/>
      <protection/>
    </xf>
    <xf numFmtId="0" fontId="12" fillId="46" borderId="0" xfId="105" applyFont="1" applyFill="1" applyBorder="1" applyAlignment="1">
      <alignment horizontal="center"/>
      <protection/>
    </xf>
    <xf numFmtId="0" fontId="40" fillId="46" borderId="0" xfId="0" applyFont="1" applyFill="1" applyBorder="1" applyAlignment="1">
      <alignment horizontal="center"/>
    </xf>
    <xf numFmtId="1" fontId="5" fillId="48" borderId="0" xfId="105" applyNumberFormat="1" applyFont="1" applyFill="1" applyBorder="1" applyAlignment="1" applyProtection="1">
      <alignment horizontal="right"/>
      <protection hidden="1"/>
    </xf>
    <xf numFmtId="0" fontId="17" fillId="46" borderId="35" xfId="105" applyFont="1" applyFill="1" applyBorder="1" applyProtection="1">
      <alignment/>
      <protection hidden="1"/>
    </xf>
    <xf numFmtId="1" fontId="5" fillId="48" borderId="31" xfId="105" applyNumberFormat="1" applyFont="1" applyFill="1" applyBorder="1" applyAlignment="1" applyProtection="1">
      <alignment horizontal="right"/>
      <protection hidden="1"/>
    </xf>
    <xf numFmtId="0" fontId="44" fillId="0" borderId="21" xfId="0" applyFont="1" applyBorder="1" applyAlignment="1">
      <alignment/>
    </xf>
    <xf numFmtId="0" fontId="2" fillId="51" borderId="21" xfId="105" applyFont="1" applyFill="1" applyBorder="1" applyAlignment="1" applyProtection="1">
      <alignment horizontal="center" vertical="center"/>
      <protection hidden="1"/>
    </xf>
    <xf numFmtId="0" fontId="44" fillId="0" borderId="20" xfId="0" applyFont="1" applyBorder="1" applyAlignment="1">
      <alignment horizontal="right"/>
    </xf>
    <xf numFmtId="0" fontId="44" fillId="0" borderId="33" xfId="0" applyFont="1" applyBorder="1" applyAlignment="1">
      <alignment horizontal="right"/>
    </xf>
    <xf numFmtId="1" fontId="5" fillId="46" borderId="20" xfId="105" applyNumberFormat="1" applyFont="1" applyFill="1" applyBorder="1" applyAlignment="1" applyProtection="1">
      <alignment horizontal="right"/>
      <protection hidden="1"/>
    </xf>
    <xf numFmtId="1" fontId="5" fillId="46" borderId="33" xfId="105" applyNumberFormat="1" applyFont="1" applyFill="1" applyBorder="1" applyAlignment="1" applyProtection="1">
      <alignment horizontal="right"/>
      <protection hidden="1"/>
    </xf>
    <xf numFmtId="0" fontId="12" fillId="51" borderId="20" xfId="105" applyFont="1" applyFill="1" applyBorder="1" applyAlignment="1" applyProtection="1">
      <alignment horizontal="right" vertical="center" wrapText="1"/>
      <protection hidden="1"/>
    </xf>
    <xf numFmtId="0" fontId="12" fillId="51" borderId="33" xfId="105" applyFont="1" applyFill="1" applyBorder="1" applyAlignment="1" applyProtection="1">
      <alignment horizontal="right" vertical="center" wrapText="1"/>
      <protection hidden="1"/>
    </xf>
    <xf numFmtId="0" fontId="141" fillId="46" borderId="21" xfId="105" applyFont="1" applyFill="1" applyBorder="1" applyAlignment="1">
      <alignment horizontal="center"/>
      <protection/>
    </xf>
    <xf numFmtId="0" fontId="17" fillId="46" borderId="28" xfId="105" applyFont="1" applyFill="1" applyBorder="1" applyAlignment="1" applyProtection="1">
      <alignment horizontal="left"/>
      <protection hidden="1"/>
    </xf>
    <xf numFmtId="0" fontId="44" fillId="48" borderId="0" xfId="0" applyFont="1" applyFill="1" applyAlignment="1">
      <alignment/>
    </xf>
    <xf numFmtId="0" fontId="6" fillId="48" borderId="0" xfId="105" applyFont="1" applyFill="1" applyBorder="1" applyAlignment="1">
      <alignment horizontal="left"/>
      <protection/>
    </xf>
    <xf numFmtId="0" fontId="133" fillId="48" borderId="0" xfId="0" applyFont="1" applyFill="1" applyAlignment="1">
      <alignment/>
    </xf>
    <xf numFmtId="0" fontId="5" fillId="48" borderId="0" xfId="105" applyFont="1" applyFill="1" applyBorder="1" applyAlignment="1" applyProtection="1">
      <alignment horizontal="center"/>
      <protection hidden="1"/>
    </xf>
    <xf numFmtId="0" fontId="2" fillId="48" borderId="0" xfId="105" applyFill="1" applyBorder="1" applyAlignment="1">
      <alignment horizontal="center"/>
      <protection/>
    </xf>
    <xf numFmtId="0" fontId="0" fillId="48" borderId="0" xfId="0" applyFill="1" applyBorder="1" applyAlignment="1">
      <alignment horizontal="center"/>
    </xf>
    <xf numFmtId="0" fontId="16" fillId="46" borderId="25" xfId="105" applyFont="1" applyFill="1" applyBorder="1" applyAlignment="1" applyProtection="1">
      <alignment horizontal="left"/>
      <protection hidden="1"/>
    </xf>
    <xf numFmtId="0" fontId="5" fillId="48" borderId="60" xfId="105" applyFont="1" applyFill="1" applyBorder="1" applyAlignment="1" applyProtection="1">
      <alignment horizontal="left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171" fillId="46" borderId="28" xfId="105" applyFont="1" applyFill="1" applyBorder="1" applyAlignment="1">
      <alignment horizontal="left"/>
      <protection/>
    </xf>
    <xf numFmtId="0" fontId="23" fillId="46" borderId="35" xfId="105" applyFont="1" applyFill="1" applyBorder="1">
      <alignment/>
      <protection/>
    </xf>
    <xf numFmtId="0" fontId="0" fillId="49" borderId="31" xfId="0" applyFill="1" applyBorder="1" applyAlignment="1">
      <alignment/>
    </xf>
    <xf numFmtId="0" fontId="2" fillId="48" borderId="0" xfId="105" applyFont="1" applyFill="1" applyBorder="1" applyProtection="1">
      <alignment/>
      <protection hidden="1"/>
    </xf>
    <xf numFmtId="0" fontId="2" fillId="48" borderId="0" xfId="105" applyFont="1" applyFill="1" applyBorder="1" applyAlignment="1" applyProtection="1">
      <alignment horizontal="center"/>
      <protection hidden="1"/>
    </xf>
    <xf numFmtId="0" fontId="138" fillId="46" borderId="0" xfId="105" applyFont="1" applyFill="1" applyBorder="1" applyAlignment="1" applyProtection="1">
      <alignment horizontal="left"/>
      <protection hidden="1"/>
    </xf>
    <xf numFmtId="0" fontId="0" fillId="46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69" fillId="46" borderId="28" xfId="106" applyFont="1" applyFill="1" applyBorder="1" applyAlignment="1" applyProtection="1">
      <alignment horizontal="left"/>
      <protection hidden="1"/>
    </xf>
    <xf numFmtId="0" fontId="44" fillId="48" borderId="0" xfId="0" applyFont="1" applyFill="1" applyBorder="1" applyAlignment="1">
      <alignment/>
    </xf>
    <xf numFmtId="1" fontId="5" fillId="19" borderId="38" xfId="105" applyNumberFormat="1" applyFont="1" applyFill="1" applyBorder="1" applyAlignment="1" applyProtection="1">
      <alignment/>
      <protection hidden="1"/>
    </xf>
    <xf numFmtId="0" fontId="0" fillId="19" borderId="38" xfId="0" applyFill="1" applyBorder="1" applyAlignment="1">
      <alignment/>
    </xf>
    <xf numFmtId="1" fontId="16" fillId="48" borderId="0" xfId="105" applyNumberFormat="1" applyFont="1" applyFill="1" applyBorder="1" applyAlignment="1" applyProtection="1">
      <alignment horizontal="center"/>
      <protection hidden="1"/>
    </xf>
    <xf numFmtId="0" fontId="0" fillId="48" borderId="33" xfId="0" applyFill="1" applyBorder="1" applyAlignment="1">
      <alignment/>
    </xf>
    <xf numFmtId="0" fontId="167" fillId="24" borderId="44" xfId="105" applyFont="1" applyFill="1" applyBorder="1" applyAlignment="1" applyProtection="1">
      <alignment horizontal="center"/>
      <protection hidden="1"/>
    </xf>
    <xf numFmtId="0" fontId="167" fillId="24" borderId="46" xfId="105" applyFont="1" applyFill="1" applyBorder="1" applyAlignment="1" applyProtection="1">
      <alignment horizontal="center"/>
      <protection hidden="1"/>
    </xf>
    <xf numFmtId="0" fontId="0" fillId="49" borderId="38" xfId="0" applyFill="1" applyBorder="1" applyAlignment="1">
      <alignment/>
    </xf>
    <xf numFmtId="0" fontId="167" fillId="24" borderId="50" xfId="105" applyFont="1" applyFill="1" applyBorder="1" applyAlignment="1" applyProtection="1">
      <alignment horizontal="center"/>
      <protection hidden="1"/>
    </xf>
    <xf numFmtId="0" fontId="2" fillId="46" borderId="31" xfId="105" applyFont="1" applyFill="1" applyBorder="1" applyProtection="1">
      <alignment/>
      <protection hidden="1"/>
    </xf>
    <xf numFmtId="1" fontId="16" fillId="48" borderId="0" xfId="105" applyNumberFormat="1" applyFont="1" applyFill="1" applyBorder="1" applyAlignment="1" applyProtection="1">
      <alignment/>
      <protection hidden="1"/>
    </xf>
    <xf numFmtId="0" fontId="7" fillId="48" borderId="0" xfId="105" applyFont="1" applyFill="1" applyBorder="1" applyAlignment="1">
      <alignment horizontal="left"/>
      <protection/>
    </xf>
    <xf numFmtId="0" fontId="2" fillId="46" borderId="20" xfId="106" applyFont="1" applyFill="1" applyBorder="1" applyProtection="1">
      <alignment/>
      <protection hidden="1"/>
    </xf>
    <xf numFmtId="0" fontId="12" fillId="46" borderId="27" xfId="106" applyFont="1" applyFill="1" applyBorder="1" applyAlignment="1">
      <alignment horizontal="center"/>
      <protection/>
    </xf>
    <xf numFmtId="0" fontId="22" fillId="46" borderId="27" xfId="106" applyFont="1" applyFill="1" applyBorder="1" applyAlignment="1">
      <alignment horizontal="center"/>
      <protection/>
    </xf>
    <xf numFmtId="0" fontId="2" fillId="48" borderId="0" xfId="106" applyFill="1">
      <alignment/>
      <protection/>
    </xf>
    <xf numFmtId="0" fontId="23" fillId="46" borderId="20" xfId="106" applyFont="1" applyFill="1" applyBorder="1">
      <alignment/>
      <protection/>
    </xf>
    <xf numFmtId="0" fontId="23" fillId="46" borderId="23" xfId="106" applyFont="1" applyFill="1" applyBorder="1">
      <alignment/>
      <protection/>
    </xf>
    <xf numFmtId="0" fontId="7" fillId="46" borderId="23" xfId="106" applyFont="1" applyFill="1" applyBorder="1" applyAlignment="1">
      <alignment horizontal="left"/>
      <protection/>
    </xf>
    <xf numFmtId="0" fontId="2" fillId="46" borderId="20" xfId="106" applyFont="1" applyFill="1" applyBorder="1">
      <alignment/>
      <protection/>
    </xf>
    <xf numFmtId="0" fontId="22" fillId="46" borderId="0" xfId="106" applyFont="1" applyFill="1" applyBorder="1" applyAlignment="1">
      <alignment horizontal="center"/>
      <protection/>
    </xf>
    <xf numFmtId="0" fontId="12" fillId="46" borderId="37" xfId="106" applyFont="1" applyFill="1" applyBorder="1">
      <alignment/>
      <protection/>
    </xf>
    <xf numFmtId="0" fontId="2" fillId="46" borderId="20" xfId="106" applyFont="1" applyFill="1" applyBorder="1" applyAlignment="1">
      <alignment horizontal="left"/>
      <protection/>
    </xf>
    <xf numFmtId="0" fontId="40" fillId="46" borderId="27" xfId="106" applyFont="1" applyFill="1" applyBorder="1" applyAlignment="1">
      <alignment horizontal="center"/>
      <protection/>
    </xf>
    <xf numFmtId="0" fontId="2" fillId="46" borderId="24" xfId="106" applyFont="1" applyFill="1" applyBorder="1">
      <alignment/>
      <protection/>
    </xf>
    <xf numFmtId="192" fontId="5" fillId="48" borderId="24" xfId="105" applyNumberFormat="1" applyFont="1" applyFill="1" applyBorder="1" applyAlignment="1" applyProtection="1">
      <alignment vertical="center"/>
      <protection hidden="1"/>
    </xf>
    <xf numFmtId="192" fontId="5" fillId="48" borderId="20" xfId="105" applyNumberFormat="1" applyFont="1" applyFill="1" applyBorder="1" applyAlignment="1" applyProtection="1">
      <alignment vertical="center"/>
      <protection hidden="1"/>
    </xf>
    <xf numFmtId="192" fontId="5" fillId="48" borderId="23" xfId="105" applyNumberFormat="1" applyFont="1" applyFill="1" applyBorder="1" applyAlignment="1" applyProtection="1">
      <alignment/>
      <protection hidden="1"/>
    </xf>
    <xf numFmtId="0" fontId="4" fillId="46" borderId="31" xfId="105" applyFont="1" applyFill="1" applyBorder="1" applyAlignment="1" applyProtection="1">
      <alignment horizontal="center"/>
      <protection hidden="1"/>
    </xf>
    <xf numFmtId="0" fontId="0" fillId="48" borderId="31" xfId="0" applyFill="1" applyBorder="1" applyAlignment="1">
      <alignment/>
    </xf>
    <xf numFmtId="0" fontId="28" fillId="46" borderId="22" xfId="105" applyFont="1" applyFill="1" applyBorder="1" applyProtection="1">
      <alignment/>
      <protection hidden="1"/>
    </xf>
    <xf numFmtId="192" fontId="5" fillId="48" borderId="48" xfId="105" applyNumberFormat="1" applyFont="1" applyFill="1" applyBorder="1" applyAlignment="1" applyProtection="1">
      <alignment vertical="center"/>
      <protection hidden="1"/>
    </xf>
    <xf numFmtId="192" fontId="5" fillId="46" borderId="33" xfId="105" applyNumberFormat="1" applyFont="1" applyFill="1" applyBorder="1" applyAlignment="1" applyProtection="1">
      <alignment vertical="center"/>
      <protection hidden="1"/>
    </xf>
    <xf numFmtId="192" fontId="5" fillId="48" borderId="33" xfId="105" applyNumberFormat="1" applyFont="1" applyFill="1" applyBorder="1" applyAlignment="1" applyProtection="1">
      <alignment vertical="center"/>
      <protection hidden="1"/>
    </xf>
    <xf numFmtId="192" fontId="5" fillId="48" borderId="23" xfId="105" applyNumberFormat="1" applyFont="1" applyFill="1" applyBorder="1" applyAlignment="1" applyProtection="1">
      <alignment vertical="center"/>
      <protection hidden="1"/>
    </xf>
    <xf numFmtId="192" fontId="5" fillId="48" borderId="56" xfId="105" applyNumberFormat="1" applyFont="1" applyFill="1" applyBorder="1" applyAlignment="1" applyProtection="1">
      <alignment vertical="center"/>
      <protection hidden="1"/>
    </xf>
    <xf numFmtId="0" fontId="7" fillId="48" borderId="0" xfId="105" applyFont="1" applyFill="1" applyBorder="1" applyProtection="1">
      <alignment/>
      <protection hidden="1"/>
    </xf>
    <xf numFmtId="0" fontId="52" fillId="48" borderId="0" xfId="105" applyFont="1" applyFill="1" applyBorder="1" applyAlignment="1" applyProtection="1">
      <alignment/>
      <protection hidden="1"/>
    </xf>
    <xf numFmtId="0" fontId="8" fillId="48" borderId="0" xfId="105" applyFont="1" applyFill="1" applyBorder="1" applyProtection="1">
      <alignment/>
      <protection hidden="1"/>
    </xf>
    <xf numFmtId="0" fontId="12" fillId="24" borderId="61" xfId="105" applyFont="1" applyFill="1" applyBorder="1" applyAlignment="1" applyProtection="1">
      <alignment horizontal="center" vertical="center"/>
      <protection hidden="1"/>
    </xf>
    <xf numFmtId="0" fontId="167" fillId="24" borderId="52" xfId="105" applyFont="1" applyFill="1" applyBorder="1" applyAlignment="1" applyProtection="1">
      <alignment horizontal="center"/>
      <protection hidden="1"/>
    </xf>
    <xf numFmtId="0" fontId="2" fillId="46" borderId="20" xfId="105" applyFont="1" applyFill="1" applyBorder="1">
      <alignment/>
      <protection/>
    </xf>
    <xf numFmtId="192" fontId="5" fillId="48" borderId="35" xfId="105" applyNumberFormat="1" applyFont="1" applyFill="1" applyBorder="1" applyAlignment="1" applyProtection="1">
      <alignment vertical="center"/>
      <protection hidden="1"/>
    </xf>
    <xf numFmtId="192" fontId="5" fillId="48" borderId="45" xfId="105" applyNumberFormat="1" applyFont="1" applyFill="1" applyBorder="1" applyAlignment="1" applyProtection="1">
      <alignment vertical="center"/>
      <protection hidden="1"/>
    </xf>
    <xf numFmtId="0" fontId="151" fillId="48" borderId="0" xfId="105" applyFont="1" applyFill="1" applyBorder="1" applyAlignment="1" applyProtection="1">
      <alignment horizontal="left"/>
      <protection hidden="1"/>
    </xf>
    <xf numFmtId="1" fontId="160" fillId="48" borderId="0" xfId="105" applyNumberFormat="1" applyFont="1" applyFill="1" applyBorder="1" applyAlignment="1" applyProtection="1">
      <alignment horizontal="center"/>
      <protection hidden="1"/>
    </xf>
    <xf numFmtId="0" fontId="172" fillId="46" borderId="0" xfId="0" applyFont="1" applyFill="1" applyAlignment="1">
      <alignment/>
    </xf>
    <xf numFmtId="1" fontId="160" fillId="46" borderId="0" xfId="105" applyNumberFormat="1" applyFont="1" applyFill="1" applyBorder="1" applyAlignment="1" applyProtection="1">
      <alignment horizontal="center"/>
      <protection hidden="1"/>
    </xf>
    <xf numFmtId="0" fontId="172" fillId="0" borderId="0" xfId="0" applyFont="1" applyAlignment="1">
      <alignment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35" xfId="105" applyNumberFormat="1" applyFont="1" applyFill="1" applyBorder="1" applyAlignment="1" applyProtection="1">
      <alignment horizontal="center"/>
      <protection hidden="1"/>
    </xf>
    <xf numFmtId="0" fontId="154" fillId="13" borderId="0" xfId="105" applyFont="1" applyFill="1" applyBorder="1" applyAlignment="1" applyProtection="1">
      <alignment horizontal="left"/>
      <protection hidden="1"/>
    </xf>
    <xf numFmtId="0" fontId="154" fillId="19" borderId="0" xfId="105" applyFont="1" applyFill="1" applyBorder="1" applyAlignment="1" applyProtection="1">
      <alignment horizontal="left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1" fontId="5" fillId="48" borderId="2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38" fillId="46" borderId="0" xfId="105" applyFont="1" applyFill="1" applyBorder="1" applyAlignment="1" applyProtection="1">
      <alignment horizontal="left"/>
      <protection hidden="1"/>
    </xf>
    <xf numFmtId="0" fontId="12" fillId="48" borderId="0" xfId="105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Alignment="1">
      <alignment horizontal="center" wrapText="1"/>
    </xf>
    <xf numFmtId="0" fontId="6" fillId="48" borderId="0" xfId="105" applyFont="1" applyFill="1" applyBorder="1" applyAlignment="1" applyProtection="1">
      <alignment horizontal="left"/>
      <protection hidden="1"/>
    </xf>
    <xf numFmtId="0" fontId="138" fillId="48" borderId="0" xfId="105" applyFont="1" applyFill="1" applyBorder="1" applyAlignment="1" applyProtection="1">
      <alignment horizontal="left"/>
      <protection hidden="1"/>
    </xf>
    <xf numFmtId="0" fontId="154" fillId="48" borderId="0" xfId="105" applyFont="1" applyFill="1" applyBorder="1" applyAlignment="1" applyProtection="1">
      <alignment horizontal="left"/>
      <protection hidden="1"/>
    </xf>
    <xf numFmtId="0" fontId="151" fillId="46" borderId="27" xfId="105" applyFont="1" applyFill="1" applyBorder="1" applyAlignment="1" applyProtection="1">
      <alignment horizontal="left"/>
      <protection hidden="1"/>
    </xf>
    <xf numFmtId="0" fontId="151" fillId="46" borderId="0" xfId="105" applyFont="1" applyFill="1" applyBorder="1" applyAlignment="1" applyProtection="1">
      <alignment horizontal="left"/>
      <protection hidden="1"/>
    </xf>
    <xf numFmtId="0" fontId="172" fillId="46" borderId="0" xfId="0" applyFont="1" applyFill="1" applyBorder="1" applyAlignment="1">
      <alignment/>
    </xf>
    <xf numFmtId="0" fontId="160" fillId="46" borderId="0" xfId="105" applyFont="1" applyFill="1" applyProtection="1">
      <alignment/>
      <protection hidden="1"/>
    </xf>
    <xf numFmtId="0" fontId="159" fillId="46" borderId="0" xfId="105" applyFont="1" applyFill="1">
      <alignment/>
      <protection/>
    </xf>
    <xf numFmtId="0" fontId="172" fillId="46" borderId="0" xfId="0" applyFont="1" applyFill="1" applyBorder="1" applyAlignment="1">
      <alignment horizontal="left"/>
    </xf>
    <xf numFmtId="0" fontId="160" fillId="46" borderId="0" xfId="105" applyFont="1" applyFill="1" applyBorder="1" applyAlignment="1" applyProtection="1">
      <alignment horizontal="left"/>
      <protection hidden="1"/>
    </xf>
    <xf numFmtId="0" fontId="159" fillId="46" borderId="0" xfId="105" applyFont="1" applyFill="1" applyAlignment="1">
      <alignment horizontal="left"/>
      <protection/>
    </xf>
    <xf numFmtId="0" fontId="172" fillId="46" borderId="0" xfId="0" applyFont="1" applyFill="1" applyAlignment="1">
      <alignment horizontal="left"/>
    </xf>
    <xf numFmtId="0" fontId="172" fillId="0" borderId="0" xfId="0" applyFont="1" applyAlignment="1">
      <alignment horizontal="left"/>
    </xf>
    <xf numFmtId="0" fontId="44" fillId="46" borderId="0" xfId="0" applyFont="1" applyFill="1" applyAlignment="1">
      <alignment/>
    </xf>
    <xf numFmtId="0" fontId="13" fillId="51" borderId="28" xfId="105" applyFont="1" applyFill="1" applyBorder="1" applyAlignment="1" applyProtection="1">
      <alignment horizontal="center"/>
      <protection hidden="1"/>
    </xf>
    <xf numFmtId="0" fontId="13" fillId="51" borderId="35" xfId="105" applyFont="1" applyFill="1" applyBorder="1" applyAlignment="1" applyProtection="1">
      <alignment horizontal="center"/>
      <protection hidden="1"/>
    </xf>
    <xf numFmtId="0" fontId="0" fillId="48" borderId="40" xfId="0" applyFill="1" applyBorder="1" applyAlignment="1">
      <alignment/>
    </xf>
    <xf numFmtId="0" fontId="0" fillId="49" borderId="40" xfId="0" applyFill="1" applyBorder="1" applyAlignment="1">
      <alignment/>
    </xf>
    <xf numFmtId="192" fontId="5" fillId="48" borderId="0" xfId="105" applyNumberFormat="1" applyFont="1" applyFill="1" applyBorder="1" applyAlignment="1" applyProtection="1">
      <alignment vertical="center"/>
      <protection hidden="1"/>
    </xf>
    <xf numFmtId="0" fontId="12" fillId="24" borderId="62" xfId="105" applyFont="1" applyFill="1" applyBorder="1" applyAlignment="1" applyProtection="1">
      <alignment horizontal="center" vertical="center"/>
      <protection hidden="1"/>
    </xf>
    <xf numFmtId="0" fontId="12" fillId="24" borderId="46" xfId="105" applyFont="1" applyFill="1" applyBorder="1" applyAlignment="1" applyProtection="1">
      <alignment horizontal="center" vertical="center"/>
      <protection hidden="1"/>
    </xf>
    <xf numFmtId="0" fontId="12" fillId="24" borderId="44" xfId="105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>
      <alignment/>
    </xf>
    <xf numFmtId="192" fontId="5" fillId="48" borderId="52" xfId="105" applyNumberFormat="1" applyFont="1" applyFill="1" applyBorder="1" applyAlignment="1" applyProtection="1">
      <alignment vertical="center"/>
      <protection hidden="1"/>
    </xf>
    <xf numFmtId="192" fontId="5" fillId="48" borderId="53" xfId="105" applyNumberFormat="1" applyFont="1" applyFill="1" applyBorder="1" applyAlignment="1" applyProtection="1">
      <alignment vertical="center"/>
      <protection hidden="1"/>
    </xf>
    <xf numFmtId="0" fontId="20" fillId="46" borderId="0" xfId="105" applyFont="1" applyFill="1" applyBorder="1" applyProtection="1">
      <alignment/>
      <protection hidden="1"/>
    </xf>
    <xf numFmtId="0" fontId="12" fillId="24" borderId="62" xfId="105" applyFont="1" applyFill="1" applyBorder="1" applyAlignment="1" applyProtection="1">
      <alignment horizontal="center" vertical="center"/>
      <protection hidden="1"/>
    </xf>
    <xf numFmtId="0" fontId="12" fillId="24" borderId="63" xfId="105" applyFont="1" applyFill="1" applyBorder="1" applyAlignment="1" applyProtection="1">
      <alignment horizontal="center" vertical="center"/>
      <protection hidden="1"/>
    </xf>
    <xf numFmtId="0" fontId="5" fillId="48" borderId="0" xfId="0" applyFont="1" applyFill="1" applyBorder="1" applyAlignment="1">
      <alignment/>
    </xf>
    <xf numFmtId="0" fontId="12" fillId="47" borderId="0" xfId="105" applyFont="1" applyFill="1" applyBorder="1" applyAlignment="1" applyProtection="1">
      <alignment horizontal="center" vertical="center"/>
      <protection hidden="1"/>
    </xf>
    <xf numFmtId="0" fontId="2" fillId="47" borderId="0" xfId="105" applyFont="1" applyFill="1" applyBorder="1" applyAlignment="1" applyProtection="1">
      <alignment horizontal="center" vertical="center"/>
      <protection hidden="1"/>
    </xf>
    <xf numFmtId="0" fontId="12" fillId="47" borderId="0" xfId="105" applyNumberFormat="1" applyFont="1" applyFill="1" applyBorder="1" applyAlignment="1" applyProtection="1">
      <alignment vertical="center"/>
      <protection hidden="1"/>
    </xf>
    <xf numFmtId="0" fontId="12" fillId="47" borderId="0" xfId="105" applyFont="1" applyFill="1" applyBorder="1" applyAlignment="1" applyProtection="1">
      <alignment vertical="center"/>
      <protection hidden="1"/>
    </xf>
    <xf numFmtId="0" fontId="2" fillId="46" borderId="0" xfId="105" applyFont="1" applyFill="1" applyBorder="1" applyAlignment="1">
      <alignment horizontal="left"/>
      <protection/>
    </xf>
    <xf numFmtId="0" fontId="173" fillId="24" borderId="25" xfId="105" applyFont="1" applyFill="1" applyBorder="1" applyAlignment="1" applyProtection="1">
      <alignment horizontal="center"/>
      <protection hidden="1"/>
    </xf>
    <xf numFmtId="0" fontId="174" fillId="48" borderId="19" xfId="105" applyFont="1" applyFill="1" applyBorder="1" applyAlignment="1" applyProtection="1">
      <alignment horizontal="center"/>
      <protection hidden="1"/>
    </xf>
    <xf numFmtId="0" fontId="174" fillId="48" borderId="0" xfId="105" applyFont="1" applyFill="1" applyBorder="1" applyAlignment="1" applyProtection="1">
      <alignment horizontal="center"/>
      <protection hidden="1"/>
    </xf>
    <xf numFmtId="0" fontId="175" fillId="48" borderId="0" xfId="105" applyFont="1" applyFill="1" applyBorder="1" applyProtection="1">
      <alignment/>
      <protection hidden="1"/>
    </xf>
    <xf numFmtId="0" fontId="176" fillId="48" borderId="0" xfId="0" applyFont="1" applyFill="1" applyBorder="1" applyAlignment="1">
      <alignment/>
    </xf>
    <xf numFmtId="0" fontId="175" fillId="48" borderId="0" xfId="105" applyFont="1" applyFill="1" applyBorder="1" applyAlignment="1" applyProtection="1">
      <alignment/>
      <protection hidden="1"/>
    </xf>
    <xf numFmtId="0" fontId="176" fillId="48" borderId="0" xfId="0" applyFont="1" applyFill="1" applyAlignment="1">
      <alignment/>
    </xf>
    <xf numFmtId="1" fontId="5" fillId="48" borderId="20" xfId="105" applyNumberFormat="1" applyFont="1" applyFill="1" applyBorder="1" applyAlignment="1" applyProtection="1">
      <alignment vertical="center"/>
      <protection hidden="1"/>
    </xf>
    <xf numFmtId="1" fontId="5" fillId="48" borderId="33" xfId="105" applyNumberFormat="1" applyFont="1" applyFill="1" applyBorder="1" applyAlignment="1" applyProtection="1">
      <alignment vertical="center"/>
      <protection hidden="1"/>
    </xf>
    <xf numFmtId="0" fontId="177" fillId="46" borderId="20" xfId="105" applyFont="1" applyFill="1" applyBorder="1" applyAlignment="1">
      <alignment horizontal="center"/>
      <protection/>
    </xf>
    <xf numFmtId="0" fontId="0" fillId="24" borderId="40" xfId="0" applyFill="1" applyBorder="1" applyAlignment="1">
      <alignment/>
    </xf>
    <xf numFmtId="0" fontId="12" fillId="24" borderId="51" xfId="105" applyFont="1" applyFill="1" applyBorder="1" applyAlignment="1" applyProtection="1">
      <alignment horizontal="center" vertical="center"/>
      <protection hidden="1"/>
    </xf>
    <xf numFmtId="0" fontId="23" fillId="48" borderId="24" xfId="105" applyFont="1" applyFill="1" applyBorder="1" applyProtection="1">
      <alignment/>
      <protection hidden="1"/>
    </xf>
    <xf numFmtId="0" fontId="2" fillId="46" borderId="60" xfId="105" applyFont="1" applyFill="1" applyBorder="1" applyProtection="1">
      <alignment/>
      <protection hidden="1"/>
    </xf>
    <xf numFmtId="192" fontId="5" fillId="48" borderId="60" xfId="105" applyNumberFormat="1" applyFont="1" applyFill="1" applyBorder="1" applyAlignment="1" applyProtection="1">
      <alignment vertical="center"/>
      <protection hidden="1"/>
    </xf>
    <xf numFmtId="192" fontId="5" fillId="48" borderId="64" xfId="105" applyNumberFormat="1" applyFont="1" applyFill="1" applyBorder="1" applyAlignment="1" applyProtection="1">
      <alignment vertical="center"/>
      <protection hidden="1"/>
    </xf>
    <xf numFmtId="0" fontId="0" fillId="46" borderId="20" xfId="105" applyFont="1" applyFill="1" applyBorder="1" applyProtection="1">
      <alignment/>
      <protection hidden="1"/>
    </xf>
    <xf numFmtId="0" fontId="12" fillId="46" borderId="37" xfId="105" applyFont="1" applyFill="1" applyBorder="1" applyProtection="1">
      <alignment/>
      <protection hidden="1"/>
    </xf>
    <xf numFmtId="0" fontId="178" fillId="48" borderId="0" xfId="0" applyFont="1" applyFill="1" applyAlignment="1">
      <alignment/>
    </xf>
    <xf numFmtId="0" fontId="12" fillId="24" borderId="49" xfId="105" applyFont="1" applyFill="1" applyBorder="1" applyAlignment="1" applyProtection="1">
      <alignment horizontal="center" vertical="center"/>
      <protection hidden="1"/>
    </xf>
    <xf numFmtId="0" fontId="173" fillId="24" borderId="46" xfId="105" applyFont="1" applyFill="1" applyBorder="1" applyAlignment="1" applyProtection="1">
      <alignment horizontal="center"/>
      <protection hidden="1"/>
    </xf>
    <xf numFmtId="0" fontId="7" fillId="46" borderId="65" xfId="105" applyFont="1" applyFill="1" applyBorder="1" applyAlignment="1" applyProtection="1">
      <alignment horizontal="left"/>
      <protection hidden="1"/>
    </xf>
    <xf numFmtId="0" fontId="5" fillId="48" borderId="0" xfId="105" applyFont="1" applyFill="1" applyAlignment="1">
      <alignment/>
      <protection/>
    </xf>
    <xf numFmtId="0" fontId="2" fillId="48" borderId="0" xfId="105" applyFont="1" applyFill="1" applyBorder="1" applyAlignment="1">
      <alignment/>
      <protection/>
    </xf>
    <xf numFmtId="0" fontId="167" fillId="24" borderId="21" xfId="105" applyFont="1" applyFill="1" applyBorder="1" applyAlignment="1" applyProtection="1">
      <alignment horizontal="center"/>
      <protection hidden="1"/>
    </xf>
    <xf numFmtId="0" fontId="141" fillId="19" borderId="0" xfId="105" applyFont="1" applyFill="1" applyBorder="1" applyProtection="1">
      <alignment/>
      <protection hidden="1"/>
    </xf>
    <xf numFmtId="0" fontId="142" fillId="19" borderId="0" xfId="0" applyFont="1" applyFill="1" applyAlignment="1">
      <alignment/>
    </xf>
    <xf numFmtId="0" fontId="142" fillId="19" borderId="0" xfId="0" applyFont="1" applyFill="1" applyAlignment="1">
      <alignment/>
    </xf>
    <xf numFmtId="0" fontId="142" fillId="48" borderId="0" xfId="0" applyFont="1" applyFill="1" applyAlignment="1">
      <alignment/>
    </xf>
    <xf numFmtId="0" fontId="161" fillId="49" borderId="66" xfId="105" applyFont="1" applyFill="1" applyBorder="1">
      <alignment/>
      <protection/>
    </xf>
    <xf numFmtId="0" fontId="5" fillId="46" borderId="33" xfId="105" applyFont="1" applyFill="1" applyBorder="1">
      <alignment/>
      <protection/>
    </xf>
    <xf numFmtId="0" fontId="0" fillId="48" borderId="0" xfId="0" applyFill="1" applyAlignment="1">
      <alignment horizontal="center"/>
    </xf>
    <xf numFmtId="1" fontId="5" fillId="48" borderId="0" xfId="105" applyNumberFormat="1" applyFont="1" applyFill="1" applyBorder="1" applyAlignment="1" applyProtection="1">
      <alignment horizontal="center" vertical="center"/>
      <protection hidden="1"/>
    </xf>
    <xf numFmtId="0" fontId="0" fillId="48" borderId="0" xfId="0" applyNumberFormat="1" applyFill="1" applyAlignment="1">
      <alignment/>
    </xf>
    <xf numFmtId="0" fontId="5" fillId="48" borderId="0" xfId="105" applyFont="1" applyFill="1" applyAlignment="1" applyProtection="1">
      <alignment horizontal="center" vertical="center"/>
      <protection hidden="1"/>
    </xf>
    <xf numFmtId="0" fontId="0" fillId="48" borderId="20" xfId="0" applyFill="1" applyBorder="1" applyAlignment="1">
      <alignment/>
    </xf>
    <xf numFmtId="0" fontId="158" fillId="48" borderId="0" xfId="0" applyFont="1" applyFill="1" applyAlignment="1">
      <alignment/>
    </xf>
    <xf numFmtId="0" fontId="5" fillId="48" borderId="0" xfId="105" applyFont="1" applyFill="1" applyBorder="1" applyAlignment="1" applyProtection="1">
      <alignment horizontal="center"/>
      <protection hidden="1"/>
    </xf>
    <xf numFmtId="0" fontId="156" fillId="48" borderId="0" xfId="105" applyFont="1" applyFill="1" applyProtection="1">
      <alignment/>
      <protection hidden="1"/>
    </xf>
    <xf numFmtId="0" fontId="157" fillId="48" borderId="0" xfId="105" applyFont="1" applyFill="1">
      <alignment/>
      <protection/>
    </xf>
    <xf numFmtId="0" fontId="5" fillId="48" borderId="31" xfId="105" applyFont="1" applyFill="1" applyBorder="1" applyProtection="1">
      <alignment/>
      <protection hidden="1"/>
    </xf>
    <xf numFmtId="0" fontId="2" fillId="48" borderId="31" xfId="105" applyFill="1" applyBorder="1">
      <alignment/>
      <protection/>
    </xf>
    <xf numFmtId="0" fontId="8" fillId="48" borderId="0" xfId="105" applyFont="1" applyFill="1" applyBorder="1" applyAlignment="1" applyProtection="1">
      <alignment horizontal="center"/>
      <protection hidden="1"/>
    </xf>
    <xf numFmtId="0" fontId="44" fillId="46" borderId="0" xfId="0" applyFont="1" applyFill="1" applyBorder="1" applyAlignment="1">
      <alignment/>
    </xf>
    <xf numFmtId="0" fontId="179" fillId="48" borderId="0" xfId="0" applyFont="1" applyFill="1" applyAlignment="1">
      <alignment/>
    </xf>
    <xf numFmtId="0" fontId="0" fillId="0" borderId="0" xfId="0" applyBorder="1" applyAlignment="1">
      <alignment horizontal="left"/>
    </xf>
    <xf numFmtId="0" fontId="26" fillId="46" borderId="0" xfId="105" applyFont="1" applyFill="1" applyBorder="1" applyAlignment="1" applyProtection="1">
      <alignment horizontal="left" wrapText="1"/>
      <protection hidden="1"/>
    </xf>
    <xf numFmtId="0" fontId="0" fillId="0" borderId="0" xfId="0" applyFont="1" applyFill="1" applyAlignment="1">
      <alignment/>
    </xf>
    <xf numFmtId="0" fontId="72" fillId="49" borderId="67" xfId="105" applyFont="1" applyFill="1" applyBorder="1" applyAlignment="1">
      <alignment wrapText="1"/>
      <protection/>
    </xf>
    <xf numFmtId="0" fontId="180" fillId="49" borderId="67" xfId="0" applyFont="1" applyFill="1" applyBorder="1" applyAlignment="1">
      <alignment/>
    </xf>
    <xf numFmtId="0" fontId="180" fillId="49" borderId="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0" fontId="167" fillId="24" borderId="55" xfId="105" applyFont="1" applyFill="1" applyBorder="1" applyAlignment="1" applyProtection="1">
      <alignment horizontal="center"/>
      <protection hidden="1"/>
    </xf>
    <xf numFmtId="0" fontId="181" fillId="54" borderId="0" xfId="105" applyFont="1" applyFill="1" applyBorder="1" applyAlignment="1" applyProtection="1">
      <alignment horizontal="left"/>
      <protection hidden="1"/>
    </xf>
    <xf numFmtId="0" fontId="178" fillId="54" borderId="0" xfId="0" applyFont="1" applyFill="1" applyBorder="1" applyAlignment="1">
      <alignment/>
    </xf>
    <xf numFmtId="0" fontId="178" fillId="54" borderId="0" xfId="0" applyFont="1" applyFill="1" applyAlignment="1">
      <alignment/>
    </xf>
    <xf numFmtId="1" fontId="182" fillId="48" borderId="0" xfId="105" applyNumberFormat="1" applyFont="1" applyFill="1" applyBorder="1" applyAlignment="1" applyProtection="1">
      <alignment horizontal="center"/>
      <protection hidden="1"/>
    </xf>
    <xf numFmtId="1" fontId="5" fillId="13" borderId="0" xfId="105" applyNumberFormat="1" applyFont="1" applyFill="1" applyBorder="1" applyAlignment="1" applyProtection="1">
      <alignment/>
      <protection hidden="1"/>
    </xf>
    <xf numFmtId="0" fontId="0" fillId="13" borderId="0" xfId="0" applyFill="1" applyBorder="1" applyAlignment="1">
      <alignment/>
    </xf>
    <xf numFmtId="0" fontId="183" fillId="46" borderId="0" xfId="105" applyFont="1" applyFill="1" applyBorder="1" applyAlignment="1" applyProtection="1">
      <alignment horizontal="center"/>
      <protection hidden="1"/>
    </xf>
    <xf numFmtId="0" fontId="161" fillId="46" borderId="0" xfId="105" applyFont="1" applyFill="1" applyBorder="1" applyAlignment="1" applyProtection="1">
      <alignment/>
      <protection hidden="1"/>
    </xf>
    <xf numFmtId="192" fontId="161" fillId="48" borderId="0" xfId="105" applyNumberFormat="1" applyFont="1" applyFill="1" applyBorder="1" applyAlignment="1" applyProtection="1">
      <alignment horizontal="center"/>
      <protection hidden="1"/>
    </xf>
    <xf numFmtId="0" fontId="161" fillId="46" borderId="0" xfId="105" applyFont="1" applyFill="1" applyBorder="1" applyProtection="1">
      <alignment/>
      <protection hidden="1"/>
    </xf>
    <xf numFmtId="0" fontId="133" fillId="46" borderId="0" xfId="0" applyFont="1" applyFill="1" applyBorder="1" applyAlignment="1">
      <alignment/>
    </xf>
    <xf numFmtId="0" fontId="133" fillId="0" borderId="0" xfId="0" applyFont="1" applyBorder="1" applyAlignment="1">
      <alignment/>
    </xf>
    <xf numFmtId="0" fontId="5" fillId="46" borderId="23" xfId="105" applyFont="1" applyFill="1" applyBorder="1" applyAlignment="1" applyProtection="1">
      <alignment horizontal="center" vertical="center"/>
      <protection hidden="1"/>
    </xf>
    <xf numFmtId="0" fontId="5" fillId="46" borderId="19" xfId="105" applyFont="1" applyFill="1" applyBorder="1" applyAlignment="1" applyProtection="1">
      <alignment horizontal="center" vertical="center"/>
      <protection hidden="1"/>
    </xf>
    <xf numFmtId="0" fontId="0" fillId="46" borderId="19" xfId="0" applyFill="1" applyBorder="1" applyAlignment="1">
      <alignment/>
    </xf>
    <xf numFmtId="0" fontId="156" fillId="46" borderId="0" xfId="105" applyFont="1" applyFill="1" applyBorder="1" applyProtection="1">
      <alignment/>
      <protection hidden="1"/>
    </xf>
    <xf numFmtId="0" fontId="158" fillId="46" borderId="0" xfId="0" applyFont="1" applyFill="1" applyBorder="1" applyAlignment="1">
      <alignment/>
    </xf>
    <xf numFmtId="0" fontId="158" fillId="0" borderId="0" xfId="0" applyFont="1" applyBorder="1" applyAlignment="1">
      <alignment/>
    </xf>
    <xf numFmtId="43" fontId="5" fillId="46" borderId="0" xfId="132" applyFont="1" applyFill="1" applyBorder="1" applyAlignment="1" applyProtection="1">
      <alignment/>
      <protection hidden="1"/>
    </xf>
    <xf numFmtId="43" fontId="0" fillId="46" borderId="0" xfId="132" applyFont="1" applyFill="1" applyBorder="1" applyAlignment="1">
      <alignment/>
    </xf>
    <xf numFmtId="43" fontId="0" fillId="0" borderId="0" xfId="132" applyFont="1" applyBorder="1" applyAlignment="1">
      <alignment/>
    </xf>
    <xf numFmtId="0" fontId="0" fillId="46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0" borderId="0" xfId="0" applyFont="1" applyAlignment="1">
      <alignment/>
    </xf>
    <xf numFmtId="0" fontId="76" fillId="49" borderId="64" xfId="105" applyFont="1" applyFill="1" applyBorder="1" applyAlignment="1">
      <alignment wrapText="1"/>
      <protection/>
    </xf>
    <xf numFmtId="0" fontId="76" fillId="48" borderId="0" xfId="105" applyFont="1" applyFill="1" applyBorder="1" applyAlignment="1">
      <alignment wrapText="1"/>
      <protection/>
    </xf>
    <xf numFmtId="0" fontId="179" fillId="48" borderId="0" xfId="0" applyFont="1" applyFill="1" applyBorder="1" applyAlignment="1">
      <alignment/>
    </xf>
    <xf numFmtId="0" fontId="179" fillId="49" borderId="0" xfId="0" applyFont="1" applyFill="1" applyAlignment="1">
      <alignment/>
    </xf>
    <xf numFmtId="0" fontId="138" fillId="55" borderId="0" xfId="0" applyFont="1" applyFill="1" applyAlignment="1">
      <alignment horizontal="center"/>
    </xf>
    <xf numFmtId="0" fontId="138" fillId="55" borderId="0" xfId="0" applyFont="1" applyFill="1" applyBorder="1" applyAlignment="1">
      <alignment horizontal="center"/>
    </xf>
    <xf numFmtId="0" fontId="161" fillId="55" borderId="0" xfId="0" applyFont="1" applyFill="1" applyAlignment="1">
      <alignment horizontal="left" vertical="top"/>
    </xf>
    <xf numFmtId="0" fontId="161" fillId="55" borderId="0" xfId="105" applyFont="1" applyFill="1" applyAlignment="1" applyProtection="1">
      <alignment/>
      <protection hidden="1"/>
    </xf>
    <xf numFmtId="0" fontId="133" fillId="55" borderId="0" xfId="0" applyFont="1" applyFill="1" applyAlignment="1">
      <alignment/>
    </xf>
    <xf numFmtId="0" fontId="138" fillId="55" borderId="0" xfId="105" applyFont="1" applyFill="1" applyAlignment="1">
      <alignment horizontal="left"/>
      <protection/>
    </xf>
    <xf numFmtId="0" fontId="133" fillId="55" borderId="0" xfId="0" applyFont="1" applyFill="1" applyAlignment="1">
      <alignment/>
    </xf>
    <xf numFmtId="0" fontId="6" fillId="48" borderId="0" xfId="105" applyFont="1" applyFill="1" applyBorder="1" applyAlignment="1" applyProtection="1">
      <alignment horizontal="left"/>
      <protection hidden="1"/>
    </xf>
    <xf numFmtId="0" fontId="154" fillId="48" borderId="0" xfId="105" applyFont="1" applyFill="1" applyBorder="1" applyAlignment="1" applyProtection="1">
      <alignment horizontal="left"/>
      <protection hidden="1"/>
    </xf>
    <xf numFmtId="0" fontId="168" fillId="12" borderId="27" xfId="0" applyFont="1" applyFill="1" applyBorder="1" applyAlignment="1">
      <alignment horizontal="center"/>
    </xf>
    <xf numFmtId="0" fontId="143" fillId="12" borderId="27" xfId="0" applyFont="1" applyFill="1" applyBorder="1" applyAlignment="1">
      <alignment horizontal="center"/>
    </xf>
    <xf numFmtId="0" fontId="143" fillId="12" borderId="27" xfId="0" applyFont="1" applyFill="1" applyBorder="1" applyAlignment="1">
      <alignment horizontal="center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6" fillId="48" borderId="35" xfId="105" applyFont="1" applyFill="1" applyBorder="1" applyAlignment="1" applyProtection="1">
      <alignment horizontal="left"/>
      <protection hidden="1"/>
    </xf>
    <xf numFmtId="0" fontId="140" fillId="48" borderId="0" xfId="0" applyFont="1" applyFill="1" applyAlignment="1">
      <alignment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6" fillId="48" borderId="31" xfId="105" applyFont="1" applyFill="1" applyBorder="1" applyAlignment="1" applyProtection="1">
      <alignment horizontal="left"/>
      <protection hidden="1"/>
    </xf>
    <xf numFmtId="0" fontId="7" fillId="46" borderId="31" xfId="105" applyFont="1" applyFill="1" applyBorder="1" applyAlignment="1" applyProtection="1">
      <alignment horizontal="left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54" fillId="48" borderId="0" xfId="105" applyFont="1" applyFill="1" applyBorder="1" applyAlignment="1" applyProtection="1">
      <alignment horizontal="left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141" fillId="46" borderId="27" xfId="105" applyFont="1" applyFill="1" applyBorder="1" applyAlignment="1">
      <alignment horizontal="center"/>
      <protection/>
    </xf>
    <xf numFmtId="0" fontId="5" fillId="0" borderId="0" xfId="105" applyFont="1" applyFill="1" applyBorder="1" applyProtection="1">
      <alignment/>
      <protection hidden="1"/>
    </xf>
    <xf numFmtId="0" fontId="2" fillId="0" borderId="0" xfId="105" applyFill="1" applyBorder="1">
      <alignment/>
      <protection/>
    </xf>
    <xf numFmtId="0" fontId="0" fillId="0" borderId="0" xfId="0" applyFill="1" applyBorder="1" applyAlignment="1">
      <alignment/>
    </xf>
    <xf numFmtId="0" fontId="24" fillId="46" borderId="29" xfId="0" applyFont="1" applyFill="1" applyBorder="1" applyAlignment="1">
      <alignment horizontal="center"/>
    </xf>
    <xf numFmtId="0" fontId="12" fillId="46" borderId="36" xfId="105" applyFont="1" applyFill="1" applyBorder="1" applyAlignment="1" applyProtection="1">
      <alignment horizontal="left" wrapText="1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154" fillId="48" borderId="0" xfId="105" applyFont="1" applyFill="1" applyBorder="1" applyAlignment="1" applyProtection="1">
      <alignment horizontal="left"/>
      <protection hidden="1"/>
    </xf>
    <xf numFmtId="0" fontId="7" fillId="46" borderId="27" xfId="105" applyFont="1" applyFill="1" applyBorder="1" applyAlignment="1" applyProtection="1">
      <alignment horizontal="left"/>
      <protection hidden="1"/>
    </xf>
    <xf numFmtId="0" fontId="121" fillId="48" borderId="0" xfId="69" applyFill="1" applyBorder="1" applyAlignment="1" applyProtection="1">
      <alignment horizontal="left" wrapText="1" indent="3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0" fontId="12" fillId="56" borderId="20" xfId="105" applyFont="1" applyFill="1" applyBorder="1" applyProtection="1">
      <alignment/>
      <protection hidden="1"/>
    </xf>
    <xf numFmtId="0" fontId="2" fillId="56" borderId="20" xfId="105" applyFont="1" applyFill="1" applyBorder="1" applyProtection="1">
      <alignment/>
      <protection hidden="1"/>
    </xf>
    <xf numFmtId="0" fontId="12" fillId="56" borderId="20" xfId="105" applyFont="1" applyFill="1" applyBorder="1" applyAlignment="1" applyProtection="1">
      <alignment horizontal="center"/>
      <protection hidden="1"/>
    </xf>
    <xf numFmtId="0" fontId="2" fillId="56" borderId="21" xfId="105" applyFont="1" applyFill="1" applyBorder="1" applyProtection="1">
      <alignment/>
      <protection hidden="1"/>
    </xf>
    <xf numFmtId="0" fontId="2" fillId="56" borderId="21" xfId="105" applyFill="1" applyBorder="1">
      <alignment/>
      <protection/>
    </xf>
    <xf numFmtId="0" fontId="23" fillId="56" borderId="21" xfId="105" applyFont="1" applyFill="1" applyBorder="1" applyProtection="1">
      <alignment/>
      <protection hidden="1"/>
    </xf>
    <xf numFmtId="0" fontId="29" fillId="56" borderId="23" xfId="105" applyFont="1" applyFill="1" applyBorder="1" applyProtection="1">
      <alignment/>
      <protection hidden="1"/>
    </xf>
    <xf numFmtId="0" fontId="23" fillId="56" borderId="22" xfId="105" applyFont="1" applyFill="1" applyBorder="1" applyProtection="1">
      <alignment/>
      <protection hidden="1"/>
    </xf>
    <xf numFmtId="0" fontId="167" fillId="57" borderId="20" xfId="105" applyFont="1" applyFill="1" applyBorder="1" applyAlignment="1" applyProtection="1">
      <alignment horizontal="center"/>
      <protection hidden="1"/>
    </xf>
    <xf numFmtId="0" fontId="12" fillId="56" borderId="24" xfId="105" applyFont="1" applyFill="1" applyBorder="1" applyProtection="1">
      <alignment/>
      <protection hidden="1"/>
    </xf>
    <xf numFmtId="0" fontId="2" fillId="56" borderId="25" xfId="105" applyFont="1" applyFill="1" applyBorder="1" applyProtection="1">
      <alignment/>
      <protection hidden="1"/>
    </xf>
    <xf numFmtId="0" fontId="23" fillId="56" borderId="20" xfId="105" applyFont="1" applyFill="1" applyBorder="1" applyProtection="1">
      <alignment/>
      <protection hidden="1"/>
    </xf>
    <xf numFmtId="0" fontId="2" fillId="56" borderId="22" xfId="105" applyFill="1" applyBorder="1" applyProtection="1">
      <alignment/>
      <protection hidden="1"/>
    </xf>
    <xf numFmtId="0" fontId="167" fillId="57" borderId="20" xfId="105" applyFont="1" applyFill="1" applyBorder="1" applyProtection="1">
      <alignment/>
      <protection hidden="1"/>
    </xf>
    <xf numFmtId="0" fontId="184" fillId="58" borderId="0" xfId="105" applyFont="1" applyFill="1" applyAlignment="1">
      <alignment horizontal="left"/>
      <protection/>
    </xf>
    <xf numFmtId="0" fontId="184" fillId="58" borderId="0" xfId="105" applyFont="1" applyFill="1" applyAlignment="1">
      <alignment horizontal="left"/>
      <protection/>
    </xf>
    <xf numFmtId="0" fontId="185" fillId="58" borderId="0" xfId="0" applyFont="1" applyFill="1" applyAlignment="1">
      <alignment horizontal="left"/>
    </xf>
    <xf numFmtId="0" fontId="186" fillId="58" borderId="0" xfId="0" applyFont="1" applyFill="1" applyAlignment="1">
      <alignment horizontal="left"/>
    </xf>
    <xf numFmtId="0" fontId="187" fillId="58" borderId="0" xfId="105" applyFont="1" applyFill="1" applyAlignment="1" applyProtection="1">
      <alignment horizontal="left"/>
      <protection hidden="1"/>
    </xf>
    <xf numFmtId="0" fontId="188" fillId="58" borderId="0" xfId="105" applyFont="1" applyFill="1" applyAlignment="1">
      <alignment horizontal="left"/>
      <protection/>
    </xf>
    <xf numFmtId="0" fontId="167" fillId="46" borderId="0" xfId="105" applyFont="1" applyFill="1" applyBorder="1" applyProtection="1">
      <alignment/>
      <protection hidden="1"/>
    </xf>
    <xf numFmtId="192" fontId="5" fillId="59" borderId="20" xfId="105" applyNumberFormat="1" applyFont="1" applyFill="1" applyBorder="1" applyAlignment="1" applyProtection="1">
      <alignment vertical="center"/>
      <protection hidden="1"/>
    </xf>
    <xf numFmtId="192" fontId="5" fillId="59" borderId="33" xfId="105" applyNumberFormat="1" applyFont="1" applyFill="1" applyBorder="1" applyAlignment="1" applyProtection="1">
      <alignment vertical="center"/>
      <protection hidden="1"/>
    </xf>
    <xf numFmtId="0" fontId="138" fillId="60" borderId="0" xfId="105" applyFont="1" applyFill="1" applyBorder="1" applyAlignment="1">
      <alignment horizontal="left"/>
      <protection/>
    </xf>
    <xf numFmtId="0" fontId="8" fillId="60" borderId="0" xfId="105" applyFont="1" applyFill="1" applyBorder="1" applyAlignment="1">
      <alignment horizontal="left"/>
      <protection/>
    </xf>
    <xf numFmtId="0" fontId="0" fillId="60" borderId="0" xfId="0" applyFill="1" applyAlignment="1">
      <alignment horizontal="left"/>
    </xf>
    <xf numFmtId="0" fontId="0" fillId="60" borderId="0" xfId="0" applyFill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Alignment="1">
      <alignment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3" fillId="24" borderId="28" xfId="105" applyFont="1" applyFill="1" applyBorder="1" applyAlignment="1" applyProtection="1">
      <alignment horizontal="center"/>
      <protection hidden="1"/>
    </xf>
    <xf numFmtId="0" fontId="143" fillId="46" borderId="27" xfId="105" applyFont="1" applyFill="1" applyBorder="1" applyProtection="1">
      <alignment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92" fontId="5" fillId="59" borderId="20" xfId="105" applyNumberFormat="1" applyFont="1" applyFill="1" applyBorder="1" applyAlignment="1" applyProtection="1">
      <alignment horizontal="center"/>
      <protection hidden="1"/>
    </xf>
    <xf numFmtId="192" fontId="5" fillId="59" borderId="33" xfId="105" applyNumberFormat="1" applyFont="1" applyFill="1" applyBorder="1" applyAlignment="1" applyProtection="1">
      <alignment horizontal="center"/>
      <protection hidden="1"/>
    </xf>
    <xf numFmtId="192" fontId="5" fillId="59" borderId="24" xfId="105" applyNumberFormat="1" applyFont="1" applyFill="1" applyBorder="1" applyAlignment="1" applyProtection="1">
      <alignment horizontal="center"/>
      <protection hidden="1"/>
    </xf>
    <xf numFmtId="192" fontId="5" fillId="59" borderId="45" xfId="105" applyNumberFormat="1" applyFont="1" applyFill="1" applyBorder="1" applyAlignment="1" applyProtection="1">
      <alignment horizontal="center"/>
      <protection hidden="1"/>
    </xf>
    <xf numFmtId="192" fontId="5" fillId="59" borderId="48" xfId="105" applyNumberFormat="1" applyFont="1" applyFill="1" applyBorder="1" applyAlignment="1" applyProtection="1">
      <alignment horizontal="center"/>
      <protection hidden="1"/>
    </xf>
    <xf numFmtId="192" fontId="5" fillId="8" borderId="20" xfId="105" applyNumberFormat="1" applyFont="1" applyFill="1" applyBorder="1" applyAlignment="1" applyProtection="1">
      <alignment vertical="center"/>
      <protection hidden="1"/>
    </xf>
    <xf numFmtId="192" fontId="5" fillId="8" borderId="33" xfId="105" applyNumberFormat="1" applyFont="1" applyFill="1" applyBorder="1" applyAlignment="1" applyProtection="1">
      <alignment vertical="center"/>
      <protection hidden="1"/>
    </xf>
    <xf numFmtId="192" fontId="5" fillId="8" borderId="24" xfId="105" applyNumberFormat="1" applyFont="1" applyFill="1" applyBorder="1" applyAlignment="1" applyProtection="1">
      <alignment vertical="center"/>
      <protection hidden="1"/>
    </xf>
    <xf numFmtId="192" fontId="5" fillId="8" borderId="48" xfId="105" applyNumberFormat="1" applyFont="1" applyFill="1" applyBorder="1" applyAlignment="1" applyProtection="1">
      <alignment vertical="center"/>
      <protection hidden="1"/>
    </xf>
    <xf numFmtId="192" fontId="5" fillId="8" borderId="23" xfId="105" applyNumberFormat="1" applyFont="1" applyFill="1" applyBorder="1" applyAlignment="1" applyProtection="1">
      <alignment vertical="center"/>
      <protection hidden="1"/>
    </xf>
    <xf numFmtId="192" fontId="5" fillId="8" borderId="56" xfId="105" applyNumberFormat="1" applyFont="1" applyFill="1" applyBorder="1" applyAlignment="1" applyProtection="1">
      <alignment vertical="center"/>
      <protection hidden="1"/>
    </xf>
    <xf numFmtId="0" fontId="189" fillId="0" borderId="0" xfId="0" applyFont="1" applyAlignment="1">
      <alignment/>
    </xf>
    <xf numFmtId="192" fontId="5" fillId="59" borderId="20" xfId="105" applyNumberFormat="1" applyFont="1" applyFill="1" applyBorder="1" applyAlignment="1" applyProtection="1">
      <alignment horizontal="center"/>
      <protection hidden="1"/>
    </xf>
    <xf numFmtId="192" fontId="5" fillId="59" borderId="33" xfId="105" applyNumberFormat="1" applyFont="1" applyFill="1" applyBorder="1" applyAlignment="1" applyProtection="1">
      <alignment horizontal="center"/>
      <protection hidden="1"/>
    </xf>
    <xf numFmtId="192" fontId="5" fillId="59" borderId="35" xfId="105" applyNumberFormat="1" applyFont="1" applyFill="1" applyBorder="1" applyAlignment="1" applyProtection="1">
      <alignment horizontal="center"/>
      <protection hidden="1"/>
    </xf>
    <xf numFmtId="192" fontId="5" fillId="59" borderId="45" xfId="105" applyNumberFormat="1" applyFont="1" applyFill="1" applyBorder="1" applyAlignment="1" applyProtection="1">
      <alignment horizontal="center"/>
      <protection hidden="1"/>
    </xf>
    <xf numFmtId="192" fontId="5" fillId="59" borderId="24" xfId="105" applyNumberFormat="1" applyFont="1" applyFill="1" applyBorder="1" applyAlignment="1" applyProtection="1">
      <alignment horizontal="center"/>
      <protection hidden="1"/>
    </xf>
    <xf numFmtId="192" fontId="5" fillId="59" borderId="48" xfId="105" applyNumberFormat="1" applyFont="1" applyFill="1" applyBorder="1" applyAlignment="1" applyProtection="1">
      <alignment horizontal="center"/>
      <protection hidden="1"/>
    </xf>
    <xf numFmtId="192" fontId="5" fillId="59" borderId="23" xfId="105" applyNumberFormat="1" applyFont="1" applyFill="1" applyBorder="1" applyAlignment="1" applyProtection="1">
      <alignment horizontal="center"/>
      <protection hidden="1"/>
    </xf>
    <xf numFmtId="192" fontId="5" fillId="59" borderId="56" xfId="105" applyNumberFormat="1" applyFont="1" applyFill="1" applyBorder="1" applyAlignment="1" applyProtection="1">
      <alignment horizontal="center"/>
      <protection hidden="1"/>
    </xf>
    <xf numFmtId="0" fontId="12" fillId="24" borderId="26" xfId="105" applyFont="1" applyFill="1" applyBorder="1" applyAlignment="1" applyProtection="1">
      <alignment horizontal="center" vertical="center"/>
      <protection hidden="1"/>
    </xf>
    <xf numFmtId="0" fontId="12" fillId="24" borderId="21" xfId="105" applyFont="1" applyFill="1" applyBorder="1" applyAlignment="1" applyProtection="1">
      <alignment horizontal="left"/>
      <protection hidden="1"/>
    </xf>
    <xf numFmtId="0" fontId="12" fillId="24" borderId="54" xfId="105" applyFont="1" applyFill="1" applyBorder="1" applyAlignment="1" applyProtection="1">
      <alignment horizontal="center" vertical="center"/>
      <protection hidden="1"/>
    </xf>
    <xf numFmtId="0" fontId="13" fillId="24" borderId="46" xfId="105" applyFont="1" applyFill="1" applyBorder="1" applyAlignment="1" applyProtection="1">
      <alignment horizontal="center"/>
      <protection hidden="1"/>
    </xf>
    <xf numFmtId="0" fontId="13" fillId="24" borderId="43" xfId="105" applyFont="1" applyFill="1" applyBorder="1" applyAlignment="1" applyProtection="1">
      <alignment horizontal="center"/>
      <protection hidden="1"/>
    </xf>
    <xf numFmtId="192" fontId="5" fillId="48" borderId="25" xfId="105" applyNumberFormat="1" applyFont="1" applyFill="1" applyBorder="1" applyAlignment="1" applyProtection="1">
      <alignment horizontal="center" vertical="center"/>
      <protection hidden="1"/>
    </xf>
    <xf numFmtId="192" fontId="5" fillId="48" borderId="21" xfId="105" applyNumberFormat="1" applyFont="1" applyFill="1" applyBorder="1" applyAlignment="1" applyProtection="1">
      <alignment horizontal="center" vertical="center"/>
      <protection hidden="1"/>
    </xf>
    <xf numFmtId="0" fontId="167" fillId="24" borderId="28" xfId="105" applyFont="1" applyFill="1" applyBorder="1" applyAlignment="1" applyProtection="1">
      <alignment horizontal="center"/>
      <protection hidden="1"/>
    </xf>
    <xf numFmtId="192" fontId="5" fillId="48" borderId="21" xfId="105" applyNumberFormat="1" applyFont="1" applyFill="1" applyBorder="1" applyAlignment="1" applyProtection="1">
      <alignment vertical="center"/>
      <protection hidden="1"/>
    </xf>
    <xf numFmtId="192" fontId="5" fillId="48" borderId="22" xfId="105" applyNumberFormat="1" applyFont="1" applyFill="1" applyBorder="1" applyAlignment="1" applyProtection="1">
      <alignment horizontal="center" vertical="center"/>
      <protection hidden="1"/>
    </xf>
    <xf numFmtId="192" fontId="5" fillId="59" borderId="23" xfId="105" applyNumberFormat="1" applyFont="1" applyFill="1" applyBorder="1" applyAlignment="1" applyProtection="1">
      <alignment vertical="center"/>
      <protection hidden="1"/>
    </xf>
    <xf numFmtId="192" fontId="5" fillId="59" borderId="56" xfId="105" applyNumberFormat="1" applyFont="1" applyFill="1" applyBorder="1" applyAlignment="1" applyProtection="1">
      <alignment vertical="center"/>
      <protection hidden="1"/>
    </xf>
    <xf numFmtId="192" fontId="5" fillId="59" borderId="24" xfId="105" applyNumberFormat="1" applyFont="1" applyFill="1" applyBorder="1" applyAlignment="1" applyProtection="1">
      <alignment vertical="center"/>
      <protection hidden="1"/>
    </xf>
    <xf numFmtId="192" fontId="5" fillId="59" borderId="48" xfId="105" applyNumberFormat="1" applyFont="1" applyFill="1" applyBorder="1" applyAlignment="1" applyProtection="1">
      <alignment vertical="center"/>
      <protection hidden="1"/>
    </xf>
    <xf numFmtId="9" fontId="12" fillId="59" borderId="35" xfId="105" applyNumberFormat="1" applyFont="1" applyFill="1" applyBorder="1" applyAlignment="1" applyProtection="1">
      <alignment horizontal="center"/>
      <protection hidden="1"/>
    </xf>
    <xf numFmtId="0" fontId="24" fillId="46" borderId="33" xfId="0" applyFont="1" applyFill="1" applyBorder="1" applyAlignment="1">
      <alignment horizontal="center"/>
    </xf>
    <xf numFmtId="0" fontId="167" fillId="46" borderId="27" xfId="105" applyFont="1" applyFill="1" applyBorder="1" applyAlignment="1" applyProtection="1">
      <alignment horizontal="center"/>
      <protection hidden="1"/>
    </xf>
    <xf numFmtId="0" fontId="14" fillId="48" borderId="26" xfId="105" applyFont="1" applyFill="1" applyBorder="1" applyProtection="1">
      <alignment/>
      <protection hidden="1"/>
    </xf>
    <xf numFmtId="0" fontId="23" fillId="48" borderId="25" xfId="105" applyFont="1" applyFill="1" applyBorder="1">
      <alignment/>
      <protection/>
    </xf>
    <xf numFmtId="0" fontId="14" fillId="48" borderId="26" xfId="105" applyFont="1" applyFill="1" applyBorder="1" applyAlignment="1" applyProtection="1">
      <alignment horizontal="center"/>
      <protection hidden="1"/>
    </xf>
    <xf numFmtId="0" fontId="23" fillId="48" borderId="21" xfId="105" applyFont="1" applyFill="1" applyBorder="1">
      <alignment/>
      <protection/>
    </xf>
    <xf numFmtId="0" fontId="15" fillId="48" borderId="26" xfId="105" applyFont="1" applyFill="1" applyBorder="1" applyAlignment="1" applyProtection="1">
      <alignment horizontal="center"/>
      <protection hidden="1"/>
    </xf>
    <xf numFmtId="0" fontId="2" fillId="48" borderId="21" xfId="105" applyFill="1" applyBorder="1">
      <alignment/>
      <protection/>
    </xf>
    <xf numFmtId="0" fontId="23" fillId="48" borderId="28" xfId="105" applyFont="1" applyFill="1" applyBorder="1">
      <alignment/>
      <protection/>
    </xf>
    <xf numFmtId="0" fontId="24" fillId="48" borderId="26" xfId="0" applyFont="1" applyFill="1" applyBorder="1" applyAlignment="1">
      <alignment horizontal="left"/>
    </xf>
    <xf numFmtId="0" fontId="167" fillId="48" borderId="26" xfId="105" applyFont="1" applyFill="1" applyBorder="1" applyProtection="1">
      <alignment/>
      <protection hidden="1"/>
    </xf>
    <xf numFmtId="0" fontId="14" fillId="48" borderId="33" xfId="105" applyFont="1" applyFill="1" applyBorder="1" applyProtection="1">
      <alignment/>
      <protection hidden="1"/>
    </xf>
    <xf numFmtId="0" fontId="23" fillId="48" borderId="46" xfId="105" applyFont="1" applyFill="1" applyBorder="1">
      <alignment/>
      <protection/>
    </xf>
    <xf numFmtId="0" fontId="144" fillId="48" borderId="33" xfId="105" applyFont="1" applyFill="1" applyBorder="1" applyAlignment="1" applyProtection="1">
      <alignment wrapText="1"/>
      <protection hidden="1"/>
    </xf>
    <xf numFmtId="0" fontId="2" fillId="48" borderId="46" xfId="105" applyFill="1" applyBorder="1" applyProtection="1">
      <alignment/>
      <protection hidden="1"/>
    </xf>
    <xf numFmtId="0" fontId="14" fillId="48" borderId="45" xfId="105" applyFont="1" applyFill="1" applyBorder="1" applyProtection="1">
      <alignment/>
      <protection hidden="1"/>
    </xf>
    <xf numFmtId="192" fontId="5" fillId="8" borderId="20" xfId="105" applyNumberFormat="1" applyFont="1" applyFill="1" applyBorder="1" applyAlignment="1" applyProtection="1">
      <alignment horizontal="center"/>
      <protection hidden="1"/>
    </xf>
    <xf numFmtId="192" fontId="5" fillId="8" borderId="33" xfId="105" applyNumberFormat="1" applyFont="1" applyFill="1" applyBorder="1" applyAlignment="1" applyProtection="1">
      <alignment horizontal="center"/>
      <protection hidden="1"/>
    </xf>
    <xf numFmtId="0" fontId="8" fillId="57" borderId="0" xfId="105" applyFont="1" applyFill="1" applyBorder="1" applyProtection="1">
      <alignment/>
      <protection hidden="1"/>
    </xf>
    <xf numFmtId="0" fontId="23" fillId="57" borderId="0" xfId="105" applyFont="1" applyFill="1" applyBorder="1" applyProtection="1">
      <alignment/>
      <protection hidden="1"/>
    </xf>
    <xf numFmtId="1" fontId="5" fillId="57" borderId="0" xfId="105" applyNumberFormat="1" applyFont="1" applyFill="1" applyBorder="1" applyAlignment="1" applyProtection="1">
      <alignment horizontal="center"/>
      <protection hidden="1"/>
    </xf>
    <xf numFmtId="0" fontId="5" fillId="57" borderId="0" xfId="105" applyFont="1" applyFill="1" applyBorder="1" applyAlignment="1" applyProtection="1">
      <alignment/>
      <protection hidden="1"/>
    </xf>
    <xf numFmtId="0" fontId="0" fillId="57" borderId="0" xfId="0" applyFill="1" applyAlignment="1">
      <alignment/>
    </xf>
    <xf numFmtId="192" fontId="5" fillId="8" borderId="24" xfId="105" applyNumberFormat="1" applyFont="1" applyFill="1" applyBorder="1" applyAlignment="1" applyProtection="1">
      <alignment horizontal="center"/>
      <protection hidden="1"/>
    </xf>
    <xf numFmtId="192" fontId="5" fillId="8" borderId="48" xfId="105" applyNumberFormat="1" applyFont="1" applyFill="1" applyBorder="1" applyAlignment="1" applyProtection="1">
      <alignment horizontal="center"/>
      <protection hidden="1"/>
    </xf>
    <xf numFmtId="192" fontId="5" fillId="48" borderId="24" xfId="105" applyNumberFormat="1" applyFont="1" applyFill="1" applyBorder="1" applyAlignment="1" applyProtection="1">
      <alignment horizontal="center"/>
      <protection hidden="1"/>
    </xf>
    <xf numFmtId="192" fontId="5" fillId="48" borderId="48" xfId="105" applyNumberFormat="1" applyFont="1" applyFill="1" applyBorder="1" applyAlignment="1" applyProtection="1">
      <alignment horizontal="center"/>
      <protection hidden="1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33" xfId="105" applyNumberFormat="1" applyFont="1" applyFill="1" applyBorder="1" applyAlignment="1" applyProtection="1">
      <alignment horizontal="center"/>
      <protection hidden="1"/>
    </xf>
    <xf numFmtId="0" fontId="7" fillId="46" borderId="34" xfId="0" applyFont="1" applyFill="1" applyBorder="1" applyAlignment="1" applyProtection="1">
      <alignment wrapText="1"/>
      <protection hidden="1"/>
    </xf>
    <xf numFmtId="0" fontId="7" fillId="46" borderId="0" xfId="0" applyFont="1" applyFill="1" applyBorder="1" applyAlignment="1" applyProtection="1">
      <alignment wrapText="1"/>
      <protection hidden="1"/>
    </xf>
    <xf numFmtId="0" fontId="12" fillId="24" borderId="50" xfId="105" applyFont="1" applyFill="1" applyBorder="1" applyAlignment="1" applyProtection="1">
      <alignment horizontal="center" vertical="center"/>
      <protection hidden="1"/>
    </xf>
    <xf numFmtId="0" fontId="12" fillId="24" borderId="51" xfId="105" applyFont="1" applyFill="1" applyBorder="1" applyAlignment="1" applyProtection="1">
      <alignment horizontal="center" vertical="center"/>
      <protection hidden="1"/>
    </xf>
    <xf numFmtId="192" fontId="5" fillId="48" borderId="23" xfId="105" applyNumberFormat="1" applyFont="1" applyFill="1" applyBorder="1" applyAlignment="1" applyProtection="1">
      <alignment horizontal="center"/>
      <protection hidden="1"/>
    </xf>
    <xf numFmtId="192" fontId="5" fillId="48" borderId="19" xfId="105" applyNumberFormat="1" applyFont="1" applyFill="1" applyBorder="1" applyAlignment="1" applyProtection="1">
      <alignment horizontal="center"/>
      <protection hidden="1"/>
    </xf>
    <xf numFmtId="192" fontId="5" fillId="48" borderId="56" xfId="105" applyNumberFormat="1" applyFont="1" applyFill="1" applyBorder="1" applyAlignment="1" applyProtection="1">
      <alignment horizontal="center"/>
      <protection hidden="1"/>
    </xf>
    <xf numFmtId="9" fontId="12" fillId="48" borderId="23" xfId="105" applyNumberFormat="1" applyFont="1" applyFill="1" applyBorder="1" applyAlignment="1" applyProtection="1">
      <alignment horizontal="center"/>
      <protection hidden="1"/>
    </xf>
    <xf numFmtId="9" fontId="12" fillId="48" borderId="56" xfId="105" applyNumberFormat="1" applyFont="1" applyFill="1" applyBorder="1" applyAlignment="1" applyProtection="1">
      <alignment horizontal="center"/>
      <protection hidden="1"/>
    </xf>
    <xf numFmtId="0" fontId="12" fillId="24" borderId="43" xfId="105" applyFont="1" applyFill="1" applyBorder="1" applyAlignment="1" applyProtection="1">
      <alignment horizontal="center" vertical="center"/>
      <protection hidden="1"/>
    </xf>
    <xf numFmtId="0" fontId="12" fillId="24" borderId="49" xfId="105" applyFont="1" applyFill="1" applyBorder="1" applyAlignment="1" applyProtection="1">
      <alignment horizontal="center" vertical="center"/>
      <protection hidden="1"/>
    </xf>
    <xf numFmtId="192" fontId="29" fillId="48" borderId="20" xfId="106" applyNumberFormat="1" applyFont="1" applyFill="1" applyBorder="1" applyAlignment="1" applyProtection="1">
      <alignment horizontal="center"/>
      <protection hidden="1"/>
    </xf>
    <xf numFmtId="192" fontId="29" fillId="48" borderId="33" xfId="106" applyNumberFormat="1" applyFont="1" applyFill="1" applyBorder="1" applyAlignment="1" applyProtection="1">
      <alignment horizontal="center"/>
      <protection hidden="1"/>
    </xf>
    <xf numFmtId="192" fontId="5" fillId="48" borderId="35" xfId="105" applyNumberFormat="1" applyFont="1" applyFill="1" applyBorder="1" applyAlignment="1" applyProtection="1">
      <alignment horizontal="center"/>
      <protection hidden="1"/>
    </xf>
    <xf numFmtId="192" fontId="5" fillId="48" borderId="45" xfId="105" applyNumberFormat="1" applyFont="1" applyFill="1" applyBorder="1" applyAlignment="1" applyProtection="1">
      <alignment horizontal="center"/>
      <protection hidden="1"/>
    </xf>
    <xf numFmtId="0" fontId="12" fillId="24" borderId="52" xfId="105" applyFont="1" applyFill="1" applyBorder="1" applyAlignment="1" applyProtection="1">
      <alignment horizontal="center" vertical="center"/>
      <protection hidden="1"/>
    </xf>
    <xf numFmtId="0" fontId="12" fillId="24" borderId="53" xfId="105" applyFont="1" applyFill="1" applyBorder="1" applyAlignment="1" applyProtection="1">
      <alignment horizontal="center" vertical="center"/>
      <protection hidden="1"/>
    </xf>
    <xf numFmtId="0" fontId="12" fillId="48" borderId="0" xfId="105" applyFont="1" applyFill="1" applyBorder="1" applyAlignment="1" applyProtection="1">
      <alignment horizontal="center"/>
      <protection hidden="1"/>
    </xf>
    <xf numFmtId="1" fontId="12" fillId="48" borderId="0" xfId="105" applyNumberFormat="1" applyFont="1" applyFill="1" applyBorder="1" applyAlignment="1" applyProtection="1">
      <alignment horizontal="center"/>
      <protection hidden="1"/>
    </xf>
    <xf numFmtId="192" fontId="5" fillId="59" borderId="23" xfId="105" applyNumberFormat="1" applyFont="1" applyFill="1" applyBorder="1" applyAlignment="1" applyProtection="1">
      <alignment horizontal="center" vertical="center"/>
      <protection hidden="1"/>
    </xf>
    <xf numFmtId="192" fontId="5" fillId="59" borderId="56" xfId="105" applyNumberFormat="1" applyFont="1" applyFill="1" applyBorder="1" applyAlignment="1" applyProtection="1">
      <alignment horizontal="center" vertical="center"/>
      <protection hidden="1"/>
    </xf>
    <xf numFmtId="192" fontId="5" fillId="59" borderId="24" xfId="105" applyNumberFormat="1" applyFont="1" applyFill="1" applyBorder="1" applyAlignment="1" applyProtection="1">
      <alignment horizontal="center" vertical="center"/>
      <protection hidden="1"/>
    </xf>
    <xf numFmtId="192" fontId="5" fillId="59" borderId="48" xfId="105" applyNumberFormat="1" applyFont="1" applyFill="1" applyBorder="1" applyAlignment="1" applyProtection="1">
      <alignment horizontal="center" vertical="center"/>
      <protection hidden="1"/>
    </xf>
    <xf numFmtId="192" fontId="5" fillId="59" borderId="20" xfId="105" applyNumberFormat="1" applyFont="1" applyFill="1" applyBorder="1" applyAlignment="1" applyProtection="1">
      <alignment horizontal="center" vertical="center"/>
      <protection hidden="1"/>
    </xf>
    <xf numFmtId="192" fontId="5" fillId="59" borderId="33" xfId="105" applyNumberFormat="1" applyFont="1" applyFill="1" applyBorder="1" applyAlignment="1" applyProtection="1">
      <alignment horizontal="center" vertical="center"/>
      <protection hidden="1"/>
    </xf>
    <xf numFmtId="192" fontId="5" fillId="12" borderId="35" xfId="105" applyNumberFormat="1" applyFont="1" applyFill="1" applyBorder="1" applyAlignment="1" applyProtection="1">
      <alignment horizontal="center"/>
      <protection hidden="1"/>
    </xf>
    <xf numFmtId="192" fontId="5" fillId="12" borderId="45" xfId="105" applyNumberFormat="1" applyFont="1" applyFill="1" applyBorder="1" applyAlignment="1" applyProtection="1">
      <alignment horizontal="center"/>
      <protection hidden="1"/>
    </xf>
    <xf numFmtId="0" fontId="73" fillId="49" borderId="65" xfId="105" applyFont="1" applyFill="1" applyBorder="1" applyAlignment="1">
      <alignment horizontal="left" wrapText="1"/>
      <protection/>
    </xf>
    <xf numFmtId="0" fontId="73" fillId="49" borderId="67" xfId="105" applyFont="1" applyFill="1" applyBorder="1" applyAlignment="1">
      <alignment horizontal="left" wrapText="1"/>
      <protection/>
    </xf>
    <xf numFmtId="1" fontId="8" fillId="5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192" fontId="5" fillId="59" borderId="20" xfId="105" applyNumberFormat="1" applyFont="1" applyFill="1" applyBorder="1" applyAlignment="1" applyProtection="1">
      <alignment horizontal="center"/>
      <protection hidden="1"/>
    </xf>
    <xf numFmtId="192" fontId="5" fillId="59" borderId="33" xfId="105" applyNumberFormat="1" applyFont="1" applyFill="1" applyBorder="1" applyAlignment="1" applyProtection="1">
      <alignment horizontal="center"/>
      <protection hidden="1"/>
    </xf>
    <xf numFmtId="192" fontId="5" fillId="59" borderId="24" xfId="105" applyNumberFormat="1" applyFont="1" applyFill="1" applyBorder="1" applyAlignment="1" applyProtection="1">
      <alignment horizontal="center"/>
      <protection hidden="1"/>
    </xf>
    <xf numFmtId="192" fontId="5" fillId="59" borderId="48" xfId="105" applyNumberFormat="1" applyFont="1" applyFill="1" applyBorder="1" applyAlignment="1" applyProtection="1">
      <alignment horizontal="center"/>
      <protection hidden="1"/>
    </xf>
    <xf numFmtId="0" fontId="154" fillId="19" borderId="0" xfId="105" applyFont="1" applyFill="1" applyBorder="1" applyAlignment="1" applyProtection="1">
      <alignment horizontal="left"/>
      <protection hidden="1"/>
    </xf>
    <xf numFmtId="0" fontId="6" fillId="19" borderId="0" xfId="105" applyFont="1" applyFill="1" applyBorder="1" applyAlignment="1" applyProtection="1">
      <alignment horizontal="left"/>
      <protection hidden="1"/>
    </xf>
    <xf numFmtId="192" fontId="5" fillId="12" borderId="20" xfId="105" applyNumberFormat="1" applyFont="1" applyFill="1" applyBorder="1" applyAlignment="1" applyProtection="1">
      <alignment horizontal="center"/>
      <protection hidden="1"/>
    </xf>
    <xf numFmtId="192" fontId="5" fillId="12" borderId="33" xfId="105" applyNumberFormat="1" applyFont="1" applyFill="1" applyBorder="1" applyAlignment="1" applyProtection="1">
      <alignment horizontal="center"/>
      <protection hidden="1"/>
    </xf>
    <xf numFmtId="0" fontId="0" fillId="12" borderId="33" xfId="0" applyFill="1" applyBorder="1" applyAlignment="1">
      <alignment horizontal="center"/>
    </xf>
    <xf numFmtId="0" fontId="154" fillId="13" borderId="0" xfId="105" applyFont="1" applyFill="1" applyBorder="1" applyAlignment="1" applyProtection="1">
      <alignment horizontal="left"/>
      <protection hidden="1"/>
    </xf>
    <xf numFmtId="192" fontId="5" fillId="12" borderId="24" xfId="105" applyNumberFormat="1" applyFont="1" applyFill="1" applyBorder="1" applyAlignment="1" applyProtection="1">
      <alignment horizontal="center"/>
      <protection hidden="1"/>
    </xf>
    <xf numFmtId="192" fontId="5" fillId="12" borderId="48" xfId="105" applyNumberFormat="1" applyFont="1" applyFill="1" applyBorder="1" applyAlignment="1" applyProtection="1">
      <alignment horizontal="center"/>
      <protection hidden="1"/>
    </xf>
    <xf numFmtId="0" fontId="0" fillId="48" borderId="33" xfId="0" applyFill="1" applyBorder="1" applyAlignment="1">
      <alignment horizontal="center"/>
    </xf>
    <xf numFmtId="0" fontId="154" fillId="48" borderId="34" xfId="105" applyFont="1" applyFill="1" applyBorder="1" applyAlignment="1" applyProtection="1">
      <alignment horizontal="center"/>
      <protection hidden="1"/>
    </xf>
    <xf numFmtId="0" fontId="6" fillId="48" borderId="34" xfId="105" applyFont="1" applyFill="1" applyBorder="1" applyAlignment="1" applyProtection="1">
      <alignment horizontal="center"/>
      <protection hidden="1"/>
    </xf>
    <xf numFmtId="0" fontId="6" fillId="48" borderId="19" xfId="105" applyFont="1" applyFill="1" applyBorder="1" applyAlignment="1" applyProtection="1">
      <alignment horizontal="center"/>
      <protection hidden="1"/>
    </xf>
    <xf numFmtId="0" fontId="7" fillId="48" borderId="0" xfId="105" applyFont="1" applyFill="1" applyBorder="1" applyAlignment="1" applyProtection="1">
      <alignment horizontal="left"/>
      <protection hidden="1"/>
    </xf>
    <xf numFmtId="0" fontId="12" fillId="47" borderId="50" xfId="105" applyFont="1" applyFill="1" applyBorder="1" applyAlignment="1" applyProtection="1">
      <alignment horizontal="center" vertical="center"/>
      <protection hidden="1"/>
    </xf>
    <xf numFmtId="0" fontId="12" fillId="47" borderId="51" xfId="105" applyFont="1" applyFill="1" applyBorder="1" applyAlignment="1" applyProtection="1">
      <alignment horizontal="center" vertical="center"/>
      <protection hidden="1"/>
    </xf>
    <xf numFmtId="0" fontId="12" fillId="47" borderId="50" xfId="105" applyFont="1" applyFill="1" applyBorder="1" applyAlignment="1" applyProtection="1">
      <alignment horizontal="center" vertical="center"/>
      <protection hidden="1"/>
    </xf>
    <xf numFmtId="0" fontId="12" fillId="47" borderId="51" xfId="105" applyFont="1" applyFill="1" applyBorder="1" applyAlignment="1" applyProtection="1">
      <alignment horizontal="center" vertical="center"/>
      <protection hidden="1"/>
    </xf>
    <xf numFmtId="1" fontId="5" fillId="48" borderId="20" xfId="105" applyNumberFormat="1" applyFont="1" applyFill="1" applyBorder="1" applyAlignment="1" applyProtection="1">
      <alignment horizontal="center"/>
      <protection hidden="1"/>
    </xf>
    <xf numFmtId="1" fontId="5" fillId="48" borderId="33" xfId="105" applyNumberFormat="1" applyFont="1" applyFill="1" applyBorder="1" applyAlignment="1" applyProtection="1">
      <alignment horizontal="center"/>
      <protection hidden="1"/>
    </xf>
    <xf numFmtId="43" fontId="154" fillId="13" borderId="0" xfId="132" applyFont="1" applyFill="1" applyBorder="1" applyAlignment="1" applyProtection="1">
      <alignment horizontal="left"/>
      <protection hidden="1"/>
    </xf>
    <xf numFmtId="192" fontId="5" fillId="48" borderId="38" xfId="105" applyNumberFormat="1" applyFont="1" applyFill="1" applyBorder="1" applyAlignment="1" applyProtection="1">
      <alignment horizontal="center"/>
      <protection hidden="1"/>
    </xf>
    <xf numFmtId="192" fontId="5" fillId="0" borderId="0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0" fontId="154" fillId="13" borderId="19" xfId="105" applyFont="1" applyFill="1" applyBorder="1" applyAlignment="1" applyProtection="1">
      <alignment horizontal="left"/>
      <protection hidden="1"/>
    </xf>
    <xf numFmtId="1" fontId="5" fillId="48" borderId="23" xfId="105" applyNumberFormat="1" applyFont="1" applyFill="1" applyBorder="1" applyAlignment="1" applyProtection="1">
      <alignment horizontal="center"/>
      <protection hidden="1"/>
    </xf>
    <xf numFmtId="1" fontId="5" fillId="48" borderId="56" xfId="105" applyNumberFormat="1" applyFont="1" applyFill="1" applyBorder="1" applyAlignment="1" applyProtection="1">
      <alignment horizontal="center"/>
      <protection hidden="1"/>
    </xf>
    <xf numFmtId="192" fontId="5" fillId="48" borderId="52" xfId="105" applyNumberFormat="1" applyFont="1" applyFill="1" applyBorder="1" applyAlignment="1" applyProtection="1">
      <alignment horizontal="center"/>
      <protection hidden="1"/>
    </xf>
    <xf numFmtId="192" fontId="5" fillId="48" borderId="53" xfId="105" applyNumberFormat="1" applyFont="1" applyFill="1" applyBorder="1" applyAlignment="1" applyProtection="1">
      <alignment horizontal="center"/>
      <protection hidden="1"/>
    </xf>
    <xf numFmtId="0" fontId="12" fillId="24" borderId="40" xfId="105" applyFont="1" applyFill="1" applyBorder="1" applyAlignment="1" applyProtection="1">
      <alignment horizontal="center" vertical="center"/>
      <protection hidden="1"/>
    </xf>
    <xf numFmtId="0" fontId="12" fillId="24" borderId="24" xfId="105" applyFont="1" applyFill="1" applyBorder="1" applyAlignment="1" applyProtection="1">
      <alignment horizontal="center" vertical="center"/>
      <protection hidden="1"/>
    </xf>
    <xf numFmtId="0" fontId="12" fillId="24" borderId="48" xfId="105" applyFont="1" applyFill="1" applyBorder="1" applyAlignment="1" applyProtection="1">
      <alignment horizontal="center" vertical="center"/>
      <protection hidden="1"/>
    </xf>
    <xf numFmtId="192" fontId="5" fillId="48" borderId="20" xfId="0" applyNumberFormat="1" applyFont="1" applyFill="1" applyBorder="1" applyAlignment="1" applyProtection="1">
      <alignment horizontal="center"/>
      <protection hidden="1"/>
    </xf>
    <xf numFmtId="192" fontId="5" fillId="48" borderId="33" xfId="0" applyNumberFormat="1" applyFont="1" applyFill="1" applyBorder="1" applyAlignment="1" applyProtection="1">
      <alignment horizontal="center"/>
      <protection hidden="1"/>
    </xf>
    <xf numFmtId="9" fontId="12" fillId="48" borderId="35" xfId="105" applyNumberFormat="1" applyFont="1" applyFill="1" applyBorder="1" applyAlignment="1" applyProtection="1">
      <alignment horizontal="center"/>
      <protection hidden="1"/>
    </xf>
    <xf numFmtId="9" fontId="12" fillId="48" borderId="45" xfId="105" applyNumberFormat="1" applyFont="1" applyFill="1" applyBorder="1" applyAlignment="1" applyProtection="1">
      <alignment horizontal="center"/>
      <protection hidden="1"/>
    </xf>
    <xf numFmtId="192" fontId="5" fillId="48" borderId="35" xfId="105" applyNumberFormat="1" applyFont="1" applyFill="1" applyBorder="1" applyAlignment="1" applyProtection="1">
      <alignment horizontal="center" vertical="top"/>
      <protection hidden="1"/>
    </xf>
    <xf numFmtId="192" fontId="5" fillId="48" borderId="45" xfId="105" applyNumberFormat="1" applyFont="1" applyFill="1" applyBorder="1" applyAlignment="1" applyProtection="1">
      <alignment horizontal="center" vertical="top"/>
      <protection hidden="1"/>
    </xf>
    <xf numFmtId="192" fontId="5" fillId="48" borderId="20" xfId="105" applyNumberFormat="1" applyFont="1" applyFill="1" applyBorder="1" applyAlignment="1" applyProtection="1">
      <alignment horizontal="center" vertical="top"/>
      <protection hidden="1"/>
    </xf>
    <xf numFmtId="192" fontId="5" fillId="48" borderId="33" xfId="105" applyNumberFormat="1" applyFont="1" applyFill="1" applyBorder="1" applyAlignment="1" applyProtection="1">
      <alignment horizontal="center" vertical="top"/>
      <protection hidden="1"/>
    </xf>
    <xf numFmtId="9" fontId="12" fillId="48" borderId="46" xfId="105" applyNumberFormat="1" applyFont="1" applyFill="1" applyBorder="1" applyAlignment="1" applyProtection="1">
      <alignment horizontal="center"/>
      <protection hidden="1"/>
    </xf>
    <xf numFmtId="192" fontId="5" fillId="59" borderId="35" xfId="105" applyNumberFormat="1" applyFont="1" applyFill="1" applyBorder="1" applyAlignment="1" applyProtection="1">
      <alignment horizontal="center"/>
      <protection hidden="1"/>
    </xf>
    <xf numFmtId="192" fontId="5" fillId="59" borderId="45" xfId="105" applyNumberFormat="1" applyFont="1" applyFill="1" applyBorder="1" applyAlignment="1" applyProtection="1">
      <alignment horizontal="center"/>
      <protection hidden="1"/>
    </xf>
    <xf numFmtId="192" fontId="5" fillId="8" borderId="20" xfId="105" applyNumberFormat="1" applyFont="1" applyFill="1" applyBorder="1" applyAlignment="1" applyProtection="1">
      <alignment horizontal="center"/>
      <protection hidden="1"/>
    </xf>
    <xf numFmtId="192" fontId="5" fillId="8" borderId="33" xfId="105" applyNumberFormat="1" applyFont="1" applyFill="1" applyBorder="1" applyAlignment="1" applyProtection="1">
      <alignment horizontal="center"/>
      <protection hidden="1"/>
    </xf>
    <xf numFmtId="9" fontId="12" fillId="48" borderId="58" xfId="105" applyNumberFormat="1" applyFont="1" applyFill="1" applyBorder="1" applyAlignment="1" applyProtection="1">
      <alignment horizontal="center"/>
      <protection hidden="1"/>
    </xf>
    <xf numFmtId="9" fontId="12" fillId="48" borderId="59" xfId="105" applyNumberFormat="1" applyFont="1" applyFill="1" applyBorder="1" applyAlignment="1" applyProtection="1">
      <alignment horizontal="center"/>
      <protection hidden="1"/>
    </xf>
    <xf numFmtId="0" fontId="0" fillId="59" borderId="33" xfId="0" applyFill="1" applyBorder="1" applyAlignment="1">
      <alignment horizontal="center"/>
    </xf>
    <xf numFmtId="192" fontId="5" fillId="59" borderId="23" xfId="105" applyNumberFormat="1" applyFont="1" applyFill="1" applyBorder="1" applyAlignment="1" applyProtection="1">
      <alignment horizontal="center"/>
      <protection hidden="1"/>
    </xf>
    <xf numFmtId="192" fontId="5" fillId="59" borderId="56" xfId="105" applyNumberFormat="1" applyFont="1" applyFill="1" applyBorder="1" applyAlignment="1" applyProtection="1">
      <alignment horizontal="center"/>
      <protection hidden="1"/>
    </xf>
    <xf numFmtId="0" fontId="8" fillId="48" borderId="0" xfId="10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92" fontId="5" fillId="48" borderId="20" xfId="105" applyNumberFormat="1" applyFont="1" applyFill="1" applyBorder="1" applyAlignment="1" applyProtection="1">
      <alignment horizontal="center"/>
      <protection hidden="1"/>
    </xf>
    <xf numFmtId="192" fontId="5" fillId="48" borderId="33" xfId="105" applyNumberFormat="1" applyFont="1" applyFill="1" applyBorder="1" applyAlignment="1" applyProtection="1">
      <alignment horizontal="center"/>
      <protection hidden="1"/>
    </xf>
    <xf numFmtId="1" fontId="0" fillId="48" borderId="33" xfId="0" applyNumberFormat="1" applyFill="1" applyBorder="1" applyAlignment="1">
      <alignment horizontal="center"/>
    </xf>
    <xf numFmtId="192" fontId="5" fillId="59" borderId="38" xfId="105" applyNumberFormat="1" applyFont="1" applyFill="1" applyBorder="1" applyAlignment="1" applyProtection="1">
      <alignment horizontal="center"/>
      <protection hidden="1"/>
    </xf>
    <xf numFmtId="0" fontId="6" fillId="46" borderId="20" xfId="105" applyFont="1" applyFill="1" applyBorder="1" applyAlignment="1" applyProtection="1">
      <alignment horizontal="left"/>
      <protection hidden="1"/>
    </xf>
    <xf numFmtId="0" fontId="6" fillId="46" borderId="0" xfId="105" applyFont="1" applyFill="1" applyBorder="1" applyAlignment="1" applyProtection="1">
      <alignment horizontal="left"/>
      <protection hidden="1"/>
    </xf>
    <xf numFmtId="9" fontId="12" fillId="48" borderId="24" xfId="123" applyFont="1" applyFill="1" applyBorder="1" applyAlignment="1" applyProtection="1">
      <alignment horizontal="center"/>
      <protection hidden="1"/>
    </xf>
    <xf numFmtId="9" fontId="12" fillId="48" borderId="48" xfId="123" applyFont="1" applyFill="1" applyBorder="1" applyAlignment="1" applyProtection="1">
      <alignment horizontal="center"/>
      <protection hidden="1"/>
    </xf>
    <xf numFmtId="9" fontId="12" fillId="48" borderId="43" xfId="105" applyNumberFormat="1" applyFont="1" applyFill="1" applyBorder="1" applyAlignment="1" applyProtection="1">
      <alignment horizontal="center"/>
      <protection hidden="1"/>
    </xf>
    <xf numFmtId="9" fontId="12" fillId="48" borderId="49" xfId="105" applyNumberFormat="1" applyFont="1" applyFill="1" applyBorder="1" applyAlignment="1" applyProtection="1">
      <alignment horizontal="center"/>
      <protection hidden="1"/>
    </xf>
    <xf numFmtId="10" fontId="12" fillId="48" borderId="46" xfId="105" applyNumberFormat="1" applyFont="1" applyFill="1" applyBorder="1" applyAlignment="1" applyProtection="1">
      <alignment horizontal="center"/>
      <protection hidden="1"/>
    </xf>
    <xf numFmtId="9" fontId="12" fillId="48" borderId="46" xfId="123" applyFont="1" applyFill="1" applyBorder="1" applyAlignment="1" applyProtection="1">
      <alignment horizontal="center"/>
      <protection hidden="1"/>
    </xf>
    <xf numFmtId="192" fontId="5" fillId="59" borderId="0" xfId="105" applyNumberFormat="1" applyFont="1" applyFill="1" applyBorder="1" applyAlignment="1" applyProtection="1">
      <alignment horizontal="center"/>
      <protection hidden="1"/>
    </xf>
    <xf numFmtId="1" fontId="163" fillId="48" borderId="19" xfId="105" applyNumberFormat="1" applyFont="1" applyFill="1" applyBorder="1" applyAlignment="1" applyProtection="1">
      <alignment horizontal="center"/>
      <protection hidden="1"/>
    </xf>
    <xf numFmtId="0" fontId="17" fillId="46" borderId="32" xfId="105" applyFont="1" applyFill="1" applyBorder="1" applyAlignment="1" applyProtection="1">
      <alignment horizontal="left"/>
      <protection hidden="1"/>
    </xf>
    <xf numFmtId="192" fontId="5" fillId="48" borderId="31" xfId="105" applyNumberFormat="1" applyFont="1" applyFill="1" applyBorder="1" applyAlignment="1" applyProtection="1">
      <alignment horizontal="center"/>
      <protection hidden="1"/>
    </xf>
    <xf numFmtId="0" fontId="7" fillId="46" borderId="0" xfId="105" applyFont="1" applyFill="1" applyBorder="1" applyAlignment="1" applyProtection="1">
      <alignment horizontal="center"/>
      <protection hidden="1"/>
    </xf>
    <xf numFmtId="0" fontId="27" fillId="46" borderId="0" xfId="105" applyFont="1" applyFill="1" applyAlignment="1" applyProtection="1">
      <alignment horizontal="center" vertical="center"/>
      <protection hidden="1"/>
    </xf>
    <xf numFmtId="0" fontId="27" fillId="46" borderId="0" xfId="105" applyFont="1" applyFill="1" applyBorder="1" applyAlignment="1" applyProtection="1">
      <alignment horizontal="center"/>
      <protection hidden="1"/>
    </xf>
    <xf numFmtId="0" fontId="12" fillId="24" borderId="50" xfId="105" applyNumberFormat="1" applyFont="1" applyFill="1" applyBorder="1" applyAlignment="1" applyProtection="1">
      <alignment horizontal="center" vertical="center"/>
      <protection hidden="1"/>
    </xf>
    <xf numFmtId="0" fontId="12" fillId="24" borderId="51" xfId="105" applyNumberFormat="1" applyFont="1" applyFill="1" applyBorder="1" applyAlignment="1" applyProtection="1">
      <alignment horizontal="center" vertical="center"/>
      <protection hidden="1"/>
    </xf>
    <xf numFmtId="0" fontId="11" fillId="0" borderId="19" xfId="105" applyFont="1" applyFill="1" applyBorder="1" applyAlignment="1" applyProtection="1">
      <alignment horizontal="left"/>
      <protection hidden="1"/>
    </xf>
    <xf numFmtId="0" fontId="11" fillId="0" borderId="0" xfId="105" applyFont="1" applyFill="1" applyBorder="1" applyAlignment="1" applyProtection="1">
      <alignment horizontal="left"/>
      <protection hidden="1"/>
    </xf>
    <xf numFmtId="0" fontId="8" fillId="45" borderId="0" xfId="105" applyFont="1" applyFill="1" applyAlignment="1">
      <alignment horizontal="left"/>
      <protection/>
    </xf>
    <xf numFmtId="192" fontId="5" fillId="56" borderId="20" xfId="105" applyNumberFormat="1" applyFont="1" applyFill="1" applyBorder="1" applyAlignment="1" applyProtection="1">
      <alignment horizontal="center"/>
      <protection hidden="1"/>
    </xf>
    <xf numFmtId="192" fontId="5" fillId="56" borderId="33" xfId="105" applyNumberFormat="1" applyFont="1" applyFill="1" applyBorder="1" applyAlignment="1" applyProtection="1">
      <alignment horizontal="center"/>
      <protection hidden="1"/>
    </xf>
    <xf numFmtId="192" fontId="5" fillId="56" borderId="23" xfId="105" applyNumberFormat="1" applyFont="1" applyFill="1" applyBorder="1" applyAlignment="1" applyProtection="1">
      <alignment horizontal="center"/>
      <protection hidden="1"/>
    </xf>
    <xf numFmtId="0" fontId="0" fillId="56" borderId="56" xfId="0" applyFill="1" applyBorder="1" applyAlignment="1">
      <alignment horizontal="center"/>
    </xf>
    <xf numFmtId="0" fontId="7" fillId="48" borderId="34" xfId="105" applyFont="1" applyFill="1" applyBorder="1" applyAlignment="1" applyProtection="1">
      <alignment horizontal="left"/>
      <protection hidden="1"/>
    </xf>
    <xf numFmtId="9" fontId="12" fillId="48" borderId="20" xfId="105" applyNumberFormat="1" applyFont="1" applyFill="1" applyBorder="1" applyAlignment="1" applyProtection="1">
      <alignment horizontal="center"/>
      <protection hidden="1"/>
    </xf>
    <xf numFmtId="9" fontId="12" fillId="48" borderId="33" xfId="105" applyNumberFormat="1" applyFont="1" applyFill="1" applyBorder="1" applyAlignment="1" applyProtection="1">
      <alignment horizontal="center"/>
      <protection hidden="1"/>
    </xf>
    <xf numFmtId="0" fontId="138" fillId="46" borderId="0" xfId="105" applyFont="1" applyFill="1" applyBorder="1" applyAlignment="1" applyProtection="1">
      <alignment horizontal="left"/>
      <protection hidden="1"/>
    </xf>
    <xf numFmtId="0" fontId="17" fillId="46" borderId="0" xfId="105" applyFont="1" applyFill="1" applyBorder="1" applyAlignment="1" applyProtection="1">
      <alignment horizontal="left"/>
      <protection hidden="1"/>
    </xf>
    <xf numFmtId="192" fontId="29" fillId="48" borderId="35" xfId="106" applyNumberFormat="1" applyFont="1" applyFill="1" applyBorder="1" applyAlignment="1" applyProtection="1">
      <alignment horizontal="center"/>
      <protection hidden="1"/>
    </xf>
    <xf numFmtId="192" fontId="29" fillId="48" borderId="45" xfId="106" applyNumberFormat="1" applyFont="1" applyFill="1" applyBorder="1" applyAlignment="1" applyProtection="1">
      <alignment horizontal="center"/>
      <protection hidden="1"/>
    </xf>
    <xf numFmtId="192" fontId="5" fillId="56" borderId="0" xfId="105" applyNumberFormat="1" applyFont="1" applyFill="1" applyBorder="1" applyAlignment="1" applyProtection="1">
      <alignment horizontal="center"/>
      <protection hidden="1"/>
    </xf>
    <xf numFmtId="9" fontId="12" fillId="56" borderId="23" xfId="105" applyNumberFormat="1" applyFont="1" applyFill="1" applyBorder="1" applyAlignment="1" applyProtection="1">
      <alignment horizontal="center"/>
      <protection hidden="1"/>
    </xf>
    <xf numFmtId="9" fontId="12" fillId="56" borderId="56" xfId="105" applyNumberFormat="1" applyFont="1" applyFill="1" applyBorder="1" applyAlignment="1" applyProtection="1">
      <alignment horizontal="center"/>
      <protection hidden="1"/>
    </xf>
    <xf numFmtId="192" fontId="29" fillId="48" borderId="0" xfId="106" applyNumberFormat="1" applyFont="1" applyFill="1" applyBorder="1" applyAlignment="1" applyProtection="1">
      <alignment horizontal="center"/>
      <protection hidden="1"/>
    </xf>
    <xf numFmtId="0" fontId="27" fillId="46" borderId="0" xfId="105" applyFont="1" applyFill="1" applyBorder="1" applyAlignment="1" applyProtection="1">
      <alignment horizontal="center"/>
      <protection hidden="1"/>
    </xf>
    <xf numFmtId="0" fontId="8" fillId="45" borderId="0" xfId="105" applyFont="1" applyFill="1" applyBorder="1" applyAlignment="1">
      <alignment horizontal="left"/>
      <protection/>
    </xf>
    <xf numFmtId="0" fontId="27" fillId="46" borderId="0" xfId="0" applyFont="1" applyFill="1" applyBorder="1" applyAlignment="1">
      <alignment horizontal="center"/>
    </xf>
    <xf numFmtId="1" fontId="5" fillId="48" borderId="24" xfId="105" applyNumberFormat="1" applyFont="1" applyFill="1" applyBorder="1" applyAlignment="1" applyProtection="1">
      <alignment horizontal="center"/>
      <protection hidden="1"/>
    </xf>
    <xf numFmtId="1" fontId="5" fillId="48" borderId="48" xfId="105" applyNumberFormat="1" applyFont="1" applyFill="1" applyBorder="1" applyAlignment="1" applyProtection="1">
      <alignment horizontal="center"/>
      <protection hidden="1"/>
    </xf>
    <xf numFmtId="0" fontId="154" fillId="19" borderId="34" xfId="105" applyFont="1" applyFill="1" applyBorder="1" applyAlignment="1" applyProtection="1">
      <alignment horizontal="left"/>
      <protection hidden="1"/>
    </xf>
    <xf numFmtId="0" fontId="6" fillId="19" borderId="34" xfId="105" applyFont="1" applyFill="1" applyBorder="1" applyAlignment="1" applyProtection="1">
      <alignment horizontal="left"/>
      <protection hidden="1"/>
    </xf>
    <xf numFmtId="0" fontId="12" fillId="48" borderId="0" xfId="105" applyFont="1" applyFill="1" applyBorder="1" applyAlignment="1" applyProtection="1">
      <alignment horizontal="center" vertical="center"/>
      <protection hidden="1"/>
    </xf>
    <xf numFmtId="9" fontId="12" fillId="48" borderId="0" xfId="123" applyFont="1" applyFill="1" applyBorder="1" applyAlignment="1" applyProtection="1">
      <alignment horizontal="center"/>
      <protection hidden="1"/>
    </xf>
    <xf numFmtId="9" fontId="12" fillId="48" borderId="33" xfId="123" applyFont="1" applyFill="1" applyBorder="1" applyAlignment="1" applyProtection="1">
      <alignment horizontal="center"/>
      <protection hidden="1"/>
    </xf>
    <xf numFmtId="192" fontId="29" fillId="48" borderId="23" xfId="106" applyNumberFormat="1" applyFont="1" applyFill="1" applyBorder="1" applyAlignment="1" applyProtection="1">
      <alignment horizontal="center"/>
      <protection hidden="1"/>
    </xf>
    <xf numFmtId="192" fontId="29" fillId="48" borderId="56" xfId="106" applyNumberFormat="1" applyFont="1" applyFill="1" applyBorder="1" applyAlignment="1" applyProtection="1">
      <alignment horizontal="center"/>
      <protection hidden="1"/>
    </xf>
    <xf numFmtId="0" fontId="12" fillId="48" borderId="0" xfId="105" applyFont="1" applyFill="1" applyBorder="1" applyAlignment="1" applyProtection="1">
      <alignment horizontal="center" vertical="center"/>
      <protection hidden="1"/>
    </xf>
    <xf numFmtId="192" fontId="5" fillId="56" borderId="24" xfId="105" applyNumberFormat="1" applyFont="1" applyFill="1" applyBorder="1" applyAlignment="1" applyProtection="1">
      <alignment horizontal="center"/>
      <protection hidden="1"/>
    </xf>
    <xf numFmtId="192" fontId="5" fillId="56" borderId="48" xfId="105" applyNumberFormat="1" applyFont="1" applyFill="1" applyBorder="1" applyAlignment="1" applyProtection="1">
      <alignment horizontal="center"/>
      <protection hidden="1"/>
    </xf>
    <xf numFmtId="0" fontId="154" fillId="19" borderId="38" xfId="105" applyFont="1" applyFill="1" applyBorder="1" applyAlignment="1" applyProtection="1">
      <alignment horizontal="left"/>
      <protection hidden="1"/>
    </xf>
    <xf numFmtId="9" fontId="12" fillId="48" borderId="19" xfId="105" applyNumberFormat="1" applyFont="1" applyFill="1" applyBorder="1" applyAlignment="1" applyProtection="1">
      <alignment horizontal="center"/>
      <protection hidden="1"/>
    </xf>
    <xf numFmtId="9" fontId="12" fillId="48" borderId="57" xfId="105" applyNumberFormat="1" applyFont="1" applyFill="1" applyBorder="1" applyAlignment="1" applyProtection="1">
      <alignment horizontal="center"/>
      <protection hidden="1"/>
    </xf>
    <xf numFmtId="192" fontId="5" fillId="8" borderId="0" xfId="105" applyNumberFormat="1" applyFont="1" applyFill="1" applyBorder="1" applyAlignment="1" applyProtection="1">
      <alignment horizontal="center"/>
      <protection hidden="1"/>
    </xf>
    <xf numFmtId="9" fontId="12" fillId="48" borderId="43" xfId="123" applyFont="1" applyFill="1" applyBorder="1" applyAlignment="1" applyProtection="1">
      <alignment horizontal="center"/>
      <protection hidden="1"/>
    </xf>
    <xf numFmtId="9" fontId="12" fillId="48" borderId="49" xfId="123" applyFont="1" applyFill="1" applyBorder="1" applyAlignment="1" applyProtection="1">
      <alignment horizontal="center"/>
      <protection hidden="1"/>
    </xf>
    <xf numFmtId="192" fontId="5" fillId="8" borderId="23" xfId="105" applyNumberFormat="1" applyFont="1" applyFill="1" applyBorder="1" applyAlignment="1" applyProtection="1">
      <alignment horizontal="center"/>
      <protection hidden="1"/>
    </xf>
    <xf numFmtId="192" fontId="5" fillId="8" borderId="56" xfId="105" applyNumberFormat="1" applyFont="1" applyFill="1" applyBorder="1" applyAlignment="1" applyProtection="1">
      <alignment horizontal="center"/>
      <protection hidden="1"/>
    </xf>
    <xf numFmtId="0" fontId="17" fillId="46" borderId="31" xfId="105" applyFont="1" applyFill="1" applyBorder="1" applyAlignment="1" applyProtection="1">
      <alignment horizontal="left"/>
      <protection hidden="1"/>
    </xf>
    <xf numFmtId="0" fontId="12" fillId="48" borderId="46" xfId="105" applyNumberFormat="1" applyFont="1" applyFill="1" applyBorder="1" applyAlignment="1" applyProtection="1">
      <alignment horizontal="center"/>
      <protection hidden="1"/>
    </xf>
    <xf numFmtId="192" fontId="5" fillId="8" borderId="24" xfId="105" applyNumberFormat="1" applyFont="1" applyFill="1" applyBorder="1" applyAlignment="1" applyProtection="1">
      <alignment horizontal="center"/>
      <protection hidden="1"/>
    </xf>
    <xf numFmtId="192" fontId="5" fillId="8" borderId="48" xfId="105" applyNumberFormat="1" applyFont="1" applyFill="1" applyBorder="1" applyAlignment="1" applyProtection="1">
      <alignment horizontal="center"/>
      <protection hidden="1"/>
    </xf>
    <xf numFmtId="0" fontId="6" fillId="48" borderId="0" xfId="105" applyFont="1" applyFill="1" applyBorder="1" applyAlignment="1" applyProtection="1">
      <alignment horizontal="left"/>
      <protection hidden="1"/>
    </xf>
    <xf numFmtId="9" fontId="12" fillId="48" borderId="20" xfId="123" applyFont="1" applyFill="1" applyBorder="1" applyAlignment="1" applyProtection="1">
      <alignment horizontal="center"/>
      <protection hidden="1"/>
    </xf>
    <xf numFmtId="0" fontId="0" fillId="48" borderId="45" xfId="0" applyFill="1" applyBorder="1" applyAlignment="1">
      <alignment horizontal="center"/>
    </xf>
    <xf numFmtId="0" fontId="190" fillId="49" borderId="0" xfId="69" applyFont="1" applyFill="1" applyAlignment="1">
      <alignment horizontal="center" vertical="center" wrapText="1"/>
    </xf>
    <xf numFmtId="0" fontId="191" fillId="46" borderId="5" xfId="73" applyFont="1" applyFill="1" applyAlignment="1" applyProtection="1">
      <alignment wrapText="1"/>
      <protection hidden="1"/>
    </xf>
    <xf numFmtId="0" fontId="191" fillId="0" borderId="5" xfId="73" applyFont="1" applyAlignment="1">
      <alignment wrapText="1"/>
    </xf>
    <xf numFmtId="0" fontId="121" fillId="48" borderId="0" xfId="69" applyFill="1" applyBorder="1" applyAlignment="1" applyProtection="1">
      <alignment horizontal="left" wrapText="1" indent="3"/>
      <protection hidden="1"/>
    </xf>
    <xf numFmtId="0" fontId="121" fillId="0" borderId="0" xfId="69" applyAlignment="1" applyProtection="1">
      <alignment horizontal="left" wrapText="1" indent="3"/>
      <protection/>
    </xf>
    <xf numFmtId="0" fontId="121" fillId="0" borderId="0" xfId="69" applyAlignment="1">
      <alignment horizontal="left" indent="3"/>
    </xf>
    <xf numFmtId="0" fontId="192" fillId="55" borderId="0" xfId="0" applyFont="1" applyFill="1" applyAlignment="1">
      <alignment horizontal="left" wrapText="1"/>
    </xf>
    <xf numFmtId="0" fontId="30" fillId="24" borderId="0" xfId="0" applyFont="1" applyFill="1" applyAlignment="1">
      <alignment horizontal="center" wrapText="1"/>
    </xf>
    <xf numFmtId="0" fontId="6" fillId="48" borderId="20" xfId="105" applyFont="1" applyFill="1" applyBorder="1" applyAlignment="1" applyProtection="1">
      <alignment horizontal="left"/>
      <protection hidden="1"/>
    </xf>
    <xf numFmtId="1" fontId="0" fillId="48" borderId="0" xfId="0" applyNumberFormat="1" applyFill="1" applyBorder="1" applyAlignment="1">
      <alignment horizontal="center"/>
    </xf>
    <xf numFmtId="0" fontId="8" fillId="46" borderId="19" xfId="105" applyFont="1" applyFill="1" applyBorder="1" applyAlignment="1" applyProtection="1">
      <alignment horizontal="center"/>
      <protection hidden="1"/>
    </xf>
    <xf numFmtId="0" fontId="25" fillId="46" borderId="19" xfId="105" applyFont="1" applyFill="1" applyBorder="1" applyAlignment="1" applyProtection="1">
      <alignment horizontal="center" vertical="center"/>
      <protection hidden="1"/>
    </xf>
    <xf numFmtId="0" fontId="0" fillId="46" borderId="0" xfId="0" applyFill="1" applyAlignment="1">
      <alignment horizontal="center"/>
    </xf>
    <xf numFmtId="0" fontId="12" fillId="48" borderId="0" xfId="105" applyFont="1" applyFill="1" applyBorder="1" applyAlignment="1" applyProtection="1">
      <alignment/>
      <protection hidden="1"/>
    </xf>
    <xf numFmtId="0" fontId="12" fillId="48" borderId="0" xfId="105" applyFont="1" applyFill="1" applyBorder="1" applyAlignment="1" applyProtection="1">
      <alignment horizontal="left" vertical="center"/>
      <protection hidden="1"/>
    </xf>
    <xf numFmtId="0" fontId="28" fillId="48" borderId="0" xfId="105" applyFont="1" applyFill="1" applyBorder="1" applyAlignment="1">
      <alignment horizontal="left"/>
      <protection/>
    </xf>
    <xf numFmtId="0" fontId="29" fillId="0" borderId="0" xfId="0" applyFont="1" applyAlignment="1">
      <alignment horizontal="left"/>
    </xf>
    <xf numFmtId="0" fontId="0" fillId="48" borderId="48" xfId="0" applyFill="1" applyBorder="1" applyAlignment="1">
      <alignment horizontal="center"/>
    </xf>
    <xf numFmtId="0" fontId="6" fillId="48" borderId="52" xfId="105" applyFont="1" applyFill="1" applyBorder="1" applyAlignment="1" applyProtection="1">
      <alignment horizontal="left"/>
      <protection hidden="1"/>
    </xf>
    <xf numFmtId="0" fontId="6" fillId="48" borderId="34" xfId="105" applyFont="1" applyFill="1" applyBorder="1" applyAlignment="1" applyProtection="1">
      <alignment horizontal="left"/>
      <protection hidden="1"/>
    </xf>
    <xf numFmtId="0" fontId="0" fillId="0" borderId="34" xfId="0" applyBorder="1" applyAlignment="1">
      <alignment/>
    </xf>
    <xf numFmtId="0" fontId="12" fillId="48" borderId="20" xfId="105" applyFont="1" applyFill="1" applyBorder="1" applyAlignment="1" applyProtection="1">
      <alignment horizontal="center" vertical="center"/>
      <protection hidden="1"/>
    </xf>
    <xf numFmtId="0" fontId="6" fillId="48" borderId="19" xfId="105" applyFont="1" applyFill="1" applyBorder="1" applyAlignment="1" applyProtection="1">
      <alignment horizontal="left"/>
      <protection hidden="1"/>
    </xf>
    <xf numFmtId="0" fontId="27" fillId="46" borderId="0" xfId="105" applyFont="1" applyFill="1" applyAlignment="1" applyProtection="1">
      <alignment horizontal="center"/>
      <protection hidden="1"/>
    </xf>
    <xf numFmtId="0" fontId="17" fillId="46" borderId="19" xfId="105" applyFont="1" applyFill="1" applyBorder="1" applyAlignment="1" applyProtection="1">
      <alignment horizontal="center"/>
      <protection hidden="1"/>
    </xf>
    <xf numFmtId="1" fontId="8" fillId="45" borderId="0" xfId="0" applyNumberFormat="1" applyFont="1" applyFill="1" applyBorder="1" applyAlignment="1">
      <alignment horizontal="left" wrapText="1"/>
    </xf>
    <xf numFmtId="0" fontId="154" fillId="48" borderId="0" xfId="105" applyFont="1" applyFill="1" applyBorder="1" applyAlignment="1" applyProtection="1">
      <alignment horizontal="left"/>
      <protection hidden="1"/>
    </xf>
    <xf numFmtId="0" fontId="6" fillId="0" borderId="50" xfId="105" applyFont="1" applyBorder="1" applyAlignment="1" applyProtection="1">
      <alignment horizontal="left"/>
      <protection hidden="1"/>
    </xf>
    <xf numFmtId="0" fontId="6" fillId="0" borderId="31" xfId="105" applyFont="1" applyBorder="1" applyAlignment="1" applyProtection="1">
      <alignment horizontal="left"/>
      <protection hidden="1"/>
    </xf>
    <xf numFmtId="0" fontId="6" fillId="0" borderId="45" xfId="105" applyFont="1" applyBorder="1" applyAlignment="1" applyProtection="1">
      <alignment horizontal="left"/>
      <protection hidden="1"/>
    </xf>
    <xf numFmtId="0" fontId="12" fillId="24" borderId="43" xfId="105" applyFont="1" applyFill="1" applyBorder="1" applyAlignment="1" applyProtection="1">
      <alignment horizontal="center"/>
      <protection hidden="1"/>
    </xf>
    <xf numFmtId="0" fontId="12" fillId="24" borderId="49" xfId="105" applyFont="1" applyFill="1" applyBorder="1" applyAlignment="1" applyProtection="1">
      <alignment horizontal="center"/>
      <protection hidden="1"/>
    </xf>
    <xf numFmtId="0" fontId="4" fillId="46" borderId="0" xfId="105" applyFont="1" applyFill="1" applyBorder="1" applyAlignment="1" applyProtection="1">
      <alignment horizontal="center"/>
      <protection hidden="1"/>
    </xf>
    <xf numFmtId="0" fontId="12" fillId="24" borderId="25" xfId="105" applyFont="1" applyFill="1" applyBorder="1" applyAlignment="1" applyProtection="1">
      <alignment horizontal="center" vertical="center"/>
      <protection hidden="1"/>
    </xf>
    <xf numFmtId="0" fontId="12" fillId="24" borderId="28" xfId="105" applyFont="1" applyFill="1" applyBorder="1" applyAlignment="1" applyProtection="1">
      <alignment horizontal="center" vertical="center"/>
      <protection hidden="1"/>
    </xf>
    <xf numFmtId="0" fontId="12" fillId="24" borderId="36" xfId="105" applyFont="1" applyFill="1" applyBorder="1" applyAlignment="1" applyProtection="1">
      <alignment horizontal="center" vertical="center"/>
      <protection hidden="1"/>
    </xf>
    <xf numFmtId="0" fontId="2" fillId="24" borderId="54" xfId="105" applyFill="1" applyBorder="1" applyAlignment="1" applyProtection="1">
      <alignment horizontal="center" vertical="center"/>
      <protection hidden="1"/>
    </xf>
    <xf numFmtId="0" fontId="12" fillId="48" borderId="20" xfId="105" applyFont="1" applyFill="1" applyBorder="1" applyAlignment="1" applyProtection="1">
      <alignment horizontal="center"/>
      <protection hidden="1"/>
    </xf>
    <xf numFmtId="0" fontId="12" fillId="48" borderId="0" xfId="105" applyFont="1" applyFill="1" applyBorder="1" applyAlignment="1" applyProtection="1">
      <alignment horizontal="center"/>
      <protection hidden="1"/>
    </xf>
    <xf numFmtId="0" fontId="12" fillId="24" borderId="50" xfId="105" applyFont="1" applyFill="1" applyBorder="1" applyAlignment="1" applyProtection="1">
      <alignment horizontal="center"/>
      <protection hidden="1"/>
    </xf>
    <xf numFmtId="0" fontId="12" fillId="24" borderId="51" xfId="105" applyFont="1" applyFill="1" applyBorder="1" applyAlignment="1" applyProtection="1">
      <alignment horizontal="center"/>
      <protection hidden="1"/>
    </xf>
    <xf numFmtId="0" fontId="8" fillId="48" borderId="0" xfId="105" applyFont="1" applyFill="1" applyBorder="1" applyAlignment="1" applyProtection="1">
      <alignment horizontal="left"/>
      <protection hidden="1"/>
    </xf>
    <xf numFmtId="0" fontId="12" fillId="24" borderId="24" xfId="105" applyFont="1" applyFill="1" applyBorder="1" applyAlignment="1" applyProtection="1">
      <alignment horizontal="center"/>
      <protection hidden="1"/>
    </xf>
    <xf numFmtId="0" fontId="12" fillId="24" borderId="28" xfId="105" applyFont="1" applyFill="1" applyBorder="1" applyAlignment="1" applyProtection="1">
      <alignment horizontal="center"/>
      <protection hidden="1"/>
    </xf>
    <xf numFmtId="0" fontId="167" fillId="24" borderId="24" xfId="105" applyFont="1" applyFill="1" applyBorder="1" applyAlignment="1" applyProtection="1">
      <alignment horizontal="center"/>
      <protection hidden="1"/>
    </xf>
    <xf numFmtId="0" fontId="12" fillId="48" borderId="0" xfId="105" applyFont="1" applyFill="1" applyBorder="1" applyAlignment="1" applyProtection="1">
      <alignment horizontal="center" wrapText="1"/>
      <protection hidden="1"/>
    </xf>
    <xf numFmtId="1" fontId="5" fillId="59" borderId="23" xfId="0" applyNumberFormat="1" applyFont="1" applyFill="1" applyBorder="1" applyAlignment="1" applyProtection="1">
      <alignment horizontal="center"/>
      <protection hidden="1"/>
    </xf>
    <xf numFmtId="1" fontId="5" fillId="59" borderId="56" xfId="0" applyNumberFormat="1" applyFont="1" applyFill="1" applyBorder="1" applyAlignment="1" applyProtection="1">
      <alignment horizontal="center"/>
      <protection hidden="1"/>
    </xf>
    <xf numFmtId="0" fontId="4" fillId="46" borderId="0" xfId="0" applyFont="1" applyFill="1" applyBorder="1" applyAlignment="1">
      <alignment horizontal="center"/>
    </xf>
    <xf numFmtId="0" fontId="12" fillId="51" borderId="50" xfId="105" applyFont="1" applyFill="1" applyBorder="1" applyAlignment="1" applyProtection="1">
      <alignment horizontal="center" vertical="center"/>
      <protection hidden="1"/>
    </xf>
    <xf numFmtId="0" fontId="12" fillId="51" borderId="51" xfId="105" applyFont="1" applyFill="1" applyBorder="1" applyAlignment="1" applyProtection="1">
      <alignment horizontal="center" vertical="center"/>
      <protection hidden="1"/>
    </xf>
    <xf numFmtId="0" fontId="8" fillId="46" borderId="34" xfId="105" applyFont="1" applyFill="1" applyBorder="1" applyAlignment="1" applyProtection="1">
      <alignment horizontal="left"/>
      <protection hidden="1"/>
    </xf>
    <xf numFmtId="0" fontId="12" fillId="24" borderId="43" xfId="105" applyFont="1" applyFill="1" applyBorder="1" applyAlignment="1" applyProtection="1">
      <alignment horizontal="center"/>
      <protection hidden="1"/>
    </xf>
    <xf numFmtId="0" fontId="12" fillId="24" borderId="49" xfId="105" applyFont="1" applyFill="1" applyBorder="1" applyAlignment="1" applyProtection="1">
      <alignment horizontal="center"/>
      <protection hidden="1"/>
    </xf>
    <xf numFmtId="0" fontId="12" fillId="48" borderId="20" xfId="105" applyFont="1" applyFill="1" applyBorder="1" applyAlignment="1" applyProtection="1">
      <alignment horizontal="center" wrapText="1"/>
      <protection hidden="1"/>
    </xf>
    <xf numFmtId="0" fontId="12" fillId="24" borderId="48" xfId="105" applyFont="1" applyFill="1" applyBorder="1" applyAlignment="1" applyProtection="1">
      <alignment horizontal="center"/>
      <protection hidden="1"/>
    </xf>
    <xf numFmtId="0" fontId="12" fillId="0" borderId="20" xfId="105" applyFont="1" applyFill="1" applyBorder="1" applyAlignment="1" applyProtection="1">
      <alignment horizontal="center"/>
      <protection hidden="1"/>
    </xf>
    <xf numFmtId="0" fontId="12" fillId="0" borderId="0" xfId="105" applyFont="1" applyFill="1" applyBorder="1" applyAlignment="1" applyProtection="1">
      <alignment horizontal="center"/>
      <protection hidden="1"/>
    </xf>
    <xf numFmtId="0" fontId="12" fillId="24" borderId="50" xfId="105" applyFont="1" applyFill="1" applyBorder="1" applyAlignment="1" applyProtection="1">
      <alignment horizontal="center"/>
      <protection hidden="1"/>
    </xf>
    <xf numFmtId="0" fontId="12" fillId="24" borderId="51" xfId="105" applyFont="1" applyFill="1" applyBorder="1" applyAlignment="1" applyProtection="1">
      <alignment horizontal="center"/>
      <protection hidden="1"/>
    </xf>
    <xf numFmtId="192" fontId="29" fillId="48" borderId="24" xfId="106" applyNumberFormat="1" applyFont="1" applyFill="1" applyBorder="1" applyAlignment="1" applyProtection="1">
      <alignment horizontal="center"/>
      <protection hidden="1"/>
    </xf>
    <xf numFmtId="192" fontId="29" fillId="48" borderId="48" xfId="106" applyNumberFormat="1" applyFont="1" applyFill="1" applyBorder="1" applyAlignment="1" applyProtection="1">
      <alignment horizontal="center"/>
      <protection hidden="1"/>
    </xf>
    <xf numFmtId="0" fontId="12" fillId="24" borderId="50" xfId="105" applyFont="1" applyFill="1" applyBorder="1" applyAlignment="1" applyProtection="1">
      <alignment horizontal="center" wrapText="1"/>
      <protection hidden="1"/>
    </xf>
    <xf numFmtId="0" fontId="12" fillId="24" borderId="51" xfId="105" applyFont="1" applyFill="1" applyBorder="1" applyAlignment="1" applyProtection="1">
      <alignment horizontal="center" wrapText="1"/>
      <protection hidden="1"/>
    </xf>
    <xf numFmtId="0" fontId="8" fillId="45" borderId="0" xfId="105" applyFont="1" applyFill="1" applyBorder="1" applyAlignment="1">
      <alignment horizontal="left" wrapText="1"/>
      <protection/>
    </xf>
    <xf numFmtId="0" fontId="151" fillId="46" borderId="0" xfId="105" applyFont="1" applyFill="1" applyBorder="1" applyAlignment="1" applyProtection="1">
      <alignment horizontal="left"/>
      <protection hidden="1"/>
    </xf>
    <xf numFmtId="0" fontId="12" fillId="51" borderId="43" xfId="105" applyFont="1" applyFill="1" applyBorder="1" applyAlignment="1" applyProtection="1">
      <alignment horizontal="center" vertical="center"/>
      <protection hidden="1"/>
    </xf>
    <xf numFmtId="0" fontId="12" fillId="51" borderId="49" xfId="105" applyFont="1" applyFill="1" applyBorder="1" applyAlignment="1" applyProtection="1">
      <alignment horizontal="center" vertical="center"/>
      <protection hidden="1"/>
    </xf>
    <xf numFmtId="0" fontId="7" fillId="46" borderId="19" xfId="105" applyFont="1" applyFill="1" applyBorder="1" applyAlignment="1" applyProtection="1">
      <alignment horizontal="left"/>
      <protection hidden="1"/>
    </xf>
    <xf numFmtId="192" fontId="5" fillId="56" borderId="56" xfId="105" applyNumberFormat="1" applyFont="1" applyFill="1" applyBorder="1" applyAlignment="1" applyProtection="1">
      <alignment horizontal="center"/>
      <protection hidden="1"/>
    </xf>
    <xf numFmtId="192" fontId="5" fillId="48" borderId="60" xfId="105" applyNumberFormat="1" applyFont="1" applyFill="1" applyBorder="1" applyAlignment="1" applyProtection="1">
      <alignment horizontal="center"/>
      <protection hidden="1"/>
    </xf>
    <xf numFmtId="192" fontId="5" fillId="48" borderId="64" xfId="105" applyNumberFormat="1" applyFont="1" applyFill="1" applyBorder="1" applyAlignment="1" applyProtection="1">
      <alignment horizontal="center"/>
      <protection hidden="1"/>
    </xf>
    <xf numFmtId="1" fontId="5" fillId="48" borderId="0" xfId="105" applyNumberFormat="1" applyFont="1" applyFill="1" applyBorder="1" applyAlignment="1" applyProtection="1">
      <alignment horizontal="center"/>
      <protection hidden="1"/>
    </xf>
    <xf numFmtId="192" fontId="5" fillId="18" borderId="20" xfId="105" applyNumberFormat="1" applyFont="1" applyFill="1" applyBorder="1" applyAlignment="1" applyProtection="1">
      <alignment horizontal="center"/>
      <protection hidden="1"/>
    </xf>
    <xf numFmtId="192" fontId="5" fillId="18" borderId="33" xfId="105" applyNumberFormat="1" applyFont="1" applyFill="1" applyBorder="1" applyAlignment="1" applyProtection="1">
      <alignment horizontal="center"/>
      <protection hidden="1"/>
    </xf>
    <xf numFmtId="0" fontId="6" fillId="48" borderId="31" xfId="105" applyFont="1" applyFill="1" applyBorder="1" applyAlignment="1" applyProtection="1">
      <alignment/>
      <protection hidden="1"/>
    </xf>
    <xf numFmtId="0" fontId="6" fillId="46" borderId="34" xfId="105" applyFont="1" applyFill="1" applyBorder="1" applyAlignment="1">
      <alignment horizontal="left"/>
      <protection/>
    </xf>
    <xf numFmtId="0" fontId="27" fillId="46" borderId="0" xfId="105" applyFont="1" applyFill="1" applyBorder="1" applyAlignment="1" applyProtection="1">
      <alignment horizontal="center"/>
      <protection hidden="1"/>
    </xf>
    <xf numFmtId="0" fontId="25" fillId="46" borderId="0" xfId="105" applyFont="1" applyFill="1" applyBorder="1" applyAlignment="1" applyProtection="1">
      <alignment horizontal="center" vertical="center"/>
      <protection hidden="1"/>
    </xf>
    <xf numFmtId="1" fontId="5" fillId="48" borderId="35" xfId="105" applyNumberFormat="1" applyFont="1" applyFill="1" applyBorder="1" applyAlignment="1" applyProtection="1">
      <alignment horizontal="center"/>
      <protection hidden="1"/>
    </xf>
    <xf numFmtId="1" fontId="5" fillId="48" borderId="45" xfId="105" applyNumberFormat="1" applyFont="1" applyFill="1" applyBorder="1" applyAlignment="1" applyProtection="1">
      <alignment horizontal="center"/>
      <protection hidden="1"/>
    </xf>
    <xf numFmtId="0" fontId="143" fillId="55" borderId="0" xfId="105" applyFont="1" applyFill="1" applyBorder="1" applyAlignment="1" applyProtection="1">
      <alignment horizontal="center" vertical="center"/>
      <protection hidden="1"/>
    </xf>
    <xf numFmtId="1" fontId="161" fillId="55" borderId="0" xfId="105" applyNumberFormat="1" applyFont="1" applyFill="1" applyBorder="1" applyAlignment="1" applyProtection="1">
      <alignment horizontal="center"/>
      <protection hidden="1"/>
    </xf>
    <xf numFmtId="0" fontId="27" fillId="46" borderId="0" xfId="105" applyFont="1" applyFill="1" applyBorder="1" applyAlignment="1" applyProtection="1">
      <alignment horizontal="left"/>
      <protection hidden="1"/>
    </xf>
    <xf numFmtId="0" fontId="2" fillId="0" borderId="0" xfId="105" applyProtection="1">
      <alignment/>
      <protection hidden="1"/>
    </xf>
    <xf numFmtId="0" fontId="25" fillId="46" borderId="19" xfId="105" applyFont="1" applyFill="1" applyBorder="1" applyAlignment="1" applyProtection="1">
      <alignment horizontal="center"/>
      <protection hidden="1"/>
    </xf>
    <xf numFmtId="0" fontId="12" fillId="47" borderId="35" xfId="105" applyFont="1" applyFill="1" applyBorder="1" applyAlignment="1" applyProtection="1">
      <alignment horizontal="center" vertical="center" wrapText="1"/>
      <protection hidden="1"/>
    </xf>
    <xf numFmtId="0" fontId="12" fillId="47" borderId="45" xfId="105" applyFont="1" applyFill="1" applyBorder="1" applyAlignment="1" applyProtection="1">
      <alignment horizontal="center" vertical="center" wrapText="1"/>
      <protection hidden="1"/>
    </xf>
    <xf numFmtId="1" fontId="8" fillId="46" borderId="0" xfId="105" applyNumberFormat="1" applyFont="1" applyFill="1" applyBorder="1" applyAlignment="1" applyProtection="1">
      <alignment horizontal="left"/>
      <protection hidden="1"/>
    </xf>
    <xf numFmtId="0" fontId="27" fillId="46" borderId="19" xfId="105" applyFont="1" applyFill="1" applyBorder="1" applyAlignment="1" applyProtection="1">
      <alignment horizontal="left"/>
      <protection hidden="1"/>
    </xf>
    <xf numFmtId="1" fontId="8" fillId="48" borderId="0" xfId="0" applyNumberFormat="1" applyFont="1" applyFill="1" applyBorder="1" applyAlignment="1">
      <alignment horizontal="left" wrapText="1"/>
    </xf>
    <xf numFmtId="192" fontId="5" fillId="0" borderId="20" xfId="105" applyNumberFormat="1" applyFont="1" applyFill="1" applyBorder="1" applyAlignment="1" applyProtection="1">
      <alignment horizontal="center"/>
      <protection hidden="1"/>
    </xf>
    <xf numFmtId="192" fontId="5" fillId="0" borderId="33" xfId="105" applyNumberFormat="1" applyFont="1" applyFill="1" applyBorder="1" applyAlignment="1" applyProtection="1">
      <alignment horizontal="center"/>
      <protection hidden="1"/>
    </xf>
    <xf numFmtId="0" fontId="12" fillId="24" borderId="25" xfId="105" applyFont="1" applyFill="1" applyBorder="1" applyAlignment="1" applyProtection="1">
      <alignment horizontal="center"/>
      <protection hidden="1"/>
    </xf>
    <xf numFmtId="0" fontId="12" fillId="51" borderId="50" xfId="105" applyFont="1" applyFill="1" applyBorder="1" applyAlignment="1" applyProtection="1">
      <alignment horizontal="center" vertical="center" wrapText="1"/>
      <protection hidden="1"/>
    </xf>
    <xf numFmtId="0" fontId="12" fillId="51" borderId="51" xfId="105" applyFont="1" applyFill="1" applyBorder="1" applyAlignment="1" applyProtection="1">
      <alignment horizontal="center" vertical="center" wrapText="1"/>
      <protection hidden="1"/>
    </xf>
    <xf numFmtId="0" fontId="71" fillId="49" borderId="65" xfId="105" applyFont="1" applyFill="1" applyBorder="1" applyAlignment="1">
      <alignment horizontal="left" wrapText="1"/>
      <protection/>
    </xf>
    <xf numFmtId="0" fontId="71" fillId="49" borderId="67" xfId="105" applyFont="1" applyFill="1" applyBorder="1" applyAlignment="1">
      <alignment horizontal="left" wrapText="1"/>
      <protection/>
    </xf>
    <xf numFmtId="0" fontId="7" fillId="48" borderId="0" xfId="106" applyFont="1" applyFill="1" applyAlignment="1">
      <alignment horizontal="left"/>
      <protection/>
    </xf>
    <xf numFmtId="0" fontId="7" fillId="48" borderId="0" xfId="105" applyFont="1" applyFill="1" applyAlignment="1">
      <alignment horizontal="left"/>
      <protection/>
    </xf>
    <xf numFmtId="0" fontId="41" fillId="46" borderId="0" xfId="105" applyFont="1" applyFill="1" applyAlignment="1">
      <alignment horizontal="left"/>
      <protection/>
    </xf>
    <xf numFmtId="0" fontId="4" fillId="46" borderId="0" xfId="105" applyFont="1" applyFill="1" applyAlignment="1">
      <alignment horizontal="left"/>
      <protection/>
    </xf>
    <xf numFmtId="0" fontId="39" fillId="46" borderId="0" xfId="105" applyFont="1" applyFill="1" applyAlignment="1">
      <alignment horizontal="left"/>
      <protection/>
    </xf>
    <xf numFmtId="0" fontId="8" fillId="46" borderId="27" xfId="105" applyFont="1" applyFill="1" applyBorder="1" applyAlignment="1">
      <alignment horizontal="left" wrapText="1"/>
      <protection/>
    </xf>
    <xf numFmtId="0" fontId="8" fillId="46" borderId="0" xfId="105" applyFont="1" applyFill="1" applyBorder="1" applyAlignment="1">
      <alignment horizontal="left" wrapText="1"/>
      <protection/>
    </xf>
    <xf numFmtId="0" fontId="8" fillId="61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2" fillId="51" borderId="50" xfId="105" applyFont="1" applyFill="1" applyBorder="1" applyAlignment="1" applyProtection="1">
      <alignment horizontal="center" vertical="center"/>
      <protection hidden="1"/>
    </xf>
    <xf numFmtId="0" fontId="12" fillId="51" borderId="51" xfId="105" applyFont="1" applyFill="1" applyBorder="1" applyAlignment="1" applyProtection="1">
      <alignment horizontal="center" vertical="center"/>
      <protection hidden="1"/>
    </xf>
    <xf numFmtId="0" fontId="40" fillId="46" borderId="27" xfId="105" applyFont="1" applyFill="1" applyBorder="1" applyAlignment="1">
      <alignment horizontal="left"/>
      <protection/>
    </xf>
    <xf numFmtId="0" fontId="40" fillId="46" borderId="0" xfId="105" applyFont="1" applyFill="1" applyBorder="1" applyAlignment="1">
      <alignment horizontal="left"/>
      <protection/>
    </xf>
    <xf numFmtId="0" fontId="40" fillId="46" borderId="33" xfId="105" applyFont="1" applyFill="1" applyBorder="1" applyAlignment="1">
      <alignment horizontal="left"/>
      <protection/>
    </xf>
    <xf numFmtId="1" fontId="5" fillId="59" borderId="23" xfId="105" applyNumberFormat="1" applyFont="1" applyFill="1" applyBorder="1" applyAlignment="1" applyProtection="1">
      <alignment horizontal="center"/>
      <protection hidden="1"/>
    </xf>
    <xf numFmtId="1" fontId="5" fillId="59" borderId="56" xfId="105" applyNumberFormat="1" applyFont="1" applyFill="1" applyBorder="1" applyAlignment="1" applyProtection="1">
      <alignment horizontal="center"/>
      <protection hidden="1"/>
    </xf>
    <xf numFmtId="0" fontId="7" fillId="46" borderId="27" xfId="105" applyFont="1" applyFill="1" applyBorder="1" applyAlignment="1">
      <alignment horizontal="left"/>
      <protection/>
    </xf>
    <xf numFmtId="0" fontId="7" fillId="46" borderId="0" xfId="105" applyFont="1" applyFill="1" applyBorder="1" applyAlignment="1">
      <alignment horizontal="left"/>
      <protection/>
    </xf>
    <xf numFmtId="0" fontId="138" fillId="48" borderId="0" xfId="105" applyFont="1" applyFill="1" applyBorder="1" applyAlignment="1" applyProtection="1">
      <alignment horizontal="left"/>
      <protection hidden="1"/>
    </xf>
    <xf numFmtId="0" fontId="27" fillId="46" borderId="0" xfId="105" applyFont="1" applyFill="1" applyAlignment="1" applyProtection="1">
      <alignment horizontal="center"/>
      <protection hidden="1"/>
    </xf>
    <xf numFmtId="192" fontId="0" fillId="48" borderId="33" xfId="0" applyNumberFormat="1" applyFill="1" applyBorder="1" applyAlignment="1">
      <alignment horizontal="center"/>
    </xf>
    <xf numFmtId="192" fontId="0" fillId="48" borderId="0" xfId="0" applyNumberFormat="1" applyFill="1" applyBorder="1" applyAlignment="1">
      <alignment horizontal="center"/>
    </xf>
    <xf numFmtId="0" fontId="12" fillId="47" borderId="35" xfId="105" applyFont="1" applyFill="1" applyBorder="1" applyAlignment="1" applyProtection="1">
      <alignment horizontal="center" vertical="center"/>
      <protection hidden="1"/>
    </xf>
    <xf numFmtId="0" fontId="12" fillId="47" borderId="45" xfId="105" applyFont="1" applyFill="1" applyBorder="1" applyAlignment="1" applyProtection="1">
      <alignment horizontal="center" vertical="center"/>
      <protection hidden="1"/>
    </xf>
    <xf numFmtId="0" fontId="45" fillId="46" borderId="20" xfId="0" applyFont="1" applyFill="1" applyBorder="1" applyAlignment="1">
      <alignment horizontal="center" vertical="center"/>
    </xf>
    <xf numFmtId="0" fontId="45" fillId="46" borderId="33" xfId="0" applyFont="1" applyFill="1" applyBorder="1" applyAlignment="1">
      <alignment horizontal="center" vertical="center"/>
    </xf>
    <xf numFmtId="0" fontId="12" fillId="47" borderId="35" xfId="105" applyFont="1" applyFill="1" applyBorder="1" applyAlignment="1" applyProtection="1">
      <alignment horizontal="center" vertical="center"/>
      <protection hidden="1"/>
    </xf>
    <xf numFmtId="0" fontId="12" fillId="47" borderId="45" xfId="105" applyFont="1" applyFill="1" applyBorder="1" applyAlignment="1" applyProtection="1">
      <alignment horizontal="center" vertical="center"/>
      <protection hidden="1"/>
    </xf>
    <xf numFmtId="192" fontId="5" fillId="18" borderId="23" xfId="105" applyNumberFormat="1" applyFont="1" applyFill="1" applyBorder="1" applyAlignment="1" applyProtection="1">
      <alignment horizontal="center"/>
      <protection hidden="1"/>
    </xf>
    <xf numFmtId="192" fontId="5" fillId="18" borderId="56" xfId="105" applyNumberFormat="1" applyFont="1" applyFill="1" applyBorder="1" applyAlignment="1" applyProtection="1">
      <alignment horizontal="center"/>
      <protection hidden="1"/>
    </xf>
    <xf numFmtId="0" fontId="12" fillId="24" borderId="32" xfId="105" applyFont="1" applyFill="1" applyBorder="1" applyAlignment="1" applyProtection="1">
      <alignment horizontal="center" vertical="center"/>
      <protection hidden="1"/>
    </xf>
    <xf numFmtId="0" fontId="17" fillId="46" borderId="34" xfId="105" applyFont="1" applyFill="1" applyBorder="1" applyAlignment="1" applyProtection="1">
      <alignment horizontal="center"/>
      <protection hidden="1"/>
    </xf>
    <xf numFmtId="1" fontId="5" fillId="48" borderId="19" xfId="105" applyNumberFormat="1" applyFont="1" applyFill="1" applyBorder="1" applyAlignment="1" applyProtection="1">
      <alignment horizontal="center"/>
      <protection hidden="1"/>
    </xf>
    <xf numFmtId="0" fontId="12" fillId="47" borderId="50" xfId="105" applyFont="1" applyFill="1" applyBorder="1" applyAlignment="1" applyProtection="1">
      <alignment horizontal="center" vertical="center" wrapText="1"/>
      <protection hidden="1"/>
    </xf>
    <xf numFmtId="0" fontId="12" fillId="47" borderId="51" xfId="105" applyFont="1" applyFill="1" applyBorder="1" applyAlignment="1" applyProtection="1">
      <alignment horizontal="center" vertical="center" wrapText="1"/>
      <protection hidden="1"/>
    </xf>
    <xf numFmtId="0" fontId="6" fillId="48" borderId="35" xfId="105" applyFont="1" applyFill="1" applyBorder="1" applyAlignment="1" applyProtection="1">
      <alignment horizontal="left"/>
      <protection hidden="1"/>
    </xf>
    <xf numFmtId="0" fontId="6" fillId="46" borderId="31" xfId="105" applyFont="1" applyFill="1" applyBorder="1" applyAlignment="1" applyProtection="1">
      <alignment horizontal="left"/>
      <protection hidden="1"/>
    </xf>
    <xf numFmtId="0" fontId="6" fillId="46" borderId="45" xfId="105" applyFont="1" applyFill="1" applyBorder="1" applyAlignment="1" applyProtection="1">
      <alignment horizontal="left"/>
      <protection hidden="1"/>
    </xf>
    <xf numFmtId="0" fontId="12" fillId="51" borderId="43" xfId="105" applyFont="1" applyFill="1" applyBorder="1" applyAlignment="1" applyProtection="1">
      <alignment horizontal="center" vertical="center" wrapText="1"/>
      <protection hidden="1"/>
    </xf>
    <xf numFmtId="0" fontId="12" fillId="51" borderId="49" xfId="105" applyFont="1" applyFill="1" applyBorder="1" applyAlignment="1" applyProtection="1">
      <alignment horizontal="center" vertical="center" wrapText="1"/>
      <protection hidden="1"/>
    </xf>
    <xf numFmtId="0" fontId="12" fillId="51" borderId="43" xfId="105" applyFont="1" applyFill="1" applyBorder="1" applyAlignment="1" applyProtection="1">
      <alignment horizontal="center" vertical="center"/>
      <protection hidden="1"/>
    </xf>
    <xf numFmtId="0" fontId="12" fillId="51" borderId="49" xfId="105" applyFont="1" applyFill="1" applyBorder="1" applyAlignment="1" applyProtection="1">
      <alignment horizontal="center" vertical="center"/>
      <protection hidden="1"/>
    </xf>
    <xf numFmtId="1" fontId="5" fillId="48" borderId="19" xfId="105" applyNumberFormat="1" applyFont="1" applyFill="1" applyBorder="1" applyAlignment="1" applyProtection="1">
      <alignment horizontal="center"/>
      <protection hidden="1"/>
    </xf>
    <xf numFmtId="0" fontId="33" fillId="46" borderId="0" xfId="105" applyFont="1" applyFill="1" applyBorder="1" applyAlignment="1" applyProtection="1">
      <alignment horizontal="center"/>
      <protection hidden="1"/>
    </xf>
    <xf numFmtId="192" fontId="5" fillId="48" borderId="23" xfId="0" applyNumberFormat="1" applyFont="1" applyFill="1" applyBorder="1" applyAlignment="1" applyProtection="1">
      <alignment horizontal="center"/>
      <protection hidden="1"/>
    </xf>
    <xf numFmtId="192" fontId="5" fillId="48" borderId="56" xfId="0" applyNumberFormat="1" applyFont="1" applyFill="1" applyBorder="1" applyAlignment="1" applyProtection="1">
      <alignment horizontal="center"/>
      <protection hidden="1"/>
    </xf>
    <xf numFmtId="1" fontId="5" fillId="48" borderId="19" xfId="0" applyNumberFormat="1" applyFont="1" applyFill="1" applyBorder="1" applyAlignment="1" applyProtection="1">
      <alignment horizontal="center"/>
      <protection hidden="1"/>
    </xf>
    <xf numFmtId="9" fontId="12" fillId="48" borderId="35" xfId="123" applyFont="1" applyFill="1" applyBorder="1" applyAlignment="1" applyProtection="1">
      <alignment horizontal="center"/>
      <protection hidden="1"/>
    </xf>
    <xf numFmtId="9" fontId="12" fillId="48" borderId="45" xfId="123" applyFont="1" applyFill="1" applyBorder="1" applyAlignment="1" applyProtection="1">
      <alignment horizontal="center"/>
      <protection hidden="1"/>
    </xf>
    <xf numFmtId="0" fontId="12" fillId="48" borderId="20" xfId="105" applyFont="1" applyFill="1" applyBorder="1" applyAlignment="1" applyProtection="1">
      <alignment/>
      <protection hidden="1"/>
    </xf>
    <xf numFmtId="0" fontId="12" fillId="48" borderId="20" xfId="105" applyFont="1" applyFill="1" applyBorder="1" applyAlignment="1" applyProtection="1">
      <alignment horizontal="center"/>
      <protection hidden="1"/>
    </xf>
    <xf numFmtId="9" fontId="12" fillId="48" borderId="0" xfId="105" applyNumberFormat="1" applyFont="1" applyFill="1" applyBorder="1" applyAlignment="1" applyProtection="1">
      <alignment horizontal="center"/>
      <protection hidden="1"/>
    </xf>
    <xf numFmtId="192" fontId="5" fillId="48" borderId="38" xfId="105" applyNumberFormat="1" applyFont="1" applyFill="1" applyBorder="1" applyAlignment="1" applyProtection="1">
      <alignment vertical="center"/>
      <protection hidden="1"/>
    </xf>
    <xf numFmtId="192" fontId="5" fillId="46" borderId="0" xfId="105" applyNumberFormat="1" applyFont="1" applyFill="1" applyBorder="1" applyAlignment="1" applyProtection="1">
      <alignment vertical="center"/>
      <protection hidden="1"/>
    </xf>
    <xf numFmtId="192" fontId="5" fillId="48" borderId="19" xfId="105" applyNumberFormat="1" applyFont="1" applyFill="1" applyBorder="1" applyAlignment="1" applyProtection="1">
      <alignment vertical="center"/>
      <protection hidden="1"/>
    </xf>
    <xf numFmtId="192" fontId="5" fillId="59" borderId="31" xfId="105" applyNumberFormat="1" applyFont="1" applyFill="1" applyBorder="1" applyAlignment="1" applyProtection="1">
      <alignment horizontal="center"/>
      <protection hidden="1"/>
    </xf>
    <xf numFmtId="0" fontId="145" fillId="46" borderId="20" xfId="105" applyFont="1" applyFill="1" applyBorder="1" applyAlignment="1" applyProtection="1">
      <alignment horizontal="center"/>
      <protection hidden="1"/>
    </xf>
    <xf numFmtId="0" fontId="193" fillId="46" borderId="20" xfId="105" applyFont="1" applyFill="1" applyBorder="1" applyAlignment="1" applyProtection="1">
      <alignment horizontal="left"/>
      <protection hidden="1"/>
    </xf>
    <xf numFmtId="0" fontId="138" fillId="46" borderId="0" xfId="105" applyFont="1" applyFill="1" applyBorder="1" applyProtection="1">
      <alignment/>
      <protection hidden="1"/>
    </xf>
    <xf numFmtId="0" fontId="12" fillId="62" borderId="51" xfId="105" applyFont="1" applyFill="1" applyBorder="1" applyAlignment="1" applyProtection="1">
      <alignment vertical="center"/>
      <protection hidden="1"/>
    </xf>
    <xf numFmtId="0" fontId="12" fillId="62" borderId="50" xfId="105" applyFont="1" applyFill="1" applyBorder="1" applyAlignment="1" applyProtection="1">
      <alignment vertical="center"/>
      <protection hidden="1"/>
    </xf>
    <xf numFmtId="0" fontId="12" fillId="62" borderId="50" xfId="105" applyFont="1" applyFill="1" applyBorder="1" applyAlignment="1" applyProtection="1">
      <alignment horizontal="center" vertical="center"/>
      <protection hidden="1"/>
    </xf>
    <xf numFmtId="0" fontId="12" fillId="62" borderId="51" xfId="105" applyFont="1" applyFill="1" applyBorder="1" applyAlignment="1" applyProtection="1">
      <alignment horizontal="center" vertical="center"/>
      <protection hidden="1"/>
    </xf>
    <xf numFmtId="0" fontId="12" fillId="62" borderId="43" xfId="105" applyFont="1" applyFill="1" applyBorder="1" applyAlignment="1" applyProtection="1">
      <alignment horizontal="center" vertical="center"/>
      <protection hidden="1"/>
    </xf>
    <xf numFmtId="0" fontId="12" fillId="62" borderId="49" xfId="105" applyFont="1" applyFill="1" applyBorder="1" applyAlignment="1" applyProtection="1">
      <alignment horizontal="center" vertical="center"/>
      <protection hidden="1"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2 2" xfId="38"/>
    <cellStyle name="Акцент2 3" xfId="39"/>
    <cellStyle name="Акцент2 4" xfId="40"/>
    <cellStyle name="Акцент3" xfId="41"/>
    <cellStyle name="Акцент3 2" xfId="42"/>
    <cellStyle name="Акцент3 3" xfId="43"/>
    <cellStyle name="Акцент3 4" xfId="44"/>
    <cellStyle name="Акцент4" xfId="45"/>
    <cellStyle name="Акцент4 2" xfId="46"/>
    <cellStyle name="Акцент4 3" xfId="47"/>
    <cellStyle name="Акцент4 4" xfId="48"/>
    <cellStyle name="Акцент5" xfId="49"/>
    <cellStyle name="Акцент5 2" xfId="50"/>
    <cellStyle name="Акцент5 3" xfId="51"/>
    <cellStyle name="Акцент5 4" xfId="52"/>
    <cellStyle name="Акцент6" xfId="53"/>
    <cellStyle name="Акцент6 2" xfId="54"/>
    <cellStyle name="Акцент6 3" xfId="55"/>
    <cellStyle name="Акцент6 4" xfId="56"/>
    <cellStyle name="Ввод " xfId="57"/>
    <cellStyle name="Ввод  2" xfId="58"/>
    <cellStyle name="Ввод  3" xfId="59"/>
    <cellStyle name="Ввод  4" xfId="60"/>
    <cellStyle name="Вывод" xfId="61"/>
    <cellStyle name="Вывод 2" xfId="62"/>
    <cellStyle name="Вывод 3" xfId="63"/>
    <cellStyle name="Вывод 4" xfId="64"/>
    <cellStyle name="Вычисление" xfId="65"/>
    <cellStyle name="Вычисление 2" xfId="66"/>
    <cellStyle name="Вычисление 3" xfId="67"/>
    <cellStyle name="Вычисление 4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1 3" xfId="75"/>
    <cellStyle name="Заголовок 1 4" xfId="76"/>
    <cellStyle name="Заголовок 2" xfId="77"/>
    <cellStyle name="Заголовок 2 2" xfId="78"/>
    <cellStyle name="Заголовок 2 3" xfId="79"/>
    <cellStyle name="Заголовок 2 4" xfId="80"/>
    <cellStyle name="Заголовок 3" xfId="81"/>
    <cellStyle name="Заголовок 3 2" xfId="82"/>
    <cellStyle name="Заголовок 3 3" xfId="83"/>
    <cellStyle name="Заголовок 3 4" xfId="84"/>
    <cellStyle name="Заголовок 4" xfId="85"/>
    <cellStyle name="Заголовок 4 2" xfId="86"/>
    <cellStyle name="Заголовок 4 3" xfId="87"/>
    <cellStyle name="Заголовок 4 4" xfId="88"/>
    <cellStyle name="Итог" xfId="89"/>
    <cellStyle name="Итог 2" xfId="90"/>
    <cellStyle name="Итог 3" xfId="91"/>
    <cellStyle name="Итог 4" xfId="92"/>
    <cellStyle name="Контрольная ячейка" xfId="93"/>
    <cellStyle name="Контрольная ячейка 2" xfId="94"/>
    <cellStyle name="Контрольная ячейка 3" xfId="95"/>
    <cellStyle name="Контрольная ячейка 4" xfId="96"/>
    <cellStyle name="Название" xfId="97"/>
    <cellStyle name="Название 2" xfId="98"/>
    <cellStyle name="Название 3" xfId="99"/>
    <cellStyle name="Название 4" xfId="100"/>
    <cellStyle name="Нейтральный" xfId="101"/>
    <cellStyle name="Нейтральный 2" xfId="102"/>
    <cellStyle name="Нейтральный 3" xfId="103"/>
    <cellStyle name="Нейтральный 4" xfId="104"/>
    <cellStyle name="Обычный 2" xfId="105"/>
    <cellStyle name="Обычный 2 2" xfId="106"/>
    <cellStyle name="Обычный 3" xfId="107"/>
    <cellStyle name="Обычный 4" xfId="108"/>
    <cellStyle name="Обычный 5" xfId="109"/>
    <cellStyle name="Followed Hyperlink" xfId="110"/>
    <cellStyle name="Плохой" xfId="111"/>
    <cellStyle name="Плохой 2" xfId="112"/>
    <cellStyle name="Плохой 3" xfId="113"/>
    <cellStyle name="Плохой 4" xfId="114"/>
    <cellStyle name="Пояснение" xfId="115"/>
    <cellStyle name="Пояснение 2" xfId="116"/>
    <cellStyle name="Пояснение 3" xfId="117"/>
    <cellStyle name="Пояснение 4" xfId="118"/>
    <cellStyle name="Примечание" xfId="119"/>
    <cellStyle name="Примечание 2" xfId="120"/>
    <cellStyle name="Примечание 3" xfId="121"/>
    <cellStyle name="Примечание 4" xfId="122"/>
    <cellStyle name="Percent" xfId="123"/>
    <cellStyle name="Связанная ячейка" xfId="124"/>
    <cellStyle name="Связанная ячейка 2" xfId="125"/>
    <cellStyle name="Связанная ячейка 3" xfId="126"/>
    <cellStyle name="Связанная ячейка 4" xfId="127"/>
    <cellStyle name="Текст предупреждения" xfId="128"/>
    <cellStyle name="Текст предупреждения 2" xfId="129"/>
    <cellStyle name="Текст предупреждения 3" xfId="130"/>
    <cellStyle name="Текст предупреждения 4" xfId="131"/>
    <cellStyle name="Comma" xfId="132"/>
    <cellStyle name="Comma [0]" xfId="133"/>
    <cellStyle name="Хороший" xfId="134"/>
    <cellStyle name="Хороший 2" xfId="135"/>
    <cellStyle name="Хороший 3" xfId="136"/>
    <cellStyle name="Хороший 4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V2120"/>
  <sheetViews>
    <sheetView tabSelected="1" zoomScale="90" zoomScaleNormal="90" zoomScalePageLayoutView="0" workbookViewId="0" topLeftCell="A1">
      <pane ySplit="1" topLeftCell="A1178" activePane="bottomLeft" state="frozen"/>
      <selection pane="topLeft" activeCell="A1" sqref="A1"/>
      <selection pane="bottomLeft" activeCell="A1197" sqref="A1197"/>
    </sheetView>
  </sheetViews>
  <sheetFormatPr defaultColWidth="9.140625" defaultRowHeight="15"/>
  <cols>
    <col min="1" max="1" width="38.7109375" style="0" customWidth="1"/>
    <col min="2" max="2" width="74.140625" style="0" customWidth="1"/>
    <col min="3" max="3" width="11.28125" style="0" customWidth="1"/>
    <col min="4" max="4" width="10.00390625" style="0" customWidth="1"/>
    <col min="5" max="5" width="10.8515625" style="0" customWidth="1"/>
    <col min="6" max="6" width="11.57421875" style="0" customWidth="1"/>
    <col min="7" max="7" width="10.28125" style="0" customWidth="1"/>
    <col min="8" max="8" width="11.28125" style="0" customWidth="1"/>
    <col min="9" max="9" width="11.140625" style="0" customWidth="1"/>
    <col min="10" max="10" width="13.7109375" style="0" customWidth="1"/>
    <col min="11" max="11" width="10.7109375" style="261" customWidth="1"/>
    <col min="12" max="12" width="12.7109375" style="261" customWidth="1"/>
    <col min="13" max="13" width="10.7109375" style="0" customWidth="1"/>
    <col min="14" max="14" width="9.8515625" style="169" customWidth="1"/>
    <col min="15" max="15" width="9.28125" style="169" customWidth="1"/>
    <col min="16" max="16" width="10.421875" style="169" customWidth="1"/>
    <col min="17" max="17" width="9.00390625" style="169" customWidth="1"/>
    <col min="18" max="18" width="10.140625" style="169" customWidth="1"/>
    <col min="19" max="24" width="9.00390625" style="169" customWidth="1"/>
    <col min="25" max="25" width="9.00390625" style="169" hidden="1" customWidth="1"/>
    <col min="26" max="26" width="9.140625" style="0" hidden="1" customWidth="1"/>
    <col min="27" max="27" width="9.140625" style="0" customWidth="1"/>
  </cols>
  <sheetData>
    <row r="1" spans="1:26" s="641" customFormat="1" ht="24.75" customHeight="1">
      <c r="A1" s="1426" t="s">
        <v>405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Z1" s="641">
        <v>1.25</v>
      </c>
    </row>
    <row r="2" spans="1:14" s="1189" customFormat="1" ht="28.5" customHeight="1">
      <c r="A2" s="1186" t="s">
        <v>761</v>
      </c>
      <c r="B2" s="1187"/>
      <c r="C2" s="1188"/>
      <c r="D2" s="1188"/>
      <c r="E2" s="1188"/>
      <c r="F2" s="1188"/>
      <c r="G2" s="1188"/>
      <c r="H2" s="1188"/>
      <c r="I2" s="1188"/>
      <c r="L2" s="1190"/>
      <c r="M2" s="1190"/>
      <c r="N2" s="1191"/>
    </row>
    <row r="3" spans="1:47" s="1103" customFormat="1" ht="55.5" customHeight="1" thickBot="1">
      <c r="A3" s="1298" t="s">
        <v>1201</v>
      </c>
      <c r="B3" s="1299"/>
      <c r="C3" s="1299"/>
      <c r="D3" s="1299"/>
      <c r="E3" s="1299"/>
      <c r="F3" s="1299"/>
      <c r="G3" s="1299"/>
      <c r="H3" s="1299"/>
      <c r="I3" s="1102"/>
      <c r="J3" s="1102"/>
      <c r="L3" s="1104"/>
      <c r="M3" s="1104"/>
      <c r="N3" s="1104"/>
      <c r="O3" s="1104"/>
      <c r="P3" s="1104"/>
      <c r="Q3" s="1104"/>
      <c r="R3" s="1104"/>
      <c r="S3" s="1104"/>
      <c r="T3" s="1104"/>
      <c r="U3" s="1104"/>
      <c r="V3" s="1104"/>
      <c r="W3" s="1104"/>
      <c r="X3" s="1104"/>
      <c r="Y3" s="1104"/>
      <c r="Z3" s="1104"/>
      <c r="AA3" s="1104"/>
      <c r="AB3" s="1104"/>
      <c r="AC3" s="1104"/>
      <c r="AD3" s="1104"/>
      <c r="AE3" s="1104"/>
      <c r="AF3" s="1104"/>
      <c r="AG3" s="1104"/>
      <c r="AH3" s="1104"/>
      <c r="AI3" s="1104"/>
      <c r="AJ3" s="1104"/>
      <c r="AK3" s="1104"/>
      <c r="AL3" s="1104"/>
      <c r="AM3" s="1104"/>
      <c r="AN3" s="1104"/>
      <c r="AO3" s="1104"/>
      <c r="AP3" s="1104"/>
      <c r="AQ3" s="1104"/>
      <c r="AR3" s="1104"/>
      <c r="AS3" s="1104"/>
      <c r="AT3" s="1104"/>
      <c r="AU3" s="1104"/>
    </row>
    <row r="4" spans="1:47" ht="51" customHeight="1">
      <c r="A4" s="1433" t="s">
        <v>878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  <c r="L4" s="332"/>
      <c r="M4" s="20"/>
      <c r="N4" s="234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</row>
    <row r="5" spans="1:256" ht="25.5" customHeight="1">
      <c r="A5" s="1019"/>
      <c r="B5" s="1433" t="s">
        <v>877</v>
      </c>
      <c r="C5" s="1433"/>
      <c r="D5" s="1433"/>
      <c r="E5" s="1433"/>
      <c r="F5" s="1433"/>
      <c r="G5" s="1433"/>
      <c r="H5" s="744"/>
      <c r="I5" s="744"/>
      <c r="J5" s="745"/>
      <c r="K5" s="1105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607"/>
      <c r="AA5" s="607"/>
      <c r="AB5" s="607"/>
      <c r="AC5" s="607"/>
      <c r="AD5" s="607"/>
      <c r="AE5" s="607"/>
      <c r="AF5" s="607"/>
      <c r="AG5" s="607"/>
      <c r="AH5" s="607"/>
      <c r="AI5" s="607"/>
      <c r="AJ5" s="607"/>
      <c r="AK5" s="607"/>
      <c r="AL5" s="607"/>
      <c r="AM5" s="607"/>
      <c r="AN5" s="607"/>
      <c r="AO5" s="607"/>
      <c r="AP5" s="607"/>
      <c r="AQ5" s="607"/>
      <c r="AR5" s="607"/>
      <c r="AS5" s="607"/>
      <c r="AT5" s="607"/>
      <c r="AU5" s="607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  <c r="IT5" s="261"/>
      <c r="IU5" s="261"/>
      <c r="IV5" s="261"/>
    </row>
    <row r="6" spans="1:14" s="331" customFormat="1" ht="30" customHeight="1">
      <c r="A6" s="639" t="s">
        <v>287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73"/>
      <c r="N6" s="674"/>
    </row>
    <row r="7" spans="1:14" ht="20.25" customHeight="1">
      <c r="A7" s="306"/>
      <c r="B7" s="306"/>
      <c r="C7" s="306"/>
      <c r="D7" s="306"/>
      <c r="E7" s="306"/>
      <c r="F7" s="306"/>
      <c r="G7" s="307"/>
      <c r="H7" s="307"/>
      <c r="I7" s="308"/>
      <c r="J7" s="304"/>
      <c r="K7" s="636"/>
      <c r="L7" s="333"/>
      <c r="M7" s="16"/>
      <c r="N7" s="158"/>
    </row>
    <row r="8" spans="1:14" ht="21.75" customHeight="1" thickBot="1">
      <c r="A8" s="1427" t="s">
        <v>288</v>
      </c>
      <c r="B8" s="1428"/>
      <c r="C8" s="306"/>
      <c r="D8" s="306"/>
      <c r="E8" s="306"/>
      <c r="F8" s="306"/>
      <c r="G8" s="307"/>
      <c r="H8" s="307"/>
      <c r="I8" s="308"/>
      <c r="J8" s="304"/>
      <c r="K8" s="636"/>
      <c r="L8" s="333"/>
      <c r="M8" s="16"/>
      <c r="N8" s="158"/>
    </row>
    <row r="9" spans="1:25" s="524" customFormat="1" ht="19.5" customHeight="1" thickTop="1">
      <c r="A9" s="640" t="s">
        <v>291</v>
      </c>
      <c r="B9" s="517"/>
      <c r="C9" s="518"/>
      <c r="D9" s="518"/>
      <c r="E9" s="518"/>
      <c r="F9" s="518"/>
      <c r="G9" s="519"/>
      <c r="H9" s="519"/>
      <c r="I9" s="311"/>
      <c r="J9" s="520"/>
      <c r="K9" s="637"/>
      <c r="L9" s="638"/>
      <c r="M9" s="521"/>
      <c r="N9" s="522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</row>
    <row r="10" spans="1:25" s="524" customFormat="1" ht="15" customHeight="1">
      <c r="A10" s="640" t="s">
        <v>272</v>
      </c>
      <c r="B10" s="517"/>
      <c r="C10" s="518"/>
      <c r="D10" s="518"/>
      <c r="E10" s="518"/>
      <c r="F10" s="518"/>
      <c r="G10" s="519"/>
      <c r="H10" s="519"/>
      <c r="I10" s="311"/>
      <c r="J10" s="520"/>
      <c r="K10" s="637"/>
      <c r="L10" s="638"/>
      <c r="M10" s="521"/>
      <c r="N10" s="522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</row>
    <row r="11" spans="1:25" s="524" customFormat="1" ht="15" customHeight="1">
      <c r="A11" s="640" t="s">
        <v>289</v>
      </c>
      <c r="B11" s="517"/>
      <c r="C11" s="518"/>
      <c r="D11" s="518"/>
      <c r="E11" s="518"/>
      <c r="F11" s="518"/>
      <c r="G11" s="519"/>
      <c r="H11" s="519"/>
      <c r="I11" s="311"/>
      <c r="J11" s="520"/>
      <c r="K11" s="637"/>
      <c r="L11" s="638"/>
      <c r="M11" s="521"/>
      <c r="N11" s="522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</row>
    <row r="12" spans="1:25" s="524" customFormat="1" ht="15" customHeight="1">
      <c r="A12" s="640" t="s">
        <v>290</v>
      </c>
      <c r="B12" s="517"/>
      <c r="C12" s="518"/>
      <c r="D12" s="518"/>
      <c r="E12" s="518"/>
      <c r="F12" s="518"/>
      <c r="G12" s="519"/>
      <c r="H12" s="519"/>
      <c r="I12" s="311"/>
      <c r="J12" s="520"/>
      <c r="K12" s="637"/>
      <c r="L12" s="638"/>
      <c r="M12" s="521"/>
      <c r="N12" s="522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</row>
    <row r="13" spans="1:25" s="524" customFormat="1" ht="15" customHeight="1">
      <c r="A13" s="640" t="s">
        <v>273</v>
      </c>
      <c r="B13" s="517"/>
      <c r="C13" s="518"/>
      <c r="D13" s="518"/>
      <c r="E13" s="518"/>
      <c r="F13" s="518"/>
      <c r="G13" s="519"/>
      <c r="H13" s="519"/>
      <c r="I13" s="311"/>
      <c r="J13" s="520"/>
      <c r="K13" s="637"/>
      <c r="L13" s="638"/>
      <c r="M13" s="521"/>
      <c r="N13" s="522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</row>
    <row r="14" spans="1:25" s="524" customFormat="1" ht="15" customHeight="1">
      <c r="A14" s="640" t="s">
        <v>274</v>
      </c>
      <c r="B14" s="517"/>
      <c r="C14" s="518"/>
      <c r="D14" s="518"/>
      <c r="E14" s="518"/>
      <c r="F14" s="518"/>
      <c r="G14" s="519"/>
      <c r="H14" s="519"/>
      <c r="I14" s="311"/>
      <c r="J14" s="520"/>
      <c r="K14" s="637"/>
      <c r="L14" s="638"/>
      <c r="M14" s="521"/>
      <c r="N14" s="522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</row>
    <row r="15" spans="1:25" s="524" customFormat="1" ht="15" customHeight="1">
      <c r="A15" s="640" t="s">
        <v>275</v>
      </c>
      <c r="B15" s="517"/>
      <c r="C15" s="518"/>
      <c r="D15" s="518"/>
      <c r="E15" s="518"/>
      <c r="F15" s="518"/>
      <c r="G15" s="519"/>
      <c r="H15" s="519"/>
      <c r="I15" s="311"/>
      <c r="J15" s="520"/>
      <c r="K15" s="637"/>
      <c r="L15" s="638"/>
      <c r="M15" s="521"/>
      <c r="N15" s="522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</row>
    <row r="16" spans="1:25" s="524" customFormat="1" ht="15" customHeight="1">
      <c r="A16" s="525" t="s">
        <v>286</v>
      </c>
      <c r="B16" s="517"/>
      <c r="C16" s="518"/>
      <c r="D16" s="518"/>
      <c r="E16" s="518"/>
      <c r="F16" s="518"/>
      <c r="G16" s="519"/>
      <c r="H16" s="519"/>
      <c r="I16" s="311"/>
      <c r="J16" s="520"/>
      <c r="K16" s="637"/>
      <c r="L16" s="638"/>
      <c r="M16" s="521"/>
      <c r="N16" s="522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</row>
    <row r="17" spans="1:25" s="524" customFormat="1" ht="15" customHeight="1">
      <c r="A17" s="640" t="s">
        <v>276</v>
      </c>
      <c r="B17" s="517"/>
      <c r="C17" s="518"/>
      <c r="D17" s="518"/>
      <c r="E17" s="518"/>
      <c r="F17" s="518"/>
      <c r="G17" s="519"/>
      <c r="H17" s="519"/>
      <c r="I17" s="311"/>
      <c r="J17" s="520"/>
      <c r="K17" s="637"/>
      <c r="L17" s="638"/>
      <c r="M17" s="521"/>
      <c r="N17" s="522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</row>
    <row r="18" spans="1:25" s="524" customFormat="1" ht="15" customHeight="1">
      <c r="A18" s="1169" t="s">
        <v>277</v>
      </c>
      <c r="B18" s="517"/>
      <c r="C18" s="518"/>
      <c r="D18" s="518"/>
      <c r="E18" s="518"/>
      <c r="F18" s="518"/>
      <c r="G18" s="519"/>
      <c r="H18" s="519"/>
      <c r="I18" s="311"/>
      <c r="J18" s="520"/>
      <c r="K18" s="637"/>
      <c r="L18" s="638"/>
      <c r="M18" s="521"/>
      <c r="N18" s="522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</row>
    <row r="19" spans="1:25" s="524" customFormat="1" ht="15" customHeight="1">
      <c r="A19" s="1169" t="s">
        <v>278</v>
      </c>
      <c r="B19" s="517"/>
      <c r="C19" s="518"/>
      <c r="D19" s="518"/>
      <c r="E19" s="518"/>
      <c r="F19" s="518"/>
      <c r="G19" s="519"/>
      <c r="H19" s="519"/>
      <c r="I19" s="311"/>
      <c r="J19" s="520"/>
      <c r="K19" s="637"/>
      <c r="L19" s="638"/>
      <c r="M19" s="526"/>
      <c r="N19" s="526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</row>
    <row r="20" spans="1:25" s="524" customFormat="1" ht="15" customHeight="1">
      <c r="A20" s="1169" t="s">
        <v>279</v>
      </c>
      <c r="B20" s="517"/>
      <c r="C20" s="518"/>
      <c r="D20" s="518"/>
      <c r="E20" s="518"/>
      <c r="F20" s="518"/>
      <c r="G20" s="519"/>
      <c r="H20" s="519"/>
      <c r="I20" s="311"/>
      <c r="J20" s="520"/>
      <c r="K20" s="637"/>
      <c r="L20" s="638"/>
      <c r="M20" s="526"/>
      <c r="N20" s="526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</row>
    <row r="21" spans="1:25" s="524" customFormat="1" ht="15" customHeight="1">
      <c r="A21" s="1169" t="s">
        <v>280</v>
      </c>
      <c r="B21" s="517"/>
      <c r="C21" s="518"/>
      <c r="D21" s="518"/>
      <c r="E21" s="518"/>
      <c r="F21" s="518"/>
      <c r="G21" s="519"/>
      <c r="H21" s="519"/>
      <c r="I21" s="311"/>
      <c r="J21" s="520"/>
      <c r="K21" s="637"/>
      <c r="L21" s="638"/>
      <c r="M21" s="526"/>
      <c r="N21" s="526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</row>
    <row r="22" spans="1:25" s="524" customFormat="1" ht="15" customHeight="1">
      <c r="A22" s="1169" t="s">
        <v>284</v>
      </c>
      <c r="B22" s="517"/>
      <c r="C22" s="518"/>
      <c r="D22" s="518"/>
      <c r="E22" s="518"/>
      <c r="F22" s="518"/>
      <c r="G22" s="519"/>
      <c r="H22" s="519"/>
      <c r="I22" s="311"/>
      <c r="J22" s="520"/>
      <c r="K22" s="637"/>
      <c r="L22" s="638"/>
      <c r="M22" s="526"/>
      <c r="N22" s="526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</row>
    <row r="23" spans="1:25" s="524" customFormat="1" ht="15" customHeight="1">
      <c r="A23" s="1169" t="s">
        <v>281</v>
      </c>
      <c r="B23" s="517"/>
      <c r="C23" s="518"/>
      <c r="D23" s="518"/>
      <c r="E23" s="518"/>
      <c r="F23" s="518"/>
      <c r="G23" s="519"/>
      <c r="H23" s="519"/>
      <c r="I23" s="311"/>
      <c r="J23" s="520"/>
      <c r="K23" s="637"/>
      <c r="L23" s="638"/>
      <c r="M23" s="526"/>
      <c r="N23" s="526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</row>
    <row r="24" spans="1:25" s="524" customFormat="1" ht="15" customHeight="1">
      <c r="A24" s="1429" t="s">
        <v>282</v>
      </c>
      <c r="B24" s="1429"/>
      <c r="C24" s="1430"/>
      <c r="D24" s="1430"/>
      <c r="E24" s="1430"/>
      <c r="F24" s="1431"/>
      <c r="G24" s="1431"/>
      <c r="H24" s="1431"/>
      <c r="I24" s="312"/>
      <c r="J24" s="527"/>
      <c r="K24" s="637"/>
      <c r="L24" s="638"/>
      <c r="M24" s="521"/>
      <c r="N24" s="522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</row>
    <row r="25" spans="1:14" ht="15" customHeight="1">
      <c r="A25" s="309"/>
      <c r="B25" s="309"/>
      <c r="C25" s="309"/>
      <c r="D25" s="309"/>
      <c r="E25" s="309"/>
      <c r="F25" s="309"/>
      <c r="G25" s="310"/>
      <c r="H25" s="310"/>
      <c r="I25" s="311"/>
      <c r="J25" s="304"/>
      <c r="K25" s="636"/>
      <c r="L25" s="333"/>
      <c r="M25" s="16"/>
      <c r="N25" s="158"/>
    </row>
    <row r="26" spans="1:14" s="1140" customFormat="1" ht="24" customHeight="1">
      <c r="A26" s="1432" t="s">
        <v>879</v>
      </c>
      <c r="B26" s="1432"/>
      <c r="C26" s="1432"/>
      <c r="D26" s="1432"/>
      <c r="E26" s="1432"/>
      <c r="F26" s="1432"/>
      <c r="G26" s="1136"/>
      <c r="H26" s="1136"/>
      <c r="I26" s="1136"/>
      <c r="J26" s="1137"/>
      <c r="K26" s="1138"/>
      <c r="L26" s="1139"/>
      <c r="M26" s="1507"/>
      <c r="N26" s="1507"/>
    </row>
    <row r="27" spans="1:14" s="1140" customFormat="1" ht="15">
      <c r="A27" s="1141"/>
      <c r="B27" s="1141"/>
      <c r="C27" s="1142"/>
      <c r="D27" s="1142"/>
      <c r="E27" s="1142"/>
      <c r="F27" s="1142"/>
      <c r="G27" s="1142"/>
      <c r="H27" s="1142"/>
      <c r="I27" s="1142"/>
      <c r="J27" s="1142"/>
      <c r="K27" s="1142"/>
      <c r="L27" s="1139"/>
      <c r="M27" s="1508"/>
      <c r="N27" s="1508"/>
    </row>
    <row r="28" spans="1:29" ht="25.5" customHeight="1">
      <c r="A28" s="1509" t="s">
        <v>41</v>
      </c>
      <c r="B28" s="1510"/>
      <c r="C28" s="1510"/>
      <c r="D28" s="1510"/>
      <c r="E28" s="1510"/>
      <c r="F28" s="1510"/>
      <c r="G28" s="1510"/>
      <c r="H28" s="1510"/>
      <c r="I28" s="1510"/>
      <c r="J28" s="1510"/>
      <c r="K28" s="322"/>
      <c r="L28" s="322"/>
      <c r="M28" s="1328"/>
      <c r="N28" s="1328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</row>
    <row r="29" spans="1:29" ht="15">
      <c r="A29" s="1467" t="s">
        <v>42</v>
      </c>
      <c r="B29" s="1467"/>
      <c r="C29" s="1467"/>
      <c r="D29" s="1467"/>
      <c r="E29" s="1467"/>
      <c r="F29" s="1467"/>
      <c r="G29" s="1467"/>
      <c r="H29" s="1467"/>
      <c r="I29" s="1467"/>
      <c r="J29" s="1467"/>
      <c r="K29" s="313"/>
      <c r="L29" s="313"/>
      <c r="M29" s="1328"/>
      <c r="N29" s="1328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</row>
    <row r="30" spans="1:29" ht="15.75" thickBot="1">
      <c r="A30" s="19" t="s">
        <v>358</v>
      </c>
      <c r="B30" s="19"/>
      <c r="C30" s="19"/>
      <c r="D30" s="19"/>
      <c r="E30" s="19"/>
      <c r="F30" s="19"/>
      <c r="G30" s="19"/>
      <c r="H30" s="19"/>
      <c r="I30" s="1511"/>
      <c r="J30" s="1511"/>
      <c r="K30" s="313"/>
      <c r="L30" s="313"/>
      <c r="M30" s="1328"/>
      <c r="N30" s="1328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</row>
    <row r="31" spans="1:29" s="672" customFormat="1" ht="27" customHeight="1" thickTop="1">
      <c r="A31" s="746" t="s">
        <v>43</v>
      </c>
      <c r="B31" s="814" t="s">
        <v>961</v>
      </c>
      <c r="C31" s="747" t="s">
        <v>884</v>
      </c>
      <c r="D31" s="748"/>
      <c r="E31" s="749" t="s">
        <v>883</v>
      </c>
      <c r="F31" s="750"/>
      <c r="G31" s="749" t="s">
        <v>880</v>
      </c>
      <c r="H31" s="750"/>
      <c r="I31" s="1273" t="s">
        <v>881</v>
      </c>
      <c r="J31" s="1274"/>
      <c r="K31" s="1273" t="s">
        <v>882</v>
      </c>
      <c r="L31" s="1274"/>
      <c r="M31" s="1015"/>
      <c r="N31" s="1016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</row>
    <row r="32" spans="1:29" ht="15">
      <c r="A32" s="1243" t="s">
        <v>301</v>
      </c>
      <c r="B32" s="1244" t="s">
        <v>44</v>
      </c>
      <c r="C32" s="1266">
        <f>CEILING(110*$Z$1,0.1)</f>
        <v>137.5</v>
      </c>
      <c r="D32" s="1267"/>
      <c r="E32" s="1266">
        <f>CEILING(150*$Z$1,0.1)</f>
        <v>187.5</v>
      </c>
      <c r="F32" s="1267"/>
      <c r="G32" s="1266">
        <f>CEILING(130*$Z$1,0.1)</f>
        <v>162.5</v>
      </c>
      <c r="H32" s="1267"/>
      <c r="I32" s="1266">
        <f>CEILING(140*$Z$1,0.1)</f>
        <v>175</v>
      </c>
      <c r="J32" s="1267"/>
      <c r="K32" s="1266">
        <f>CEILING(130*$Z$1,0.1)</f>
        <v>162.5</v>
      </c>
      <c r="L32" s="1267"/>
      <c r="M32" s="1323"/>
      <c r="N32" s="1328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</row>
    <row r="33" spans="1:29" ht="15" customHeight="1">
      <c r="A33" s="1245" t="s">
        <v>45</v>
      </c>
      <c r="B33" s="1246" t="s">
        <v>46</v>
      </c>
      <c r="C33" s="1268">
        <f>CEILING((C32+75*$Z$1),0.1)</f>
        <v>231.3</v>
      </c>
      <c r="D33" s="1270"/>
      <c r="E33" s="1268">
        <f>CEILING((E32+75*$Z$1),0.1)</f>
        <v>281.3</v>
      </c>
      <c r="F33" s="1270"/>
      <c r="G33" s="1268">
        <f>CEILING((G32+75*$Z$1),0.1)</f>
        <v>256.3</v>
      </c>
      <c r="H33" s="1270"/>
      <c r="I33" s="1268">
        <f>CEILING((I32+75*$Z$1),0.1)</f>
        <v>268.8</v>
      </c>
      <c r="J33" s="1270"/>
      <c r="K33" s="1268">
        <f>CEILING((K32+75*$Z$1),0.1)</f>
        <v>256.3</v>
      </c>
      <c r="L33" s="1270"/>
      <c r="M33" s="403"/>
      <c r="N33" s="342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</row>
    <row r="34" spans="1:29" ht="15" customHeight="1">
      <c r="A34" s="1245"/>
      <c r="B34" s="1246" t="s">
        <v>47</v>
      </c>
      <c r="C34" s="1268">
        <f>CEILING((C32*0.85),0.1)</f>
        <v>116.9</v>
      </c>
      <c r="D34" s="1270"/>
      <c r="E34" s="1268">
        <f>CEILING((E32*0.85),0.1)</f>
        <v>159.4</v>
      </c>
      <c r="F34" s="1270"/>
      <c r="G34" s="1268">
        <f>CEILING((G32*0.85),0.1)</f>
        <v>138.20000000000002</v>
      </c>
      <c r="H34" s="1270"/>
      <c r="I34" s="1268">
        <f>CEILING((I32*0.85),0.1)</f>
        <v>148.8</v>
      </c>
      <c r="J34" s="1270"/>
      <c r="K34" s="1268">
        <f>CEILING((K32*0.85),0.1)</f>
        <v>138.20000000000002</v>
      </c>
      <c r="L34" s="1270"/>
      <c r="M34" s="403"/>
      <c r="N34" s="342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</row>
    <row r="35" spans="1:14" ht="15" customHeight="1">
      <c r="A35" s="1247"/>
      <c r="B35" s="1248" t="s">
        <v>1184</v>
      </c>
      <c r="C35" s="1268">
        <f>CEILING((C32*0.5),0.1)</f>
        <v>68.8</v>
      </c>
      <c r="D35" s="1270"/>
      <c r="E35" s="1268">
        <f>CEILING((E32*0.5),0.1)</f>
        <v>93.80000000000001</v>
      </c>
      <c r="F35" s="1270"/>
      <c r="G35" s="1268">
        <f>CEILING((G32*0.5),0.1)</f>
        <v>81.30000000000001</v>
      </c>
      <c r="H35" s="1270"/>
      <c r="I35" s="1268">
        <f>CEILING((I32*0.5),0.1)</f>
        <v>87.5</v>
      </c>
      <c r="J35" s="1270"/>
      <c r="K35" s="1268">
        <f>CEILING((K32*0.5),0.1)</f>
        <v>81.30000000000001</v>
      </c>
      <c r="L35" s="1270"/>
      <c r="M35" s="21"/>
      <c r="N35" s="20"/>
    </row>
    <row r="36" spans="1:14" ht="17.25" customHeight="1">
      <c r="A36" s="401"/>
      <c r="B36" s="1246" t="s">
        <v>49</v>
      </c>
      <c r="C36" s="1268">
        <f>CEILING(130*$Z$1,0.1)</f>
        <v>162.5</v>
      </c>
      <c r="D36" s="1270"/>
      <c r="E36" s="1268">
        <f>CEILING(170*$Z$1,0.1)</f>
        <v>212.5</v>
      </c>
      <c r="F36" s="1270"/>
      <c r="G36" s="1268">
        <f>CEILING(150*$Z$1,0.1)</f>
        <v>187.5</v>
      </c>
      <c r="H36" s="1270"/>
      <c r="I36" s="1268">
        <f>CEILING(160*$Z$1,0.1)</f>
        <v>200</v>
      </c>
      <c r="J36" s="1270"/>
      <c r="K36" s="1268">
        <f>CEILING(150*$Z$1,0.1)</f>
        <v>187.5</v>
      </c>
      <c r="L36" s="1270"/>
      <c r="M36" s="21"/>
      <c r="N36" s="20"/>
    </row>
    <row r="37" spans="1:14" ht="15.75" customHeight="1">
      <c r="A37" s="401"/>
      <c r="B37" s="1249" t="s">
        <v>195</v>
      </c>
      <c r="C37" s="1284">
        <f>CEILING((C36+75*$Z$1),0.1)</f>
        <v>256.3</v>
      </c>
      <c r="D37" s="1285"/>
      <c r="E37" s="1284">
        <f>CEILING((E36+75*$Z$1),0.1)</f>
        <v>306.3</v>
      </c>
      <c r="F37" s="1285"/>
      <c r="G37" s="1284">
        <f>CEILING((G36+75*$Z$1),0.1)</f>
        <v>281.3</v>
      </c>
      <c r="H37" s="1285"/>
      <c r="I37" s="1284">
        <f>CEILING((I36+75*$Z$1),0.1)</f>
        <v>293.8</v>
      </c>
      <c r="J37" s="1285"/>
      <c r="K37" s="1284">
        <f>CEILING((K36+75*$Z$1),0.1)</f>
        <v>281.3</v>
      </c>
      <c r="L37" s="1285"/>
      <c r="M37" s="21"/>
      <c r="N37" s="20"/>
    </row>
    <row r="38" spans="1:14" ht="15.75" customHeight="1">
      <c r="A38" s="1250"/>
      <c r="B38" s="1246" t="s">
        <v>607</v>
      </c>
      <c r="C38" s="1266">
        <f>CEILING(150*$Z$1,0.1)</f>
        <v>187.5</v>
      </c>
      <c r="D38" s="1267"/>
      <c r="E38" s="1266">
        <f>CEILING(190*$Z$1,0.1)</f>
        <v>237.5</v>
      </c>
      <c r="F38" s="1267"/>
      <c r="G38" s="1266">
        <f>CEILING(170*$Z$1,0.1)</f>
        <v>212.5</v>
      </c>
      <c r="H38" s="1267"/>
      <c r="I38" s="1266">
        <f>CEILING(180*$Z$1,0.1)</f>
        <v>225</v>
      </c>
      <c r="J38" s="1267"/>
      <c r="K38" s="1266">
        <f>CEILING(170*$Z$1,0.1)</f>
        <v>212.5</v>
      </c>
      <c r="L38" s="1267"/>
      <c r="M38" s="21"/>
      <c r="N38" s="20"/>
    </row>
    <row r="39" spans="1:14" ht="16.5" customHeight="1">
      <c r="A39" s="1251"/>
      <c r="B39" s="1246" t="s">
        <v>608</v>
      </c>
      <c r="C39" s="1268">
        <f>CEILING((C38+85*$Z$1),0.1)</f>
        <v>293.8</v>
      </c>
      <c r="D39" s="1270"/>
      <c r="E39" s="1268">
        <f>CEILING((E38+85*$Z$1),0.1)</f>
        <v>343.8</v>
      </c>
      <c r="F39" s="1270"/>
      <c r="G39" s="1268">
        <f>CEILING((G38+85*$Z$1),0.1)</f>
        <v>318.8</v>
      </c>
      <c r="H39" s="1270"/>
      <c r="I39" s="1268">
        <f>CEILING((I38+85*$Z$1),0.1)</f>
        <v>331.3</v>
      </c>
      <c r="J39" s="1270"/>
      <c r="K39" s="1268">
        <f>CEILING((K38+85*$Z$1),0.1)</f>
        <v>318.8</v>
      </c>
      <c r="L39" s="1270"/>
      <c r="M39" s="21"/>
      <c r="N39" s="20"/>
    </row>
    <row r="40" spans="1:14" ht="16.5" customHeight="1">
      <c r="A40" s="1243"/>
      <c r="B40" s="1246" t="s">
        <v>609</v>
      </c>
      <c r="C40" s="1268">
        <f>CEILING(205*$Z$1,0.1)</f>
        <v>256.3</v>
      </c>
      <c r="D40" s="1270"/>
      <c r="E40" s="1268">
        <f>CEILING(245*$Z$1,0.1)</f>
        <v>306.3</v>
      </c>
      <c r="F40" s="1270"/>
      <c r="G40" s="1268">
        <f>CEILING(225*$Z$1,0.1)</f>
        <v>281.3</v>
      </c>
      <c r="H40" s="1270"/>
      <c r="I40" s="1268">
        <f>CEILING(235*$Z$1,0.1)</f>
        <v>293.8</v>
      </c>
      <c r="J40" s="1270"/>
      <c r="K40" s="1268">
        <f>CEILING(225*$Z$1,0.1)</f>
        <v>281.3</v>
      </c>
      <c r="L40" s="1270"/>
      <c r="M40" s="21"/>
      <c r="N40" s="20"/>
    </row>
    <row r="41" spans="1:14" ht="15.75" customHeight="1">
      <c r="A41" s="1243"/>
      <c r="B41" s="1246" t="s">
        <v>610</v>
      </c>
      <c r="C41" s="1268">
        <f>CEILING((C40+85*$Z$1),0.1)</f>
        <v>362.6</v>
      </c>
      <c r="D41" s="1270"/>
      <c r="E41" s="1268">
        <f>CEILING((E40+85*$Z$1),0.1)</f>
        <v>412.6</v>
      </c>
      <c r="F41" s="1270"/>
      <c r="G41" s="1268">
        <f>CEILING((G40+85*$Z$1),0.1)</f>
        <v>387.6</v>
      </c>
      <c r="H41" s="1270"/>
      <c r="I41" s="1268">
        <f>CEILING((I40+85*$Z$1),0.1)</f>
        <v>400.1</v>
      </c>
      <c r="J41" s="1270"/>
      <c r="K41" s="1268">
        <f>CEILING((K40+85*$Z$1),0.1)</f>
        <v>387.6</v>
      </c>
      <c r="L41" s="1270"/>
      <c r="M41" s="21"/>
      <c r="N41" s="20"/>
    </row>
    <row r="42" spans="1:14" ht="16.5" customHeight="1">
      <c r="A42" s="1243"/>
      <c r="B42" s="1249" t="s">
        <v>611</v>
      </c>
      <c r="C42" s="1284">
        <f>CEILING(930*$Z$1,0.1)</f>
        <v>1162.5</v>
      </c>
      <c r="D42" s="1285"/>
      <c r="E42" s="1284">
        <f>CEILING(930*$Z$1,0.1)</f>
        <v>1162.5</v>
      </c>
      <c r="F42" s="1285"/>
      <c r="G42" s="1284">
        <f>CEILING(930*$Z$1,0.1)</f>
        <v>1162.5</v>
      </c>
      <c r="H42" s="1285"/>
      <c r="I42" s="1284">
        <f>CEILING(930*$Z$1,0.1)</f>
        <v>1162.5</v>
      </c>
      <c r="J42" s="1285"/>
      <c r="K42" s="1284">
        <f>CEILING(930*$Z$1,0.1)</f>
        <v>1162.5</v>
      </c>
      <c r="L42" s="1285"/>
      <c r="M42" s="21"/>
      <c r="N42" s="20"/>
    </row>
    <row r="43" spans="1:14" ht="17.25" customHeight="1">
      <c r="A43" s="1243"/>
      <c r="B43" s="1246" t="s">
        <v>253</v>
      </c>
      <c r="C43" s="1266">
        <f>CEILING(170*$Z$1,0.1)</f>
        <v>212.5</v>
      </c>
      <c r="D43" s="1267"/>
      <c r="E43" s="1266">
        <f>CEILING(210*$Z$1,0.1)</f>
        <v>262.5</v>
      </c>
      <c r="F43" s="1267"/>
      <c r="G43" s="1266">
        <f>CEILING(190*$Z$1,0.1)</f>
        <v>237.5</v>
      </c>
      <c r="H43" s="1267"/>
      <c r="I43" s="1266">
        <f>CEILING(200*$Z$1,0.1)</f>
        <v>250</v>
      </c>
      <c r="J43" s="1267"/>
      <c r="K43" s="1266">
        <f>CEILING(190*$Z$1,0.1)</f>
        <v>237.5</v>
      </c>
      <c r="L43" s="1267"/>
      <c r="M43" s="21"/>
      <c r="N43" s="20"/>
    </row>
    <row r="44" spans="1:14" ht="16.5" customHeight="1">
      <c r="A44" s="1243"/>
      <c r="B44" s="1246" t="s">
        <v>254</v>
      </c>
      <c r="C44" s="1268">
        <f>CEILING((C43+85*$Z$1),0.1)</f>
        <v>318.8</v>
      </c>
      <c r="D44" s="1270"/>
      <c r="E44" s="1268">
        <f>CEILING((E43+85*$Z$1),0.1)</f>
        <v>368.8</v>
      </c>
      <c r="F44" s="1270"/>
      <c r="G44" s="1268">
        <f>CEILING((G43+85*$Z$1),0.1)</f>
        <v>343.8</v>
      </c>
      <c r="H44" s="1270"/>
      <c r="I44" s="1268">
        <f>CEILING((I43+85*$Z$1),0.1)</f>
        <v>356.3</v>
      </c>
      <c r="J44" s="1270"/>
      <c r="K44" s="1268">
        <f>CEILING((K43+75*$Z$1),0.1)</f>
        <v>331.3</v>
      </c>
      <c r="L44" s="1270"/>
      <c r="M44" s="21"/>
      <c r="N44" s="20"/>
    </row>
    <row r="45" spans="1:14" ht="16.5" customHeight="1">
      <c r="A45" s="1243"/>
      <c r="B45" s="1246" t="s">
        <v>255</v>
      </c>
      <c r="C45" s="1268">
        <f>CEILING(210*$Z$1,0.1)</f>
        <v>262.5</v>
      </c>
      <c r="D45" s="1270"/>
      <c r="E45" s="1268">
        <f>CEILING(250*$Z$1,0.1)</f>
        <v>312.5</v>
      </c>
      <c r="F45" s="1270"/>
      <c r="G45" s="1268">
        <f>CEILING(230*$Z$1,0.1)</f>
        <v>287.5</v>
      </c>
      <c r="H45" s="1270"/>
      <c r="I45" s="1268">
        <f>CEILING(240*$Z$1,0.1)</f>
        <v>300</v>
      </c>
      <c r="J45" s="1270"/>
      <c r="K45" s="1268">
        <f>CEILING(230*$Z$1,0.1)</f>
        <v>287.5</v>
      </c>
      <c r="L45" s="1270"/>
      <c r="M45" s="21"/>
      <c r="N45" s="20"/>
    </row>
    <row r="46" spans="1:14" ht="16.5" customHeight="1">
      <c r="A46" s="1252"/>
      <c r="B46" s="1246" t="s">
        <v>256</v>
      </c>
      <c r="C46" s="1268">
        <f>CEILING((C45+85*$Z$1),0.1)</f>
        <v>368.8</v>
      </c>
      <c r="D46" s="1270"/>
      <c r="E46" s="1268">
        <f>CEILING((E45+85*$Z$1),0.1)</f>
        <v>418.8</v>
      </c>
      <c r="F46" s="1270"/>
      <c r="G46" s="1268">
        <f>CEILING((G45+85*$Z$1),0.1)</f>
        <v>393.8</v>
      </c>
      <c r="H46" s="1270"/>
      <c r="I46" s="1268">
        <f>CEILING((I45+85*$Z$1),0.1)</f>
        <v>406.3</v>
      </c>
      <c r="J46" s="1270"/>
      <c r="K46" s="1268">
        <f>CEILING((K45+85*$Z$1),0.1)</f>
        <v>393.8</v>
      </c>
      <c r="L46" s="1270"/>
      <c r="M46" s="21"/>
      <c r="N46" s="20"/>
    </row>
    <row r="47" spans="1:25" s="404" customFormat="1" ht="16.5" customHeight="1">
      <c r="A47" s="1252"/>
      <c r="B47" s="1246" t="s">
        <v>612</v>
      </c>
      <c r="C47" s="1284">
        <f>CEILING(1080*$Z$1,0.1)</f>
        <v>1350</v>
      </c>
      <c r="D47" s="1285"/>
      <c r="E47" s="1268">
        <f>CEILING(1080*$Z$1,0.1)</f>
        <v>1350</v>
      </c>
      <c r="F47" s="1270"/>
      <c r="G47" s="1268">
        <f>CEILING(1080*$Z$1,0.1)</f>
        <v>1350</v>
      </c>
      <c r="H47" s="1270"/>
      <c r="I47" s="1268">
        <f>CEILING(1080*$Z$1,0.1)</f>
        <v>1350</v>
      </c>
      <c r="J47" s="1270"/>
      <c r="K47" s="1268">
        <f>CEILING(1080*$Z$1,0.1)</f>
        <v>1350</v>
      </c>
      <c r="L47" s="1270"/>
      <c r="M47" s="21"/>
      <c r="N47" s="20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479" customFormat="1" ht="16.5" customHeight="1">
      <c r="A48" s="1252"/>
      <c r="B48" s="1253" t="s">
        <v>886</v>
      </c>
      <c r="C48" s="1415">
        <v>0.15</v>
      </c>
      <c r="D48" s="1416"/>
      <c r="E48" s="1415">
        <v>0.15</v>
      </c>
      <c r="F48" s="1416"/>
      <c r="G48" s="1415">
        <v>0.15</v>
      </c>
      <c r="H48" s="1416"/>
      <c r="I48" s="1415">
        <v>0.15</v>
      </c>
      <c r="J48" s="1416"/>
      <c r="K48" s="1415">
        <v>0.15</v>
      </c>
      <c r="L48" s="1416"/>
      <c r="M48" s="20"/>
      <c r="N48" s="2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</row>
    <row r="49" spans="1:25" s="404" customFormat="1" ht="18" customHeight="1">
      <c r="A49" s="1254"/>
      <c r="B49" s="1255" t="s">
        <v>885</v>
      </c>
      <c r="C49" s="1365">
        <v>0.2</v>
      </c>
      <c r="D49" s="1366"/>
      <c r="E49" s="1365">
        <v>0.2</v>
      </c>
      <c r="F49" s="1366"/>
      <c r="G49" s="1365">
        <v>0.2</v>
      </c>
      <c r="H49" s="1366"/>
      <c r="I49" s="1365">
        <v>0.2</v>
      </c>
      <c r="J49" s="1366"/>
      <c r="K49" s="1365">
        <v>0.2</v>
      </c>
      <c r="L49" s="1366"/>
      <c r="M49" s="20"/>
      <c r="N49" s="20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404" customFormat="1" ht="16.5" customHeight="1">
      <c r="A50" s="1256"/>
      <c r="B50" s="1255" t="s">
        <v>613</v>
      </c>
      <c r="C50" s="1365">
        <v>0.1</v>
      </c>
      <c r="D50" s="1366"/>
      <c r="E50" s="1365">
        <v>0.1</v>
      </c>
      <c r="F50" s="1366"/>
      <c r="G50" s="1365">
        <v>0.1</v>
      </c>
      <c r="H50" s="1366"/>
      <c r="I50" s="1365">
        <v>0.1</v>
      </c>
      <c r="J50" s="1366"/>
      <c r="K50" s="1365">
        <v>0.1</v>
      </c>
      <c r="L50" s="1366"/>
      <c r="M50" s="20"/>
      <c r="N50" s="20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:59" s="667" customFormat="1" ht="15">
      <c r="A51" s="145" t="s">
        <v>514</v>
      </c>
      <c r="B51" s="145"/>
      <c r="C51" s="22"/>
      <c r="D51" s="22"/>
      <c r="E51" s="22"/>
      <c r="F51" s="22"/>
      <c r="G51" s="22"/>
      <c r="H51" s="22"/>
      <c r="I51" s="23"/>
      <c r="J51" s="23"/>
      <c r="K51" s="94"/>
      <c r="L51" s="94"/>
      <c r="M51" s="342"/>
      <c r="N51" s="342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852"/>
      <c r="AM51" s="852"/>
      <c r="AN51" s="852"/>
      <c r="AO51" s="852"/>
      <c r="AP51" s="852"/>
      <c r="AQ51" s="852"/>
      <c r="AR51" s="852"/>
      <c r="AS51" s="852"/>
      <c r="AT51" s="852"/>
      <c r="AU51" s="852"/>
      <c r="AV51" s="852"/>
      <c r="AW51" s="852"/>
      <c r="AX51" s="852"/>
      <c r="AY51" s="852"/>
      <c r="AZ51" s="852"/>
      <c r="BA51" s="852"/>
      <c r="BB51" s="852"/>
      <c r="BC51" s="852"/>
      <c r="BD51" s="852"/>
      <c r="BE51" s="852"/>
      <c r="BF51" s="852"/>
      <c r="BG51" s="852"/>
    </row>
    <row r="52" spans="1:37" s="404" customFormat="1" ht="15">
      <c r="A52" s="145" t="s">
        <v>616</v>
      </c>
      <c r="B52" s="145"/>
      <c r="C52" s="22"/>
      <c r="D52" s="22"/>
      <c r="E52" s="22"/>
      <c r="F52" s="22"/>
      <c r="G52" s="22"/>
      <c r="H52" s="22"/>
      <c r="I52" s="23"/>
      <c r="J52" s="23"/>
      <c r="K52" s="94"/>
      <c r="L52" s="94"/>
      <c r="M52" s="20"/>
      <c r="N52" s="20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</row>
    <row r="53" spans="1:25" s="404" customFormat="1" ht="15">
      <c r="A53" s="172" t="s">
        <v>614</v>
      </c>
      <c r="B53" s="145"/>
      <c r="C53" s="22"/>
      <c r="D53" s="22"/>
      <c r="E53" s="22"/>
      <c r="F53" s="22"/>
      <c r="G53" s="22"/>
      <c r="H53" s="22"/>
      <c r="I53" s="23"/>
      <c r="J53" s="23"/>
      <c r="K53" s="94"/>
      <c r="L53" s="94"/>
      <c r="M53" s="20"/>
      <c r="N53" s="20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1:14" ht="15">
      <c r="A54" s="172" t="s">
        <v>615</v>
      </c>
      <c r="B54" s="145"/>
      <c r="C54" s="22"/>
      <c r="D54" s="22"/>
      <c r="E54" s="22"/>
      <c r="F54" s="22"/>
      <c r="G54" s="22"/>
      <c r="H54" s="22"/>
      <c r="I54" s="23"/>
      <c r="J54" s="23"/>
      <c r="K54" s="94"/>
      <c r="L54" s="94"/>
      <c r="M54" s="20"/>
      <c r="N54" s="20"/>
    </row>
    <row r="55" spans="1:25" s="479" customFormat="1" ht="15.75" thickBot="1">
      <c r="A55" s="1329"/>
      <c r="B55" s="1329"/>
      <c r="C55" s="1329"/>
      <c r="D55" s="1329"/>
      <c r="E55" s="1329"/>
      <c r="F55" s="1329"/>
      <c r="G55" s="1329"/>
      <c r="H55" s="1329"/>
      <c r="I55" s="1329"/>
      <c r="J55" s="1329"/>
      <c r="K55" s="1329"/>
      <c r="L55" s="1329"/>
      <c r="M55" s="20"/>
      <c r="N55" s="2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</row>
    <row r="56" spans="1:27" ht="21.75" customHeight="1" thickTop="1">
      <c r="A56" s="746" t="s">
        <v>43</v>
      </c>
      <c r="B56" s="814" t="s">
        <v>961</v>
      </c>
      <c r="C56" s="747" t="s">
        <v>884</v>
      </c>
      <c r="D56" s="748"/>
      <c r="E56" s="749" t="s">
        <v>883</v>
      </c>
      <c r="F56" s="750"/>
      <c r="G56" s="749" t="s">
        <v>880</v>
      </c>
      <c r="H56" s="750"/>
      <c r="I56" s="1273" t="s">
        <v>881</v>
      </c>
      <c r="J56" s="1274"/>
      <c r="K56" s="1273" t="s">
        <v>882</v>
      </c>
      <c r="L56" s="1274"/>
      <c r="M56" s="1323"/>
      <c r="N56" s="1328"/>
      <c r="O56" s="342"/>
      <c r="P56" s="342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</row>
    <row r="57" spans="1:27" ht="15">
      <c r="A57" s="203" t="s">
        <v>48</v>
      </c>
      <c r="B57" s="26" t="s">
        <v>364</v>
      </c>
      <c r="C57" s="1266">
        <f>CEILING(90*$Z$1,0.1)</f>
        <v>112.5</v>
      </c>
      <c r="D57" s="1267"/>
      <c r="E57" s="1266">
        <f>CEILING(150*$Z$1,0.1)</f>
        <v>187.5</v>
      </c>
      <c r="F57" s="1267"/>
      <c r="G57" s="1266">
        <f>CEILING(125*$Z$1,0.1)</f>
        <v>156.3</v>
      </c>
      <c r="H57" s="1267"/>
      <c r="I57" s="1266">
        <f>CEILING(130*$Z$1,0.1)</f>
        <v>162.5</v>
      </c>
      <c r="J57" s="1267"/>
      <c r="K57" s="1268">
        <f>CEILING(90*$Z$1,0.1)</f>
        <v>112.5</v>
      </c>
      <c r="L57" s="1270"/>
      <c r="M57" s="1268"/>
      <c r="N57" s="1269"/>
      <c r="O57" s="342"/>
      <c r="P57" s="342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</row>
    <row r="58" spans="1:27" ht="16.5" customHeight="1">
      <c r="A58" s="203"/>
      <c r="B58" s="26" t="s">
        <v>46</v>
      </c>
      <c r="C58" s="1268">
        <f>CEILING((C57+60*$Z$1),0.1)</f>
        <v>187.5</v>
      </c>
      <c r="D58" s="1270"/>
      <c r="E58" s="1268">
        <f>CEILING((E57+60*$Z$1),0.1)</f>
        <v>262.5</v>
      </c>
      <c r="F58" s="1270"/>
      <c r="G58" s="1268">
        <f>CEILING((G57+60*$Z$1),0.1)</f>
        <v>231.3</v>
      </c>
      <c r="H58" s="1270"/>
      <c r="I58" s="1268">
        <f>CEILING((I57+60*$Z$1),0.1)</f>
        <v>237.5</v>
      </c>
      <c r="J58" s="1270"/>
      <c r="K58" s="1268">
        <f>CEILING((K57+60*$Z$1),0.1)</f>
        <v>187.5</v>
      </c>
      <c r="L58" s="1270"/>
      <c r="M58" s="1268"/>
      <c r="N58" s="1269"/>
      <c r="O58" s="342"/>
      <c r="P58" s="342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</row>
    <row r="59" spans="1:27" ht="16.5" customHeight="1">
      <c r="A59" s="28" t="s">
        <v>45</v>
      </c>
      <c r="B59" s="26" t="s">
        <v>340</v>
      </c>
      <c r="C59" s="1268">
        <f>CEILING(145*$Z$1,0.1)</f>
        <v>181.3</v>
      </c>
      <c r="D59" s="1270"/>
      <c r="E59" s="1268">
        <f>CEILING(205*$Z$1,0.1)</f>
        <v>256.3</v>
      </c>
      <c r="F59" s="1270"/>
      <c r="G59" s="1268">
        <f>CEILING(180*$Z$1,0.1)</f>
        <v>225</v>
      </c>
      <c r="H59" s="1270"/>
      <c r="I59" s="1268">
        <f>CEILING(185*$Z$1,0.1)</f>
        <v>231.3</v>
      </c>
      <c r="J59" s="1270"/>
      <c r="K59" s="1268">
        <f>CEILING(145*$Z$1,0.1)</f>
        <v>181.3</v>
      </c>
      <c r="L59" s="1270"/>
      <c r="M59" s="1268"/>
      <c r="N59" s="1269"/>
      <c r="O59" s="342"/>
      <c r="P59" s="342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</row>
    <row r="60" spans="1:27" ht="16.5" customHeight="1">
      <c r="A60" s="28"/>
      <c r="B60" s="26" t="s">
        <v>341</v>
      </c>
      <c r="C60" s="1268">
        <f>CEILING((C59+60*$Z$1),0.1)</f>
        <v>256.3</v>
      </c>
      <c r="D60" s="1270"/>
      <c r="E60" s="1268">
        <f>CEILING((E59+60*$Z$1),0.1)</f>
        <v>331.3</v>
      </c>
      <c r="F60" s="1270"/>
      <c r="G60" s="1268">
        <f>CEILING((G59+60*$Z$1),0.1)</f>
        <v>300</v>
      </c>
      <c r="H60" s="1270"/>
      <c r="I60" s="1268">
        <f>CEILING((I59+60*$Z$1),0.1)</f>
        <v>306.3</v>
      </c>
      <c r="J60" s="1270"/>
      <c r="K60" s="1268">
        <f>CEILING((K59+60*$Z$1),0.1)</f>
        <v>256.3</v>
      </c>
      <c r="L60" s="1270"/>
      <c r="M60" s="1268"/>
      <c r="N60" s="1269"/>
      <c r="O60" s="342"/>
      <c r="P60" s="342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</row>
    <row r="61" spans="1:27" ht="17.25" customHeight="1">
      <c r="A61" s="168"/>
      <c r="B61" s="29" t="s">
        <v>307</v>
      </c>
      <c r="C61" s="1268">
        <f>CEILING(175*$Z$1,0.1)</f>
        <v>218.8</v>
      </c>
      <c r="D61" s="1270"/>
      <c r="E61" s="1268">
        <f>CEILING(235*$Z$1,0.1)</f>
        <v>293.8</v>
      </c>
      <c r="F61" s="1270"/>
      <c r="G61" s="1268">
        <f>CEILING(210*$Z$1,0.1)</f>
        <v>262.5</v>
      </c>
      <c r="H61" s="1270"/>
      <c r="I61" s="1268">
        <f>CEILING(215*$Z$1,0.1)</f>
        <v>268.8</v>
      </c>
      <c r="J61" s="1270"/>
      <c r="K61" s="1268">
        <f>CEILING(175*$Z$1,0.1)</f>
        <v>218.8</v>
      </c>
      <c r="L61" s="1270"/>
      <c r="M61" s="1268"/>
      <c r="N61" s="1269"/>
      <c r="O61" s="342"/>
      <c r="P61" s="342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</row>
    <row r="62" spans="1:27" ht="16.5" customHeight="1">
      <c r="A62" s="202"/>
      <c r="B62" s="29" t="s">
        <v>302</v>
      </c>
      <c r="C62" s="1268">
        <f>CEILING(180*$Z$1,0.1)</f>
        <v>225</v>
      </c>
      <c r="D62" s="1270"/>
      <c r="E62" s="1268">
        <f>CEILING(240*$Z$1,0.1)</f>
        <v>300</v>
      </c>
      <c r="F62" s="1270"/>
      <c r="G62" s="1268">
        <f>CEILING(215*$Z$1,0.1)</f>
        <v>268.8</v>
      </c>
      <c r="H62" s="1270"/>
      <c r="I62" s="1268">
        <f>CEILING(220*$Z$1,0.1)</f>
        <v>275</v>
      </c>
      <c r="J62" s="1270"/>
      <c r="K62" s="1268">
        <f>CEILING(180*$Z$1,0.1)</f>
        <v>225</v>
      </c>
      <c r="L62" s="1270"/>
      <c r="M62" s="1268"/>
      <c r="N62" s="1269"/>
      <c r="O62" s="1016"/>
      <c r="P62" s="1016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</row>
    <row r="63" spans="1:27" ht="16.5" customHeight="1">
      <c r="A63" s="264"/>
      <c r="B63" s="29" t="s">
        <v>365</v>
      </c>
      <c r="C63" s="1268">
        <f>CEILING(190*$Z$1,0.1)</f>
        <v>237.5</v>
      </c>
      <c r="D63" s="1270"/>
      <c r="E63" s="1268">
        <f>CEILING(250*$Z$1,0.1)</f>
        <v>312.5</v>
      </c>
      <c r="F63" s="1270"/>
      <c r="G63" s="1268">
        <f>CEILING(225*$Z$1,0.1)</f>
        <v>281.3</v>
      </c>
      <c r="H63" s="1270"/>
      <c r="I63" s="1268">
        <f>CEILING(230*$Z$1,0.1)</f>
        <v>287.5</v>
      </c>
      <c r="J63" s="1270"/>
      <c r="K63" s="1268">
        <f>CEILING(190*$Z$1,0.1)</f>
        <v>237.5</v>
      </c>
      <c r="L63" s="1270"/>
      <c r="M63" s="1268"/>
      <c r="N63" s="1269"/>
      <c r="O63" s="342"/>
      <c r="P63" s="389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</row>
    <row r="64" spans="1:27" ht="16.5" customHeight="1">
      <c r="A64" s="168"/>
      <c r="B64" s="418" t="s">
        <v>515</v>
      </c>
      <c r="C64" s="1284">
        <f>CEILING(205*$Z$1,0.1)</f>
        <v>256.3</v>
      </c>
      <c r="D64" s="1285"/>
      <c r="E64" s="1284">
        <f>CEILING(265*$Z$1,0.1)</f>
        <v>331.3</v>
      </c>
      <c r="F64" s="1285"/>
      <c r="G64" s="1284">
        <f>CEILING(240*$Z$1,0.1)</f>
        <v>300</v>
      </c>
      <c r="H64" s="1285"/>
      <c r="I64" s="1284">
        <f>CEILING(245*$Z$1,0.1)</f>
        <v>306.3</v>
      </c>
      <c r="J64" s="1285"/>
      <c r="K64" s="1284">
        <f>CEILING(205*$Z$1,0.1)</f>
        <v>256.3</v>
      </c>
      <c r="L64" s="1285"/>
      <c r="M64" s="1268"/>
      <c r="N64" s="1269"/>
      <c r="O64" s="342"/>
      <c r="P64" s="389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</row>
    <row r="65" spans="1:27" s="479" customFormat="1" ht="16.5" customHeight="1">
      <c r="A65" s="643"/>
      <c r="B65" s="29" t="s">
        <v>617</v>
      </c>
      <c r="C65" s="1266">
        <f>CEILING(940*$Z$1,0.1)</f>
        <v>1175</v>
      </c>
      <c r="D65" s="1267"/>
      <c r="E65" s="1266">
        <f>CEILING(940*$Z$1,0.1)</f>
        <v>1175</v>
      </c>
      <c r="F65" s="1267"/>
      <c r="G65" s="1266">
        <f>CEILING(940*$Z$1,0.1)</f>
        <v>1175</v>
      </c>
      <c r="H65" s="1267"/>
      <c r="I65" s="1266">
        <f>CEILING(940*$Z$1,0.1)</f>
        <v>1175</v>
      </c>
      <c r="J65" s="1267"/>
      <c r="K65" s="1266">
        <f>CEILING(940*$Z$1,0.1)</f>
        <v>1175</v>
      </c>
      <c r="L65" s="1267"/>
      <c r="M65" s="1268"/>
      <c r="N65" s="1269"/>
      <c r="O65" s="342"/>
      <c r="P65" s="389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</row>
    <row r="66" spans="1:27" s="479" customFormat="1" ht="16.5" customHeight="1">
      <c r="A66" s="209"/>
      <c r="B66" s="29" t="s">
        <v>618</v>
      </c>
      <c r="C66" s="1284">
        <f>CEILING(1300*$Z$1,0.1)</f>
        <v>1625</v>
      </c>
      <c r="D66" s="1285"/>
      <c r="E66" s="1268">
        <f>CEILING(1300*$Z$1,0.1)</f>
        <v>1625</v>
      </c>
      <c r="F66" s="1270"/>
      <c r="G66" s="1268">
        <f>CEILING(1300*$Z$1,0.1)</f>
        <v>1625</v>
      </c>
      <c r="H66" s="1270"/>
      <c r="I66" s="1268">
        <f>CEILING(1300*$Z$1,0.1)</f>
        <v>1625</v>
      </c>
      <c r="J66" s="1270"/>
      <c r="K66" s="1268">
        <f>CEILING(1300*$Z$1,0.1)</f>
        <v>1625</v>
      </c>
      <c r="L66" s="1270"/>
      <c r="M66" s="1268"/>
      <c r="N66" s="1269"/>
      <c r="O66" s="342"/>
      <c r="P66" s="389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</row>
    <row r="67" spans="1:27" s="479" customFormat="1" ht="16.5" customHeight="1">
      <c r="A67" s="209"/>
      <c r="B67" s="754" t="s">
        <v>886</v>
      </c>
      <c r="C67" s="1415">
        <v>0.15</v>
      </c>
      <c r="D67" s="1416"/>
      <c r="E67" s="1415">
        <v>0.15</v>
      </c>
      <c r="F67" s="1416"/>
      <c r="G67" s="1415">
        <v>0.15</v>
      </c>
      <c r="H67" s="1416"/>
      <c r="I67" s="1415">
        <v>0.15</v>
      </c>
      <c r="J67" s="1416"/>
      <c r="K67" s="1415">
        <v>0.15</v>
      </c>
      <c r="L67" s="1416"/>
      <c r="M67" s="1268"/>
      <c r="N67" s="1269"/>
      <c r="O67" s="342"/>
      <c r="P67" s="389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</row>
    <row r="68" spans="1:27" s="404" customFormat="1" ht="18" customHeight="1">
      <c r="A68" s="448"/>
      <c r="B68" s="755" t="s">
        <v>888</v>
      </c>
      <c r="C68" s="1365">
        <v>0.2</v>
      </c>
      <c r="D68" s="1366"/>
      <c r="E68" s="1345">
        <v>0.2</v>
      </c>
      <c r="F68" s="1345"/>
      <c r="G68" s="1345">
        <v>0.2</v>
      </c>
      <c r="H68" s="1345"/>
      <c r="I68" s="1345">
        <v>0.2</v>
      </c>
      <c r="J68" s="1345"/>
      <c r="K68" s="1345">
        <v>0.2</v>
      </c>
      <c r="L68" s="1345"/>
      <c r="M68" s="1386"/>
      <c r="N68" s="1575"/>
      <c r="O68" s="342"/>
      <c r="P68" s="389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</row>
    <row r="69" spans="1:27" ht="18.75" customHeight="1" thickBot="1">
      <c r="A69" s="254" t="s">
        <v>423</v>
      </c>
      <c r="B69" s="904" t="s">
        <v>620</v>
      </c>
      <c r="C69" s="1350">
        <v>0.1</v>
      </c>
      <c r="D69" s="1351"/>
      <c r="E69" s="1413">
        <v>0.1</v>
      </c>
      <c r="F69" s="1413"/>
      <c r="G69" s="1413">
        <v>0.1</v>
      </c>
      <c r="H69" s="1413"/>
      <c r="I69" s="1413">
        <v>0.1</v>
      </c>
      <c r="J69" s="1413"/>
      <c r="K69" s="1413">
        <v>0.1</v>
      </c>
      <c r="L69" s="1413"/>
      <c r="M69" s="1386"/>
      <c r="N69" s="1575"/>
      <c r="O69" s="342"/>
      <c r="P69" s="389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</row>
    <row r="70" spans="1:27" s="192" customFormat="1" ht="18.75" customHeight="1" thickTop="1">
      <c r="A70" s="1423" t="s">
        <v>887</v>
      </c>
      <c r="B70" s="1423"/>
      <c r="C70" s="1423"/>
      <c r="D70" s="1423"/>
      <c r="E70" s="1423"/>
      <c r="F70" s="1423"/>
      <c r="G70" s="1423"/>
      <c r="H70" s="1423"/>
      <c r="I70" s="31"/>
      <c r="J70" s="31"/>
      <c r="K70" s="94"/>
      <c r="L70" s="94"/>
      <c r="M70" s="342"/>
      <c r="N70" s="389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</row>
    <row r="71" spans="1:27" s="479" customFormat="1" ht="18.75" customHeight="1">
      <c r="A71" s="1423" t="s">
        <v>359</v>
      </c>
      <c r="B71" s="1423"/>
      <c r="C71" s="1423"/>
      <c r="D71" s="1423"/>
      <c r="E71" s="1423"/>
      <c r="F71" s="1423"/>
      <c r="G71" s="1423"/>
      <c r="H71" s="1423"/>
      <c r="I71" s="31"/>
      <c r="J71" s="31"/>
      <c r="K71" s="94"/>
      <c r="L71" s="94"/>
      <c r="M71" s="342"/>
      <c r="N71" s="389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</row>
    <row r="72" spans="1:25" s="479" customFormat="1" ht="18.75" customHeight="1">
      <c r="A72" s="172" t="s">
        <v>619</v>
      </c>
      <c r="B72" s="475"/>
      <c r="C72" s="475"/>
      <c r="D72" s="475"/>
      <c r="E72" s="475"/>
      <c r="F72" s="475"/>
      <c r="G72" s="475"/>
      <c r="H72" s="475"/>
      <c r="I72" s="31"/>
      <c r="J72" s="31"/>
      <c r="K72" s="94"/>
      <c r="L72" s="94"/>
      <c r="M72" s="16"/>
      <c r="N72" s="158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</row>
    <row r="73" spans="1:25" s="479" customFormat="1" ht="15">
      <c r="A73" s="172" t="s">
        <v>621</v>
      </c>
      <c r="B73" s="753"/>
      <c r="C73" s="753"/>
      <c r="D73" s="753"/>
      <c r="E73" s="753"/>
      <c r="F73" s="753"/>
      <c r="G73" s="753"/>
      <c r="H73" s="753"/>
      <c r="I73" s="31"/>
      <c r="J73" s="31"/>
      <c r="K73" s="94"/>
      <c r="L73" s="94"/>
      <c r="M73" s="16"/>
      <c r="N73" s="158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</row>
    <row r="74" spans="1:25" s="479" customFormat="1" ht="15.75" thickBot="1">
      <c r="A74" s="1329"/>
      <c r="B74" s="1329"/>
      <c r="C74" s="1329"/>
      <c r="D74" s="1329"/>
      <c r="E74" s="1329"/>
      <c r="F74" s="1329"/>
      <c r="G74" s="1329"/>
      <c r="H74" s="1329"/>
      <c r="I74" s="1329"/>
      <c r="J74" s="1329"/>
      <c r="K74" s="1329"/>
      <c r="L74" s="1329"/>
      <c r="M74" s="342"/>
      <c r="N74" s="342"/>
      <c r="O74" s="335"/>
      <c r="P74" s="335"/>
      <c r="Q74" s="480"/>
      <c r="R74" s="480"/>
      <c r="S74" s="480"/>
      <c r="T74" s="480"/>
      <c r="U74" s="480"/>
      <c r="V74" s="480"/>
      <c r="W74" s="480"/>
      <c r="X74" s="480"/>
      <c r="Y74" s="480"/>
    </row>
    <row r="75" spans="1:27" s="479" customFormat="1" ht="21.75" customHeight="1" thickTop="1">
      <c r="A75" s="746" t="s">
        <v>43</v>
      </c>
      <c r="B75" s="814" t="s">
        <v>961</v>
      </c>
      <c r="C75" s="747" t="s">
        <v>884</v>
      </c>
      <c r="D75" s="748"/>
      <c r="E75" s="749" t="s">
        <v>883</v>
      </c>
      <c r="F75" s="750"/>
      <c r="G75" s="749" t="s">
        <v>880</v>
      </c>
      <c r="H75" s="750"/>
      <c r="I75" s="1273" t="s">
        <v>881</v>
      </c>
      <c r="J75" s="1274"/>
      <c r="K75" s="1273" t="s">
        <v>882</v>
      </c>
      <c r="L75" s="1274"/>
      <c r="M75" s="1323"/>
      <c r="N75" s="1328"/>
      <c r="O75" s="342"/>
      <c r="P75" s="342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16" ht="15">
      <c r="A76" s="265" t="s">
        <v>50</v>
      </c>
      <c r="B76" s="266" t="s">
        <v>293</v>
      </c>
      <c r="C76" s="1266">
        <f>CEILING(110*$Z$1,0.1)</f>
        <v>137.5</v>
      </c>
      <c r="D76" s="1267"/>
      <c r="E76" s="1266">
        <f>CEILING(160*$Z$1,0.1)</f>
        <v>200</v>
      </c>
      <c r="F76" s="1267"/>
      <c r="G76" s="1268">
        <f>CEILING(135*$Z$1,0.1)</f>
        <v>168.8</v>
      </c>
      <c r="H76" s="1269"/>
      <c r="I76" s="1348">
        <f>CEILING(88*$Z$1,0.1)</f>
        <v>110</v>
      </c>
      <c r="J76" s="1414"/>
      <c r="K76" s="1268">
        <f>CEILING(74*$Z$1,0.1)</f>
        <v>92.5</v>
      </c>
      <c r="L76" s="1270"/>
      <c r="M76" s="1268"/>
      <c r="N76" s="1269"/>
      <c r="O76" s="335"/>
      <c r="P76" s="335"/>
    </row>
    <row r="77" spans="1:16" ht="15">
      <c r="A77" s="267" t="s">
        <v>45</v>
      </c>
      <c r="B77" s="268" t="s">
        <v>294</v>
      </c>
      <c r="C77" s="1268">
        <f>CEILING((C76+65*$Z$1),0.1)</f>
        <v>218.8</v>
      </c>
      <c r="D77" s="1270"/>
      <c r="E77" s="1268">
        <f>CEILING((E76+65*$Z$1),0.1)</f>
        <v>281.3</v>
      </c>
      <c r="F77" s="1270"/>
      <c r="G77" s="1268">
        <f>CEILING((G76+65*$Z$1),0.1)</f>
        <v>250.10000000000002</v>
      </c>
      <c r="H77" s="1270"/>
      <c r="I77" s="1348">
        <f>CEILING((I76+65*$Z$1),0.1)</f>
        <v>191.3</v>
      </c>
      <c r="J77" s="1349"/>
      <c r="K77" s="1268">
        <f>CEILING((K76+65*$Z$1),0.1)</f>
        <v>173.8</v>
      </c>
      <c r="L77" s="1270"/>
      <c r="M77" s="1268"/>
      <c r="N77" s="1269"/>
      <c r="O77" s="335"/>
      <c r="P77" s="335"/>
    </row>
    <row r="78" spans="1:16" ht="15">
      <c r="A78" s="531"/>
      <c r="B78" s="269" t="s">
        <v>47</v>
      </c>
      <c r="C78" s="1268">
        <f>CEILING((C76*0.85),0.1)</f>
        <v>116.9</v>
      </c>
      <c r="D78" s="1270"/>
      <c r="E78" s="1268">
        <f>CEILING((E76*0.85),0.1)</f>
        <v>170</v>
      </c>
      <c r="F78" s="1270"/>
      <c r="G78" s="1268">
        <f>CEILING((G76*0.85),0.1)</f>
        <v>143.5</v>
      </c>
      <c r="H78" s="1270"/>
      <c r="I78" s="1348">
        <f>CEILING((I76*0.85),0.1)</f>
        <v>93.5</v>
      </c>
      <c r="J78" s="1349"/>
      <c r="K78" s="1268">
        <f>CEILING((K76*0.85),0.1)</f>
        <v>78.7</v>
      </c>
      <c r="L78" s="1270"/>
      <c r="M78" s="1268"/>
      <c r="N78" s="1269"/>
      <c r="O78" s="335"/>
      <c r="P78" s="335"/>
    </row>
    <row r="79" spans="1:16" ht="15">
      <c r="A79" s="461" t="s">
        <v>1333</v>
      </c>
      <c r="B79" s="270" t="s">
        <v>299</v>
      </c>
      <c r="C79" s="1268">
        <f>CEILING(140*$Z$1,0.1)</f>
        <v>175</v>
      </c>
      <c r="D79" s="1270"/>
      <c r="E79" s="1268">
        <f>CEILING(190*$Z$1,0.1)</f>
        <v>237.5</v>
      </c>
      <c r="F79" s="1270"/>
      <c r="G79" s="1268">
        <f>CEILING(165*$Z$1,0.1)</f>
        <v>206.3</v>
      </c>
      <c r="H79" s="1270"/>
      <c r="I79" s="1348">
        <f>CEILING(107*$Z$1,0.1)</f>
        <v>133.8</v>
      </c>
      <c r="J79" s="1349"/>
      <c r="K79" s="1268">
        <f>CEILING(95*$Z$1,0.1)</f>
        <v>118.80000000000001</v>
      </c>
      <c r="L79" s="1270"/>
      <c r="M79" s="1268"/>
      <c r="N79" s="1269"/>
      <c r="O79" s="335"/>
      <c r="P79" s="335"/>
    </row>
    <row r="80" spans="1:16" ht="15">
      <c r="A80" s="398"/>
      <c r="B80" s="270" t="s">
        <v>300</v>
      </c>
      <c r="C80" s="1268">
        <f>CEILING((C79+65*$Z$1),0.1)</f>
        <v>256.3</v>
      </c>
      <c r="D80" s="1270"/>
      <c r="E80" s="1268">
        <f>CEILING((E79+65*$Z$1),0.1)</f>
        <v>318.8</v>
      </c>
      <c r="F80" s="1270"/>
      <c r="G80" s="1268">
        <f>CEILING((G79+65*$Z$1),0.1)</f>
        <v>287.6</v>
      </c>
      <c r="H80" s="1270"/>
      <c r="I80" s="1348">
        <f>CEILING((I79+65*$Z$1),0.1)</f>
        <v>215.10000000000002</v>
      </c>
      <c r="J80" s="1349"/>
      <c r="K80" s="1268">
        <f>CEILING((K79+65*$Z$1),0.1)</f>
        <v>200.10000000000002</v>
      </c>
      <c r="L80" s="1270"/>
      <c r="M80" s="1268"/>
      <c r="N80" s="1269"/>
      <c r="O80" s="335"/>
      <c r="P80" s="335"/>
    </row>
    <row r="81" spans="1:16" ht="15.75" customHeight="1">
      <c r="A81" s="398"/>
      <c r="B81" s="270" t="s">
        <v>44</v>
      </c>
      <c r="C81" s="1268">
        <f>CEILING(150*$Z$1,0.1)</f>
        <v>187.5</v>
      </c>
      <c r="D81" s="1270"/>
      <c r="E81" s="1268">
        <f>CEILING(200*$Z$1,0.1)</f>
        <v>250</v>
      </c>
      <c r="F81" s="1270"/>
      <c r="G81" s="1268">
        <f>CEILING(175*$Z$1,0.1)</f>
        <v>218.8</v>
      </c>
      <c r="H81" s="1270"/>
      <c r="I81" s="1348">
        <f>CEILING(114*$Z$1,0.1)</f>
        <v>142.5</v>
      </c>
      <c r="J81" s="1349"/>
      <c r="K81" s="1268">
        <f>CEILING(102*$Z$1,0.1)</f>
        <v>127.5</v>
      </c>
      <c r="L81" s="1270"/>
      <c r="M81" s="1268"/>
      <c r="N81" s="1269"/>
      <c r="O81" s="335"/>
      <c r="P81" s="335"/>
    </row>
    <row r="82" spans="1:15" ht="15.75" customHeight="1" thickBot="1">
      <c r="A82" s="254" t="s">
        <v>423</v>
      </c>
      <c r="B82" s="417" t="s">
        <v>46</v>
      </c>
      <c r="C82" s="1275">
        <f>CEILING((C81+75*$Z$1),0.1)</f>
        <v>281.3</v>
      </c>
      <c r="D82" s="1277"/>
      <c r="E82" s="1275">
        <f>CEILING((E81+75*$Z$1),0.1)</f>
        <v>343.8</v>
      </c>
      <c r="F82" s="1277"/>
      <c r="G82" s="1275">
        <f>CEILING((G81+75*$Z$1),0.1)</f>
        <v>312.6</v>
      </c>
      <c r="H82" s="1277"/>
      <c r="I82" s="1417">
        <f>CEILING((I81+75*$Z$1),0.1)</f>
        <v>236.3</v>
      </c>
      <c r="J82" s="1418"/>
      <c r="K82" s="1275">
        <f>CEILING((K81+75*$Z$1),0.1)</f>
        <v>221.3</v>
      </c>
      <c r="L82" s="1277"/>
      <c r="M82" s="1268"/>
      <c r="N82" s="1269"/>
      <c r="O82" s="189"/>
    </row>
    <row r="83" spans="1:14" ht="15.75" thickTop="1">
      <c r="A83" s="1419"/>
      <c r="B83" s="1419"/>
      <c r="C83" s="1419"/>
      <c r="D83" s="1419"/>
      <c r="E83" s="1419"/>
      <c r="F83" s="1419"/>
      <c r="G83" s="1419"/>
      <c r="H83" s="1419"/>
      <c r="I83" s="1419"/>
      <c r="J83" s="1419"/>
      <c r="K83" s="416"/>
      <c r="L83" s="416"/>
      <c r="M83" s="342"/>
      <c r="N83" s="342"/>
    </row>
    <row r="84" spans="1:15" ht="15">
      <c r="A84" s="216" t="s">
        <v>622</v>
      </c>
      <c r="B84" s="131" t="s">
        <v>505</v>
      </c>
      <c r="C84" s="1266">
        <f>CEILING(140*$Z$1,0.1)</f>
        <v>175</v>
      </c>
      <c r="D84" s="1267"/>
      <c r="E84" s="1266">
        <f>CEILING(190*$Z$1,0.1)</f>
        <v>237.5</v>
      </c>
      <c r="F84" s="1267"/>
      <c r="G84" s="1266">
        <f>CEILING(165*$Z$1,0.1)</f>
        <v>206.3</v>
      </c>
      <c r="H84" s="1267"/>
      <c r="I84" s="1421">
        <f>CEILING(108*$Z$1,0.1)</f>
        <v>135</v>
      </c>
      <c r="J84" s="1422"/>
      <c r="K84" s="1266">
        <f>CEILING(95*$Z$1,0.1)</f>
        <v>118.80000000000001</v>
      </c>
      <c r="L84" s="1267"/>
      <c r="M84" s="1268"/>
      <c r="N84" s="1269"/>
      <c r="O84" s="189"/>
    </row>
    <row r="85" spans="1:25" s="170" customFormat="1" ht="15">
      <c r="A85" s="756" t="s">
        <v>623</v>
      </c>
      <c r="B85" s="11" t="s">
        <v>506</v>
      </c>
      <c r="C85" s="1268">
        <f>CEILING((C84+90*$Z$1),0.1)</f>
        <v>287.5</v>
      </c>
      <c r="D85" s="1270"/>
      <c r="E85" s="1268">
        <f>CEILING((E84+90*$Z$1),0.1)</f>
        <v>350</v>
      </c>
      <c r="F85" s="1270"/>
      <c r="G85" s="1268">
        <f>CEILING((G84+90*$Z$1),0.1)</f>
        <v>318.8</v>
      </c>
      <c r="H85" s="1270"/>
      <c r="I85" s="1348">
        <f>CEILING((I84+90*$Z$1),0.1)</f>
        <v>247.5</v>
      </c>
      <c r="J85" s="1349"/>
      <c r="K85" s="1268">
        <f>CEILING((K84+90*$Z$1),0.1)</f>
        <v>231.3</v>
      </c>
      <c r="L85" s="1270"/>
      <c r="M85" s="1268"/>
      <c r="N85" s="1269"/>
      <c r="O85" s="18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1:25" s="170" customFormat="1" ht="15">
      <c r="A86" s="398"/>
      <c r="B86" s="10" t="s">
        <v>507</v>
      </c>
      <c r="C86" s="1268">
        <f>CEILING(160*$Z$1,0.1)</f>
        <v>200</v>
      </c>
      <c r="D86" s="1270"/>
      <c r="E86" s="1268">
        <f>CEILING(210*$Z$1,0.1)</f>
        <v>262.5</v>
      </c>
      <c r="F86" s="1270"/>
      <c r="G86" s="1268">
        <f>CEILING(185*$Z$1,0.1)</f>
        <v>231.3</v>
      </c>
      <c r="H86" s="1270"/>
      <c r="I86" s="1348">
        <f>CEILING(120*$Z$1,0.1)</f>
        <v>150</v>
      </c>
      <c r="J86" s="1349"/>
      <c r="K86" s="1268">
        <f>CEILING(109*$Z$1,0.1)</f>
        <v>136.3</v>
      </c>
      <c r="L86" s="1270"/>
      <c r="M86" s="473"/>
      <c r="N86" s="474"/>
      <c r="O86" s="18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1:25" s="170" customFormat="1" ht="15">
      <c r="A87" s="398"/>
      <c r="B87" s="10" t="s">
        <v>508</v>
      </c>
      <c r="C87" s="1268">
        <f>CEILING((C86+90*$Z$1),0.1)</f>
        <v>312.5</v>
      </c>
      <c r="D87" s="1270"/>
      <c r="E87" s="1268">
        <f>CEILING((E86+90*$Z$1),0.1)</f>
        <v>375</v>
      </c>
      <c r="F87" s="1270"/>
      <c r="G87" s="1268">
        <f>CEILING((G86+90*$Z$1),0.1)</f>
        <v>343.8</v>
      </c>
      <c r="H87" s="1270"/>
      <c r="I87" s="1348">
        <f>CEILING((I86+90*$Z$1),0.1)</f>
        <v>262.5</v>
      </c>
      <c r="J87" s="1349"/>
      <c r="K87" s="1268">
        <f>CEILING((K86+90*$Z$1),0.1)</f>
        <v>248.8</v>
      </c>
      <c r="L87" s="1270"/>
      <c r="M87" s="473"/>
      <c r="N87" s="474"/>
      <c r="O87" s="18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1:25" s="170" customFormat="1" ht="15">
      <c r="A88" s="531"/>
      <c r="B88" s="10" t="s">
        <v>625</v>
      </c>
      <c r="C88" s="1284">
        <f>CEILING(1000*$Z$1,0.1)</f>
        <v>1250</v>
      </c>
      <c r="D88" s="1285"/>
      <c r="E88" s="1268">
        <f>CEILING(1000*$Z$1,0.1)</f>
        <v>1250</v>
      </c>
      <c r="F88" s="1270"/>
      <c r="G88" s="1268">
        <f>CEILING(1000*$Z$1,0.1)</f>
        <v>1250</v>
      </c>
      <c r="H88" s="1270"/>
      <c r="I88" s="1268">
        <f>CEILING(1000*$Z$1,0.1)</f>
        <v>1250</v>
      </c>
      <c r="J88" s="1270"/>
      <c r="K88" s="1268">
        <f>CEILING(1000*$Z$1,0.1)</f>
        <v>1250</v>
      </c>
      <c r="L88" s="1270"/>
      <c r="M88" s="528"/>
      <c r="N88" s="529"/>
      <c r="O88" s="481"/>
      <c r="P88" s="480"/>
      <c r="Q88" s="480"/>
      <c r="R88" s="480"/>
      <c r="S88" s="480"/>
      <c r="T88" s="480"/>
      <c r="U88" s="480"/>
      <c r="V88" s="480"/>
      <c r="W88" s="480"/>
      <c r="X88" s="480"/>
      <c r="Y88" s="480"/>
    </row>
    <row r="89" spans="1:25" s="170" customFormat="1" ht="15">
      <c r="A89" s="531"/>
      <c r="B89" s="757" t="s">
        <v>624</v>
      </c>
      <c r="C89" s="1365">
        <v>0.15</v>
      </c>
      <c r="D89" s="1366"/>
      <c r="E89" s="1367">
        <v>0.15</v>
      </c>
      <c r="F89" s="1367"/>
      <c r="G89" s="1367">
        <v>0.15</v>
      </c>
      <c r="H89" s="1367"/>
      <c r="I89" s="1367">
        <v>0.15</v>
      </c>
      <c r="J89" s="1367"/>
      <c r="K89" s="1345">
        <v>0.15</v>
      </c>
      <c r="L89" s="1420"/>
      <c r="M89" s="528"/>
      <c r="N89" s="529"/>
      <c r="O89" s="481"/>
      <c r="P89" s="480"/>
      <c r="Q89" s="480"/>
      <c r="R89" s="480"/>
      <c r="S89" s="480"/>
      <c r="T89" s="480"/>
      <c r="U89" s="480"/>
      <c r="V89" s="480"/>
      <c r="W89" s="480"/>
      <c r="X89" s="480"/>
      <c r="Y89" s="480"/>
    </row>
    <row r="90" spans="1:15" ht="16.5" thickBot="1">
      <c r="A90" s="254" t="s">
        <v>423</v>
      </c>
      <c r="B90" s="755" t="s">
        <v>626</v>
      </c>
      <c r="C90" s="1365">
        <v>0.1</v>
      </c>
      <c r="D90" s="1366"/>
      <c r="E90" s="1345">
        <v>0.1</v>
      </c>
      <c r="F90" s="1345"/>
      <c r="G90" s="1345">
        <v>0.1</v>
      </c>
      <c r="H90" s="1345"/>
      <c r="I90" s="1345">
        <v>0.1</v>
      </c>
      <c r="J90" s="1345"/>
      <c r="K90" s="1345">
        <v>0.1</v>
      </c>
      <c r="L90" s="1345"/>
      <c r="M90" s="1268"/>
      <c r="N90" s="1269"/>
      <c r="O90" s="189"/>
    </row>
    <row r="91" spans="1:25" s="404" customFormat="1" ht="15.75" thickTop="1">
      <c r="A91" s="22" t="s">
        <v>627</v>
      </c>
      <c r="B91" s="44"/>
      <c r="C91" s="407"/>
      <c r="D91" s="407"/>
      <c r="E91" s="407"/>
      <c r="F91" s="407"/>
      <c r="G91" s="407"/>
      <c r="H91" s="407"/>
      <c r="I91" s="407"/>
      <c r="J91" s="407"/>
      <c r="K91" s="313"/>
      <c r="L91" s="313"/>
      <c r="M91" s="342"/>
      <c r="N91" s="342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</row>
    <row r="92" spans="1:14" ht="15">
      <c r="A92" s="172" t="s">
        <v>509</v>
      </c>
      <c r="B92" s="253"/>
      <c r="C92" s="253"/>
      <c r="D92" s="253"/>
      <c r="E92" s="253"/>
      <c r="F92" s="253"/>
      <c r="G92" s="253"/>
      <c r="H92" s="253"/>
      <c r="I92" s="253"/>
      <c r="J92" s="253"/>
      <c r="K92" s="313"/>
      <c r="L92" s="313"/>
      <c r="M92" s="20"/>
      <c r="N92" s="20"/>
    </row>
    <row r="93" spans="1:25" s="479" customFormat="1" ht="15">
      <c r="A93" s="172" t="s">
        <v>829</v>
      </c>
      <c r="B93" s="253"/>
      <c r="C93" s="253"/>
      <c r="D93" s="253"/>
      <c r="E93" s="253"/>
      <c r="F93" s="253"/>
      <c r="G93" s="253"/>
      <c r="H93" s="253"/>
      <c r="I93" s="253"/>
      <c r="J93" s="253"/>
      <c r="K93" s="313"/>
      <c r="L93" s="313"/>
      <c r="M93" s="20"/>
      <c r="N93" s="2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</row>
    <row r="94" spans="1:25" s="479" customFormat="1" ht="15.75" thickBot="1">
      <c r="A94" s="1329"/>
      <c r="B94" s="1329"/>
      <c r="C94" s="1329"/>
      <c r="D94" s="1329"/>
      <c r="E94" s="1329"/>
      <c r="F94" s="1329"/>
      <c r="G94" s="1329"/>
      <c r="H94" s="1329"/>
      <c r="I94" s="1329"/>
      <c r="J94" s="1329"/>
      <c r="K94" s="1329"/>
      <c r="L94" s="1329"/>
      <c r="M94" s="20"/>
      <c r="N94" s="2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</row>
    <row r="95" spans="1:45" s="672" customFormat="1" ht="24" customHeight="1" thickTop="1">
      <c r="A95" s="746" t="s">
        <v>43</v>
      </c>
      <c r="B95" s="814" t="s">
        <v>961</v>
      </c>
      <c r="C95" s="747" t="s">
        <v>884</v>
      </c>
      <c r="D95" s="748"/>
      <c r="E95" s="749" t="s">
        <v>883</v>
      </c>
      <c r="F95" s="750"/>
      <c r="G95" s="749" t="s">
        <v>880</v>
      </c>
      <c r="H95" s="750"/>
      <c r="I95" s="1273" t="s">
        <v>881</v>
      </c>
      <c r="J95" s="1274"/>
      <c r="K95" s="1273" t="s">
        <v>882</v>
      </c>
      <c r="L95" s="1274"/>
      <c r="M95" s="1323"/>
      <c r="N95" s="1328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</row>
    <row r="96" spans="1:45" ht="15">
      <c r="A96" s="34" t="s">
        <v>55</v>
      </c>
      <c r="B96" s="40" t="s">
        <v>293</v>
      </c>
      <c r="C96" s="1266">
        <f>CEILING(85*$Z$1,0.1)</f>
        <v>106.30000000000001</v>
      </c>
      <c r="D96" s="1267"/>
      <c r="E96" s="1266">
        <f>CEILING(140*$Z$1,0.1)</f>
        <v>175</v>
      </c>
      <c r="F96" s="1267"/>
      <c r="G96" s="1268">
        <f>CEILING(103*$Z$1,0.1)</f>
        <v>128.8</v>
      </c>
      <c r="H96" s="1269"/>
      <c r="I96" s="1348">
        <f>CEILING(88*$Z$1,0.1)</f>
        <v>110</v>
      </c>
      <c r="J96" s="1414"/>
      <c r="K96" s="1348">
        <f>CEILING(70*$Z$1,0.1)</f>
        <v>87.5</v>
      </c>
      <c r="L96" s="1349"/>
      <c r="M96" s="342"/>
      <c r="N96" s="342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</row>
    <row r="97" spans="1:14" ht="16.5" customHeight="1">
      <c r="A97" s="35" t="s">
        <v>45</v>
      </c>
      <c r="B97" s="10" t="s">
        <v>294</v>
      </c>
      <c r="C97" s="1268">
        <f>CEILING((C96+60*$Z$1),0.1)</f>
        <v>181.3</v>
      </c>
      <c r="D97" s="1270"/>
      <c r="E97" s="1268">
        <f>CEILING((E96+60*$Z$1),0.1)</f>
        <v>250</v>
      </c>
      <c r="F97" s="1270"/>
      <c r="G97" s="1268">
        <f>CEILING((G96+60*$Z$1),0.1)</f>
        <v>203.8</v>
      </c>
      <c r="H97" s="1270"/>
      <c r="I97" s="1348">
        <f>CEILING((I96+60*$Z$1),0.1)</f>
        <v>185</v>
      </c>
      <c r="J97" s="1349"/>
      <c r="K97" s="1348">
        <f>CEILING((K96+60*$Z$1),0.1)</f>
        <v>162.5</v>
      </c>
      <c r="L97" s="1349"/>
      <c r="M97" s="21"/>
      <c r="N97" s="20"/>
    </row>
    <row r="98" spans="1:14" ht="16.5" customHeight="1">
      <c r="A98" s="534"/>
      <c r="B98" s="37" t="s">
        <v>909</v>
      </c>
      <c r="C98" s="1268">
        <f>CEILING((C96*0.5),0.1)</f>
        <v>53.2</v>
      </c>
      <c r="D98" s="1270"/>
      <c r="E98" s="1268">
        <f>CEILING((E96*0.5),0.1)</f>
        <v>87.5</v>
      </c>
      <c r="F98" s="1270"/>
      <c r="G98" s="1268">
        <f>CEILING((G96*0.5),0.1)</f>
        <v>64.4</v>
      </c>
      <c r="H98" s="1270"/>
      <c r="I98" s="1348">
        <f>CEILING((I96*0.5),0.1)</f>
        <v>55</v>
      </c>
      <c r="J98" s="1349"/>
      <c r="K98" s="1348">
        <f>CEILING((K96*0.5),0.1)</f>
        <v>43.800000000000004</v>
      </c>
      <c r="L98" s="1349"/>
      <c r="M98" s="21"/>
      <c r="N98" s="20"/>
    </row>
    <row r="99" spans="1:14" ht="16.5" customHeight="1">
      <c r="A99" s="398" t="s">
        <v>1332</v>
      </c>
      <c r="B99" s="10" t="s">
        <v>299</v>
      </c>
      <c r="C99" s="1268">
        <f>CEILING(105*$Z$1,0.1)</f>
        <v>131.3</v>
      </c>
      <c r="D99" s="1270"/>
      <c r="E99" s="1268">
        <f>CEILING(160*$Z$1,0.1)</f>
        <v>200</v>
      </c>
      <c r="F99" s="1270"/>
      <c r="G99" s="1268">
        <f>CEILING(123*$Z$1,0.1)</f>
        <v>153.8</v>
      </c>
      <c r="H99" s="1270"/>
      <c r="I99" s="1348">
        <f>CEILING(102*$Z$1,0.1)</f>
        <v>127.5</v>
      </c>
      <c r="J99" s="1349"/>
      <c r="K99" s="1348">
        <f>CEILING(84*$Z$1,0.1)</f>
        <v>105</v>
      </c>
      <c r="L99" s="1349"/>
      <c r="M99" s="21"/>
      <c r="N99" s="20"/>
    </row>
    <row r="100" spans="1:13" ht="17.25" customHeight="1">
      <c r="A100" s="399"/>
      <c r="B100" s="10" t="s">
        <v>300</v>
      </c>
      <c r="C100" s="1268">
        <f>CEILING((C99+60*$Z$1),0.1)</f>
        <v>206.3</v>
      </c>
      <c r="D100" s="1270"/>
      <c r="E100" s="1268">
        <f>CEILING((E99+60*$Z$1),0.1)</f>
        <v>275</v>
      </c>
      <c r="F100" s="1270"/>
      <c r="G100" s="1268">
        <f>CEILING((G99+60*$Z$1),0.1)</f>
        <v>228.8</v>
      </c>
      <c r="H100" s="1270"/>
      <c r="I100" s="1348">
        <f>CEILING((I99+60*$Z$1),0.1)</f>
        <v>202.5</v>
      </c>
      <c r="J100" s="1349"/>
      <c r="K100" s="1348">
        <f>CEILING((K99+60*$Z$1),0.1)</f>
        <v>180</v>
      </c>
      <c r="L100" s="1349"/>
      <c r="M100" s="363"/>
    </row>
    <row r="101" spans="1:13" ht="17.25" customHeight="1">
      <c r="A101" s="35"/>
      <c r="B101" s="12" t="s">
        <v>197</v>
      </c>
      <c r="C101" s="1268">
        <f>CEILING(120*$Z$1,0.1)</f>
        <v>150</v>
      </c>
      <c r="D101" s="1270"/>
      <c r="E101" s="1268">
        <f>CEILING(175*$Z$1,0.1)</f>
        <v>218.8</v>
      </c>
      <c r="F101" s="1270"/>
      <c r="G101" s="1268">
        <f>CEILING(138*$Z$1,0.1)</f>
        <v>172.5</v>
      </c>
      <c r="H101" s="1270"/>
      <c r="I101" s="1348">
        <f>CEILING(112*$Z$1,0.1)</f>
        <v>140</v>
      </c>
      <c r="J101" s="1349"/>
      <c r="K101" s="1348">
        <f>CEILING(95*$Z$1,0.1)</f>
        <v>118.80000000000001</v>
      </c>
      <c r="L101" s="1349"/>
      <c r="M101" s="363"/>
    </row>
    <row r="102" spans="1:13" ht="16.5" customHeight="1">
      <c r="A102" s="448"/>
      <c r="B102" s="37" t="s">
        <v>207</v>
      </c>
      <c r="C102" s="1284">
        <f>CEILING(130*$Z$1,0.1)</f>
        <v>162.5</v>
      </c>
      <c r="D102" s="1285"/>
      <c r="E102" s="1268">
        <f>CEILING(185*$Z$1,0.1)</f>
        <v>231.3</v>
      </c>
      <c r="F102" s="1270"/>
      <c r="G102" s="1268">
        <f>CEILING(148*$Z$1,0.1)</f>
        <v>185</v>
      </c>
      <c r="H102" s="1270"/>
      <c r="I102" s="1348">
        <f>CEILING(119*$Z$1,0.1)</f>
        <v>148.8</v>
      </c>
      <c r="J102" s="1349"/>
      <c r="K102" s="1348">
        <f>CEILING(102*$Z$1,0.1)</f>
        <v>127.5</v>
      </c>
      <c r="L102" s="1349"/>
      <c r="M102" s="363"/>
    </row>
    <row r="103" spans="1:13" ht="18" customHeight="1" thickBot="1">
      <c r="A103" s="254" t="s">
        <v>424</v>
      </c>
      <c r="B103" s="755" t="s">
        <v>511</v>
      </c>
      <c r="C103" s="1365">
        <v>0.15</v>
      </c>
      <c r="D103" s="1366"/>
      <c r="E103" s="1345">
        <v>0.15</v>
      </c>
      <c r="F103" s="1345"/>
      <c r="G103" s="1345">
        <v>0.15</v>
      </c>
      <c r="H103" s="1345"/>
      <c r="I103" s="1345">
        <v>0.15</v>
      </c>
      <c r="J103" s="1345"/>
      <c r="K103" s="1345">
        <v>0.15</v>
      </c>
      <c r="L103" s="1345"/>
      <c r="M103" s="363"/>
    </row>
    <row r="104" spans="1:25" s="404" customFormat="1" ht="17.25" customHeight="1" thickTop="1">
      <c r="A104" s="353" t="s">
        <v>889</v>
      </c>
      <c r="B104" s="241"/>
      <c r="C104" s="159"/>
      <c r="D104" s="159"/>
      <c r="E104" s="159"/>
      <c r="F104" s="159"/>
      <c r="G104" s="159"/>
      <c r="H104" s="159"/>
      <c r="I104" s="159"/>
      <c r="J104" s="159"/>
      <c r="K104" s="347"/>
      <c r="L104" s="347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1:25" s="404" customFormat="1" ht="15">
      <c r="A105" s="262" t="s">
        <v>206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352"/>
      <c r="L105" s="352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</row>
    <row r="106" spans="1:25" s="404" customFormat="1" ht="15">
      <c r="A106" s="172" t="s">
        <v>512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352"/>
      <c r="L106" s="352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</row>
    <row r="107" spans="1:25" s="479" customFormat="1" ht="15.75" thickBot="1">
      <c r="A107" s="1329"/>
      <c r="B107" s="1329"/>
      <c r="C107" s="1329"/>
      <c r="D107" s="1329"/>
      <c r="E107" s="1329"/>
      <c r="F107" s="1329"/>
      <c r="G107" s="1329"/>
      <c r="H107" s="1329"/>
      <c r="I107" s="1329"/>
      <c r="J107" s="1329"/>
      <c r="K107" s="1329"/>
      <c r="L107" s="1329"/>
      <c r="M107" s="20"/>
      <c r="N107" s="20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</row>
    <row r="108" spans="1:56" s="672" customFormat="1" ht="24" customHeight="1" thickTop="1">
      <c r="A108" s="746" t="s">
        <v>43</v>
      </c>
      <c r="B108" s="814" t="s">
        <v>961</v>
      </c>
      <c r="C108" s="747" t="s">
        <v>884</v>
      </c>
      <c r="D108" s="748"/>
      <c r="E108" s="759" t="s">
        <v>883</v>
      </c>
      <c r="F108" s="760"/>
      <c r="G108" s="759" t="s">
        <v>880</v>
      </c>
      <c r="H108" s="760"/>
      <c r="I108" s="1273" t="s">
        <v>881</v>
      </c>
      <c r="J108" s="1274"/>
      <c r="K108" s="1273" t="s">
        <v>882</v>
      </c>
      <c r="L108" s="1274"/>
      <c r="M108" s="1323"/>
      <c r="N108" s="1328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</row>
    <row r="109" spans="1:56" ht="17.25" customHeight="1">
      <c r="A109" s="207" t="s">
        <v>188</v>
      </c>
      <c r="B109" s="131" t="s">
        <v>293</v>
      </c>
      <c r="C109" s="1266">
        <f>CEILING(58*$Z$1,0.1)</f>
        <v>72.5</v>
      </c>
      <c r="D109" s="1267"/>
      <c r="E109" s="1266">
        <f>CEILING(110*$Z$1,0.1)</f>
        <v>137.5</v>
      </c>
      <c r="F109" s="1267"/>
      <c r="G109" s="1326">
        <f>CEILING(80*$Z$1,0.1)</f>
        <v>100</v>
      </c>
      <c r="H109" s="1267"/>
      <c r="I109" s="1326">
        <f>CEILING(85*$Z$1,0.1)</f>
        <v>106.30000000000001</v>
      </c>
      <c r="J109" s="1267"/>
      <c r="K109" s="1266">
        <f>CEILING(58*$Z$1,0.1)</f>
        <v>72.5</v>
      </c>
      <c r="L109" s="1267"/>
      <c r="M109" s="342"/>
      <c r="N109" s="342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</row>
    <row r="110" spans="1:56" ht="18.75" customHeight="1">
      <c r="A110" s="208" t="s">
        <v>45</v>
      </c>
      <c r="B110" s="10" t="s">
        <v>294</v>
      </c>
      <c r="C110" s="1268">
        <f>CEILING((C109+45*$Z$1),0.1)</f>
        <v>128.8</v>
      </c>
      <c r="D110" s="1270"/>
      <c r="E110" s="1268">
        <f>CEILING((E109+45*$Z$1),0.1)</f>
        <v>193.8</v>
      </c>
      <c r="F110" s="1270"/>
      <c r="G110" s="1269">
        <f>CEILING((G109+45*$Z$1),0.1)</f>
        <v>156.3</v>
      </c>
      <c r="H110" s="1270"/>
      <c r="I110" s="1269">
        <f>CEILING((I109+45*$Z$1),0.1)</f>
        <v>162.60000000000002</v>
      </c>
      <c r="J110" s="1270"/>
      <c r="K110" s="1268">
        <f>CEILING((K109+45*$Z$1),0.1)</f>
        <v>128.8</v>
      </c>
      <c r="L110" s="1270"/>
      <c r="M110" s="342"/>
      <c r="N110" s="342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</row>
    <row r="111" spans="1:56" ht="18.75" customHeight="1">
      <c r="A111" s="656"/>
      <c r="B111" s="10" t="s">
        <v>47</v>
      </c>
      <c r="C111" s="1268">
        <f>CEILING((C109*0.85),0.1)</f>
        <v>61.7</v>
      </c>
      <c r="D111" s="1270"/>
      <c r="E111" s="1268">
        <f>CEILING((E109*0.85),0.1)</f>
        <v>116.9</v>
      </c>
      <c r="F111" s="1270"/>
      <c r="G111" s="1269">
        <f>CEILING((G109*0.85),0.1)</f>
        <v>85</v>
      </c>
      <c r="H111" s="1270"/>
      <c r="I111" s="1269">
        <f>CEILING((I109*0.85),0.1)</f>
        <v>90.4</v>
      </c>
      <c r="J111" s="1270"/>
      <c r="K111" s="1268">
        <f>CEILING((K109*0.85),0.1)</f>
        <v>61.7</v>
      </c>
      <c r="L111" s="1270"/>
      <c r="M111" s="342"/>
      <c r="N111" s="342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</row>
    <row r="112" spans="1:56" ht="15">
      <c r="A112" s="643"/>
      <c r="B112" s="37" t="s">
        <v>909</v>
      </c>
      <c r="C112" s="1268">
        <f>CEILING((C109*0.5),0.1)</f>
        <v>36.300000000000004</v>
      </c>
      <c r="D112" s="1270"/>
      <c r="E112" s="1268">
        <f>CEILING((E109*0.5),0.1)</f>
        <v>68.8</v>
      </c>
      <c r="F112" s="1270"/>
      <c r="G112" s="1269">
        <f>CEILING((G109*0.5),0.1)</f>
        <v>50</v>
      </c>
      <c r="H112" s="1270"/>
      <c r="I112" s="1269">
        <f>CEILING((I109*0.5),0.1)</f>
        <v>53.2</v>
      </c>
      <c r="J112" s="1270"/>
      <c r="K112" s="1268">
        <f>CEILING((K109*0.5),0.1)</f>
        <v>36.300000000000004</v>
      </c>
      <c r="L112" s="1270"/>
      <c r="M112" s="342"/>
      <c r="N112" s="342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</row>
    <row r="113" spans="1:56" s="479" customFormat="1" ht="15">
      <c r="A113" s="643"/>
      <c r="B113" s="37" t="s">
        <v>890</v>
      </c>
      <c r="C113" s="1268">
        <f>CEILING(73*$Z$1,0.1)</f>
        <v>91.30000000000001</v>
      </c>
      <c r="D113" s="1270"/>
      <c r="E113" s="1268">
        <f>CEILING(125*$Z$1,0.1)</f>
        <v>156.3</v>
      </c>
      <c r="F113" s="1270"/>
      <c r="G113" s="1269">
        <f>CEILING(95*$Z$1,0.1)</f>
        <v>118.80000000000001</v>
      </c>
      <c r="H113" s="1270"/>
      <c r="I113" s="1269">
        <f>CEILING(100*$Z$1,0.1)</f>
        <v>125</v>
      </c>
      <c r="J113" s="1270"/>
      <c r="K113" s="1268">
        <f>CEILING(73*$Z$1,0.1)</f>
        <v>91.30000000000001</v>
      </c>
      <c r="L113" s="1270"/>
      <c r="M113" s="342"/>
      <c r="N113" s="342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</row>
    <row r="114" spans="1:56" s="479" customFormat="1" ht="15">
      <c r="A114" s="643"/>
      <c r="B114" s="37" t="s">
        <v>891</v>
      </c>
      <c r="C114" s="1268">
        <f>CEILING((C113+45*$Z$1),0.1)</f>
        <v>147.6</v>
      </c>
      <c r="D114" s="1270"/>
      <c r="E114" s="1268">
        <f>CEILING((E113+45*$Z$1),0.1)</f>
        <v>212.60000000000002</v>
      </c>
      <c r="F114" s="1270"/>
      <c r="G114" s="1269">
        <f>CEILING((G113+45*$Z$1),0.1)</f>
        <v>175.10000000000002</v>
      </c>
      <c r="H114" s="1270"/>
      <c r="I114" s="1269">
        <f>CEILING((I113+45*$Z$1),0.1)</f>
        <v>181.3</v>
      </c>
      <c r="J114" s="1270"/>
      <c r="K114" s="1268">
        <f>CEILING((K113+45*$Z$1),0.1)</f>
        <v>147.6</v>
      </c>
      <c r="L114" s="1270"/>
      <c r="M114" s="342"/>
      <c r="N114" s="342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</row>
    <row r="115" spans="1:56" s="479" customFormat="1" ht="15">
      <c r="A115" s="643"/>
      <c r="B115" s="37" t="s">
        <v>892</v>
      </c>
      <c r="C115" s="1284">
        <f>CEILING(755*$Z$1,0.1)</f>
        <v>943.8000000000001</v>
      </c>
      <c r="D115" s="1285"/>
      <c r="E115" s="1268">
        <f>CEILING(755*$Z$1,0.1)</f>
        <v>943.8000000000001</v>
      </c>
      <c r="F115" s="1270"/>
      <c r="G115" s="1269">
        <f>CEILING(755*$Z$1,0.1)</f>
        <v>943.8000000000001</v>
      </c>
      <c r="H115" s="1270"/>
      <c r="I115" s="1269">
        <f>CEILING(755*$Z$1,0.1)</f>
        <v>943.8000000000001</v>
      </c>
      <c r="J115" s="1270"/>
      <c r="K115" s="1268">
        <f>CEILING(755*$Z$1,0.1)</f>
        <v>943.8000000000001</v>
      </c>
      <c r="L115" s="1270"/>
      <c r="M115" s="342"/>
      <c r="N115" s="342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35"/>
    </row>
    <row r="116" spans="1:56" s="479" customFormat="1" ht="15">
      <c r="A116" s="643"/>
      <c r="B116" s="755" t="s">
        <v>893</v>
      </c>
      <c r="C116" s="1415">
        <v>0.15</v>
      </c>
      <c r="D116" s="1416"/>
      <c r="E116" s="1368">
        <v>0.15</v>
      </c>
      <c r="F116" s="1368"/>
      <c r="G116" s="1368">
        <v>0.15</v>
      </c>
      <c r="H116" s="1368"/>
      <c r="I116" s="1368">
        <v>0.15</v>
      </c>
      <c r="J116" s="1368"/>
      <c r="K116" s="1368">
        <v>0.15</v>
      </c>
      <c r="L116" s="1368"/>
      <c r="M116" s="342"/>
      <c r="N116" s="342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</row>
    <row r="117" spans="1:56" s="752" customFormat="1" ht="16.5" thickBot="1">
      <c r="A117" s="758" t="s">
        <v>426</v>
      </c>
      <c r="B117" s="761" t="s">
        <v>894</v>
      </c>
      <c r="C117" s="1365">
        <v>0.1</v>
      </c>
      <c r="D117" s="1366"/>
      <c r="E117" s="1345">
        <v>0.1</v>
      </c>
      <c r="F117" s="1345"/>
      <c r="G117" s="1345">
        <v>0.1</v>
      </c>
      <c r="H117" s="1345"/>
      <c r="I117" s="1345">
        <v>0.1</v>
      </c>
      <c r="J117" s="1345"/>
      <c r="K117" s="1345">
        <v>0.1</v>
      </c>
      <c r="L117" s="1345"/>
      <c r="M117" s="332"/>
      <c r="N117" s="332"/>
      <c r="O117" s="354"/>
      <c r="P117" s="354"/>
      <c r="Q117" s="354"/>
      <c r="R117" s="354"/>
      <c r="S117" s="354"/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4"/>
      <c r="AM117" s="354"/>
      <c r="AN117" s="354"/>
      <c r="AO117" s="354"/>
      <c r="AP117" s="354"/>
      <c r="AQ117" s="354"/>
      <c r="AR117" s="354"/>
      <c r="AS117" s="354"/>
      <c r="AT117" s="354"/>
      <c r="AU117" s="354"/>
      <c r="AV117" s="354"/>
      <c r="AW117" s="354"/>
      <c r="AX117" s="354"/>
      <c r="AY117" s="354"/>
      <c r="AZ117" s="354"/>
      <c r="BA117" s="354"/>
      <c r="BB117" s="354"/>
      <c r="BC117" s="354"/>
      <c r="BD117" s="354"/>
    </row>
    <row r="118" spans="1:56" s="404" customFormat="1" ht="15.75" thickTop="1">
      <c r="A118" s="172" t="s">
        <v>513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354"/>
      <c r="L118" s="354"/>
      <c r="M118" s="342"/>
      <c r="N118" s="342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</row>
    <row r="119" spans="1:56" s="479" customFormat="1" ht="15">
      <c r="A119" s="172" t="s">
        <v>898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354"/>
      <c r="L119" s="354"/>
      <c r="M119" s="342"/>
      <c r="N119" s="342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</row>
    <row r="120" spans="1:56" s="479" customFormat="1" ht="15.75" thickBot="1">
      <c r="A120" s="1329"/>
      <c r="B120" s="1329"/>
      <c r="C120" s="1329"/>
      <c r="D120" s="1329"/>
      <c r="E120" s="1329"/>
      <c r="F120" s="1329"/>
      <c r="G120" s="1329"/>
      <c r="H120" s="1329"/>
      <c r="I120" s="1329"/>
      <c r="J120" s="1329"/>
      <c r="K120" s="1329"/>
      <c r="L120" s="1329"/>
      <c r="M120" s="342"/>
      <c r="N120" s="342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35"/>
    </row>
    <row r="121" spans="1:56" s="672" customFormat="1" ht="24" customHeight="1" thickTop="1">
      <c r="A121" s="746" t="s">
        <v>43</v>
      </c>
      <c r="B121" s="814" t="s">
        <v>961</v>
      </c>
      <c r="C121" s="747" t="s">
        <v>884</v>
      </c>
      <c r="D121" s="748"/>
      <c r="E121" s="759" t="s">
        <v>883</v>
      </c>
      <c r="F121" s="760"/>
      <c r="G121" s="749" t="s">
        <v>880</v>
      </c>
      <c r="H121" s="750"/>
      <c r="I121" s="1273" t="s">
        <v>881</v>
      </c>
      <c r="J121" s="1274"/>
      <c r="K121" s="1273" t="s">
        <v>882</v>
      </c>
      <c r="L121" s="1274"/>
      <c r="M121" s="1323"/>
      <c r="N121" s="1328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</row>
    <row r="122" spans="1:56" ht="15">
      <c r="A122" s="207" t="s">
        <v>196</v>
      </c>
      <c r="B122" s="40" t="s">
        <v>293</v>
      </c>
      <c r="C122" s="1266">
        <f>CEILING(58*$Z$1,0.1)</f>
        <v>72.5</v>
      </c>
      <c r="D122" s="1267"/>
      <c r="E122" s="1266">
        <f>CEILING(110*$Z$1,0.1)</f>
        <v>137.5</v>
      </c>
      <c r="F122" s="1267"/>
      <c r="G122" s="1266">
        <f>CEILING(80*$Z$1,0.1)</f>
        <v>100</v>
      </c>
      <c r="H122" s="1267"/>
      <c r="I122" s="1326">
        <f>CEILING(85*$Z$1,0.1)</f>
        <v>106.30000000000001</v>
      </c>
      <c r="J122" s="1267"/>
      <c r="K122" s="1266">
        <f>CEILING(58*$Z$1,0.1)</f>
        <v>72.5</v>
      </c>
      <c r="L122" s="1267"/>
      <c r="M122" s="342"/>
      <c r="N122" s="342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</row>
    <row r="123" spans="1:56" ht="15.75" customHeight="1">
      <c r="A123" s="208" t="s">
        <v>45</v>
      </c>
      <c r="B123" s="10" t="s">
        <v>294</v>
      </c>
      <c r="C123" s="1268">
        <f>CEILING((C122+45*$Z$1),0.1)</f>
        <v>128.8</v>
      </c>
      <c r="D123" s="1270"/>
      <c r="E123" s="1268">
        <f>CEILING((E122+45*$Z$1),0.1)</f>
        <v>193.8</v>
      </c>
      <c r="F123" s="1270"/>
      <c r="G123" s="1268">
        <f>CEILING((G122+45*$Z$1),0.1)</f>
        <v>156.3</v>
      </c>
      <c r="H123" s="1270"/>
      <c r="I123" s="1269">
        <f>CEILING((I122+45*$Z$1),0.1)</f>
        <v>162.60000000000002</v>
      </c>
      <c r="J123" s="1270"/>
      <c r="K123" s="1268">
        <f>CEILING((K122+45*$Z$1),0.1)</f>
        <v>128.8</v>
      </c>
      <c r="L123" s="1270"/>
      <c r="M123" s="342"/>
      <c r="N123" s="342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335"/>
      <c r="AQ123" s="335"/>
      <c r="AR123" s="335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35"/>
    </row>
    <row r="124" spans="1:56" ht="17.25" customHeight="1">
      <c r="A124" s="221"/>
      <c r="B124" s="10" t="s">
        <v>47</v>
      </c>
      <c r="C124" s="1268">
        <f>CEILING((C122*0.85),0.1)</f>
        <v>61.7</v>
      </c>
      <c r="D124" s="1270"/>
      <c r="E124" s="1268">
        <f>CEILING((E122*0.85),0.1)</f>
        <v>116.9</v>
      </c>
      <c r="F124" s="1270"/>
      <c r="G124" s="1268">
        <f>CEILING((G122*0.85),0.1)</f>
        <v>85</v>
      </c>
      <c r="H124" s="1270"/>
      <c r="I124" s="1269">
        <f>CEILING((I122*0.85),0.1)</f>
        <v>90.4</v>
      </c>
      <c r="J124" s="1270"/>
      <c r="K124" s="1268">
        <f>CEILING((K122*0.85),0.1)</f>
        <v>61.7</v>
      </c>
      <c r="L124" s="1270"/>
      <c r="M124" s="342"/>
      <c r="N124" s="342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335"/>
      <c r="AO124" s="335"/>
      <c r="AP124" s="335"/>
      <c r="AQ124" s="335"/>
      <c r="AR124" s="335"/>
      <c r="AS124" s="335"/>
      <c r="AT124" s="335"/>
      <c r="AU124" s="335"/>
      <c r="AV124" s="335"/>
      <c r="AW124" s="335"/>
      <c r="AX124" s="335"/>
      <c r="AY124" s="335"/>
      <c r="AZ124" s="335"/>
      <c r="BA124" s="335"/>
      <c r="BB124" s="335"/>
      <c r="BC124" s="335"/>
      <c r="BD124" s="335"/>
    </row>
    <row r="125" spans="1:56" ht="17.25" customHeight="1">
      <c r="A125" s="398"/>
      <c r="B125" s="37" t="s">
        <v>909</v>
      </c>
      <c r="C125" s="1268">
        <f>CEILING((C122*0.5),0.1)</f>
        <v>36.300000000000004</v>
      </c>
      <c r="D125" s="1270"/>
      <c r="E125" s="1268">
        <f>CEILING((E122*0.5),0.1)</f>
        <v>68.8</v>
      </c>
      <c r="F125" s="1270"/>
      <c r="G125" s="1268">
        <f>CEILING((G122*0.5),0.1)</f>
        <v>50</v>
      </c>
      <c r="H125" s="1270"/>
      <c r="I125" s="1269">
        <f>CEILING((I122*0.5),0.1)</f>
        <v>53.2</v>
      </c>
      <c r="J125" s="1270"/>
      <c r="K125" s="1268">
        <f>CEILING((K122*0.5),0.1)</f>
        <v>36.300000000000004</v>
      </c>
      <c r="L125" s="1270"/>
      <c r="M125" s="342"/>
      <c r="N125" s="342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335"/>
      <c r="BA125" s="335"/>
      <c r="BB125" s="335"/>
      <c r="BC125" s="335"/>
      <c r="BD125" s="335"/>
    </row>
    <row r="126" spans="1:56" ht="18" customHeight="1">
      <c r="A126" s="399"/>
      <c r="B126" s="37" t="s">
        <v>303</v>
      </c>
      <c r="C126" s="1268">
        <f>CEILING(73*$Z$1,0.1)</f>
        <v>91.30000000000001</v>
      </c>
      <c r="D126" s="1270"/>
      <c r="E126" s="1268">
        <f>CEILING(125*$Z$1,0.1)</f>
        <v>156.3</v>
      </c>
      <c r="F126" s="1270"/>
      <c r="G126" s="1268">
        <f>CEILING(95*$Z$1,0.1)</f>
        <v>118.80000000000001</v>
      </c>
      <c r="H126" s="1270"/>
      <c r="I126" s="1269">
        <f>CEILING(100*$Z$1,0.1)</f>
        <v>125</v>
      </c>
      <c r="J126" s="1270"/>
      <c r="K126" s="1268">
        <f>CEILING(73*$Z$1,0.1)</f>
        <v>91.30000000000001</v>
      </c>
      <c r="L126" s="1270"/>
      <c r="M126" s="342"/>
      <c r="N126" s="342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35"/>
      <c r="BC126" s="335"/>
      <c r="BD126" s="335"/>
    </row>
    <row r="127" spans="1:56" ht="17.25" customHeight="1">
      <c r="A127" s="643"/>
      <c r="B127" s="419" t="s">
        <v>304</v>
      </c>
      <c r="C127" s="1284">
        <f>CEILING((C126+45*$Z$1),0.1)</f>
        <v>147.6</v>
      </c>
      <c r="D127" s="1285"/>
      <c r="E127" s="1268">
        <f>CEILING((E126+45*$Z$1),0.1)</f>
        <v>212.60000000000002</v>
      </c>
      <c r="F127" s="1270"/>
      <c r="G127" s="1284">
        <f>CEILING((G126+45*$Z$1),0.1)</f>
        <v>175.10000000000002</v>
      </c>
      <c r="H127" s="1285"/>
      <c r="I127" s="1269">
        <f>CEILING((I126+45*$Z$1),0.1)</f>
        <v>181.3</v>
      </c>
      <c r="J127" s="1270"/>
      <c r="K127" s="1268">
        <f>CEILING((K126+45*$Z$1),0.1)</f>
        <v>147.6</v>
      </c>
      <c r="L127" s="1270"/>
      <c r="M127" s="342"/>
      <c r="N127" s="342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  <c r="AK127" s="335"/>
      <c r="AL127" s="335"/>
      <c r="AM127" s="335"/>
      <c r="AN127" s="335"/>
      <c r="AO127" s="335"/>
      <c r="AP127" s="335"/>
      <c r="AQ127" s="335"/>
      <c r="AR127" s="335"/>
      <c r="AS127" s="335"/>
      <c r="AT127" s="335"/>
      <c r="AU127" s="335"/>
      <c r="AV127" s="335"/>
      <c r="AW127" s="335"/>
      <c r="AX127" s="335"/>
      <c r="AY127" s="335"/>
      <c r="AZ127" s="335"/>
      <c r="BA127" s="335"/>
      <c r="BB127" s="335"/>
      <c r="BC127" s="335"/>
      <c r="BD127" s="335"/>
    </row>
    <row r="128" spans="1:56" ht="17.25" customHeight="1">
      <c r="A128" s="20"/>
      <c r="B128" s="12" t="s">
        <v>197</v>
      </c>
      <c r="C128" s="1266">
        <f>CEILING(88*$Z$1,0.1)</f>
        <v>110</v>
      </c>
      <c r="D128" s="1267"/>
      <c r="E128" s="1266">
        <f>CEILING(140*$Z$1,0.1)</f>
        <v>175</v>
      </c>
      <c r="F128" s="1267"/>
      <c r="G128" s="1268">
        <f>CEILING(110*$Z$1,0.1)</f>
        <v>137.5</v>
      </c>
      <c r="H128" s="1269"/>
      <c r="I128" s="1266">
        <f>CEILING(115*$Z$1,0.1)</f>
        <v>143.8</v>
      </c>
      <c r="J128" s="1267"/>
      <c r="K128" s="1266">
        <f>CEILING(88*$Z$1,0.1)</f>
        <v>110</v>
      </c>
      <c r="L128" s="1267"/>
      <c r="M128" s="342"/>
      <c r="N128" s="342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335"/>
      <c r="AK128" s="335"/>
      <c r="AL128" s="335"/>
      <c r="AM128" s="335"/>
      <c r="AN128" s="335"/>
      <c r="AO128" s="335"/>
      <c r="AP128" s="335"/>
      <c r="AQ128" s="335"/>
      <c r="AR128" s="335"/>
      <c r="AS128" s="335"/>
      <c r="AT128" s="335"/>
      <c r="AU128" s="335"/>
      <c r="AV128" s="335"/>
      <c r="AW128" s="335"/>
      <c r="AX128" s="335"/>
      <c r="AY128" s="335"/>
      <c r="AZ128" s="335"/>
      <c r="BA128" s="335"/>
      <c r="BB128" s="335"/>
      <c r="BC128" s="335"/>
      <c r="BD128" s="335"/>
    </row>
    <row r="129" spans="1:56" ht="15.75" customHeight="1">
      <c r="A129" s="20"/>
      <c r="B129" s="12" t="s">
        <v>198</v>
      </c>
      <c r="C129" s="1268">
        <f>CEILING((C128+55*$Z$1),0.1)</f>
        <v>178.8</v>
      </c>
      <c r="D129" s="1270"/>
      <c r="E129" s="1268">
        <f>CEILING((E128+55*$Z$1),0.1)</f>
        <v>243.8</v>
      </c>
      <c r="F129" s="1270"/>
      <c r="G129" s="1268">
        <f>CEILING((G128+55*$Z$1),0.1)</f>
        <v>206.3</v>
      </c>
      <c r="H129" s="1270"/>
      <c r="I129" s="1268">
        <f>CEILING((I128+55*$Z$1),0.1)</f>
        <v>212.60000000000002</v>
      </c>
      <c r="J129" s="1270"/>
      <c r="K129" s="1268">
        <f>CEILING((K128+55*$Z$1),0.1)</f>
        <v>178.8</v>
      </c>
      <c r="L129" s="1270"/>
      <c r="M129" s="342"/>
      <c r="N129" s="342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35"/>
    </row>
    <row r="130" spans="1:56" ht="17.25" customHeight="1">
      <c r="A130" s="20"/>
      <c r="B130" s="12" t="s">
        <v>208</v>
      </c>
      <c r="C130" s="1268">
        <f>CEILING(93*$Z$1,0.1)</f>
        <v>116.30000000000001</v>
      </c>
      <c r="D130" s="1270"/>
      <c r="E130" s="1268">
        <f>CEILING(145*$Z$1,0.1)</f>
        <v>181.3</v>
      </c>
      <c r="F130" s="1270"/>
      <c r="G130" s="1268">
        <f>CEILING(115*$Z$1,0.1)</f>
        <v>143.8</v>
      </c>
      <c r="H130" s="1270"/>
      <c r="I130" s="1268">
        <f>CEILING(120*$Z$1,0.1)</f>
        <v>150</v>
      </c>
      <c r="J130" s="1270"/>
      <c r="K130" s="1268">
        <f>CEILING(93*$Z$1,0.1)</f>
        <v>116.30000000000001</v>
      </c>
      <c r="L130" s="1270"/>
      <c r="M130" s="342"/>
      <c r="N130" s="342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5"/>
      <c r="BB130" s="335"/>
      <c r="BC130" s="335"/>
      <c r="BD130" s="335"/>
    </row>
    <row r="131" spans="1:56" ht="18" customHeight="1">
      <c r="A131" s="482"/>
      <c r="B131" s="12" t="s">
        <v>209</v>
      </c>
      <c r="C131" s="1284">
        <f>CEILING((C130+55*$Z$1),0.1)</f>
        <v>185.10000000000002</v>
      </c>
      <c r="D131" s="1285"/>
      <c r="E131" s="1268">
        <f>CEILING((E130+55*$Z$1),0.1)</f>
        <v>250.10000000000002</v>
      </c>
      <c r="F131" s="1270"/>
      <c r="G131" s="1268">
        <f>CEILING((G130+55*$Z$1),0.1)</f>
        <v>212.60000000000002</v>
      </c>
      <c r="H131" s="1270"/>
      <c r="I131" s="1268">
        <f>CEILING((I130+55*$Z$1),0.1)</f>
        <v>218.8</v>
      </c>
      <c r="J131" s="1270"/>
      <c r="K131" s="1268">
        <f>CEILING((K130+55*$Z$1),0.1)</f>
        <v>185.10000000000002</v>
      </c>
      <c r="L131" s="1270"/>
      <c r="M131" s="342"/>
      <c r="N131" s="342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335"/>
      <c r="AQ131" s="335"/>
      <c r="AR131" s="335"/>
      <c r="AS131" s="335"/>
      <c r="AT131" s="335"/>
      <c r="AU131" s="335"/>
      <c r="AV131" s="335"/>
      <c r="AW131" s="335"/>
      <c r="AX131" s="335"/>
      <c r="AY131" s="335"/>
      <c r="AZ131" s="335"/>
      <c r="BA131" s="335"/>
      <c r="BB131" s="335"/>
      <c r="BC131" s="335"/>
      <c r="BD131" s="335"/>
    </row>
    <row r="132" spans="1:57" s="763" customFormat="1" ht="17.25" customHeight="1">
      <c r="A132" s="762" t="s">
        <v>424</v>
      </c>
      <c r="B132" s="755" t="s">
        <v>363</v>
      </c>
      <c r="C132" s="1365">
        <v>0.15</v>
      </c>
      <c r="D132" s="1366"/>
      <c r="E132" s="1345">
        <v>0.15</v>
      </c>
      <c r="F132" s="1345"/>
      <c r="G132" s="1345">
        <v>0.15</v>
      </c>
      <c r="H132" s="1345"/>
      <c r="I132" s="1345">
        <v>0.15</v>
      </c>
      <c r="J132" s="1365"/>
      <c r="K132" s="1345">
        <v>0.15</v>
      </c>
      <c r="L132" s="1345"/>
      <c r="M132" s="335"/>
      <c r="N132" s="342"/>
      <c r="O132" s="342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764"/>
    </row>
    <row r="133" spans="1:56" s="404" customFormat="1" ht="17.25" customHeight="1">
      <c r="A133" s="172" t="s">
        <v>512</v>
      </c>
      <c r="B133" s="44"/>
      <c r="C133" s="3"/>
      <c r="D133" s="3"/>
      <c r="E133" s="3"/>
      <c r="F133" s="3"/>
      <c r="G133" s="3"/>
      <c r="H133" s="3"/>
      <c r="I133" s="3"/>
      <c r="J133" s="3"/>
      <c r="K133" s="347"/>
      <c r="L133" s="347"/>
      <c r="M133" s="342"/>
      <c r="N133" s="342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5"/>
      <c r="BB133" s="335"/>
      <c r="BC133" s="335"/>
      <c r="BD133" s="335"/>
    </row>
    <row r="134" spans="1:56" s="479" customFormat="1" ht="15.75" thickBot="1">
      <c r="A134" s="1329"/>
      <c r="B134" s="1329"/>
      <c r="C134" s="1329"/>
      <c r="D134" s="1329"/>
      <c r="E134" s="1329"/>
      <c r="F134" s="1329"/>
      <c r="G134" s="1329"/>
      <c r="H134" s="1329"/>
      <c r="I134" s="1329"/>
      <c r="J134" s="1329"/>
      <c r="K134" s="1329"/>
      <c r="L134" s="1329"/>
      <c r="M134" s="342"/>
      <c r="N134" s="342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</row>
    <row r="135" spans="1:56" s="672" customFormat="1" ht="24" customHeight="1" thickTop="1">
      <c r="A135" s="746" t="s">
        <v>43</v>
      </c>
      <c r="B135" s="814" t="s">
        <v>1206</v>
      </c>
      <c r="C135" s="747" t="s">
        <v>884</v>
      </c>
      <c r="D135" s="748"/>
      <c r="E135" s="759" t="s">
        <v>883</v>
      </c>
      <c r="F135" s="760"/>
      <c r="G135" s="749" t="s">
        <v>880</v>
      </c>
      <c r="H135" s="750"/>
      <c r="I135" s="1273" t="s">
        <v>881</v>
      </c>
      <c r="J135" s="1274"/>
      <c r="K135" s="1273" t="s">
        <v>882</v>
      </c>
      <c r="L135" s="1274"/>
      <c r="M135" s="1323"/>
      <c r="N135" s="1328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</row>
    <row r="136" spans="1:56" ht="15">
      <c r="A136" s="208" t="s">
        <v>45</v>
      </c>
      <c r="B136" s="218" t="s">
        <v>227</v>
      </c>
      <c r="C136" s="1266">
        <f>CEILING(60*$Z$1,0.1)</f>
        <v>75</v>
      </c>
      <c r="D136" s="1267"/>
      <c r="E136" s="1266">
        <f>CEILING(95*$Z$1,0.1)</f>
        <v>118.80000000000001</v>
      </c>
      <c r="F136" s="1267"/>
      <c r="G136" s="1266">
        <f>CEILING(95*$Z$1,0.1)</f>
        <v>118.80000000000001</v>
      </c>
      <c r="H136" s="1267"/>
      <c r="I136" s="1266">
        <f>CEILING(95*$Z$1,0.1)</f>
        <v>118.80000000000001</v>
      </c>
      <c r="J136" s="1267"/>
      <c r="K136" s="1268">
        <f>CEILING(60*$Z$1,0.1)</f>
        <v>75</v>
      </c>
      <c r="L136" s="1270"/>
      <c r="M136" s="342"/>
      <c r="N136" s="342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35"/>
    </row>
    <row r="137" spans="1:56" ht="15">
      <c r="A137" s="207" t="s">
        <v>895</v>
      </c>
      <c r="B137" s="219" t="s">
        <v>199</v>
      </c>
      <c r="C137" s="1268">
        <f>CEILING(105*$Z$1,0.1)</f>
        <v>131.3</v>
      </c>
      <c r="D137" s="1270"/>
      <c r="E137" s="1268">
        <f>CEILING(140*$Z$1,0.1)</f>
        <v>175</v>
      </c>
      <c r="F137" s="1270"/>
      <c r="G137" s="1268">
        <f>CEILING(140*$Z$1,0.1)</f>
        <v>175</v>
      </c>
      <c r="H137" s="1270"/>
      <c r="I137" s="1268">
        <f>CEILING(140*$Z$1,0.1)</f>
        <v>175</v>
      </c>
      <c r="J137" s="1270"/>
      <c r="K137" s="1268">
        <f>CEILING(105*$Z$1,0.1)</f>
        <v>131.3</v>
      </c>
      <c r="L137" s="1270"/>
      <c r="M137" s="342"/>
      <c r="N137" s="342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</row>
    <row r="138" spans="1:56" ht="15">
      <c r="A138" s="222" t="s">
        <v>305</v>
      </c>
      <c r="B138" s="219" t="s">
        <v>200</v>
      </c>
      <c r="C138" s="1268">
        <f>CEILING(145*$Z$1,0.1)</f>
        <v>181.3</v>
      </c>
      <c r="D138" s="1270"/>
      <c r="E138" s="1268">
        <v>225</v>
      </c>
      <c r="F138" s="1270"/>
      <c r="G138" s="1268">
        <v>225</v>
      </c>
      <c r="H138" s="1270"/>
      <c r="I138" s="1268">
        <v>225</v>
      </c>
      <c r="J138" s="1270"/>
      <c r="K138" s="1268">
        <f>CEILING(145*$Z$1,0.1)</f>
        <v>181.3</v>
      </c>
      <c r="L138" s="1270"/>
      <c r="M138" s="342"/>
      <c r="N138" s="342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35"/>
    </row>
    <row r="139" spans="1:56" ht="16.5" thickBot="1">
      <c r="A139" s="254" t="s">
        <v>423</v>
      </c>
      <c r="B139" s="294" t="s">
        <v>210</v>
      </c>
      <c r="C139" s="1275">
        <f>CEILING(195*$Z$1,0.1)</f>
        <v>243.8</v>
      </c>
      <c r="D139" s="1277"/>
      <c r="E139" s="1275">
        <f>CEILING(230*$Z$1,0.1)</f>
        <v>287.5</v>
      </c>
      <c r="F139" s="1277"/>
      <c r="G139" s="1275">
        <f>CEILING(230*$Z$1,0.1)</f>
        <v>287.5</v>
      </c>
      <c r="H139" s="1277"/>
      <c r="I139" s="1275">
        <f>CEILING(230*$Z$1,0.1)</f>
        <v>287.5</v>
      </c>
      <c r="J139" s="1277"/>
      <c r="K139" s="1275">
        <f>CEILING(195*$Z$1,0.1)</f>
        <v>243.8</v>
      </c>
      <c r="L139" s="1277"/>
      <c r="M139" s="342"/>
      <c r="N139" s="342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  <c r="BC139" s="335"/>
      <c r="BD139" s="335"/>
    </row>
    <row r="140" spans="1:56" ht="16.5" customHeight="1" thickTop="1">
      <c r="A140" s="1423" t="s">
        <v>306</v>
      </c>
      <c r="B140" s="1423"/>
      <c r="C140" s="1423"/>
      <c r="D140" s="1423"/>
      <c r="E140" s="1423"/>
      <c r="F140" s="1423"/>
      <c r="G140" s="1423"/>
      <c r="H140" s="1423"/>
      <c r="I140" s="1423"/>
      <c r="J140" s="1423"/>
      <c r="K140" s="94"/>
      <c r="L140" s="94"/>
      <c r="M140" s="342"/>
      <c r="N140" s="342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35"/>
    </row>
    <row r="141" spans="1:56" s="495" customFormat="1" ht="17.25" customHeight="1">
      <c r="A141" s="107" t="s">
        <v>228</v>
      </c>
      <c r="B141" s="107"/>
      <c r="C141" s="107"/>
      <c r="D141" s="107"/>
      <c r="E141" s="107"/>
      <c r="F141" s="107"/>
      <c r="G141" s="107"/>
      <c r="H141" s="107"/>
      <c r="I141" s="960"/>
      <c r="J141" s="960"/>
      <c r="K141" s="94"/>
      <c r="L141" s="94"/>
      <c r="M141" s="342"/>
      <c r="N141" s="342"/>
      <c r="O141" s="871"/>
      <c r="P141" s="871"/>
      <c r="Q141" s="871"/>
      <c r="R141" s="871"/>
      <c r="S141" s="871"/>
      <c r="T141" s="871"/>
      <c r="U141" s="871"/>
      <c r="V141" s="871"/>
      <c r="W141" s="871"/>
      <c r="X141" s="871"/>
      <c r="Y141" s="871"/>
      <c r="Z141" s="871"/>
      <c r="AA141" s="871"/>
      <c r="AB141" s="871"/>
      <c r="AC141" s="871"/>
      <c r="AD141" s="871"/>
      <c r="AE141" s="871"/>
      <c r="AF141" s="871"/>
      <c r="AG141" s="871"/>
      <c r="AH141" s="871"/>
      <c r="AI141" s="871"/>
      <c r="AJ141" s="871"/>
      <c r="AK141" s="871"/>
      <c r="AL141" s="871"/>
      <c r="AM141" s="871"/>
      <c r="AN141" s="871"/>
      <c r="AO141" s="871"/>
      <c r="AP141" s="871"/>
      <c r="AQ141" s="871"/>
      <c r="AR141" s="871"/>
      <c r="AS141" s="871"/>
      <c r="AT141" s="871"/>
      <c r="AU141" s="871"/>
      <c r="AV141" s="871"/>
      <c r="AW141" s="871"/>
      <c r="AX141" s="871"/>
      <c r="AY141" s="871"/>
      <c r="AZ141" s="871"/>
      <c r="BA141" s="871"/>
      <c r="BB141" s="871"/>
      <c r="BC141" s="871"/>
      <c r="BD141" s="871"/>
    </row>
    <row r="142" spans="1:56" ht="19.5" customHeight="1" thickBot="1">
      <c r="A142" s="172"/>
      <c r="B142" s="172"/>
      <c r="C142" s="172"/>
      <c r="D142" s="172"/>
      <c r="E142" s="172"/>
      <c r="F142" s="172"/>
      <c r="G142" s="3"/>
      <c r="H142" s="3"/>
      <c r="I142" s="3"/>
      <c r="J142" s="3"/>
      <c r="K142" s="94"/>
      <c r="L142" s="94"/>
      <c r="M142" s="342"/>
      <c r="N142" s="342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  <c r="AK142" s="335"/>
      <c r="AL142" s="335"/>
      <c r="AM142" s="335"/>
      <c r="AN142" s="335"/>
      <c r="AO142" s="335"/>
      <c r="AP142" s="335"/>
      <c r="AQ142" s="335"/>
      <c r="AR142" s="335"/>
      <c r="AS142" s="335"/>
      <c r="AT142" s="335"/>
      <c r="AU142" s="335"/>
      <c r="AV142" s="335"/>
      <c r="AW142" s="335"/>
      <c r="AX142" s="335"/>
      <c r="AY142" s="335"/>
      <c r="AZ142" s="335"/>
      <c r="BA142" s="335"/>
      <c r="BB142" s="335"/>
      <c r="BC142" s="335"/>
      <c r="BD142" s="335"/>
    </row>
    <row r="143" spans="1:56" s="672" customFormat="1" ht="24" customHeight="1" thickTop="1">
      <c r="A143" s="746" t="s">
        <v>43</v>
      </c>
      <c r="B143" s="814" t="s">
        <v>961</v>
      </c>
      <c r="C143" s="747" t="s">
        <v>884</v>
      </c>
      <c r="D143" s="748"/>
      <c r="E143" s="765" t="s">
        <v>883</v>
      </c>
      <c r="F143" s="766"/>
      <c r="G143" s="749" t="s">
        <v>880</v>
      </c>
      <c r="H143" s="750"/>
      <c r="I143" s="1273" t="s">
        <v>881</v>
      </c>
      <c r="J143" s="1274"/>
      <c r="K143" s="1273" t="s">
        <v>882</v>
      </c>
      <c r="L143" s="1274"/>
      <c r="M143" s="1323"/>
      <c r="N143" s="1328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335"/>
      <c r="AQ143" s="335"/>
      <c r="AR143" s="335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</row>
    <row r="144" spans="1:56" s="479" customFormat="1" ht="15">
      <c r="A144" s="1164" t="s">
        <v>516</v>
      </c>
      <c r="B144" s="40" t="s">
        <v>293</v>
      </c>
      <c r="C144" s="1266">
        <f>CEILING(130*$Z$1,0.1)</f>
        <v>162.5</v>
      </c>
      <c r="D144" s="1267"/>
      <c r="E144" s="1304">
        <f>CEILING(108*$Z$1,0.1)</f>
        <v>135</v>
      </c>
      <c r="F144" s="1305"/>
      <c r="G144" s="1304">
        <f>CEILING(84*$Z$1,0.1)</f>
        <v>105</v>
      </c>
      <c r="H144" s="1305"/>
      <c r="I144" s="1304">
        <f>CEILING(96*$Z$1,0.1)</f>
        <v>120</v>
      </c>
      <c r="J144" s="1305"/>
      <c r="K144" s="1304">
        <f>CEILING(78*$Z$1,0.1)</f>
        <v>97.5</v>
      </c>
      <c r="L144" s="1305"/>
      <c r="M144" s="342"/>
      <c r="N144" s="342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5"/>
      <c r="BB144" s="335"/>
      <c r="BC144" s="335"/>
      <c r="BD144" s="335"/>
    </row>
    <row r="145" spans="1:56" s="479" customFormat="1" ht="16.5" customHeight="1">
      <c r="A145" s="203"/>
      <c r="B145" s="10" t="s">
        <v>294</v>
      </c>
      <c r="C145" s="1268">
        <f>CEILING((C144+85*$Z$1),0.1)</f>
        <v>268.8</v>
      </c>
      <c r="D145" s="1270"/>
      <c r="E145" s="1302">
        <f>CEILING((E144+85*$Z$1),0.1)</f>
        <v>241.3</v>
      </c>
      <c r="F145" s="1303"/>
      <c r="G145" s="1302">
        <f>CEILING((G144+85*$Z$1),0.1)</f>
        <v>211.3</v>
      </c>
      <c r="H145" s="1303"/>
      <c r="I145" s="1302">
        <f>CEILING((I144+85*$Z$1),0.1)</f>
        <v>226.3</v>
      </c>
      <c r="J145" s="1303"/>
      <c r="K145" s="1302">
        <f>CEILING((K144+85*$Z$1),0.1)</f>
        <v>203.8</v>
      </c>
      <c r="L145" s="1303"/>
      <c r="M145" s="342"/>
      <c r="N145" s="342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335"/>
      <c r="AX145" s="335"/>
      <c r="AY145" s="335"/>
      <c r="AZ145" s="335"/>
      <c r="BA145" s="335"/>
      <c r="BB145" s="335"/>
      <c r="BC145" s="335"/>
      <c r="BD145" s="335"/>
    </row>
    <row r="146" spans="1:56" s="479" customFormat="1" ht="16.5" customHeight="1">
      <c r="A146" s="28" t="s">
        <v>45</v>
      </c>
      <c r="B146" s="269" t="s">
        <v>47</v>
      </c>
      <c r="C146" s="1268">
        <f>CEILING((C144*0.85),0.1)</f>
        <v>138.20000000000002</v>
      </c>
      <c r="D146" s="1270"/>
      <c r="E146" s="1302">
        <f>CEILING((E144*0.85),0.1)</f>
        <v>114.80000000000001</v>
      </c>
      <c r="F146" s="1303"/>
      <c r="G146" s="1302">
        <f>CEILING((G144*0.85),0.1)</f>
        <v>89.30000000000001</v>
      </c>
      <c r="H146" s="1303"/>
      <c r="I146" s="1302">
        <f>CEILING((I144*0.85),0.1)</f>
        <v>102</v>
      </c>
      <c r="J146" s="1303"/>
      <c r="K146" s="1302">
        <f>CEILING((K144*0.85),0.1)</f>
        <v>82.9</v>
      </c>
      <c r="L146" s="1303"/>
      <c r="M146" s="342"/>
      <c r="N146" s="342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335"/>
      <c r="AQ146" s="335"/>
      <c r="AR146" s="335"/>
      <c r="AS146" s="335"/>
      <c r="AT146" s="335"/>
      <c r="AU146" s="335"/>
      <c r="AV146" s="335"/>
      <c r="AW146" s="335"/>
      <c r="AX146" s="335"/>
      <c r="AY146" s="335"/>
      <c r="AZ146" s="335"/>
      <c r="BA146" s="335"/>
      <c r="BB146" s="335"/>
      <c r="BC146" s="335"/>
      <c r="BD146" s="335"/>
    </row>
    <row r="147" spans="1:56" s="479" customFormat="1" ht="16.5" customHeight="1">
      <c r="A147" s="28"/>
      <c r="B147" s="37" t="s">
        <v>909</v>
      </c>
      <c r="C147" s="1268">
        <f>CEILING((C144*0.5),0.1)</f>
        <v>81.30000000000001</v>
      </c>
      <c r="D147" s="1270"/>
      <c r="E147" s="1302">
        <f>CEILING((E144*0.5),0.1)</f>
        <v>67.5</v>
      </c>
      <c r="F147" s="1303"/>
      <c r="G147" s="1302">
        <f>CEILING((G144*0.5),0.1)</f>
        <v>52.5</v>
      </c>
      <c r="H147" s="1303"/>
      <c r="I147" s="1302">
        <f>CEILING((I144*0.5),0.1)</f>
        <v>60</v>
      </c>
      <c r="J147" s="1303"/>
      <c r="K147" s="1302">
        <f>CEILING((K144*0.5),0.1)</f>
        <v>48.800000000000004</v>
      </c>
      <c r="L147" s="1303"/>
      <c r="M147" s="342"/>
      <c r="N147" s="342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  <c r="AT147" s="335"/>
      <c r="AU147" s="335"/>
      <c r="AV147" s="335"/>
      <c r="AW147" s="335"/>
      <c r="AX147" s="335"/>
      <c r="AY147" s="335"/>
      <c r="AZ147" s="335"/>
      <c r="BA147" s="335"/>
      <c r="BB147" s="335"/>
      <c r="BC147" s="335"/>
      <c r="BD147" s="335"/>
    </row>
    <row r="148" spans="1:56" s="479" customFormat="1" ht="16.5" customHeight="1">
      <c r="A148" s="168"/>
      <c r="B148" s="10" t="s">
        <v>299</v>
      </c>
      <c r="C148" s="1268">
        <f>CEILING(155*$Z$1,0.1)</f>
        <v>193.8</v>
      </c>
      <c r="D148" s="1270"/>
      <c r="E148" s="1302">
        <f>CEILING(123*$Z$1,0.1)</f>
        <v>153.8</v>
      </c>
      <c r="F148" s="1303"/>
      <c r="G148" s="1302">
        <f>CEILING(99*$Z$1,0.1)</f>
        <v>123.80000000000001</v>
      </c>
      <c r="H148" s="1303"/>
      <c r="I148" s="1302">
        <f>CEILING(111*$Z$1,0.1)</f>
        <v>138.8</v>
      </c>
      <c r="J148" s="1303"/>
      <c r="K148" s="1302">
        <f>CEILING(93*$Z$1,0.1)</f>
        <v>116.30000000000001</v>
      </c>
      <c r="L148" s="1303"/>
      <c r="M148" s="342"/>
      <c r="N148" s="342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  <c r="AC148" s="335"/>
      <c r="AD148" s="335"/>
      <c r="AE148" s="335"/>
      <c r="AF148" s="335"/>
      <c r="AG148" s="335"/>
      <c r="AH148" s="335"/>
      <c r="AI148" s="335"/>
      <c r="AJ148" s="335"/>
      <c r="AK148" s="335"/>
      <c r="AL148" s="335"/>
      <c r="AM148" s="335"/>
      <c r="AN148" s="335"/>
      <c r="AO148" s="335"/>
      <c r="AP148" s="335"/>
      <c r="AQ148" s="335"/>
      <c r="AR148" s="335"/>
      <c r="AS148" s="335"/>
      <c r="AT148" s="335"/>
      <c r="AU148" s="335"/>
      <c r="AV148" s="335"/>
      <c r="AW148" s="335"/>
      <c r="AX148" s="335"/>
      <c r="AY148" s="335"/>
      <c r="AZ148" s="335"/>
      <c r="BA148" s="335"/>
      <c r="BB148" s="335"/>
      <c r="BC148" s="335"/>
      <c r="BD148" s="335"/>
    </row>
    <row r="149" spans="1:56" s="479" customFormat="1" ht="15.75" customHeight="1">
      <c r="A149" s="483"/>
      <c r="B149" s="439" t="s">
        <v>49</v>
      </c>
      <c r="C149" s="1284">
        <f>CEILING(165*$Z$1,0.1)</f>
        <v>206.3</v>
      </c>
      <c r="D149" s="1285"/>
      <c r="E149" s="1346">
        <f>CEILING(129*$Z$1,0.1)</f>
        <v>161.3</v>
      </c>
      <c r="F149" s="1347"/>
      <c r="G149" s="1346">
        <f>CEILING(105*$Z$1,0.1)</f>
        <v>131.3</v>
      </c>
      <c r="H149" s="1347"/>
      <c r="I149" s="1346">
        <f>CEILING(195*$Z$1,0.1)</f>
        <v>243.8</v>
      </c>
      <c r="J149" s="1347"/>
      <c r="K149" s="1346">
        <f>CEILING(99*$Z$1,0.1)</f>
        <v>123.80000000000001</v>
      </c>
      <c r="L149" s="1347"/>
      <c r="M149" s="342"/>
      <c r="N149" s="342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335"/>
      <c r="AF149" s="335"/>
      <c r="AG149" s="335"/>
      <c r="AH149" s="335"/>
      <c r="AI149" s="335"/>
      <c r="AJ149" s="335"/>
      <c r="AK149" s="335"/>
      <c r="AL149" s="335"/>
      <c r="AM149" s="335"/>
      <c r="AN149" s="335"/>
      <c r="AO149" s="335"/>
      <c r="AP149" s="335"/>
      <c r="AQ149" s="335"/>
      <c r="AR149" s="335"/>
      <c r="AS149" s="335"/>
      <c r="AT149" s="335"/>
      <c r="AU149" s="335"/>
      <c r="AV149" s="335"/>
      <c r="AW149" s="335"/>
      <c r="AX149" s="335"/>
      <c r="AY149" s="335"/>
      <c r="AZ149" s="335"/>
      <c r="BA149" s="335"/>
      <c r="BB149" s="335"/>
      <c r="BC149" s="335"/>
      <c r="BD149" s="335"/>
    </row>
    <row r="150" spans="1:56" s="479" customFormat="1" ht="17.25" customHeight="1">
      <c r="A150" s="483"/>
      <c r="B150" s="77" t="s">
        <v>517</v>
      </c>
      <c r="C150" s="1266">
        <f>CEILING(170*$Z$1,0.1)</f>
        <v>212.5</v>
      </c>
      <c r="D150" s="1267"/>
      <c r="E150" s="1304">
        <f>CEILING(132*$Z$1,0.1)</f>
        <v>165</v>
      </c>
      <c r="F150" s="1360"/>
      <c r="G150" s="1304">
        <f>CEILING(108*$Z$1,0.1)</f>
        <v>135</v>
      </c>
      <c r="H150" s="1360"/>
      <c r="I150" s="1304">
        <f>CEILING(120*$Z$1,0.1)</f>
        <v>150</v>
      </c>
      <c r="J150" s="1360"/>
      <c r="K150" s="1304">
        <f>CEILING(102*$Z$1,0.1)</f>
        <v>127.5</v>
      </c>
      <c r="L150" s="1305"/>
      <c r="M150" s="342"/>
      <c r="N150" s="342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335"/>
      <c r="AQ150" s="335"/>
      <c r="AR150" s="335"/>
      <c r="AS150" s="335"/>
      <c r="AT150" s="335"/>
      <c r="AU150" s="335"/>
      <c r="AV150" s="335"/>
      <c r="AW150" s="335"/>
      <c r="AX150" s="335"/>
      <c r="AY150" s="335"/>
      <c r="AZ150" s="335"/>
      <c r="BA150" s="335"/>
      <c r="BB150" s="335"/>
      <c r="BC150" s="335"/>
      <c r="BD150" s="335"/>
    </row>
    <row r="151" spans="1:56" s="479" customFormat="1" ht="16.5" customHeight="1">
      <c r="A151" s="168" t="s">
        <v>1313</v>
      </c>
      <c r="B151" s="29" t="s">
        <v>518</v>
      </c>
      <c r="C151" s="1268">
        <f>CEILING(180*$Z$1,0.1)</f>
        <v>225</v>
      </c>
      <c r="D151" s="1270"/>
      <c r="E151" s="1302">
        <f>CEILING(138*$Z$1,0.1)</f>
        <v>172.5</v>
      </c>
      <c r="F151" s="1303"/>
      <c r="G151" s="1302">
        <f>CEILING(114*$Z$1,0.1)</f>
        <v>142.5</v>
      </c>
      <c r="H151" s="1303"/>
      <c r="I151" s="1302">
        <f>CEILING(126*$Z$1,0.1)</f>
        <v>157.5</v>
      </c>
      <c r="J151" s="1303"/>
      <c r="K151" s="1302">
        <f>CEILING(108*$Z$1,0.1)</f>
        <v>135</v>
      </c>
      <c r="L151" s="1303"/>
      <c r="M151" s="1016"/>
      <c r="N151" s="1016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5"/>
      <c r="BD151" s="335"/>
    </row>
    <row r="152" spans="1:56" s="479" customFormat="1" ht="16.5" customHeight="1">
      <c r="A152" s="264"/>
      <c r="B152" s="29" t="s">
        <v>519</v>
      </c>
      <c r="C152" s="1268">
        <f>CEILING(266*$Z$1,0.1)</f>
        <v>332.5</v>
      </c>
      <c r="D152" s="1270"/>
      <c r="E152" s="1302">
        <f>CEILING(190*$Z$1,0.1)</f>
        <v>237.5</v>
      </c>
      <c r="F152" s="1303"/>
      <c r="G152" s="1302">
        <f>CEILING(166*$Z$1,0.1)</f>
        <v>207.5</v>
      </c>
      <c r="H152" s="1303"/>
      <c r="I152" s="1302">
        <f>CEILING(178*$Z$1,0.1)</f>
        <v>222.5</v>
      </c>
      <c r="J152" s="1303"/>
      <c r="K152" s="1302">
        <f>CEILING(160*$Z$1,0.1)</f>
        <v>200</v>
      </c>
      <c r="L152" s="1303"/>
      <c r="M152" s="342"/>
      <c r="N152" s="389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  <c r="AA152" s="335"/>
      <c r="AB152" s="335"/>
      <c r="AC152" s="335"/>
      <c r="AD152" s="335"/>
      <c r="AE152" s="335"/>
      <c r="AF152" s="335"/>
      <c r="AG152" s="335"/>
      <c r="AH152" s="335"/>
      <c r="AI152" s="335"/>
      <c r="AJ152" s="335"/>
      <c r="AK152" s="335"/>
      <c r="AL152" s="335"/>
      <c r="AM152" s="335"/>
      <c r="AN152" s="335"/>
      <c r="AO152" s="335"/>
      <c r="AP152" s="335"/>
      <c r="AQ152" s="335"/>
      <c r="AR152" s="335"/>
      <c r="AS152" s="335"/>
      <c r="AT152" s="335"/>
      <c r="AU152" s="335"/>
      <c r="AV152" s="335"/>
      <c r="AW152" s="335"/>
      <c r="AX152" s="335"/>
      <c r="AY152" s="335"/>
      <c r="AZ152" s="335"/>
      <c r="BA152" s="335"/>
      <c r="BB152" s="335"/>
      <c r="BC152" s="335"/>
      <c r="BD152" s="335"/>
    </row>
    <row r="153" spans="1:56" s="479" customFormat="1" ht="16.5" customHeight="1">
      <c r="A153" s="264"/>
      <c r="B153" s="29" t="s">
        <v>520</v>
      </c>
      <c r="C153" s="1268">
        <f>CEILING(279*$Z$1,0.1)</f>
        <v>348.8</v>
      </c>
      <c r="D153" s="1270"/>
      <c r="E153" s="1302">
        <f>CEILING(198*$Z$1,0.1)</f>
        <v>247.5</v>
      </c>
      <c r="F153" s="1303"/>
      <c r="G153" s="1302">
        <f>CEILING(174*$Z$1,0.1)</f>
        <v>217.5</v>
      </c>
      <c r="H153" s="1303"/>
      <c r="I153" s="1302">
        <f>CEILING(186*$Z$1,0.1)</f>
        <v>232.5</v>
      </c>
      <c r="J153" s="1303"/>
      <c r="K153" s="1302">
        <f>CEILING(168*$Z$1,0.1)</f>
        <v>210</v>
      </c>
      <c r="L153" s="1303"/>
      <c r="M153" s="342"/>
      <c r="N153" s="389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  <c r="AT153" s="335"/>
      <c r="AU153" s="335"/>
      <c r="AV153" s="335"/>
      <c r="AW153" s="335"/>
      <c r="AX153" s="335"/>
      <c r="AY153" s="335"/>
      <c r="AZ153" s="335"/>
      <c r="BA153" s="335"/>
      <c r="BB153" s="335"/>
      <c r="BC153" s="335"/>
      <c r="BD153" s="335"/>
    </row>
    <row r="154" spans="1:59" s="479" customFormat="1" ht="16.5" customHeight="1" thickBot="1">
      <c r="A154" s="1163"/>
      <c r="B154" s="13" t="s">
        <v>897</v>
      </c>
      <c r="C154" s="1275">
        <f>CEILING(1600*$Z$1,0.1)</f>
        <v>2000</v>
      </c>
      <c r="D154" s="1277"/>
      <c r="E154" s="1275">
        <f>CEILING(1600*$Z$1,0.1)</f>
        <v>2000</v>
      </c>
      <c r="F154" s="1277"/>
      <c r="G154" s="1275">
        <f>CEILING(1600*$Z$1,0.1)</f>
        <v>2000</v>
      </c>
      <c r="H154" s="1277"/>
      <c r="I154" s="1275">
        <f>CEILING(1600*$Z$1,0.1)</f>
        <v>2000</v>
      </c>
      <c r="J154" s="1277"/>
      <c r="K154" s="1275">
        <f>CEILING(1600*$Z$1,0.1)</f>
        <v>2000</v>
      </c>
      <c r="L154" s="1277"/>
      <c r="M154" s="1160"/>
      <c r="N154" s="1161"/>
      <c r="O154" s="1162"/>
      <c r="P154" s="1162"/>
      <c r="Q154" s="1162"/>
      <c r="R154" s="1162"/>
      <c r="S154" s="1162"/>
      <c r="T154" s="1162"/>
      <c r="U154" s="1162"/>
      <c r="V154" s="1162"/>
      <c r="W154" s="1162"/>
      <c r="X154" s="1162"/>
      <c r="Y154" s="1162"/>
      <c r="Z154" s="1162"/>
      <c r="AA154" s="1162"/>
      <c r="AB154" s="1162"/>
      <c r="AC154" s="1162"/>
      <c r="AD154" s="1162"/>
      <c r="AE154" s="1162"/>
      <c r="AF154" s="1162"/>
      <c r="AG154" s="1162"/>
      <c r="AH154" s="1162"/>
      <c r="AI154" s="1162"/>
      <c r="AJ154" s="1162"/>
      <c r="AK154" s="1162"/>
      <c r="AL154" s="1162"/>
      <c r="AM154" s="1162"/>
      <c r="AN154" s="1162"/>
      <c r="AO154" s="1162"/>
      <c r="AP154" s="1162"/>
      <c r="AQ154" s="1162"/>
      <c r="AR154" s="1162"/>
      <c r="AS154" s="1162"/>
      <c r="AT154" s="1162"/>
      <c r="AU154" s="1162"/>
      <c r="AV154" s="1162"/>
      <c r="AW154" s="1162"/>
      <c r="AX154" s="1162"/>
      <c r="AY154" s="1162"/>
      <c r="AZ154" s="1162"/>
      <c r="BA154" s="1162"/>
      <c r="BB154" s="1162"/>
      <c r="BC154" s="1162"/>
      <c r="BD154" s="1162"/>
      <c r="BE154" s="170"/>
      <c r="BF154" s="170"/>
      <c r="BG154" s="170"/>
    </row>
    <row r="155" spans="1:56" s="479" customFormat="1" ht="18.75" customHeight="1" thickTop="1">
      <c r="A155" s="1423" t="s">
        <v>896</v>
      </c>
      <c r="B155" s="1423"/>
      <c r="C155" s="1423"/>
      <c r="D155" s="1423"/>
      <c r="E155" s="1423"/>
      <c r="F155" s="1423"/>
      <c r="G155" s="1423"/>
      <c r="H155" s="1423"/>
      <c r="I155" s="31"/>
      <c r="J155" s="31"/>
      <c r="K155" s="94"/>
      <c r="L155" s="94"/>
      <c r="M155" s="342"/>
      <c r="N155" s="389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5"/>
      <c r="AC155" s="335"/>
      <c r="AD155" s="335"/>
      <c r="AE155" s="335"/>
      <c r="AF155" s="335"/>
      <c r="AG155" s="335"/>
      <c r="AH155" s="335"/>
      <c r="AI155" s="335"/>
      <c r="AJ155" s="335"/>
      <c r="AK155" s="335"/>
      <c r="AL155" s="335"/>
      <c r="AM155" s="335"/>
      <c r="AN155" s="335"/>
      <c r="AO155" s="335"/>
      <c r="AP155" s="335"/>
      <c r="AQ155" s="335"/>
      <c r="AR155" s="335"/>
      <c r="AS155" s="335"/>
      <c r="AT155" s="335"/>
      <c r="AU155" s="335"/>
      <c r="AV155" s="335"/>
      <c r="AW155" s="335"/>
      <c r="AX155" s="335"/>
      <c r="AY155" s="335"/>
      <c r="AZ155" s="335"/>
      <c r="BA155" s="335"/>
      <c r="BB155" s="335"/>
      <c r="BC155" s="335"/>
      <c r="BD155" s="335"/>
    </row>
    <row r="156" spans="1:56" s="479" customFormat="1" ht="16.5" customHeight="1">
      <c r="A156" s="172" t="s">
        <v>830</v>
      </c>
      <c r="B156" s="172"/>
      <c r="C156" s="172"/>
      <c r="D156" s="172"/>
      <c r="E156" s="172"/>
      <c r="F156" s="172"/>
      <c r="G156" s="3"/>
      <c r="H156" s="3"/>
      <c r="I156" s="3"/>
      <c r="J156" s="3"/>
      <c r="K156" s="94"/>
      <c r="L156" s="94"/>
      <c r="M156" s="342"/>
      <c r="N156" s="342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335"/>
      <c r="AM156" s="335"/>
      <c r="AN156" s="335"/>
      <c r="AO156" s="335"/>
      <c r="AP156" s="335"/>
      <c r="AQ156" s="335"/>
      <c r="AR156" s="335"/>
      <c r="AS156" s="335"/>
      <c r="AT156" s="335"/>
      <c r="AU156" s="335"/>
      <c r="AV156" s="335"/>
      <c r="AW156" s="335"/>
      <c r="AX156" s="335"/>
      <c r="AY156" s="335"/>
      <c r="AZ156" s="335"/>
      <c r="BA156" s="335"/>
      <c r="BB156" s="335"/>
      <c r="BC156" s="335"/>
      <c r="BD156" s="335"/>
    </row>
    <row r="157" spans="1:56" s="479" customFormat="1" ht="15">
      <c r="A157" s="172" t="s">
        <v>1264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354"/>
      <c r="L157" s="354"/>
      <c r="M157" s="342"/>
      <c r="N157" s="342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5"/>
      <c r="AD157" s="335"/>
      <c r="AE157" s="335"/>
      <c r="AF157" s="335"/>
      <c r="AG157" s="335"/>
      <c r="AH157" s="335"/>
      <c r="AI157" s="335"/>
      <c r="AJ157" s="335"/>
      <c r="AK157" s="335"/>
      <c r="AL157" s="335"/>
      <c r="AM157" s="335"/>
      <c r="AN157" s="335"/>
      <c r="AO157" s="335"/>
      <c r="AP157" s="335"/>
      <c r="AQ157" s="335"/>
      <c r="AR157" s="335"/>
      <c r="AS157" s="335"/>
      <c r="AT157" s="335"/>
      <c r="AU157" s="335"/>
      <c r="AV157" s="335"/>
      <c r="AW157" s="335"/>
      <c r="AX157" s="335"/>
      <c r="AY157" s="335"/>
      <c r="AZ157" s="335"/>
      <c r="BA157" s="335"/>
      <c r="BB157" s="335"/>
      <c r="BC157" s="335"/>
      <c r="BD157" s="335"/>
    </row>
    <row r="158" spans="1:56" s="479" customFormat="1" ht="16.5" customHeight="1">
      <c r="A158" s="107" t="s">
        <v>901</v>
      </c>
      <c r="B158" s="172"/>
      <c r="C158" s="172"/>
      <c r="D158" s="172"/>
      <c r="E158" s="172"/>
      <c r="F158" s="172"/>
      <c r="G158" s="3"/>
      <c r="H158" s="3"/>
      <c r="I158" s="3"/>
      <c r="J158" s="3"/>
      <c r="K158" s="94"/>
      <c r="L158" s="94"/>
      <c r="M158" s="342"/>
      <c r="N158" s="342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335"/>
      <c r="AQ158" s="335"/>
      <c r="AR158" s="335"/>
      <c r="AS158" s="335"/>
      <c r="AT158" s="335"/>
      <c r="AU158" s="335"/>
      <c r="AV158" s="335"/>
      <c r="AW158" s="335"/>
      <c r="AX158" s="335"/>
      <c r="AY158" s="335"/>
      <c r="AZ158" s="335"/>
      <c r="BA158" s="335"/>
      <c r="BB158" s="335"/>
      <c r="BC158" s="335"/>
      <c r="BD158" s="335"/>
    </row>
    <row r="159" spans="1:56" s="479" customFormat="1" ht="15.75" thickBot="1">
      <c r="A159" s="1329"/>
      <c r="B159" s="1329"/>
      <c r="C159" s="1329"/>
      <c r="D159" s="1329"/>
      <c r="E159" s="1329"/>
      <c r="F159" s="1329"/>
      <c r="G159" s="1329"/>
      <c r="H159" s="1329"/>
      <c r="I159" s="1329"/>
      <c r="J159" s="1329"/>
      <c r="K159" s="1329"/>
      <c r="L159" s="1329"/>
      <c r="M159" s="342"/>
      <c r="N159" s="342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335"/>
      <c r="AI159" s="335"/>
      <c r="AJ159" s="335"/>
      <c r="AK159" s="335"/>
      <c r="AL159" s="335"/>
      <c r="AM159" s="335"/>
      <c r="AN159" s="335"/>
      <c r="AO159" s="335"/>
      <c r="AP159" s="335"/>
      <c r="AQ159" s="335"/>
      <c r="AR159" s="335"/>
      <c r="AS159" s="335"/>
      <c r="AT159" s="335"/>
      <c r="AU159" s="335"/>
      <c r="AV159" s="335"/>
      <c r="AW159" s="335"/>
      <c r="AX159" s="335"/>
      <c r="AY159" s="335"/>
      <c r="AZ159" s="335"/>
      <c r="BA159" s="335"/>
      <c r="BB159" s="335"/>
      <c r="BC159" s="335"/>
      <c r="BD159" s="335"/>
    </row>
    <row r="160" spans="1:56" s="672" customFormat="1" ht="24" customHeight="1" thickTop="1">
      <c r="A160" s="746" t="s">
        <v>43</v>
      </c>
      <c r="B160" s="814" t="s">
        <v>961</v>
      </c>
      <c r="C160" s="747" t="s">
        <v>884</v>
      </c>
      <c r="D160" s="748"/>
      <c r="E160" s="765" t="s">
        <v>883</v>
      </c>
      <c r="F160" s="766"/>
      <c r="G160" s="749" t="s">
        <v>880</v>
      </c>
      <c r="H160" s="750"/>
      <c r="I160" s="1273" t="s">
        <v>881</v>
      </c>
      <c r="J160" s="1274"/>
      <c r="K160" s="1273" t="s">
        <v>882</v>
      </c>
      <c r="L160" s="1554"/>
      <c r="M160" s="1328"/>
      <c r="N160" s="1328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5"/>
      <c r="AS160" s="335"/>
      <c r="AT160" s="335"/>
      <c r="AU160" s="335"/>
      <c r="AV160" s="335"/>
      <c r="AW160" s="335"/>
      <c r="AX160" s="335"/>
      <c r="AY160" s="335"/>
      <c r="AZ160" s="335"/>
      <c r="BA160" s="335"/>
      <c r="BB160" s="335"/>
      <c r="BC160" s="335"/>
      <c r="BD160" s="335"/>
    </row>
    <row r="161" spans="1:14" ht="15">
      <c r="A161" s="216" t="s">
        <v>58</v>
      </c>
      <c r="B161" s="218" t="s">
        <v>22</v>
      </c>
      <c r="C161" s="1266">
        <f>CEILING(60*$Z$1,0.1)</f>
        <v>75</v>
      </c>
      <c r="D161" s="1267"/>
      <c r="E161" s="1268">
        <f>CEILING(100*$Z$1,0.1)</f>
        <v>125</v>
      </c>
      <c r="F161" s="1269"/>
      <c r="G161" s="1268">
        <f>CEILING(80*$Z$1,0.1)</f>
        <v>100</v>
      </c>
      <c r="H161" s="1269"/>
      <c r="I161" s="1268">
        <f>CEILING(85*$Z$1,0.1)</f>
        <v>106.30000000000001</v>
      </c>
      <c r="J161" s="1269"/>
      <c r="K161" s="1268">
        <f>CEILING(60*$Z$1,0.1)</f>
        <v>75</v>
      </c>
      <c r="L161" s="1269"/>
      <c r="M161" s="21"/>
      <c r="N161" s="20"/>
    </row>
    <row r="162" spans="1:14" ht="15">
      <c r="A162" s="182" t="s">
        <v>59</v>
      </c>
      <c r="B162" s="219" t="s">
        <v>251</v>
      </c>
      <c r="C162" s="1268">
        <f>CEILING((C161+50*$Z$1),0.1)</f>
        <v>137.5</v>
      </c>
      <c r="D162" s="1270"/>
      <c r="E162" s="1268">
        <f>CEILING((E161+50*$Z$1),0.1)</f>
        <v>187.5</v>
      </c>
      <c r="F162" s="1270"/>
      <c r="G162" s="1268">
        <f>CEILING((G161+50*$Z$1),0.1)</f>
        <v>162.5</v>
      </c>
      <c r="H162" s="1270"/>
      <c r="I162" s="1268">
        <f>CEILING((I161+50*$Z$1),0.1)</f>
        <v>168.8</v>
      </c>
      <c r="J162" s="1270"/>
      <c r="K162" s="1268">
        <f>CEILING((K161+50*$Z$1),0.1)</f>
        <v>137.5</v>
      </c>
      <c r="L162" s="1270"/>
      <c r="M162" s="21"/>
      <c r="N162" s="20"/>
    </row>
    <row r="163" spans="1:14" ht="15">
      <c r="A163" s="596"/>
      <c r="B163" s="219" t="s">
        <v>49</v>
      </c>
      <c r="C163" s="1268">
        <f>CEILING(85*$Z$1,0.1)</f>
        <v>106.30000000000001</v>
      </c>
      <c r="D163" s="1270"/>
      <c r="E163" s="1268">
        <f>CEILING(125*$Z$1,0.1)</f>
        <v>156.3</v>
      </c>
      <c r="F163" s="1270"/>
      <c r="G163" s="1268">
        <f>CEILING(105*$Z$1,0.1)</f>
        <v>131.3</v>
      </c>
      <c r="H163" s="1270"/>
      <c r="I163" s="1268">
        <f>CEILING(110*$Z$1,0.1)</f>
        <v>137.5</v>
      </c>
      <c r="J163" s="1270"/>
      <c r="K163" s="1268">
        <f>CEILING(85*$Z$1,0.1)</f>
        <v>106.30000000000001</v>
      </c>
      <c r="L163" s="1270"/>
      <c r="M163" s="21"/>
      <c r="N163" s="20"/>
    </row>
    <row r="164" spans="1:25" s="479" customFormat="1" ht="15">
      <c r="A164" s="596"/>
      <c r="B164" s="478" t="s">
        <v>195</v>
      </c>
      <c r="C164" s="1268">
        <f>CEILING((C163+55*$Z$1),0.1)</f>
        <v>175.10000000000002</v>
      </c>
      <c r="D164" s="1270"/>
      <c r="E164" s="1268">
        <f>CEILING((E163+55*$Z$1),0.1)</f>
        <v>225.10000000000002</v>
      </c>
      <c r="F164" s="1270"/>
      <c r="G164" s="1268">
        <f>CEILING((G163+55*$Z$1),0.1)</f>
        <v>200.10000000000002</v>
      </c>
      <c r="H164" s="1270"/>
      <c r="I164" s="1268">
        <f>CEILING((I163+55*$Z$1),0.1)</f>
        <v>206.3</v>
      </c>
      <c r="J164" s="1270"/>
      <c r="K164" s="1268">
        <f>CEILING((K163+55*$Z$1),0.1)</f>
        <v>175.10000000000002</v>
      </c>
      <c r="L164" s="1270"/>
      <c r="M164" s="21"/>
      <c r="N164" s="20"/>
      <c r="O164" s="480"/>
      <c r="P164" s="480"/>
      <c r="Q164" s="480"/>
      <c r="R164" s="480"/>
      <c r="S164" s="480"/>
      <c r="T164" s="480"/>
      <c r="U164" s="480"/>
      <c r="V164" s="480"/>
      <c r="W164" s="480"/>
      <c r="X164" s="480"/>
      <c r="Y164" s="480"/>
    </row>
    <row r="165" spans="1:14" ht="16.5" thickBot="1">
      <c r="A165" s="254" t="s">
        <v>423</v>
      </c>
      <c r="B165" s="38" t="s">
        <v>363</v>
      </c>
      <c r="C165" s="1278">
        <v>0.15</v>
      </c>
      <c r="D165" s="1279"/>
      <c r="E165" s="1278">
        <v>0.15</v>
      </c>
      <c r="F165" s="1279"/>
      <c r="G165" s="1278">
        <v>0.15</v>
      </c>
      <c r="H165" s="1279"/>
      <c r="I165" s="1278">
        <v>0.15</v>
      </c>
      <c r="J165" s="1279"/>
      <c r="K165" s="1278">
        <v>0.15</v>
      </c>
      <c r="L165" s="1279"/>
      <c r="M165" s="21"/>
      <c r="N165" s="20"/>
    </row>
    <row r="166" spans="1:14" ht="15.75" thickTop="1">
      <c r="A166" s="253" t="s">
        <v>252</v>
      </c>
      <c r="B166" s="22"/>
      <c r="C166" s="22"/>
      <c r="D166" s="22"/>
      <c r="E166" s="22"/>
      <c r="F166" s="22"/>
      <c r="G166" s="22"/>
      <c r="H166" s="22"/>
      <c r="I166" s="39"/>
      <c r="J166" s="39"/>
      <c r="K166" s="352"/>
      <c r="L166" s="352"/>
      <c r="M166" s="20"/>
      <c r="N166" s="20"/>
    </row>
    <row r="167" spans="1:25" s="404" customFormat="1" ht="15">
      <c r="A167" s="172" t="s">
        <v>510</v>
      </c>
      <c r="B167" s="172"/>
      <c r="C167" s="172"/>
      <c r="D167" s="172"/>
      <c r="E167" s="172"/>
      <c r="F167" s="172"/>
      <c r="G167" s="22"/>
      <c r="H167" s="22"/>
      <c r="I167" s="39"/>
      <c r="J167" s="39"/>
      <c r="K167" s="94"/>
      <c r="L167" s="94"/>
      <c r="M167" s="20"/>
      <c r="N167" s="20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</row>
    <row r="168" spans="1:25" s="479" customFormat="1" ht="15.75" thickBot="1">
      <c r="A168" s="1329"/>
      <c r="B168" s="1329"/>
      <c r="C168" s="1329"/>
      <c r="D168" s="1329"/>
      <c r="E168" s="1329"/>
      <c r="F168" s="1329"/>
      <c r="G168" s="1329"/>
      <c r="H168" s="1329"/>
      <c r="I168" s="1329"/>
      <c r="J168" s="1329"/>
      <c r="K168" s="1329"/>
      <c r="L168" s="1329"/>
      <c r="M168" s="20"/>
      <c r="N168" s="20"/>
      <c r="O168" s="480"/>
      <c r="P168" s="480"/>
      <c r="Q168" s="480"/>
      <c r="R168" s="480"/>
      <c r="S168" s="480"/>
      <c r="T168" s="480"/>
      <c r="U168" s="480"/>
      <c r="V168" s="480"/>
      <c r="W168" s="480"/>
      <c r="X168" s="480"/>
      <c r="Y168" s="480"/>
    </row>
    <row r="169" spans="1:40" s="672" customFormat="1" ht="24" customHeight="1" thickTop="1">
      <c r="A169" s="746" t="s">
        <v>43</v>
      </c>
      <c r="B169" s="814" t="s">
        <v>961</v>
      </c>
      <c r="C169" s="747" t="s">
        <v>884</v>
      </c>
      <c r="D169" s="748"/>
      <c r="E169" s="765" t="s">
        <v>883</v>
      </c>
      <c r="F169" s="766"/>
      <c r="G169" s="749" t="s">
        <v>880</v>
      </c>
      <c r="H169" s="750"/>
      <c r="I169" s="1273" t="s">
        <v>881</v>
      </c>
      <c r="J169" s="1274"/>
      <c r="K169" s="1273" t="s">
        <v>882</v>
      </c>
      <c r="L169" s="1274"/>
      <c r="M169" s="1323"/>
      <c r="N169" s="1328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5"/>
      <c r="AC169" s="335"/>
      <c r="AD169" s="335"/>
      <c r="AE169" s="335"/>
      <c r="AF169" s="335"/>
      <c r="AG169" s="335"/>
      <c r="AH169" s="335"/>
      <c r="AI169" s="335"/>
      <c r="AJ169" s="335"/>
      <c r="AK169" s="335"/>
      <c r="AL169" s="335"/>
      <c r="AM169" s="335"/>
      <c r="AN169" s="335"/>
    </row>
    <row r="170" spans="1:40" ht="15">
      <c r="A170" s="198" t="s">
        <v>60</v>
      </c>
      <c r="B170" s="77" t="s">
        <v>51</v>
      </c>
      <c r="C170" s="1266">
        <f>CEILING(75*$Z$1,0.1)</f>
        <v>93.80000000000001</v>
      </c>
      <c r="D170" s="1267"/>
      <c r="E170" s="1302">
        <f>CEILING(88*$Z$1,0.1)</f>
        <v>110</v>
      </c>
      <c r="F170" s="1369"/>
      <c r="G170" s="1302">
        <f>CEILING(74*$Z$1,0.1)</f>
        <v>92.5</v>
      </c>
      <c r="H170" s="1369"/>
      <c r="I170" s="1302">
        <f>CEILING(81*$Z$1,0.1)</f>
        <v>101.30000000000001</v>
      </c>
      <c r="J170" s="1369"/>
      <c r="K170" s="1302">
        <f>CEILING(70*$Z$1,0.1)</f>
        <v>87.5</v>
      </c>
      <c r="L170" s="1303"/>
      <c r="M170" s="1268"/>
      <c r="N170" s="1269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  <c r="AC170" s="335"/>
      <c r="AD170" s="335"/>
      <c r="AE170" s="335"/>
      <c r="AF170" s="335"/>
      <c r="AG170" s="335"/>
      <c r="AH170" s="335"/>
      <c r="AI170" s="335"/>
      <c r="AJ170" s="335"/>
      <c r="AK170" s="335"/>
      <c r="AL170" s="335"/>
      <c r="AM170" s="335"/>
      <c r="AN170" s="335"/>
    </row>
    <row r="171" spans="1:40" ht="15">
      <c r="A171" s="182" t="s">
        <v>59</v>
      </c>
      <c r="B171" s="12" t="s">
        <v>52</v>
      </c>
      <c r="C171" s="1268">
        <f>CEILING((C170+60*$Z$1),0.1)</f>
        <v>168.8</v>
      </c>
      <c r="D171" s="1270"/>
      <c r="E171" s="1302">
        <f>CEILING((E170+60*$Z$1),0.1)</f>
        <v>185</v>
      </c>
      <c r="F171" s="1303"/>
      <c r="G171" s="1302">
        <f>CEILING((G170+60*$Z$1),0.1)</f>
        <v>167.5</v>
      </c>
      <c r="H171" s="1303"/>
      <c r="I171" s="1302">
        <f>CEILING((I170+60*$Z$1),0.1)</f>
        <v>176.3</v>
      </c>
      <c r="J171" s="1303"/>
      <c r="K171" s="1302">
        <f>CEILING((K170+60*$Z$1),0.1)</f>
        <v>162.5</v>
      </c>
      <c r="L171" s="1303"/>
      <c r="M171" s="1268"/>
      <c r="N171" s="1269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  <c r="AL171" s="335"/>
      <c r="AM171" s="335"/>
      <c r="AN171" s="335"/>
    </row>
    <row r="172" spans="1:40" ht="15">
      <c r="A172" s="398"/>
      <c r="B172" s="12" t="s">
        <v>47</v>
      </c>
      <c r="C172" s="1268">
        <f>CEILING((C170*0.85),0.1)</f>
        <v>79.80000000000001</v>
      </c>
      <c r="D172" s="1270"/>
      <c r="E172" s="1302">
        <f>CEILING((E170*0.85),0.1)</f>
        <v>93.5</v>
      </c>
      <c r="F172" s="1303"/>
      <c r="G172" s="1302">
        <f>CEILING((G170*0.85),0.1)</f>
        <v>78.7</v>
      </c>
      <c r="H172" s="1303"/>
      <c r="I172" s="1302">
        <f>CEILING((I170*0.85),0.1)</f>
        <v>86.2</v>
      </c>
      <c r="J172" s="1303"/>
      <c r="K172" s="1302">
        <f>CEILING((K170*0.85),0.1)</f>
        <v>74.4</v>
      </c>
      <c r="L172" s="1303"/>
      <c r="M172" s="1268"/>
      <c r="N172" s="1269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  <c r="AL172" s="335"/>
      <c r="AM172" s="335"/>
      <c r="AN172" s="335"/>
    </row>
    <row r="173" spans="1:40" ht="15">
      <c r="A173" s="399"/>
      <c r="B173" s="37" t="s">
        <v>909</v>
      </c>
      <c r="C173" s="1268">
        <f>CEILING((C170*0.5),0.1)</f>
        <v>46.900000000000006</v>
      </c>
      <c r="D173" s="1270"/>
      <c r="E173" s="1302">
        <f>CEILING((E170*0.5),0.1)</f>
        <v>55</v>
      </c>
      <c r="F173" s="1303"/>
      <c r="G173" s="1302">
        <f>CEILING((G170*0.5),0.1)</f>
        <v>46.300000000000004</v>
      </c>
      <c r="H173" s="1303"/>
      <c r="I173" s="1302">
        <f>CEILING((I170*0.5),0.1)</f>
        <v>50.7</v>
      </c>
      <c r="J173" s="1303"/>
      <c r="K173" s="1302">
        <f>CEILING((K170*0.5),0.1)</f>
        <v>43.800000000000004</v>
      </c>
      <c r="L173" s="1303"/>
      <c r="M173" s="1268"/>
      <c r="N173" s="1269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  <c r="AL173" s="335"/>
      <c r="AM173" s="335"/>
      <c r="AN173" s="335"/>
    </row>
    <row r="174" spans="1:40" s="404" customFormat="1" ht="15">
      <c r="A174" s="472" t="s">
        <v>1313</v>
      </c>
      <c r="B174" s="37" t="s">
        <v>204</v>
      </c>
      <c r="C174" s="1268">
        <f>CEILING(90*$Z$1,0.1)</f>
        <v>112.5</v>
      </c>
      <c r="D174" s="1270"/>
      <c r="E174" s="1302">
        <f>CEILING(98*$Z$1,0.1)</f>
        <v>122.5</v>
      </c>
      <c r="F174" s="1352"/>
      <c r="G174" s="1302">
        <f>CEILING(84*$Z$1,0.1)</f>
        <v>105</v>
      </c>
      <c r="H174" s="1352"/>
      <c r="I174" s="1302">
        <f>CEILING(91*$Z$1,0.1)</f>
        <v>113.80000000000001</v>
      </c>
      <c r="J174" s="1352"/>
      <c r="K174" s="1302">
        <f>CEILING(81*$Z$1,0.1)</f>
        <v>101.30000000000001</v>
      </c>
      <c r="L174" s="1352"/>
      <c r="M174" s="1268"/>
      <c r="N174" s="1269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</row>
    <row r="175" spans="1:40" s="404" customFormat="1" ht="15">
      <c r="A175" s="472"/>
      <c r="B175" s="37" t="s">
        <v>205</v>
      </c>
      <c r="C175" s="1268">
        <f>CEILING((C174+60*$Z$1),0.1)</f>
        <v>187.5</v>
      </c>
      <c r="D175" s="1270"/>
      <c r="E175" s="1302">
        <f>CEILING((E174+60*$Z$1),0.1)</f>
        <v>197.5</v>
      </c>
      <c r="F175" s="1303"/>
      <c r="G175" s="1302">
        <f>CEILING((G174+60*$Z$1),0.1)</f>
        <v>180</v>
      </c>
      <c r="H175" s="1303"/>
      <c r="I175" s="1302">
        <f>CEILING((I174+60*$Z$1),0.1)</f>
        <v>188.8</v>
      </c>
      <c r="J175" s="1303"/>
      <c r="K175" s="1302">
        <f>CEILING((K174+60*$Z$1),0.1)</f>
        <v>176.3</v>
      </c>
      <c r="L175" s="1303"/>
      <c r="M175" s="1268"/>
      <c r="N175" s="1269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  <c r="AL175" s="335"/>
      <c r="AM175" s="335"/>
      <c r="AN175" s="335"/>
    </row>
    <row r="176" spans="1:40" ht="15">
      <c r="A176" s="405"/>
      <c r="B176" s="12" t="s">
        <v>44</v>
      </c>
      <c r="C176" s="1268">
        <f>CEILING(105*$Z$1,0.1)</f>
        <v>131.3</v>
      </c>
      <c r="D176" s="1270"/>
      <c r="E176" s="1302">
        <f>CEILING(109*$Z$1,0.1)</f>
        <v>136.3</v>
      </c>
      <c r="F176" s="1352"/>
      <c r="G176" s="1302">
        <f>CEILING(95*$Z$1,0.1)</f>
        <v>118.80000000000001</v>
      </c>
      <c r="H176" s="1352"/>
      <c r="I176" s="1302">
        <f>CEILING(102*$Z$1,0.1)</f>
        <v>127.5</v>
      </c>
      <c r="J176" s="1352"/>
      <c r="K176" s="1302">
        <f>CEILING(91*$Z$1,0.1)</f>
        <v>113.80000000000001</v>
      </c>
      <c r="L176" s="1352"/>
      <c r="M176" s="1268"/>
      <c r="N176" s="1269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  <c r="AL176" s="335"/>
      <c r="AM176" s="335"/>
      <c r="AN176" s="335"/>
    </row>
    <row r="177" spans="1:40" ht="17.25" customHeight="1" thickBot="1">
      <c r="A177" s="254" t="s">
        <v>423</v>
      </c>
      <c r="B177" s="12" t="s">
        <v>46</v>
      </c>
      <c r="C177" s="1275">
        <f>CEILING((C176+65*$Z$1),0.1)</f>
        <v>212.60000000000002</v>
      </c>
      <c r="D177" s="1277"/>
      <c r="E177" s="1302">
        <f>CEILING((E176+65*$Z$1),0.1)</f>
        <v>217.60000000000002</v>
      </c>
      <c r="F177" s="1303"/>
      <c r="G177" s="1302">
        <f>CEILING((G176+65*$Z$1),0.1)</f>
        <v>200.10000000000002</v>
      </c>
      <c r="H177" s="1303"/>
      <c r="I177" s="1302">
        <f>CEILING((I176+65*$Z$1),0.1)</f>
        <v>208.8</v>
      </c>
      <c r="J177" s="1303"/>
      <c r="K177" s="1353">
        <f>CEILING((K176+65*$Z$1),0.1)</f>
        <v>195.10000000000002</v>
      </c>
      <c r="L177" s="1354"/>
      <c r="M177" s="1268"/>
      <c r="N177" s="1269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  <c r="AL177" s="335"/>
      <c r="AM177" s="335"/>
      <c r="AN177" s="335"/>
    </row>
    <row r="178" spans="1:40" ht="21.75" customHeight="1" thickTop="1">
      <c r="A178" s="1371"/>
      <c r="B178" s="1371"/>
      <c r="C178" s="1371"/>
      <c r="D178" s="1371"/>
      <c r="E178" s="1371"/>
      <c r="F178" s="1371"/>
      <c r="G178" s="1371"/>
      <c r="H178" s="1371"/>
      <c r="I178" s="171"/>
      <c r="J178" s="171"/>
      <c r="K178" s="471"/>
      <c r="L178" s="471"/>
      <c r="M178" s="342"/>
      <c r="N178" s="342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  <c r="AL178" s="335"/>
      <c r="AM178" s="335"/>
      <c r="AN178" s="335"/>
    </row>
    <row r="179" spans="1:14" ht="18" customHeight="1">
      <c r="A179" s="415" t="s">
        <v>64</v>
      </c>
      <c r="B179" s="26" t="s">
        <v>249</v>
      </c>
      <c r="C179" s="1266">
        <f>CEILING(85*$Z$1,0.1)</f>
        <v>106.30000000000001</v>
      </c>
      <c r="D179" s="1267"/>
      <c r="E179" s="1302">
        <f>CEILING(95*$Z$1,0.1)</f>
        <v>118.80000000000001</v>
      </c>
      <c r="F179" s="1369"/>
      <c r="G179" s="1302">
        <f>CEILING(81*$Z$1,0.1)</f>
        <v>101.30000000000001</v>
      </c>
      <c r="H179" s="1369"/>
      <c r="I179" s="1302">
        <f>CEILING(88*$Z$1,0.1)</f>
        <v>110</v>
      </c>
      <c r="J179" s="1369"/>
      <c r="K179" s="1302">
        <f>CEILING(77*$Z$1,0.1)</f>
        <v>96.30000000000001</v>
      </c>
      <c r="L179" s="1369"/>
      <c r="M179" s="21"/>
      <c r="N179" s="20"/>
    </row>
    <row r="180" spans="1:13" ht="15.75" customHeight="1">
      <c r="A180" s="186" t="s">
        <v>59</v>
      </c>
      <c r="B180" s="26" t="s">
        <v>250</v>
      </c>
      <c r="C180" s="1268">
        <f>CEILING((C179+50*$Z$1),0.1)</f>
        <v>168.8</v>
      </c>
      <c r="D180" s="1270"/>
      <c r="E180" s="1302">
        <f>CEILING((E179+50*$Z$1),0.1)</f>
        <v>181.3</v>
      </c>
      <c r="F180" s="1303"/>
      <c r="G180" s="1302">
        <f>CEILING((G179+50*$Z$1),0.1)</f>
        <v>163.8</v>
      </c>
      <c r="H180" s="1303"/>
      <c r="I180" s="1302">
        <f>CEILING((I179+50*$Z$1),0.1)</f>
        <v>172.5</v>
      </c>
      <c r="J180" s="1303"/>
      <c r="K180" s="1302">
        <f>CEILING((K179+50*$Z$1),0.1)</f>
        <v>158.8</v>
      </c>
      <c r="L180" s="1303"/>
      <c r="M180" s="169"/>
    </row>
    <row r="181" spans="1:13" ht="15">
      <c r="A181" s="282"/>
      <c r="B181" s="29" t="s">
        <v>47</v>
      </c>
      <c r="C181" s="1268">
        <f>CEILING((C179*0.85),0.1)</f>
        <v>90.4</v>
      </c>
      <c r="D181" s="1270"/>
      <c r="E181" s="1302">
        <f>CEILING((E179*0.85),0.1)</f>
        <v>101</v>
      </c>
      <c r="F181" s="1303"/>
      <c r="G181" s="1302">
        <f>CEILING((G179*0.85),0.1)</f>
        <v>86.2</v>
      </c>
      <c r="H181" s="1303"/>
      <c r="I181" s="1302">
        <f>CEILING((I179*0.85),0.1)</f>
        <v>93.5</v>
      </c>
      <c r="J181" s="1303"/>
      <c r="K181" s="1302">
        <f>CEILING((K179*0.85),0.1)</f>
        <v>81.9</v>
      </c>
      <c r="L181" s="1303"/>
      <c r="M181" s="169"/>
    </row>
    <row r="182" spans="1:13" ht="15">
      <c r="A182" s="1241" t="s">
        <v>1313</v>
      </c>
      <c r="B182" s="29" t="s">
        <v>909</v>
      </c>
      <c r="C182" s="1268">
        <f>CEILING((C179*0.5),0.1)</f>
        <v>53.2</v>
      </c>
      <c r="D182" s="1270"/>
      <c r="E182" s="1302">
        <f>CEILING((E179*0.5),0.1)</f>
        <v>59.400000000000006</v>
      </c>
      <c r="F182" s="1303"/>
      <c r="G182" s="1302">
        <f>CEILING((G179*0.5),0.1)</f>
        <v>50.7</v>
      </c>
      <c r="H182" s="1303"/>
      <c r="I182" s="1302">
        <f>CEILING((I179*0.5),0.1)</f>
        <v>55</v>
      </c>
      <c r="J182" s="1303"/>
      <c r="K182" s="1302">
        <f>CEILING((K179*0.5),0.1)</f>
        <v>48.2</v>
      </c>
      <c r="L182" s="1303"/>
      <c r="M182" s="169"/>
    </row>
    <row r="183" spans="1:13" ht="15">
      <c r="A183" s="186"/>
      <c r="B183" s="26" t="s">
        <v>899</v>
      </c>
      <c r="C183" s="1268">
        <f>CEILING(450*$Z$1,0.1)</f>
        <v>562.5</v>
      </c>
      <c r="D183" s="1270"/>
      <c r="E183" s="1268">
        <f>CEILING(450*$Z$1,0.1)</f>
        <v>562.5</v>
      </c>
      <c r="F183" s="1314"/>
      <c r="G183" s="1268">
        <f>CEILING(450*$Z$1,0.1)</f>
        <v>562.5</v>
      </c>
      <c r="H183" s="1314"/>
      <c r="I183" s="1268">
        <f>CEILING(450*$Z$1,0.1)</f>
        <v>562.5</v>
      </c>
      <c r="J183" s="1314"/>
      <c r="K183" s="1268">
        <f>CEILING(450*$Z$1,0.1)</f>
        <v>562.5</v>
      </c>
      <c r="L183" s="1314"/>
      <c r="M183" s="169"/>
    </row>
    <row r="184" spans="1:25" s="479" customFormat="1" ht="15">
      <c r="A184" s="84"/>
      <c r="B184" s="37" t="s">
        <v>902</v>
      </c>
      <c r="C184" s="1571">
        <v>0.1</v>
      </c>
      <c r="D184" s="1572"/>
      <c r="E184" s="1424">
        <v>0.15</v>
      </c>
      <c r="F184" s="1405"/>
      <c r="G184" s="1424">
        <v>0.15</v>
      </c>
      <c r="H184" s="1405"/>
      <c r="I184" s="1424">
        <v>0.15</v>
      </c>
      <c r="J184" s="1405"/>
      <c r="K184" s="1424">
        <v>0.15</v>
      </c>
      <c r="L184" s="1405"/>
      <c r="M184" s="480"/>
      <c r="N184" s="480"/>
      <c r="O184" s="480"/>
      <c r="P184" s="480"/>
      <c r="Q184" s="480"/>
      <c r="R184" s="480"/>
      <c r="S184" s="480"/>
      <c r="T184" s="480"/>
      <c r="U184" s="480"/>
      <c r="V184" s="480"/>
      <c r="W184" s="480"/>
      <c r="X184" s="480"/>
      <c r="Y184" s="480"/>
    </row>
    <row r="185" spans="1:13" ht="15.75" customHeight="1" thickBot="1">
      <c r="A185" s="254" t="s">
        <v>426</v>
      </c>
      <c r="B185" s="904" t="s">
        <v>1038</v>
      </c>
      <c r="C185" s="1350">
        <v>0.1</v>
      </c>
      <c r="D185" s="1351"/>
      <c r="E185" s="1350">
        <v>0.1</v>
      </c>
      <c r="F185" s="1351"/>
      <c r="G185" s="1350">
        <v>0.1</v>
      </c>
      <c r="H185" s="1351"/>
      <c r="I185" s="1350">
        <v>0.1</v>
      </c>
      <c r="J185" s="1351"/>
      <c r="K185" s="1350">
        <v>0.1</v>
      </c>
      <c r="L185" s="1351"/>
      <c r="M185" s="169"/>
    </row>
    <row r="186" spans="1:13" ht="15.75" thickTop="1">
      <c r="A186" s="145" t="s">
        <v>360</v>
      </c>
      <c r="B186" s="145"/>
      <c r="C186" s="145"/>
      <c r="D186" s="145"/>
      <c r="E186" s="145"/>
      <c r="F186" s="145"/>
      <c r="G186" s="145"/>
      <c r="H186" s="516"/>
      <c r="I186" s="145"/>
      <c r="J186" s="145"/>
      <c r="K186" s="324"/>
      <c r="L186" s="324"/>
      <c r="M186" s="169"/>
    </row>
    <row r="187" spans="1:13" ht="15">
      <c r="A187" s="145" t="s">
        <v>900</v>
      </c>
      <c r="B187" s="50"/>
      <c r="C187" s="3"/>
      <c r="D187" s="3"/>
      <c r="E187" s="3"/>
      <c r="F187" s="3"/>
      <c r="G187" s="3"/>
      <c r="H187" s="3"/>
      <c r="I187" s="3"/>
      <c r="J187" s="3"/>
      <c r="K187" s="324"/>
      <c r="L187" s="324"/>
      <c r="M187" s="169"/>
    </row>
    <row r="188" spans="1:25" s="479" customFormat="1" ht="15">
      <c r="A188" s="172" t="s">
        <v>510</v>
      </c>
      <c r="B188" s="50"/>
      <c r="C188" s="3"/>
      <c r="D188" s="3"/>
      <c r="E188" s="3"/>
      <c r="F188" s="3"/>
      <c r="G188" s="3"/>
      <c r="H188" s="3"/>
      <c r="I188" s="3"/>
      <c r="J188" s="3"/>
      <c r="K188" s="324"/>
      <c r="L188" s="324"/>
      <c r="M188" s="480"/>
      <c r="N188" s="480"/>
      <c r="O188" s="480"/>
      <c r="P188" s="480"/>
      <c r="Q188" s="480"/>
      <c r="R188" s="480"/>
      <c r="S188" s="480"/>
      <c r="T188" s="480"/>
      <c r="U188" s="480"/>
      <c r="V188" s="480"/>
      <c r="W188" s="480"/>
      <c r="X188" s="480"/>
      <c r="Y188" s="480"/>
    </row>
    <row r="189" spans="1:25" s="479" customFormat="1" ht="15">
      <c r="A189" s="172" t="s">
        <v>903</v>
      </c>
      <c r="B189" s="50"/>
      <c r="C189" s="3"/>
      <c r="D189" s="3"/>
      <c r="E189" s="3"/>
      <c r="F189" s="3"/>
      <c r="G189" s="3"/>
      <c r="H189" s="3"/>
      <c r="I189" s="3"/>
      <c r="J189" s="3"/>
      <c r="K189" s="324"/>
      <c r="L189" s="324"/>
      <c r="M189" s="480"/>
      <c r="N189" s="480"/>
      <c r="O189" s="480"/>
      <c r="P189" s="480"/>
      <c r="Q189" s="480"/>
      <c r="R189" s="480"/>
      <c r="S189" s="480"/>
      <c r="T189" s="480"/>
      <c r="U189" s="480"/>
      <c r="V189" s="480"/>
      <c r="W189" s="480"/>
      <c r="X189" s="480"/>
      <c r="Y189" s="480"/>
    </row>
    <row r="190" spans="1:25" s="479" customFormat="1" ht="15.75" thickBot="1">
      <c r="A190" s="1329"/>
      <c r="B190" s="1329"/>
      <c r="C190" s="1329"/>
      <c r="D190" s="1329"/>
      <c r="E190" s="1329"/>
      <c r="F190" s="1329"/>
      <c r="G190" s="1329"/>
      <c r="H190" s="1329"/>
      <c r="I190" s="1329"/>
      <c r="J190" s="1329"/>
      <c r="K190" s="1329"/>
      <c r="L190" s="1329"/>
      <c r="M190" s="20"/>
      <c r="N190" s="20"/>
      <c r="O190" s="480"/>
      <c r="P190" s="480"/>
      <c r="Q190" s="480"/>
      <c r="R190" s="480"/>
      <c r="S190" s="480"/>
      <c r="T190" s="480"/>
      <c r="U190" s="480"/>
      <c r="V190" s="480"/>
      <c r="W190" s="480"/>
      <c r="X190" s="480"/>
      <c r="Y190" s="480"/>
    </row>
    <row r="191" spans="1:12" s="680" customFormat="1" ht="17.25" thickBot="1" thickTop="1">
      <c r="A191" s="676"/>
      <c r="B191" s="677"/>
      <c r="C191" s="678"/>
      <c r="D191" s="678"/>
      <c r="E191" s="678"/>
      <c r="F191" s="678"/>
      <c r="G191" s="678"/>
      <c r="H191" s="678"/>
      <c r="I191" s="1370"/>
      <c r="J191" s="1370"/>
      <c r="K191" s="679"/>
      <c r="L191" s="679"/>
    </row>
    <row r="192" spans="1:13" ht="24.75" customHeight="1" thickTop="1">
      <c r="A192" s="746" t="s">
        <v>43</v>
      </c>
      <c r="B192" s="814" t="s">
        <v>961</v>
      </c>
      <c r="C192" s="747" t="s">
        <v>884</v>
      </c>
      <c r="D192" s="748"/>
      <c r="E192" s="765" t="s">
        <v>883</v>
      </c>
      <c r="F192" s="766"/>
      <c r="G192" s="749" t="s">
        <v>880</v>
      </c>
      <c r="H192" s="750"/>
      <c r="I192" s="1273" t="s">
        <v>881</v>
      </c>
      <c r="J192" s="1274"/>
      <c r="K192" s="1280" t="s">
        <v>882</v>
      </c>
      <c r="L192" s="1281"/>
      <c r="M192" s="363"/>
    </row>
    <row r="193" spans="1:13" ht="15">
      <c r="A193" s="204" t="s">
        <v>752</v>
      </c>
      <c r="B193" s="131" t="s">
        <v>904</v>
      </c>
      <c r="C193" s="1266">
        <f>CEILING(75*$Z$1,0.1)</f>
        <v>93.80000000000001</v>
      </c>
      <c r="D193" s="1267"/>
      <c r="E193" s="1268">
        <f>CEILING(125*$Z$1,0.1)</f>
        <v>156.3</v>
      </c>
      <c r="F193" s="1269"/>
      <c r="G193" s="1268">
        <f>CEILING(105*$Z$1,0.1)</f>
        <v>131.3</v>
      </c>
      <c r="H193" s="1269"/>
      <c r="I193" s="1268">
        <f>CEILING(115*$Z$1,0.1)</f>
        <v>143.8</v>
      </c>
      <c r="J193" s="1269"/>
      <c r="K193" s="1268">
        <f>CEILING(80*$Z$1,0.1)</f>
        <v>100</v>
      </c>
      <c r="L193" s="1270"/>
      <c r="M193" s="363"/>
    </row>
    <row r="194" spans="1:13" ht="15">
      <c r="A194" s="205" t="s">
        <v>59</v>
      </c>
      <c r="B194" s="10" t="s">
        <v>905</v>
      </c>
      <c r="C194" s="1268" t="s">
        <v>1265</v>
      </c>
      <c r="D194" s="1270"/>
      <c r="E194" s="1268">
        <f>CEILING((E193+50*$Z$1),0.1)</f>
        <v>218.8</v>
      </c>
      <c r="F194" s="1270"/>
      <c r="G194" s="1268">
        <f>CEILING((G193+50*$Z$1),0.1)</f>
        <v>193.8</v>
      </c>
      <c r="H194" s="1270"/>
      <c r="I194" s="1268">
        <f>CEILING((I193+50*$Z$1),0.1)</f>
        <v>206.3</v>
      </c>
      <c r="J194" s="1270"/>
      <c r="K194" s="1268">
        <f>CEILING((K193+50*$Z$1),0.1)</f>
        <v>162.5</v>
      </c>
      <c r="L194" s="1270"/>
      <c r="M194" s="363"/>
    </row>
    <row r="195" spans="1:14" ht="16.5" customHeight="1">
      <c r="A195" s="612" t="s">
        <v>753</v>
      </c>
      <c r="B195" s="12" t="s">
        <v>906</v>
      </c>
      <c r="C195" s="1268">
        <f>CEILING(95*$Z$1,0.1)</f>
        <v>118.80000000000001</v>
      </c>
      <c r="D195" s="1270"/>
      <c r="E195" s="1268">
        <f>CEILING(145*$Z$1,0.1)</f>
        <v>181.3</v>
      </c>
      <c r="F195" s="1314"/>
      <c r="G195" s="1268">
        <f>CEILING(125*$Z$1,0.1)</f>
        <v>156.3</v>
      </c>
      <c r="H195" s="1314"/>
      <c r="I195" s="1268">
        <f>CEILING(135*$Z$1,0.1)</f>
        <v>168.8</v>
      </c>
      <c r="J195" s="1314"/>
      <c r="K195" s="1268">
        <f>CEILING(100*$Z$1,0.1)</f>
        <v>125</v>
      </c>
      <c r="L195" s="1314"/>
      <c r="M195" s="226"/>
      <c r="N195" s="158"/>
    </row>
    <row r="196" spans="1:25" s="541" customFormat="1" ht="16.5" customHeight="1">
      <c r="A196" s="669"/>
      <c r="B196" s="12" t="s">
        <v>907</v>
      </c>
      <c r="C196" s="1357">
        <f>CEILING((C195+55*$Z$1),0.1)</f>
        <v>187.60000000000002</v>
      </c>
      <c r="D196" s="1358"/>
      <c r="E196" s="1357">
        <f>CEILING((E195+55*$Z$1),0.1)</f>
        <v>250.10000000000002</v>
      </c>
      <c r="F196" s="1358"/>
      <c r="G196" s="1357">
        <f>CEILING((G195+55*$Z$1),0.1)</f>
        <v>225.10000000000002</v>
      </c>
      <c r="H196" s="1358"/>
      <c r="I196" s="1357">
        <f>CEILING((I195+55*$Z$1),0.1)</f>
        <v>237.60000000000002</v>
      </c>
      <c r="J196" s="1358"/>
      <c r="K196" s="1357">
        <f>CEILING((K195+55*$Z$1),0.1)</f>
        <v>193.8</v>
      </c>
      <c r="L196" s="1358"/>
      <c r="M196" s="670"/>
      <c r="N196" s="642"/>
      <c r="O196" s="540"/>
      <c r="P196" s="540"/>
      <c r="Q196" s="540"/>
      <c r="R196" s="540"/>
      <c r="S196" s="540"/>
      <c r="T196" s="540"/>
      <c r="U196" s="540"/>
      <c r="V196" s="540"/>
      <c r="W196" s="540"/>
      <c r="X196" s="540"/>
      <c r="Y196" s="540"/>
    </row>
    <row r="197" spans="1:25" ht="16.5" customHeight="1">
      <c r="A197" s="612" t="s">
        <v>754</v>
      </c>
      <c r="B197" s="220" t="s">
        <v>362</v>
      </c>
      <c r="C197" s="1268">
        <f>CEILING(105*$Z$1,0.1)</f>
        <v>131.3</v>
      </c>
      <c r="D197" s="1270"/>
      <c r="E197" s="1268">
        <f>CEILING(155*$Z$1,0.1)</f>
        <v>193.8</v>
      </c>
      <c r="F197" s="1314"/>
      <c r="G197" s="1268">
        <f>CEILING(135*$Z$1,0.1)</f>
        <v>168.8</v>
      </c>
      <c r="H197" s="1314"/>
      <c r="I197" s="1268">
        <f>CEILING(145*$Z$1,0.1)</f>
        <v>181.3</v>
      </c>
      <c r="J197" s="1314"/>
      <c r="K197" s="1268">
        <f>CEILING(110*$Z$1,0.1)</f>
        <v>137.5</v>
      </c>
      <c r="L197" s="1314"/>
      <c r="M197" s="363"/>
      <c r="X197"/>
      <c r="Y197"/>
    </row>
    <row r="198" spans="1:25" ht="15">
      <c r="A198" s="670" t="s">
        <v>1254</v>
      </c>
      <c r="B198" s="220" t="s">
        <v>361</v>
      </c>
      <c r="C198" s="1268">
        <f>CEILING((C197+60*$Z$1),0.1)</f>
        <v>206.3</v>
      </c>
      <c r="D198" s="1270"/>
      <c r="E198" s="1268">
        <f>CEILING((E197+60*$Z$1),0.1)</f>
        <v>268.8</v>
      </c>
      <c r="F198" s="1270"/>
      <c r="G198" s="1268">
        <f>CEILING((G197+60*$Z$1),0.1)</f>
        <v>243.8</v>
      </c>
      <c r="H198" s="1270"/>
      <c r="I198" s="1268">
        <f>CEILING((I197+60*$Z$1),0.1)</f>
        <v>256.3</v>
      </c>
      <c r="J198" s="1270"/>
      <c r="K198" s="1268">
        <f>CEILING((K197+60*$Z$1),0.1)</f>
        <v>212.5</v>
      </c>
      <c r="L198" s="1270"/>
      <c r="M198" s="363"/>
      <c r="X198"/>
      <c r="Y198"/>
    </row>
    <row r="199" spans="1:25" ht="16.5" thickBot="1">
      <c r="A199" s="254" t="s">
        <v>423</v>
      </c>
      <c r="B199" s="13" t="s">
        <v>908</v>
      </c>
      <c r="C199" s="1278">
        <v>0.15</v>
      </c>
      <c r="D199" s="1279"/>
      <c r="E199" s="1278">
        <v>0.15</v>
      </c>
      <c r="F199" s="1279"/>
      <c r="G199" s="1278">
        <v>0.15</v>
      </c>
      <c r="H199" s="1279"/>
      <c r="I199" s="1278">
        <v>0.15</v>
      </c>
      <c r="J199" s="1279"/>
      <c r="K199" s="1339">
        <v>0.15</v>
      </c>
      <c r="L199" s="1340"/>
      <c r="M199" s="363"/>
      <c r="X199"/>
      <c r="Y199"/>
    </row>
    <row r="200" spans="1:61" ht="15.75" thickTop="1">
      <c r="A200" s="1502" t="s">
        <v>956</v>
      </c>
      <c r="B200" s="1502"/>
      <c r="C200" s="1502"/>
      <c r="D200" s="1502"/>
      <c r="E200" s="1502"/>
      <c r="F200" s="1502"/>
      <c r="G200" s="1502"/>
      <c r="H200" s="1502"/>
      <c r="I200" s="1555"/>
      <c r="J200" s="1555"/>
      <c r="K200" s="94"/>
      <c r="L200" s="94"/>
      <c r="M200" s="335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  <c r="AX200" s="331"/>
      <c r="AY200" s="331"/>
      <c r="AZ200" s="331"/>
      <c r="BA200" s="331"/>
      <c r="BB200" s="331"/>
      <c r="BC200" s="331"/>
      <c r="BD200" s="331"/>
      <c r="BE200" s="331"/>
      <c r="BF200" s="331"/>
      <c r="BG200" s="331"/>
      <c r="BH200" s="331"/>
      <c r="BI200" s="331"/>
    </row>
    <row r="201" spans="1:23" s="192" customFormat="1" ht="14.25" customHeight="1">
      <c r="A201" s="172" t="s">
        <v>629</v>
      </c>
      <c r="B201" s="172"/>
      <c r="C201" s="172"/>
      <c r="D201" s="172"/>
      <c r="E201" s="172"/>
      <c r="F201" s="172"/>
      <c r="G201" s="22"/>
      <c r="H201" s="22"/>
      <c r="I201" s="23"/>
      <c r="J201" s="23"/>
      <c r="K201" s="315"/>
      <c r="L201" s="315"/>
      <c r="M201" s="55"/>
      <c r="N201" s="481"/>
      <c r="O201" s="481"/>
      <c r="P201" s="481"/>
      <c r="Q201" s="481"/>
      <c r="R201" s="481"/>
      <c r="S201" s="481"/>
      <c r="T201" s="481"/>
      <c r="U201" s="481"/>
      <c r="V201" s="481"/>
      <c r="W201" s="481"/>
    </row>
    <row r="202" spans="1:25" s="192" customFormat="1" ht="15">
      <c r="A202" s="1311"/>
      <c r="B202" s="1311"/>
      <c r="C202" s="1311"/>
      <c r="D202" s="1311"/>
      <c r="E202" s="1311"/>
      <c r="F202" s="1311"/>
      <c r="G202" s="1311"/>
      <c r="H202" s="1311"/>
      <c r="I202" s="1311"/>
      <c r="J202" s="1311"/>
      <c r="K202" s="1311"/>
      <c r="L202" s="1311"/>
      <c r="M202" s="20"/>
      <c r="N202" s="20"/>
      <c r="O202" s="481"/>
      <c r="P202" s="481"/>
      <c r="Q202" s="481"/>
      <c r="R202" s="481"/>
      <c r="S202" s="481"/>
      <c r="T202" s="481"/>
      <c r="U202" s="481"/>
      <c r="V202" s="481"/>
      <c r="W202" s="481"/>
      <c r="X202" s="481"/>
      <c r="Y202" s="481"/>
    </row>
    <row r="203" spans="1:14" s="331" customFormat="1" ht="15.75" thickBot="1">
      <c r="A203" s="1022"/>
      <c r="B203" s="1022"/>
      <c r="C203" s="1022"/>
      <c r="D203" s="1022"/>
      <c r="E203" s="1022"/>
      <c r="F203" s="1022"/>
      <c r="G203" s="1022"/>
      <c r="H203" s="1022"/>
      <c r="I203" s="1022"/>
      <c r="J203" s="1022"/>
      <c r="K203" s="1022"/>
      <c r="L203" s="1022"/>
      <c r="M203" s="342"/>
      <c r="N203" s="342"/>
    </row>
    <row r="204" spans="1:13" ht="25.5" customHeight="1" thickTop="1">
      <c r="A204" s="746" t="s">
        <v>43</v>
      </c>
      <c r="B204" s="814" t="s">
        <v>961</v>
      </c>
      <c r="C204" s="747" t="s">
        <v>884</v>
      </c>
      <c r="D204" s="748"/>
      <c r="E204" s="765" t="s">
        <v>911</v>
      </c>
      <c r="F204" s="766"/>
      <c r="G204" s="749" t="s">
        <v>912</v>
      </c>
      <c r="H204" s="750"/>
      <c r="I204" s="1273" t="s">
        <v>881</v>
      </c>
      <c r="J204" s="1274"/>
      <c r="K204" s="1280" t="s">
        <v>882</v>
      </c>
      <c r="L204" s="1281"/>
      <c r="M204" s="189"/>
    </row>
    <row r="205" spans="1:67" ht="15">
      <c r="A205" s="201" t="s">
        <v>638</v>
      </c>
      <c r="B205" s="131" t="s">
        <v>51</v>
      </c>
      <c r="C205" s="1266">
        <f>CEILING(115*$Z$1,0.1)</f>
        <v>143.8</v>
      </c>
      <c r="D205" s="1267"/>
      <c r="E205" s="1268">
        <f>CEILING(200*$Z$1,0.1)</f>
        <v>250</v>
      </c>
      <c r="F205" s="1269"/>
      <c r="G205" s="1266">
        <f>CEILING(150*$Z$1,0.1)</f>
        <v>187.5</v>
      </c>
      <c r="H205" s="1326"/>
      <c r="I205" s="1266">
        <f>CEILING(155*$Z$1,0.1)</f>
        <v>193.8</v>
      </c>
      <c r="J205" s="1326"/>
      <c r="K205" s="1266">
        <f>CEILING(125*$Z$1,0.1)</f>
        <v>156.3</v>
      </c>
      <c r="L205" s="1267"/>
      <c r="M205" s="335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  <c r="BB205" s="331"/>
      <c r="BC205" s="331"/>
      <c r="BD205" s="331"/>
      <c r="BE205" s="331"/>
      <c r="BF205" s="331"/>
      <c r="BG205" s="331"/>
      <c r="BH205" s="331"/>
      <c r="BI205" s="331"/>
      <c r="BJ205" s="331"/>
      <c r="BK205" s="331"/>
      <c r="BL205" s="331"/>
      <c r="BM205" s="331"/>
      <c r="BN205" s="331"/>
      <c r="BO205" s="331"/>
    </row>
    <row r="206" spans="1:67" ht="15">
      <c r="A206" s="227" t="s">
        <v>45</v>
      </c>
      <c r="B206" s="12" t="s">
        <v>52</v>
      </c>
      <c r="C206" s="1268">
        <f>CEILING((C205+57.5*$Z$1),0.1)</f>
        <v>215.70000000000002</v>
      </c>
      <c r="D206" s="1270"/>
      <c r="E206" s="1268">
        <f>CEILING((E205+100*$Z$1),0.1)</f>
        <v>375</v>
      </c>
      <c r="F206" s="1270"/>
      <c r="G206" s="1268">
        <f>CEILING((G205+75*$Z$1),0.1)</f>
        <v>281.3</v>
      </c>
      <c r="H206" s="1270"/>
      <c r="I206" s="1268">
        <f>CEILING((I205+77.5*$Z$1),0.1)</f>
        <v>290.7</v>
      </c>
      <c r="J206" s="1270"/>
      <c r="K206" s="1268">
        <f>CEILING((K205+62.5*$Z$1),0.1)</f>
        <v>234.5</v>
      </c>
      <c r="L206" s="1270"/>
      <c r="M206" s="335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331"/>
      <c r="BC206" s="331"/>
      <c r="BD206" s="331"/>
      <c r="BE206" s="331"/>
      <c r="BF206" s="331"/>
      <c r="BG206" s="331"/>
      <c r="BH206" s="331"/>
      <c r="BI206" s="331"/>
      <c r="BJ206" s="331"/>
      <c r="BK206" s="331"/>
      <c r="BL206" s="331"/>
      <c r="BM206" s="331"/>
      <c r="BN206" s="331"/>
      <c r="BO206" s="331"/>
    </row>
    <row r="207" spans="1:67" ht="15">
      <c r="A207" s="151"/>
      <c r="B207" s="12" t="s">
        <v>47</v>
      </c>
      <c r="C207" s="1268">
        <f>CEILING((C205*0.75),0.1)</f>
        <v>107.9</v>
      </c>
      <c r="D207" s="1270"/>
      <c r="E207" s="1268">
        <f>CEILING((E205*0.75),0.1)</f>
        <v>187.5</v>
      </c>
      <c r="F207" s="1270"/>
      <c r="G207" s="1268">
        <f>CEILING((G205*0.75),0.1)</f>
        <v>140.70000000000002</v>
      </c>
      <c r="H207" s="1270"/>
      <c r="I207" s="1268">
        <f>CEILING((I205*0.75),0.1)</f>
        <v>145.4</v>
      </c>
      <c r="J207" s="1270"/>
      <c r="K207" s="1268">
        <f>CEILING((K205*0.75),0.1)</f>
        <v>117.30000000000001</v>
      </c>
      <c r="L207" s="1270"/>
      <c r="M207" s="335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331"/>
      <c r="BC207" s="331"/>
      <c r="BD207" s="331"/>
      <c r="BE207" s="331"/>
      <c r="BF207" s="331"/>
      <c r="BG207" s="331"/>
      <c r="BH207" s="331"/>
      <c r="BI207" s="331"/>
      <c r="BJ207" s="331"/>
      <c r="BK207" s="331"/>
      <c r="BL207" s="331"/>
      <c r="BM207" s="331"/>
      <c r="BN207" s="331"/>
      <c r="BO207" s="331"/>
    </row>
    <row r="208" spans="1:67" ht="15">
      <c r="A208" s="168"/>
      <c r="B208" s="12" t="s">
        <v>909</v>
      </c>
      <c r="C208" s="1268">
        <f>CEILING((C205*0.5),0.1)</f>
        <v>71.9</v>
      </c>
      <c r="D208" s="1270"/>
      <c r="E208" s="1268">
        <f>CEILING((E205*0.7),0.1)</f>
        <v>175</v>
      </c>
      <c r="F208" s="1270"/>
      <c r="G208" s="1268">
        <f>CEILING((G205*0.7),0.1)</f>
        <v>131.3</v>
      </c>
      <c r="H208" s="1270"/>
      <c r="I208" s="1268">
        <f>CEILING((I205*0.7),0.1)</f>
        <v>135.70000000000002</v>
      </c>
      <c r="J208" s="1270"/>
      <c r="K208" s="1268">
        <f>CEILING((K205*0.5),0.1)</f>
        <v>78.2</v>
      </c>
      <c r="L208" s="1270"/>
      <c r="M208" s="335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1"/>
      <c r="BB208" s="331"/>
      <c r="BC208" s="331"/>
      <c r="BD208" s="331"/>
      <c r="BE208" s="331"/>
      <c r="BF208" s="331"/>
      <c r="BG208" s="331"/>
      <c r="BH208" s="331"/>
      <c r="BI208" s="331"/>
      <c r="BJ208" s="331"/>
      <c r="BK208" s="331"/>
      <c r="BL208" s="331"/>
      <c r="BM208" s="331"/>
      <c r="BN208" s="331"/>
      <c r="BO208" s="331"/>
    </row>
    <row r="209" spans="1:67" ht="15.75">
      <c r="A209" s="230"/>
      <c r="B209" s="12" t="s">
        <v>44</v>
      </c>
      <c r="C209" s="1268">
        <f>CEILING(132*$Z$1,0.1)</f>
        <v>165</v>
      </c>
      <c r="D209" s="1270"/>
      <c r="E209" s="1268">
        <f>CEILING(230*$Z$1,0.1)</f>
        <v>287.5</v>
      </c>
      <c r="F209" s="1314"/>
      <c r="G209" s="1268">
        <f>CEILING(173*$Z$1,0.1)</f>
        <v>216.3</v>
      </c>
      <c r="H209" s="1314"/>
      <c r="I209" s="1268">
        <f>CEILING(178*$Z$1,0.1)</f>
        <v>222.5</v>
      </c>
      <c r="J209" s="1314"/>
      <c r="K209" s="1268">
        <f>CEILING(144*$Z$1,0.1)</f>
        <v>180</v>
      </c>
      <c r="L209" s="1314"/>
      <c r="M209" s="335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  <c r="AX209" s="331"/>
      <c r="AY209" s="331"/>
      <c r="AZ209" s="331"/>
      <c r="BA209" s="331"/>
      <c r="BB209" s="331"/>
      <c r="BC209" s="331"/>
      <c r="BD209" s="331"/>
      <c r="BE209" s="331"/>
      <c r="BF209" s="331"/>
      <c r="BG209" s="331"/>
      <c r="BH209" s="331"/>
      <c r="BI209" s="331"/>
      <c r="BJ209" s="331"/>
      <c r="BK209" s="331"/>
      <c r="BL209" s="331"/>
      <c r="BM209" s="331"/>
      <c r="BN209" s="331"/>
      <c r="BO209" s="331"/>
    </row>
    <row r="210" spans="1:67" ht="15">
      <c r="A210" s="286" t="s">
        <v>1322</v>
      </c>
      <c r="B210" s="12" t="s">
        <v>46</v>
      </c>
      <c r="C210" s="1268">
        <f>CEILING((C209+66*$Z$1),0.1)</f>
        <v>247.5</v>
      </c>
      <c r="D210" s="1270"/>
      <c r="E210" s="1268">
        <f>CEILING((E209+115*$Z$1),0.1)</f>
        <v>431.3</v>
      </c>
      <c r="F210" s="1270"/>
      <c r="G210" s="1268">
        <f>CEILING((G209+86.5*$Z$1),0.1)</f>
        <v>324.5</v>
      </c>
      <c r="H210" s="1270"/>
      <c r="I210" s="1268">
        <f>CEILING((I209+89*$Z$1),0.1)</f>
        <v>333.8</v>
      </c>
      <c r="J210" s="1270"/>
      <c r="K210" s="1268">
        <f>CEILING((K209+72*$Z$1),0.1)</f>
        <v>270</v>
      </c>
      <c r="L210" s="1270"/>
      <c r="M210" s="335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  <c r="AX210" s="331"/>
      <c r="AY210" s="331"/>
      <c r="AZ210" s="331"/>
      <c r="BA210" s="331"/>
      <c r="BB210" s="331"/>
      <c r="BC210" s="331"/>
      <c r="BD210" s="331"/>
      <c r="BE210" s="331"/>
      <c r="BF210" s="331"/>
      <c r="BG210" s="331"/>
      <c r="BH210" s="331"/>
      <c r="BI210" s="331"/>
      <c r="BJ210" s="331"/>
      <c r="BK210" s="331"/>
      <c r="BL210" s="331"/>
      <c r="BM210" s="331"/>
      <c r="BN210" s="331"/>
      <c r="BO210" s="331"/>
    </row>
    <row r="211" spans="1:67" s="658" customFormat="1" ht="15">
      <c r="A211" s="644"/>
      <c r="B211" s="36" t="s">
        <v>501</v>
      </c>
      <c r="C211" s="1268">
        <f>CEILING(150*$Z$1,0.1)</f>
        <v>187.5</v>
      </c>
      <c r="D211" s="1270"/>
      <c r="E211" s="1268">
        <f>CEILING(260*$Z$1,0.1)</f>
        <v>325</v>
      </c>
      <c r="F211" s="1314"/>
      <c r="G211" s="1268">
        <f>CEILING(195*$Z$1,0.1)</f>
        <v>243.8</v>
      </c>
      <c r="H211" s="1314"/>
      <c r="I211" s="1268">
        <f>CEILING(202*$Z$1,0.1)</f>
        <v>252.5</v>
      </c>
      <c r="J211" s="1314"/>
      <c r="K211" s="1268">
        <f>CEILING(163*$Z$1,0.1)</f>
        <v>203.8</v>
      </c>
      <c r="L211" s="1314"/>
      <c r="M211" s="942"/>
      <c r="N211" s="1085"/>
      <c r="O211" s="1085"/>
      <c r="P211" s="1085"/>
      <c r="Q211" s="1085"/>
      <c r="R211" s="1085"/>
      <c r="S211" s="1085"/>
      <c r="T211" s="1085"/>
      <c r="U211" s="1085"/>
      <c r="V211" s="1085"/>
      <c r="W211" s="1085"/>
      <c r="X211" s="1085"/>
      <c r="Y211" s="1085"/>
      <c r="Z211" s="1085"/>
      <c r="AA211" s="1085"/>
      <c r="AB211" s="1085"/>
      <c r="AC211" s="1085"/>
      <c r="AD211" s="1085"/>
      <c r="AE211" s="1085"/>
      <c r="AF211" s="1085"/>
      <c r="AG211" s="1085"/>
      <c r="AH211" s="1085"/>
      <c r="AI211" s="1085"/>
      <c r="AJ211" s="1085"/>
      <c r="AK211" s="1085"/>
      <c r="AL211" s="1085"/>
      <c r="AM211" s="1085"/>
      <c r="AN211" s="1085"/>
      <c r="AO211" s="1085"/>
      <c r="AP211" s="1085"/>
      <c r="AQ211" s="1085"/>
      <c r="AR211" s="1085"/>
      <c r="AS211" s="1085"/>
      <c r="AT211" s="1085"/>
      <c r="AU211" s="1085"/>
      <c r="AV211" s="1085"/>
      <c r="AW211" s="1085"/>
      <c r="AX211" s="1085"/>
      <c r="AY211" s="1085"/>
      <c r="AZ211" s="1085"/>
      <c r="BA211" s="1085"/>
      <c r="BB211" s="1085"/>
      <c r="BC211" s="1085"/>
      <c r="BD211" s="1085"/>
      <c r="BE211" s="1085"/>
      <c r="BF211" s="1085"/>
      <c r="BG211" s="1085"/>
      <c r="BH211" s="1085"/>
      <c r="BI211" s="1085"/>
      <c r="BJ211" s="1085"/>
      <c r="BK211" s="1085"/>
      <c r="BL211" s="1085"/>
      <c r="BM211" s="1085"/>
      <c r="BN211" s="1085"/>
      <c r="BO211" s="1085"/>
    </row>
    <row r="212" spans="1:67" s="404" customFormat="1" ht="15">
      <c r="A212" s="642" t="s">
        <v>1286</v>
      </c>
      <c r="B212" s="233" t="s">
        <v>502</v>
      </c>
      <c r="C212" s="1284">
        <f>CEILING((C211+75*$Z$1),0.1)</f>
        <v>281.3</v>
      </c>
      <c r="D212" s="1285"/>
      <c r="E212" s="1268">
        <f>CEILING((E211+130*$Z$1),0.1)</f>
        <v>487.5</v>
      </c>
      <c r="F212" s="1270"/>
      <c r="G212" s="1284">
        <f>CEILING((G211+97.5*$Z$1),0.1)</f>
        <v>365.70000000000005</v>
      </c>
      <c r="H212" s="1285"/>
      <c r="I212" s="1284">
        <f>CEILING((I211+101*$Z$1),0.1)</f>
        <v>378.8</v>
      </c>
      <c r="J212" s="1285"/>
      <c r="K212" s="1284">
        <f>CEILING((K211+81.5*$Z$1),0.1)</f>
        <v>305.7</v>
      </c>
      <c r="L212" s="1285"/>
      <c r="M212" s="335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31"/>
      <c r="BC212" s="331"/>
      <c r="BD212" s="331"/>
      <c r="BE212" s="331"/>
      <c r="BF212" s="331"/>
      <c r="BG212" s="331"/>
      <c r="BH212" s="331"/>
      <c r="BI212" s="331"/>
      <c r="BJ212" s="331"/>
      <c r="BK212" s="331"/>
      <c r="BL212" s="331"/>
      <c r="BM212" s="331"/>
      <c r="BN212" s="331"/>
      <c r="BO212" s="331"/>
    </row>
    <row r="213" spans="1:67" s="404" customFormat="1" ht="15">
      <c r="A213" s="642"/>
      <c r="B213" s="29" t="s">
        <v>641</v>
      </c>
      <c r="C213" s="1266">
        <f>CEILING(163*$Z$1,0.1)</f>
        <v>203.8</v>
      </c>
      <c r="D213" s="1267"/>
      <c r="E213" s="1326">
        <f>CEILING(277*$Z$1,0.1)</f>
        <v>346.3</v>
      </c>
      <c r="F213" s="1267"/>
      <c r="G213" s="1268">
        <f>CEILING(210*$Z$1,0.1)</f>
        <v>262.5</v>
      </c>
      <c r="H213" s="1270"/>
      <c r="I213" s="1268">
        <f>CEILING(217*$Z$1,0.1)</f>
        <v>271.3</v>
      </c>
      <c r="J213" s="1270"/>
      <c r="K213" s="1268">
        <f>CEILING(177*$Z$1,0.1)</f>
        <v>221.3</v>
      </c>
      <c r="L213" s="1270"/>
      <c r="M213" s="335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  <c r="BE213" s="331"/>
      <c r="BF213" s="331"/>
      <c r="BG213" s="331"/>
      <c r="BH213" s="331"/>
      <c r="BI213" s="331"/>
      <c r="BJ213" s="331"/>
      <c r="BK213" s="331"/>
      <c r="BL213" s="331"/>
      <c r="BM213" s="331"/>
      <c r="BN213" s="331"/>
      <c r="BO213" s="331"/>
    </row>
    <row r="214" spans="1:67" s="404" customFormat="1" ht="15">
      <c r="A214" s="20"/>
      <c r="B214" s="29" t="s">
        <v>643</v>
      </c>
      <c r="C214" s="1268">
        <f>CEILING((C213*0.5),0.1)</f>
        <v>101.9</v>
      </c>
      <c r="D214" s="1270"/>
      <c r="E214" s="1269">
        <f>CEILING((E213*0.5),0.1)</f>
        <v>173.20000000000002</v>
      </c>
      <c r="F214" s="1270"/>
      <c r="G214" s="1268">
        <f>CEILING((G213*0.5),0.1)</f>
        <v>131.3</v>
      </c>
      <c r="H214" s="1270"/>
      <c r="I214" s="1268">
        <f>CEILING((I213*0.5),0.1)</f>
        <v>135.70000000000002</v>
      </c>
      <c r="J214" s="1270"/>
      <c r="K214" s="1268">
        <f>CEILING((K213*0.5),0.1)</f>
        <v>110.7</v>
      </c>
      <c r="L214" s="1270"/>
      <c r="M214" s="335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/>
      <c r="BM214" s="331"/>
      <c r="BN214" s="331"/>
      <c r="BO214" s="331"/>
    </row>
    <row r="215" spans="1:67" ht="15.75" customHeight="1" thickBot="1">
      <c r="A215" s="187" t="s">
        <v>427</v>
      </c>
      <c r="B215" s="184"/>
      <c r="C215" s="1284"/>
      <c r="D215" s="1285"/>
      <c r="E215" s="1276"/>
      <c r="F215" s="1277"/>
      <c r="G215" s="1275"/>
      <c r="H215" s="1277"/>
      <c r="I215" s="1275"/>
      <c r="J215" s="1277"/>
      <c r="K215" s="544"/>
      <c r="L215" s="545"/>
      <c r="M215" s="335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1"/>
      <c r="BG215" s="331"/>
      <c r="BH215" s="331"/>
      <c r="BI215" s="331"/>
      <c r="BJ215" s="331"/>
      <c r="BK215" s="331"/>
      <c r="BL215" s="331"/>
      <c r="BM215" s="331"/>
      <c r="BN215" s="331"/>
      <c r="BO215" s="331"/>
    </row>
    <row r="216" spans="1:25" s="404" customFormat="1" ht="15.75" thickTop="1">
      <c r="A216" s="1355" t="s">
        <v>642</v>
      </c>
      <c r="B216" s="1355"/>
      <c r="C216" s="1355"/>
      <c r="D216" s="1355"/>
      <c r="E216" s="1355"/>
      <c r="F216" s="1355"/>
      <c r="G216" s="1355"/>
      <c r="H216" s="1355"/>
      <c r="I216" s="1356"/>
      <c r="J216" s="1356"/>
      <c r="K216" s="1301"/>
      <c r="L216" s="1301"/>
      <c r="M216" s="18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</row>
    <row r="217" spans="1:13" s="1200" customFormat="1" ht="17.25" customHeight="1">
      <c r="A217" s="1195" t="s">
        <v>1325</v>
      </c>
      <c r="B217" s="1196"/>
      <c r="C217" s="1196"/>
      <c r="D217" s="1196"/>
      <c r="E217" s="1196"/>
      <c r="F217" s="1196"/>
      <c r="G217" s="1196"/>
      <c r="H217" s="1196"/>
      <c r="I217" s="1197"/>
      <c r="J217" s="1197"/>
      <c r="K217" s="1198"/>
      <c r="L217" s="1198"/>
      <c r="M217" s="1199"/>
    </row>
    <row r="218" spans="1:13" s="1200" customFormat="1" ht="15">
      <c r="A218" s="1195" t="s">
        <v>1326</v>
      </c>
      <c r="B218" s="1196"/>
      <c r="C218" s="1196"/>
      <c r="D218" s="1196"/>
      <c r="E218" s="1196"/>
      <c r="F218" s="1196"/>
      <c r="G218" s="1196"/>
      <c r="H218" s="1196"/>
      <c r="I218" s="1197"/>
      <c r="J218" s="1197"/>
      <c r="K218" s="1198"/>
      <c r="L218" s="1198"/>
      <c r="M218" s="1199"/>
    </row>
    <row r="219" spans="1:25" s="479" customFormat="1" ht="15.75" customHeight="1">
      <c r="A219" s="172"/>
      <c r="B219" s="767"/>
      <c r="C219" s="767"/>
      <c r="D219" s="767"/>
      <c r="E219" s="767"/>
      <c r="F219" s="767"/>
      <c r="G219" s="767"/>
      <c r="H219" s="767"/>
      <c r="I219" s="767"/>
      <c r="J219" s="767"/>
      <c r="K219" s="279"/>
      <c r="L219" s="279"/>
      <c r="M219" s="481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/>
      <c r="X219" s="480"/>
      <c r="Y219" s="480"/>
    </row>
    <row r="220" spans="1:25" s="404" customFormat="1" ht="15.75" thickBot="1">
      <c r="A220" s="558" t="s">
        <v>669</v>
      </c>
      <c r="B220" s="408"/>
      <c r="C220" s="408"/>
      <c r="D220" s="408"/>
      <c r="E220" s="408"/>
      <c r="F220" s="408"/>
      <c r="G220" s="408"/>
      <c r="H220" s="408"/>
      <c r="I220" s="408"/>
      <c r="J220" s="408"/>
      <c r="K220" s="279"/>
      <c r="L220" s="279"/>
      <c r="M220" s="18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</row>
    <row r="221" spans="1:25" s="479" customFormat="1" ht="25.5" customHeight="1" thickTop="1">
      <c r="A221" s="746" t="s">
        <v>43</v>
      </c>
      <c r="B221" s="814" t="s">
        <v>961</v>
      </c>
      <c r="C221" s="747" t="s">
        <v>884</v>
      </c>
      <c r="D221" s="748"/>
      <c r="E221" s="773" t="s">
        <v>911</v>
      </c>
      <c r="F221" s="766"/>
      <c r="G221" s="749" t="s">
        <v>912</v>
      </c>
      <c r="H221" s="750"/>
      <c r="I221" s="1273" t="s">
        <v>881</v>
      </c>
      <c r="J221" s="1274"/>
      <c r="K221" s="1280" t="s">
        <v>882</v>
      </c>
      <c r="L221" s="1281"/>
      <c r="M221" s="481"/>
      <c r="N221" s="480"/>
      <c r="O221" s="480"/>
      <c r="P221" s="480"/>
      <c r="Q221" s="480"/>
      <c r="R221" s="480"/>
      <c r="S221" s="480"/>
      <c r="T221" s="480"/>
      <c r="U221" s="480"/>
      <c r="V221" s="480"/>
      <c r="W221" s="480"/>
      <c r="X221" s="480"/>
      <c r="Y221" s="480"/>
    </row>
    <row r="222" spans="1:25" s="404" customFormat="1" ht="15">
      <c r="A222" s="228" t="s">
        <v>640</v>
      </c>
      <c r="B222" s="11" t="s">
        <v>51</v>
      </c>
      <c r="C222" s="1266">
        <f>CEILING(90*$Z$1,0.1)</f>
        <v>112.5</v>
      </c>
      <c r="D222" s="1267"/>
      <c r="E222" s="1326">
        <f>CEILING(140*$Z$1,0.1)</f>
        <v>175</v>
      </c>
      <c r="F222" s="1267"/>
      <c r="G222" s="1326">
        <f>CEILING(120*$Z$1,0.1)</f>
        <v>150</v>
      </c>
      <c r="H222" s="1267"/>
      <c r="I222" s="1326">
        <f>CEILING(125*$Z$1,0.1)</f>
        <v>156.3</v>
      </c>
      <c r="J222" s="1267"/>
      <c r="K222" s="1266">
        <f>CEILING(100*$Z$1,0.1)</f>
        <v>125</v>
      </c>
      <c r="L222" s="1267"/>
      <c r="M222" s="18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</row>
    <row r="223" spans="1:25" s="404" customFormat="1" ht="15">
      <c r="A223" s="229" t="s">
        <v>45</v>
      </c>
      <c r="B223" s="29" t="s">
        <v>52</v>
      </c>
      <c r="C223" s="1268">
        <f>CEILING((C222+36*$Z$1),0.1)</f>
        <v>157.5</v>
      </c>
      <c r="D223" s="1270"/>
      <c r="E223" s="1269">
        <f>CEILING((E222+56*$Z$1),0.1)</f>
        <v>245</v>
      </c>
      <c r="F223" s="1270"/>
      <c r="G223" s="1269">
        <f>CEILING((G222+48*$Z$1),0.1)</f>
        <v>210</v>
      </c>
      <c r="H223" s="1270"/>
      <c r="I223" s="1269">
        <f>CEILING((I222+50*$Z$1),0.1)</f>
        <v>218.8</v>
      </c>
      <c r="J223" s="1270"/>
      <c r="K223" s="1268">
        <f>CEILING((K222+40*$Z$1),0.1)</f>
        <v>175</v>
      </c>
      <c r="L223" s="1270"/>
      <c r="M223" s="18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</row>
    <row r="224" spans="1:25" s="404" customFormat="1" ht="15.75">
      <c r="A224" s="357"/>
      <c r="B224" s="29" t="s">
        <v>909</v>
      </c>
      <c r="C224" s="1268">
        <f>CEILING((C222*0),0.1)</f>
        <v>0</v>
      </c>
      <c r="D224" s="1270"/>
      <c r="E224" s="1269">
        <f>CEILING((E222*0.5),0.1)</f>
        <v>87.5</v>
      </c>
      <c r="F224" s="1270"/>
      <c r="G224" s="1269">
        <f>CEILING((G222*0.5),0.1)</f>
        <v>75</v>
      </c>
      <c r="H224" s="1270"/>
      <c r="I224" s="1269">
        <f>CEILING((I222*0.5),0.1)</f>
        <v>78.2</v>
      </c>
      <c r="J224" s="1270"/>
      <c r="K224" s="1268">
        <f>CEILING((K222*0),0.1)</f>
        <v>0</v>
      </c>
      <c r="L224" s="1270"/>
      <c r="M224" s="18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</row>
    <row r="225" spans="1:25" s="404" customFormat="1" ht="15.75">
      <c r="A225" s="357"/>
      <c r="B225" s="11" t="s">
        <v>53</v>
      </c>
      <c r="C225" s="1268">
        <f>CEILING(95*$Z$1,0.1)</f>
        <v>118.80000000000001</v>
      </c>
      <c r="D225" s="1270"/>
      <c r="E225" s="1269">
        <f>CEILING(148*$Z$1,0.1)</f>
        <v>185</v>
      </c>
      <c r="F225" s="1270"/>
      <c r="G225" s="1269">
        <f>CEILING(127*$Z$1,0.1)</f>
        <v>158.8</v>
      </c>
      <c r="H225" s="1270"/>
      <c r="I225" s="1269">
        <f>CEILING(133*$Z$1,0.1)</f>
        <v>166.3</v>
      </c>
      <c r="J225" s="1270"/>
      <c r="K225" s="1268">
        <f>CEILING(106*$Z$1,0.1)</f>
        <v>132.5</v>
      </c>
      <c r="L225" s="1270"/>
      <c r="M225" s="18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</row>
    <row r="226" spans="1:25" s="404" customFormat="1" ht="15">
      <c r="A226" s="399"/>
      <c r="B226" s="11" t="s">
        <v>54</v>
      </c>
      <c r="C226" s="1268">
        <f>CEILING((C225+38*$Z$1),0.1)</f>
        <v>166.3</v>
      </c>
      <c r="D226" s="1270"/>
      <c r="E226" s="1268">
        <f>CEILING((E225+59*$Z$1),0.1)</f>
        <v>258.8</v>
      </c>
      <c r="F226" s="1270"/>
      <c r="G226" s="1268">
        <f>CEILING((G225+50.8*$Z$1),0.1)</f>
        <v>222.3</v>
      </c>
      <c r="H226" s="1270"/>
      <c r="I226" s="1268">
        <f>CEILING((I225+53.1*$Z$1),0.1)</f>
        <v>232.70000000000002</v>
      </c>
      <c r="J226" s="1270"/>
      <c r="K226" s="1268">
        <f>CEILING((K225+42.5*$Z$1),0.1)</f>
        <v>185.70000000000002</v>
      </c>
      <c r="L226" s="1270"/>
      <c r="M226" s="18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</row>
    <row r="227" spans="1:25" s="404" customFormat="1" ht="15.75">
      <c r="A227" s="230"/>
      <c r="B227" s="29" t="s">
        <v>644</v>
      </c>
      <c r="C227" s="1268">
        <f>CEILING(104*$Z$1,0.1)</f>
        <v>130</v>
      </c>
      <c r="D227" s="1270"/>
      <c r="E227" s="1269">
        <f>CEILING(161*$Z$1,0.1)</f>
        <v>201.3</v>
      </c>
      <c r="F227" s="1270"/>
      <c r="G227" s="1269">
        <f>CEILING(138*$Z$1,0.1)</f>
        <v>172.5</v>
      </c>
      <c r="H227" s="1270"/>
      <c r="I227" s="1269">
        <f>CEILING(144*$Z$1,0.1)</f>
        <v>180</v>
      </c>
      <c r="J227" s="1270"/>
      <c r="K227" s="1268">
        <f>CEILING(115*$Z$1,0.1)</f>
        <v>143.8</v>
      </c>
      <c r="L227" s="1270"/>
      <c r="M227" s="18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</row>
    <row r="228" spans="1:25" s="404" customFormat="1" ht="15.75">
      <c r="A228" s="230"/>
      <c r="B228" s="418" t="s">
        <v>831</v>
      </c>
      <c r="C228" s="1284">
        <f>CEILING((C227+41.5*$Z$1),0.1)</f>
        <v>181.9</v>
      </c>
      <c r="D228" s="1285"/>
      <c r="E228" s="1372">
        <f>CEILING((E227+64.5*$Z$1),0.1)</f>
        <v>282</v>
      </c>
      <c r="F228" s="1285"/>
      <c r="G228" s="1372">
        <f>CEILING((G227+55.5*$Z$1),0.1)</f>
        <v>241.9</v>
      </c>
      <c r="H228" s="1285"/>
      <c r="I228" s="1372">
        <f>CEILING((I227+57.9*$Z$1),0.1)</f>
        <v>252.4</v>
      </c>
      <c r="J228" s="1285"/>
      <c r="K228" s="1284">
        <f>CEILING((K227+45.9*$Z$1),0.1)</f>
        <v>201.20000000000002</v>
      </c>
      <c r="L228" s="1285"/>
      <c r="M228" s="18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</row>
    <row r="229" spans="1:25" s="404" customFormat="1" ht="15">
      <c r="A229" s="229"/>
      <c r="B229" s="29" t="s">
        <v>485</v>
      </c>
      <c r="C229" s="1266">
        <f>CEILING(108*$Z$1,0.1)</f>
        <v>135</v>
      </c>
      <c r="D229" s="1267"/>
      <c r="E229" s="1326">
        <f>CEILING(168*$Z$1,0.1)</f>
        <v>210</v>
      </c>
      <c r="F229" s="1267"/>
      <c r="G229" s="1326">
        <f>CEILING(144*$Z$1,0.1)</f>
        <v>180</v>
      </c>
      <c r="H229" s="1267"/>
      <c r="I229" s="1326">
        <f>CEILING(150*$Z$1,0.1)</f>
        <v>187.5</v>
      </c>
      <c r="J229" s="1267"/>
      <c r="K229" s="1266">
        <f>CEILING(120*$Z$1,0.1)</f>
        <v>150</v>
      </c>
      <c r="L229" s="1267"/>
      <c r="M229" s="18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</row>
    <row r="230" spans="1:25" s="404" customFormat="1" ht="15">
      <c r="A230" s="229"/>
      <c r="B230" s="29" t="s">
        <v>486</v>
      </c>
      <c r="C230" s="1268">
        <f>CEILING((C229+43.5*$Z$1),0.1)</f>
        <v>189.4</v>
      </c>
      <c r="D230" s="1270"/>
      <c r="E230" s="1269">
        <f>CEILING((E229+67.2*$Z$1),0.1)</f>
        <v>294</v>
      </c>
      <c r="F230" s="1270"/>
      <c r="G230" s="1269">
        <f>CEILING((G229+57.6*$Z$1),0.1)</f>
        <v>252</v>
      </c>
      <c r="H230" s="1270"/>
      <c r="I230" s="1269">
        <f>CEILING((I229+60*$Z$1),0.1)</f>
        <v>262.5</v>
      </c>
      <c r="J230" s="1270"/>
      <c r="K230" s="1268">
        <f>CEILING((K229+48*$Z$1),0.1)</f>
        <v>210</v>
      </c>
      <c r="L230" s="1270"/>
      <c r="M230" s="18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</row>
    <row r="231" spans="1:25" s="404" customFormat="1" ht="15">
      <c r="A231" s="286" t="s">
        <v>1322</v>
      </c>
      <c r="B231" s="29" t="s">
        <v>487</v>
      </c>
      <c r="C231" s="1268">
        <f>CEILING(113*$Z$1,0.1)</f>
        <v>141.3</v>
      </c>
      <c r="D231" s="1270"/>
      <c r="E231" s="1269">
        <f>CEILING(175*$Z$1,0.1)</f>
        <v>218.8</v>
      </c>
      <c r="F231" s="1270"/>
      <c r="G231" s="1269">
        <f>CEILING(150*$Z$1,0.1)</f>
        <v>187.5</v>
      </c>
      <c r="H231" s="1270"/>
      <c r="I231" s="1269">
        <f>CEILING(156*$Z$1,0.1)</f>
        <v>195</v>
      </c>
      <c r="J231" s="1270"/>
      <c r="K231" s="1268">
        <f>CEILING(125*$Z$1,0.1)</f>
        <v>156.3</v>
      </c>
      <c r="L231" s="1270"/>
      <c r="M231" s="18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</row>
    <row r="232" spans="1:25" s="404" customFormat="1" ht="15">
      <c r="A232" s="229"/>
      <c r="B232" s="29" t="s">
        <v>488</v>
      </c>
      <c r="C232" s="1268">
        <f>CEILING((C231+45.2*$Z$1),0.1)</f>
        <v>197.8</v>
      </c>
      <c r="D232" s="1270"/>
      <c r="E232" s="1269">
        <f>CEILING((E231+70*$Z$1),0.1)</f>
        <v>306.3</v>
      </c>
      <c r="F232" s="1270"/>
      <c r="G232" s="1269">
        <f>CEILING((G231+60*$Z$1),0.1)</f>
        <v>262.5</v>
      </c>
      <c r="H232" s="1270"/>
      <c r="I232" s="1269">
        <f>CEILING((I231+62.3*$Z$1),0.1)</f>
        <v>272.90000000000003</v>
      </c>
      <c r="J232" s="1270"/>
      <c r="K232" s="1268">
        <f>CEILING((K231+50*$Z$1),0.1)</f>
        <v>218.8</v>
      </c>
      <c r="L232" s="1270"/>
      <c r="M232" s="18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</row>
    <row r="233" spans="1:25" s="404" customFormat="1" ht="15">
      <c r="A233" s="642" t="s">
        <v>1286</v>
      </c>
      <c r="B233" s="29" t="s">
        <v>489</v>
      </c>
      <c r="C233" s="1268">
        <f>CEILING(122*$Z$1,0.1)</f>
        <v>152.5</v>
      </c>
      <c r="D233" s="1270"/>
      <c r="E233" s="1269">
        <f>CEILING(189*$Z$1,0.1)</f>
        <v>236.3</v>
      </c>
      <c r="F233" s="1270"/>
      <c r="G233" s="1269">
        <f>CEILING(162*$Z$1,0.1)</f>
        <v>202.5</v>
      </c>
      <c r="H233" s="1270"/>
      <c r="I233" s="1269">
        <f>CEILING(169*$Z$1,0.1)</f>
        <v>211.3</v>
      </c>
      <c r="J233" s="1270"/>
      <c r="K233" s="1268">
        <f>CEILING(130*$Z$1,0.1)</f>
        <v>162.5</v>
      </c>
      <c r="L233" s="1270"/>
      <c r="M233" s="18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</row>
    <row r="234" spans="1:25" s="404" customFormat="1" ht="15">
      <c r="A234" s="644"/>
      <c r="B234" s="418" t="s">
        <v>490</v>
      </c>
      <c r="C234" s="1284">
        <f>CEILING((C233+49*$Z$1),0.1)</f>
        <v>213.8</v>
      </c>
      <c r="D234" s="1285"/>
      <c r="E234" s="1372">
        <f>CEILING((E233+75.5*$Z$1),0.1)</f>
        <v>330.70000000000005</v>
      </c>
      <c r="F234" s="1285"/>
      <c r="G234" s="1372">
        <f>CEILING((G233+65*$Z$1),0.1)</f>
        <v>283.8</v>
      </c>
      <c r="H234" s="1285"/>
      <c r="I234" s="1372">
        <f>CEILING((I233+67.5*$Z$1),0.1)</f>
        <v>295.7</v>
      </c>
      <c r="J234" s="1285"/>
      <c r="K234" s="1284">
        <f>CEILING((K233+52*$Z$1),0.1)</f>
        <v>227.5</v>
      </c>
      <c r="L234" s="1285"/>
      <c r="M234" s="18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</row>
    <row r="235" spans="1:25" s="404" customFormat="1" ht="15">
      <c r="A235" s="229"/>
      <c r="B235" s="29" t="s">
        <v>832</v>
      </c>
      <c r="C235" s="1266">
        <f>CEILING(130*$Z$1,0.1)</f>
        <v>162.5</v>
      </c>
      <c r="D235" s="1267"/>
      <c r="E235" s="1326">
        <f>CEILING(197*$Z$1,0.1)</f>
        <v>246.3</v>
      </c>
      <c r="F235" s="1267"/>
      <c r="G235" s="1326">
        <f>CEILING(170*$Z$1,0.1)</f>
        <v>212.5</v>
      </c>
      <c r="H235" s="1267"/>
      <c r="I235" s="1326">
        <f>CEILING(177*$Z$1,0.1)</f>
        <v>221.3</v>
      </c>
      <c r="J235" s="1267"/>
      <c r="K235" s="1268">
        <f>CEILING(143*$Z$1,0.1)</f>
        <v>178.8</v>
      </c>
      <c r="L235" s="1270"/>
      <c r="M235" s="18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</row>
    <row r="236" spans="1:25" s="404" customFormat="1" ht="15">
      <c r="A236" s="229"/>
      <c r="B236" s="29" t="s">
        <v>645</v>
      </c>
      <c r="C236" s="1268">
        <f>CEILING((C235*0.5),0.1)</f>
        <v>81.30000000000001</v>
      </c>
      <c r="D236" s="1270"/>
      <c r="E236" s="1269">
        <f>CEILING((E235*0.5),0.1)</f>
        <v>123.2</v>
      </c>
      <c r="F236" s="1270"/>
      <c r="G236" s="1269">
        <f>CEILING((G235*0.5),0.1)</f>
        <v>106.30000000000001</v>
      </c>
      <c r="H236" s="1270"/>
      <c r="I236" s="1269">
        <f>CEILING((I235*0.5),0.1)</f>
        <v>110.7</v>
      </c>
      <c r="J236" s="1270"/>
      <c r="K236" s="1268">
        <f>CEILING((K235*0.5),0.1)</f>
        <v>89.4</v>
      </c>
      <c r="L236" s="1270"/>
      <c r="M236" s="18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</row>
    <row r="237" spans="1:25" s="404" customFormat="1" ht="15.75" thickBot="1">
      <c r="A237" s="59" t="s">
        <v>427</v>
      </c>
      <c r="B237" s="184"/>
      <c r="C237" s="1284"/>
      <c r="D237" s="1285"/>
      <c r="E237" s="1276"/>
      <c r="F237" s="1277"/>
      <c r="G237" s="1275"/>
      <c r="H237" s="1277"/>
      <c r="I237" s="1275"/>
      <c r="J237" s="1277"/>
      <c r="K237" s="1284"/>
      <c r="L237" s="1285"/>
      <c r="M237" s="18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</row>
    <row r="238" spans="1:41" s="777" customFormat="1" ht="15.75" thickTop="1">
      <c r="A238" s="1401"/>
      <c r="B238" s="1402"/>
      <c r="C238" s="1307"/>
      <c r="D238" s="1307"/>
      <c r="E238" s="1402"/>
      <c r="F238" s="1402"/>
      <c r="G238" s="1402"/>
      <c r="H238" s="1402"/>
      <c r="I238" s="1402"/>
      <c r="J238" s="1402"/>
      <c r="K238" s="775"/>
      <c r="L238" s="775"/>
      <c r="M238" s="335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</row>
    <row r="239" spans="1:41" s="404" customFormat="1" ht="15">
      <c r="A239" s="1355" t="s">
        <v>646</v>
      </c>
      <c r="B239" s="1355"/>
      <c r="C239" s="1355"/>
      <c r="D239" s="1355"/>
      <c r="E239" s="1355"/>
      <c r="F239" s="1355"/>
      <c r="G239" s="1355"/>
      <c r="H239" s="1355"/>
      <c r="I239" s="1356"/>
      <c r="J239" s="1356"/>
      <c r="K239" s="279"/>
      <c r="L239" s="279"/>
      <c r="M239" s="335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</row>
    <row r="240" spans="1:41" s="404" customFormat="1" ht="15">
      <c r="A240" s="302" t="s">
        <v>910</v>
      </c>
      <c r="B240" s="360"/>
      <c r="C240" s="360"/>
      <c r="D240" s="360"/>
      <c r="E240" s="360"/>
      <c r="F240" s="360"/>
      <c r="G240" s="360"/>
      <c r="H240" s="360"/>
      <c r="I240" s="56"/>
      <c r="J240" s="56"/>
      <c r="K240" s="279"/>
      <c r="L240" s="279"/>
      <c r="M240" s="335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</row>
    <row r="241" spans="1:13" s="1200" customFormat="1" ht="17.25" customHeight="1">
      <c r="A241" s="1195" t="s">
        <v>1323</v>
      </c>
      <c r="B241" s="1196"/>
      <c r="C241" s="1196"/>
      <c r="D241" s="1196"/>
      <c r="E241" s="1196"/>
      <c r="F241" s="1196"/>
      <c r="G241" s="1196"/>
      <c r="H241" s="1196"/>
      <c r="I241" s="1197"/>
      <c r="J241" s="1197"/>
      <c r="K241" s="1198"/>
      <c r="L241" s="1198"/>
      <c r="M241" s="1199"/>
    </row>
    <row r="242" spans="1:13" s="1200" customFormat="1" ht="15">
      <c r="A242" s="1195" t="s">
        <v>1324</v>
      </c>
      <c r="B242" s="1196"/>
      <c r="C242" s="1196"/>
      <c r="D242" s="1196"/>
      <c r="E242" s="1196"/>
      <c r="F242" s="1196"/>
      <c r="G242" s="1196"/>
      <c r="H242" s="1196"/>
      <c r="I242" s="1197"/>
      <c r="J242" s="1197"/>
      <c r="K242" s="1198"/>
      <c r="L242" s="1198"/>
      <c r="M242" s="1199"/>
    </row>
    <row r="243" spans="1:41" s="479" customFormat="1" ht="15.75" customHeight="1">
      <c r="A243" s="172"/>
      <c r="B243" s="767"/>
      <c r="C243" s="767"/>
      <c r="D243" s="767"/>
      <c r="E243" s="767"/>
      <c r="F243" s="767"/>
      <c r="G243" s="767"/>
      <c r="H243" s="767"/>
      <c r="I243" s="767"/>
      <c r="J243" s="767"/>
      <c r="K243" s="279"/>
      <c r="L243" s="279"/>
      <c r="M243" s="335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</row>
    <row r="244" spans="1:41" ht="20.25" customHeight="1" hidden="1" thickTop="1">
      <c r="A244" s="54" t="s">
        <v>43</v>
      </c>
      <c r="B244" s="60"/>
      <c r="C244" s="1512" t="s">
        <v>298</v>
      </c>
      <c r="D244" s="1513"/>
      <c r="E244" s="1550" t="s">
        <v>310</v>
      </c>
      <c r="F244" s="1551"/>
      <c r="G244" s="1550" t="s">
        <v>311</v>
      </c>
      <c r="H244" s="1551"/>
      <c r="I244" s="1546" t="s">
        <v>292</v>
      </c>
      <c r="J244" s="1547"/>
      <c r="K244" s="323"/>
      <c r="L244" s="279"/>
      <c r="M244" s="335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</row>
    <row r="245" spans="1:41" ht="16.5" customHeight="1" hidden="1">
      <c r="A245" s="228" t="s">
        <v>316</v>
      </c>
      <c r="B245" s="10" t="s">
        <v>51</v>
      </c>
      <c r="C245" s="1399"/>
      <c r="D245" s="1400"/>
      <c r="E245" s="1399"/>
      <c r="F245" s="1400"/>
      <c r="G245" s="1399">
        <v>154</v>
      </c>
      <c r="H245" s="1400"/>
      <c r="I245" s="1399">
        <v>128</v>
      </c>
      <c r="J245" s="1400"/>
      <c r="K245" s="323"/>
      <c r="L245" s="279"/>
      <c r="M245" s="335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</row>
    <row r="246" spans="1:41" ht="15.75" customHeight="1" hidden="1" thickTop="1">
      <c r="A246" s="229" t="s">
        <v>45</v>
      </c>
      <c r="B246" s="12" t="s">
        <v>52</v>
      </c>
      <c r="C246" s="1323"/>
      <c r="D246" s="1324"/>
      <c r="E246" s="1323"/>
      <c r="F246" s="1324"/>
      <c r="G246" s="1323">
        <v>204</v>
      </c>
      <c r="H246" s="1324"/>
      <c r="I246" s="1323">
        <v>178</v>
      </c>
      <c r="J246" s="1324"/>
      <c r="K246" s="323"/>
      <c r="L246" s="279"/>
      <c r="M246" s="335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</row>
    <row r="247" spans="1:41" ht="16.5" customHeight="1" hidden="1" thickTop="1">
      <c r="A247" s="230"/>
      <c r="B247" s="29" t="s">
        <v>47</v>
      </c>
      <c r="C247" s="1323"/>
      <c r="D247" s="1324"/>
      <c r="E247" s="1323"/>
      <c r="F247" s="1324"/>
      <c r="G247" s="1323">
        <v>131</v>
      </c>
      <c r="H247" s="1324"/>
      <c r="I247" s="1323">
        <v>109</v>
      </c>
      <c r="J247" s="1324"/>
      <c r="K247" s="323"/>
      <c r="L247" s="279"/>
      <c r="M247" s="335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</row>
    <row r="248" spans="1:41" ht="16.5" customHeight="1" hidden="1" thickTop="1">
      <c r="A248" s="357" t="s">
        <v>121</v>
      </c>
      <c r="B248" s="12" t="s">
        <v>71</v>
      </c>
      <c r="C248" s="1323"/>
      <c r="D248" s="1324"/>
      <c r="E248" s="1323"/>
      <c r="F248" s="1324"/>
      <c r="G248" s="1323">
        <v>77</v>
      </c>
      <c r="H248" s="1324"/>
      <c r="I248" s="1323">
        <v>0</v>
      </c>
      <c r="J248" s="1324"/>
      <c r="K248" s="323"/>
      <c r="L248" s="279"/>
      <c r="M248" s="335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</row>
    <row r="249" spans="1:41" ht="15.75" customHeight="1" hidden="1" thickTop="1">
      <c r="A249" s="398" t="s">
        <v>351</v>
      </c>
      <c r="B249" s="10" t="s">
        <v>53</v>
      </c>
      <c r="C249" s="1323"/>
      <c r="D249" s="1324"/>
      <c r="E249" s="1323"/>
      <c r="F249" s="1324"/>
      <c r="G249" s="1323">
        <v>173</v>
      </c>
      <c r="H249" s="1324"/>
      <c r="I249" s="1323">
        <v>147</v>
      </c>
      <c r="J249" s="1324"/>
      <c r="K249" s="323"/>
      <c r="L249" s="279"/>
      <c r="M249" s="335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</row>
    <row r="250" spans="1:41" ht="15.75" customHeight="1" hidden="1" thickTop="1">
      <c r="A250" s="399" t="s">
        <v>352</v>
      </c>
      <c r="B250" s="10" t="s">
        <v>54</v>
      </c>
      <c r="C250" s="1323"/>
      <c r="D250" s="1324"/>
      <c r="E250" s="1323"/>
      <c r="F250" s="1324"/>
      <c r="G250" s="1323">
        <v>223</v>
      </c>
      <c r="H250" s="1324"/>
      <c r="I250" s="1323">
        <v>197</v>
      </c>
      <c r="J250" s="1324"/>
      <c r="K250" s="323"/>
      <c r="L250" s="279"/>
      <c r="M250" s="335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</row>
    <row r="251" spans="1:41" ht="16.5" customHeight="1" hidden="1" thickTop="1">
      <c r="A251" s="230"/>
      <c r="B251" s="12" t="s">
        <v>235</v>
      </c>
      <c r="C251" s="1323"/>
      <c r="D251" s="1324"/>
      <c r="E251" s="1323"/>
      <c r="F251" s="1324"/>
      <c r="G251" s="1548">
        <v>179</v>
      </c>
      <c r="H251" s="1549"/>
      <c r="I251" s="1323">
        <v>153</v>
      </c>
      <c r="J251" s="1324"/>
      <c r="K251" s="323"/>
      <c r="L251" s="279"/>
      <c r="M251" s="335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</row>
    <row r="252" spans="1:41" ht="16.5" customHeight="1" hidden="1" thickTop="1">
      <c r="A252" s="230"/>
      <c r="B252" s="12" t="s">
        <v>236</v>
      </c>
      <c r="C252" s="1323"/>
      <c r="D252" s="1324"/>
      <c r="E252" s="1323"/>
      <c r="F252" s="1324"/>
      <c r="G252" s="1323">
        <v>229</v>
      </c>
      <c r="H252" s="1324"/>
      <c r="I252" s="1323">
        <v>203</v>
      </c>
      <c r="J252" s="1324"/>
      <c r="K252" s="323"/>
      <c r="L252" s="279"/>
      <c r="M252" s="335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</row>
    <row r="253" spans="1:41" ht="15.75" customHeight="1" hidden="1" thickTop="1">
      <c r="A253" s="229"/>
      <c r="B253" s="12" t="s">
        <v>317</v>
      </c>
      <c r="C253" s="1323"/>
      <c r="D253" s="1324"/>
      <c r="E253" s="1323"/>
      <c r="F253" s="1324"/>
      <c r="G253" s="1323">
        <v>167</v>
      </c>
      <c r="H253" s="1324"/>
      <c r="I253" s="1323">
        <v>140</v>
      </c>
      <c r="J253" s="1324"/>
      <c r="K253" s="323"/>
      <c r="L253" s="279"/>
      <c r="M253" s="335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</row>
    <row r="254" spans="1:41" ht="16.5" customHeight="1" hidden="1" thickBot="1" thickTop="1">
      <c r="A254" s="59" t="s">
        <v>314</v>
      </c>
      <c r="B254" s="13" t="s">
        <v>318</v>
      </c>
      <c r="C254" s="1330"/>
      <c r="D254" s="1331"/>
      <c r="E254" s="1330"/>
      <c r="F254" s="1331"/>
      <c r="G254" s="1330">
        <v>217</v>
      </c>
      <c r="H254" s="1331"/>
      <c r="I254" s="1330">
        <v>190</v>
      </c>
      <c r="J254" s="1331"/>
      <c r="K254" s="323"/>
      <c r="L254" s="279"/>
      <c r="M254" s="335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</row>
    <row r="255" spans="1:41" ht="15" hidden="1">
      <c r="A255" s="361" t="s">
        <v>321</v>
      </c>
      <c r="B255" s="50"/>
      <c r="C255" s="3"/>
      <c r="D255" s="3"/>
      <c r="E255" s="3"/>
      <c r="F255" s="3"/>
      <c r="G255" s="3"/>
      <c r="H255" s="3"/>
      <c r="I255" s="3"/>
      <c r="J255" s="355"/>
      <c r="K255" s="279"/>
      <c r="L255" s="279"/>
      <c r="M255" s="335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</row>
    <row r="256" spans="1:41" ht="15" hidden="1">
      <c r="A256" s="290" t="s">
        <v>246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79"/>
      <c r="L256" s="279"/>
      <c r="M256" s="335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</row>
    <row r="257" spans="1:41" ht="15" hidden="1">
      <c r="A257" s="1355" t="s">
        <v>319</v>
      </c>
      <c r="B257" s="1355"/>
      <c r="C257" s="1355"/>
      <c r="D257" s="1355"/>
      <c r="E257" s="1355"/>
      <c r="F257" s="1355"/>
      <c r="G257" s="1355"/>
      <c r="H257" s="1355"/>
      <c r="I257" s="1356"/>
      <c r="J257" s="1356"/>
      <c r="K257" s="279"/>
      <c r="L257" s="279"/>
      <c r="M257" s="335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</row>
    <row r="258" spans="1:41" ht="15" hidden="1">
      <c r="A258" s="302" t="s">
        <v>320</v>
      </c>
      <c r="B258" s="360"/>
      <c r="C258" s="360"/>
      <c r="D258" s="360"/>
      <c r="E258" s="360"/>
      <c r="F258" s="360"/>
      <c r="G258" s="360"/>
      <c r="H258" s="360"/>
      <c r="I258" s="56"/>
      <c r="J258" s="56"/>
      <c r="K258" s="279"/>
      <c r="L258" s="279"/>
      <c r="M258" s="335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</row>
    <row r="259" spans="1:41" ht="15" hidden="1">
      <c r="A259" s="172" t="s">
        <v>338</v>
      </c>
      <c r="B259" s="360"/>
      <c r="C259" s="360"/>
      <c r="D259" s="360"/>
      <c r="E259" s="360"/>
      <c r="F259" s="360"/>
      <c r="G259" s="360"/>
      <c r="H259" s="360"/>
      <c r="I259" s="56"/>
      <c r="J259" s="56"/>
      <c r="K259" s="279"/>
      <c r="L259" s="279"/>
      <c r="M259" s="335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</row>
    <row r="260" spans="1:41" ht="15.75" hidden="1" thickBot="1">
      <c r="A260" s="263"/>
      <c r="B260" s="263"/>
      <c r="C260" s="263"/>
      <c r="D260" s="263"/>
      <c r="E260" s="2"/>
      <c r="F260" s="2"/>
      <c r="G260" s="2"/>
      <c r="H260" s="2"/>
      <c r="I260" s="2"/>
      <c r="J260" s="2"/>
      <c r="K260" s="279"/>
      <c r="L260" s="279"/>
      <c r="M260" s="335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</row>
    <row r="261" spans="1:41" s="479" customFormat="1" ht="15.75" thickBot="1">
      <c r="A261" s="567" t="s">
        <v>669</v>
      </c>
      <c r="B261" s="565"/>
      <c r="C261" s="565"/>
      <c r="D261" s="565"/>
      <c r="E261" s="565"/>
      <c r="F261" s="565"/>
      <c r="G261" s="565"/>
      <c r="H261" s="565"/>
      <c r="I261" s="565"/>
      <c r="J261" s="565"/>
      <c r="K261" s="279"/>
      <c r="L261" s="279"/>
      <c r="M261" s="335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</row>
    <row r="262" spans="1:41" s="685" customFormat="1" ht="24.75" customHeight="1" thickTop="1">
      <c r="A262" s="746" t="s">
        <v>43</v>
      </c>
      <c r="B262" s="814" t="s">
        <v>961</v>
      </c>
      <c r="C262" s="747" t="s">
        <v>884</v>
      </c>
      <c r="D262" s="748"/>
      <c r="E262" s="773" t="s">
        <v>911</v>
      </c>
      <c r="F262" s="766"/>
      <c r="G262" s="749" t="s">
        <v>912</v>
      </c>
      <c r="H262" s="750"/>
      <c r="I262" s="1273" t="s">
        <v>881</v>
      </c>
      <c r="J262" s="1274"/>
      <c r="K262" s="1280" t="s">
        <v>882</v>
      </c>
      <c r="L262" s="1281"/>
      <c r="M262" s="871"/>
      <c r="N262" s="937"/>
      <c r="O262" s="937"/>
      <c r="P262" s="937"/>
      <c r="Q262" s="937"/>
      <c r="R262" s="937"/>
      <c r="S262" s="937"/>
      <c r="T262" s="937"/>
      <c r="U262" s="937"/>
      <c r="V262" s="937"/>
      <c r="W262" s="937"/>
      <c r="X262" s="937"/>
      <c r="Y262" s="937"/>
      <c r="Z262" s="937"/>
      <c r="AA262" s="937"/>
      <c r="AB262" s="937"/>
      <c r="AC262" s="937"/>
      <c r="AD262" s="937"/>
      <c r="AE262" s="937"/>
      <c r="AF262" s="937"/>
      <c r="AG262" s="937"/>
      <c r="AH262" s="937"/>
      <c r="AI262" s="937"/>
      <c r="AJ262" s="937"/>
      <c r="AK262" s="937"/>
      <c r="AL262" s="937"/>
      <c r="AM262" s="937"/>
      <c r="AN262" s="937"/>
      <c r="AO262" s="937"/>
    </row>
    <row r="263" spans="1:41" ht="15.75" customHeight="1">
      <c r="A263" s="228" t="s">
        <v>72</v>
      </c>
      <c r="B263" s="10" t="s">
        <v>51</v>
      </c>
      <c r="C263" s="1266">
        <f>CEILING(80*$Z$1,0.1)</f>
        <v>100</v>
      </c>
      <c r="D263" s="1267"/>
      <c r="E263" s="1266">
        <f>CEILING(130*$Z$1,0.1)</f>
        <v>162.5</v>
      </c>
      <c r="F263" s="1267"/>
      <c r="G263" s="1266">
        <f>CEILING(110*$Z$1,0.1)</f>
        <v>137.5</v>
      </c>
      <c r="H263" s="1267"/>
      <c r="I263" s="1266">
        <f>CEILING(115*$Z$1,0.1)</f>
        <v>143.8</v>
      </c>
      <c r="J263" s="1267"/>
      <c r="K263" s="1266">
        <f>CEILING(90*$Z$1,0.1)</f>
        <v>112.5</v>
      </c>
      <c r="L263" s="1267"/>
      <c r="M263" s="1016"/>
      <c r="N263" s="1016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</row>
    <row r="264" spans="1:41" ht="15.75" customHeight="1">
      <c r="A264" s="229" t="s">
        <v>45</v>
      </c>
      <c r="B264" s="12" t="s">
        <v>52</v>
      </c>
      <c r="C264" s="1268">
        <f>CEILING((C263+28*$Z$1),0.1)</f>
        <v>135</v>
      </c>
      <c r="D264" s="1270"/>
      <c r="E264" s="1268">
        <f>CEILING((E263+46*$Z$1),0.1)</f>
        <v>220</v>
      </c>
      <c r="F264" s="1270"/>
      <c r="G264" s="1268">
        <f>CEILING((G263+38.5*$Z$1),0.1)</f>
        <v>185.70000000000002</v>
      </c>
      <c r="H264" s="1270"/>
      <c r="I264" s="1268">
        <f>CEILING((I263+40.2*$Z$1),0.1)</f>
        <v>194.10000000000002</v>
      </c>
      <c r="J264" s="1270"/>
      <c r="K264" s="1268">
        <f>CEILING((K263+31.5*$Z$1),0.1)</f>
        <v>151.9</v>
      </c>
      <c r="L264" s="1270"/>
      <c r="M264" s="1086"/>
      <c r="N264" s="1086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</row>
    <row r="265" spans="1:41" ht="15.75" customHeight="1">
      <c r="A265" s="230"/>
      <c r="B265" s="29" t="s">
        <v>47</v>
      </c>
      <c r="C265" s="1268">
        <f>CEILING((C263*0.85),0.1)</f>
        <v>85</v>
      </c>
      <c r="D265" s="1270"/>
      <c r="E265" s="1268">
        <f>CEILING((E263*0.85),0.1)</f>
        <v>138.20000000000002</v>
      </c>
      <c r="F265" s="1270"/>
      <c r="G265" s="1268">
        <f>CEILING((G263*0.85),0.1)</f>
        <v>116.9</v>
      </c>
      <c r="H265" s="1270"/>
      <c r="I265" s="1268">
        <f>CEILING((I263*0.85),0.1)</f>
        <v>122.30000000000001</v>
      </c>
      <c r="J265" s="1270"/>
      <c r="K265" s="1268">
        <f>CEILING((K263*0.85),0.1)</f>
        <v>95.7</v>
      </c>
      <c r="L265" s="1270"/>
      <c r="M265" s="1086"/>
      <c r="N265" s="1086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</row>
    <row r="266" spans="1:41" ht="15" customHeight="1">
      <c r="A266" s="168"/>
      <c r="B266" s="12" t="s">
        <v>909</v>
      </c>
      <c r="C266" s="1268">
        <f>CEILING((C263*0),0.1)</f>
        <v>0</v>
      </c>
      <c r="D266" s="1270"/>
      <c r="E266" s="1268">
        <f>CEILING((E263*0.5),0.1)</f>
        <v>81.30000000000001</v>
      </c>
      <c r="F266" s="1270"/>
      <c r="G266" s="1268">
        <f>CEILING((G263*0.5),0.1)</f>
        <v>68.8</v>
      </c>
      <c r="H266" s="1270"/>
      <c r="I266" s="1268">
        <f>CEILING((I263*0.5),0.1)</f>
        <v>71.9</v>
      </c>
      <c r="J266" s="1270"/>
      <c r="K266" s="1268">
        <f>CEILING((K263*0),0.1)</f>
        <v>0</v>
      </c>
      <c r="L266" s="1270"/>
      <c r="M266" s="1086"/>
      <c r="N266" s="1086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</row>
    <row r="267" spans="1:41" ht="16.5" customHeight="1">
      <c r="A267" s="341"/>
      <c r="B267" s="10" t="s">
        <v>53</v>
      </c>
      <c r="C267" s="1343">
        <f>CEILING(84*$Z$1,0.1)</f>
        <v>105</v>
      </c>
      <c r="D267" s="1344"/>
      <c r="E267" s="1343">
        <f>CEILING(137*$Z$1,0.1)</f>
        <v>171.3</v>
      </c>
      <c r="F267" s="1344"/>
      <c r="G267" s="1343">
        <f>CEILING(116*$Z$1,0.1)</f>
        <v>145</v>
      </c>
      <c r="H267" s="1344"/>
      <c r="I267" s="1343">
        <f>CEILING(121*$Z$1,0.1)</f>
        <v>151.3</v>
      </c>
      <c r="J267" s="1344"/>
      <c r="K267" s="1343">
        <f>CEILING(95*$Z$1,0.1)</f>
        <v>118.80000000000001</v>
      </c>
      <c r="L267" s="1344"/>
      <c r="M267" s="342"/>
      <c r="N267" s="342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</row>
    <row r="268" spans="1:41" ht="16.5" customHeight="1">
      <c r="A268" s="230"/>
      <c r="B268" s="11" t="s">
        <v>54</v>
      </c>
      <c r="C268" s="1343">
        <f>CEILING((C267+29.5*$Z$1),0.1)</f>
        <v>141.9</v>
      </c>
      <c r="D268" s="1344"/>
      <c r="E268" s="1343">
        <f>CEILING((E267+48*$Z$1),0.1)</f>
        <v>231.3</v>
      </c>
      <c r="F268" s="1344"/>
      <c r="G268" s="1343">
        <f>CEILING((G267+41*$Z$1),0.1)</f>
        <v>196.3</v>
      </c>
      <c r="H268" s="1344"/>
      <c r="I268" s="1343">
        <f>CEILING((I267+42.2*$Z$1),0.1)</f>
        <v>204.10000000000002</v>
      </c>
      <c r="J268" s="1344"/>
      <c r="K268" s="1343">
        <f>CEILING((K267+33*$Z$1),0.1)</f>
        <v>160.10000000000002</v>
      </c>
      <c r="L268" s="1344"/>
      <c r="M268" s="1447"/>
      <c r="N268" s="1403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</row>
    <row r="269" spans="1:41" s="479" customFormat="1" ht="16.5" customHeight="1">
      <c r="A269" s="644"/>
      <c r="B269" s="11" t="s">
        <v>647</v>
      </c>
      <c r="C269" s="1268">
        <f>CEILING(117*$Z$1,0.1)</f>
        <v>146.3</v>
      </c>
      <c r="D269" s="1270"/>
      <c r="E269" s="1268">
        <f>CEILING(183*$Z$1,0.1)</f>
        <v>228.8</v>
      </c>
      <c r="F269" s="1270"/>
      <c r="G269" s="1268">
        <f>CEILING(157*$Z$1,0.1)</f>
        <v>196.3</v>
      </c>
      <c r="H269" s="1270"/>
      <c r="I269" s="1268">
        <f>CEILING(163*$Z$1,0.1)</f>
        <v>203.8</v>
      </c>
      <c r="J269" s="1270"/>
      <c r="K269" s="1268">
        <f>CEILING(130*$Z$1,0.1)</f>
        <v>162.5</v>
      </c>
      <c r="L269" s="1270"/>
      <c r="M269" s="1018"/>
      <c r="N269" s="1018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</row>
    <row r="270" spans="1:41" ht="15.75">
      <c r="A270" s="230"/>
      <c r="B270" s="11" t="s">
        <v>648</v>
      </c>
      <c r="C270" s="1268">
        <f>CEILING((C269*0.5),0.1)</f>
        <v>73.2</v>
      </c>
      <c r="D270" s="1270"/>
      <c r="E270" s="1268">
        <f>CEILING((E269*0.5),0.1)</f>
        <v>114.4</v>
      </c>
      <c r="F270" s="1270"/>
      <c r="G270" s="1268">
        <f>CEILING((G269*0.5),0.1)</f>
        <v>98.2</v>
      </c>
      <c r="H270" s="1270"/>
      <c r="I270" s="1268">
        <f>CEILING((I269*0.5),0.1)</f>
        <v>101.9</v>
      </c>
      <c r="J270" s="1270"/>
      <c r="K270" s="1268">
        <f>CEILING((K269*0.5),0.1)</f>
        <v>81.30000000000001</v>
      </c>
      <c r="L270" s="1270"/>
      <c r="M270" s="1323"/>
      <c r="N270" s="1328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</row>
    <row r="271" spans="1:41" ht="16.5" customHeight="1">
      <c r="A271" s="230"/>
      <c r="B271" s="11" t="s">
        <v>649</v>
      </c>
      <c r="C271" s="1268">
        <f>CEILING(122*$Z$1,0.1)</f>
        <v>152.5</v>
      </c>
      <c r="D271" s="1270"/>
      <c r="E271" s="1268">
        <f>CEILING(192*$Z$1,0.1)</f>
        <v>240</v>
      </c>
      <c r="F271" s="1270"/>
      <c r="G271" s="1268">
        <f>CEILING(164*$Z$1,0.1)</f>
        <v>205</v>
      </c>
      <c r="H271" s="1270"/>
      <c r="I271" s="1268">
        <f>CEILING(171*$Z$1,0.1)</f>
        <v>213.8</v>
      </c>
      <c r="J271" s="1270"/>
      <c r="K271" s="1268">
        <f>CEILING(136*$Z$1,0.1)</f>
        <v>170</v>
      </c>
      <c r="L271" s="1270"/>
      <c r="M271" s="1323"/>
      <c r="N271" s="1328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</row>
    <row r="272" spans="1:41" s="479" customFormat="1" ht="16.5" customHeight="1">
      <c r="A272" s="546"/>
      <c r="B272" s="11" t="s">
        <v>650</v>
      </c>
      <c r="C272" s="1268">
        <f>CEILING((C271*0.5),0.1)</f>
        <v>76.3</v>
      </c>
      <c r="D272" s="1270"/>
      <c r="E272" s="1268">
        <f>CEILING((E271*0.5),0.1)</f>
        <v>120</v>
      </c>
      <c r="F272" s="1270"/>
      <c r="G272" s="1268">
        <f>CEILING((G271*0.5),0.1)</f>
        <v>102.5</v>
      </c>
      <c r="H272" s="1270"/>
      <c r="I272" s="1268">
        <f>CEILING((I271*0.5),0.1)</f>
        <v>106.9</v>
      </c>
      <c r="J272" s="1270"/>
      <c r="K272" s="1268">
        <f>CEILING((K271*0.5),0.1)</f>
        <v>85</v>
      </c>
      <c r="L272" s="1270"/>
      <c r="M272" s="1016"/>
      <c r="N272" s="1016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</row>
    <row r="273" spans="1:41" ht="17.25" customHeight="1">
      <c r="A273" s="452"/>
      <c r="B273" s="12" t="s">
        <v>62</v>
      </c>
      <c r="C273" s="1343">
        <f>CEILING(93*$Z$1,0.1)</f>
        <v>116.30000000000001</v>
      </c>
      <c r="D273" s="1344"/>
      <c r="E273" s="1343">
        <f>CEILING(151*$Z$1,0.1)</f>
        <v>188.8</v>
      </c>
      <c r="F273" s="1344"/>
      <c r="G273" s="1343">
        <f>CEILING(128*$Z$1,0.1)</f>
        <v>160</v>
      </c>
      <c r="H273" s="1344"/>
      <c r="I273" s="1343">
        <f>CEILING(133*$Z$1,0.1)</f>
        <v>166.3</v>
      </c>
      <c r="J273" s="1344"/>
      <c r="K273" s="1343">
        <f>CEILING(104*$Z$1,0.1)</f>
        <v>130</v>
      </c>
      <c r="L273" s="1344"/>
      <c r="M273" s="1016"/>
      <c r="N273" s="1016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</row>
    <row r="274" spans="1:41" ht="15.75" thickBot="1">
      <c r="A274" s="59" t="s">
        <v>427</v>
      </c>
      <c r="B274" s="29" t="s">
        <v>63</v>
      </c>
      <c r="C274" s="1341">
        <f>CEILING((C273+32.5*$Z$1),0.1)</f>
        <v>157</v>
      </c>
      <c r="D274" s="1342"/>
      <c r="E274" s="1341">
        <f>CEILING((E273+53*$Z$1),0.1)</f>
        <v>255.10000000000002</v>
      </c>
      <c r="F274" s="1342"/>
      <c r="G274" s="1341">
        <f>CEILING((G273+45*$Z$1),0.1)</f>
        <v>216.3</v>
      </c>
      <c r="H274" s="1342"/>
      <c r="I274" s="1341">
        <f>CEILING((I273+46.5*$Z$1),0.1)</f>
        <v>224.5</v>
      </c>
      <c r="J274" s="1342"/>
      <c r="K274" s="1341">
        <f>CEILING((K273+36.5*$Z$1),0.1)</f>
        <v>175.70000000000002</v>
      </c>
      <c r="L274" s="1342"/>
      <c r="M274" s="1323"/>
      <c r="N274" s="1328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</row>
    <row r="275" spans="1:41" s="777" customFormat="1" ht="15.75" thickTop="1">
      <c r="A275" s="1401"/>
      <c r="B275" s="1402"/>
      <c r="C275" s="1307"/>
      <c r="D275" s="1307"/>
      <c r="E275" s="1402"/>
      <c r="F275" s="1402"/>
      <c r="G275" s="1402"/>
      <c r="H275" s="1402"/>
      <c r="I275" s="1402"/>
      <c r="J275" s="1402"/>
      <c r="K275" s="775"/>
      <c r="L275" s="775"/>
      <c r="M275" s="335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</row>
    <row r="276" spans="1:41" s="192" customFormat="1" ht="17.25" customHeight="1">
      <c r="A276" s="360" t="s">
        <v>651</v>
      </c>
      <c r="B276" s="360"/>
      <c r="C276" s="360"/>
      <c r="D276" s="360"/>
      <c r="E276" s="360"/>
      <c r="F276" s="360"/>
      <c r="G276" s="360"/>
      <c r="H276" s="360"/>
      <c r="I276" s="1099"/>
      <c r="J276" s="1099"/>
      <c r="K276" s="354"/>
      <c r="L276" s="354"/>
      <c r="M276" s="1016"/>
      <c r="N276" s="1016"/>
      <c r="O276" s="335"/>
      <c r="P276" s="335"/>
      <c r="Q276" s="335"/>
      <c r="R276" s="335"/>
      <c r="S276" s="335"/>
      <c r="T276" s="335"/>
      <c r="U276" s="335"/>
      <c r="V276" s="335"/>
      <c r="W276" s="335"/>
      <c r="X276" s="335"/>
      <c r="Y276" s="335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335"/>
    </row>
    <row r="277" spans="1:41" s="192" customFormat="1" ht="17.25" customHeight="1">
      <c r="A277" s="1355" t="s">
        <v>315</v>
      </c>
      <c r="B277" s="1355"/>
      <c r="C277" s="1355"/>
      <c r="D277" s="1355"/>
      <c r="E277" s="1355"/>
      <c r="F277" s="1355"/>
      <c r="G277" s="1355"/>
      <c r="H277" s="1355"/>
      <c r="I277" s="56"/>
      <c r="J277" s="56"/>
      <c r="K277" s="253"/>
      <c r="L277" s="253"/>
      <c r="M277" s="342"/>
      <c r="N277" s="342"/>
      <c r="O277" s="335"/>
      <c r="P277" s="335"/>
      <c r="Q277" s="335"/>
      <c r="R277" s="335"/>
      <c r="S277" s="335"/>
      <c r="T277" s="335"/>
      <c r="U277" s="335"/>
      <c r="V277" s="335"/>
      <c r="W277" s="335"/>
      <c r="X277" s="335"/>
      <c r="Y277" s="335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335"/>
    </row>
    <row r="278" spans="1:41" s="479" customFormat="1" ht="15.75" customHeight="1">
      <c r="A278" s="172"/>
      <c r="B278" s="767"/>
      <c r="C278" s="767"/>
      <c r="D278" s="767"/>
      <c r="E278" s="767"/>
      <c r="F278" s="767"/>
      <c r="G278" s="767"/>
      <c r="H278" s="767"/>
      <c r="I278" s="767"/>
      <c r="J278" s="767"/>
      <c r="K278" s="279"/>
      <c r="L278" s="279"/>
      <c r="M278" s="335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</row>
    <row r="279" spans="1:41" s="479" customFormat="1" ht="15.75" thickBot="1">
      <c r="A279" s="769" t="s">
        <v>669</v>
      </c>
      <c r="B279" s="768"/>
      <c r="C279" s="768"/>
      <c r="D279" s="768"/>
      <c r="E279" s="768"/>
      <c r="F279" s="768"/>
      <c r="G279" s="768"/>
      <c r="H279" s="768"/>
      <c r="I279" s="768"/>
      <c r="J279" s="768"/>
      <c r="K279" s="279"/>
      <c r="L279" s="279"/>
      <c r="M279" s="335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</row>
    <row r="280" spans="1:41" s="685" customFormat="1" ht="24.75" customHeight="1" thickTop="1">
      <c r="A280" s="746" t="s">
        <v>43</v>
      </c>
      <c r="B280" s="814" t="s">
        <v>961</v>
      </c>
      <c r="C280" s="747" t="s">
        <v>884</v>
      </c>
      <c r="D280" s="748"/>
      <c r="E280" s="773" t="s">
        <v>911</v>
      </c>
      <c r="F280" s="766"/>
      <c r="G280" s="749" t="s">
        <v>912</v>
      </c>
      <c r="H280" s="750"/>
      <c r="I280" s="1273" t="s">
        <v>881</v>
      </c>
      <c r="J280" s="1274"/>
      <c r="K280" s="1280" t="s">
        <v>882</v>
      </c>
      <c r="L280" s="1281"/>
      <c r="M280" s="871"/>
      <c r="N280" s="937"/>
      <c r="O280" s="937"/>
      <c r="P280" s="937"/>
      <c r="Q280" s="937"/>
      <c r="R280" s="937"/>
      <c r="S280" s="937"/>
      <c r="T280" s="937"/>
      <c r="U280" s="937"/>
      <c r="V280" s="937"/>
      <c r="W280" s="937"/>
      <c r="X280" s="937"/>
      <c r="Y280" s="937"/>
      <c r="Z280" s="937"/>
      <c r="AA280" s="937"/>
      <c r="AB280" s="937"/>
      <c r="AC280" s="937"/>
      <c r="AD280" s="937"/>
      <c r="AE280" s="937"/>
      <c r="AF280" s="937"/>
      <c r="AG280" s="937"/>
      <c r="AH280" s="937"/>
      <c r="AI280" s="937"/>
      <c r="AJ280" s="937"/>
      <c r="AK280" s="937"/>
      <c r="AL280" s="937"/>
      <c r="AM280" s="937"/>
      <c r="AN280" s="937"/>
      <c r="AO280" s="937"/>
    </row>
    <row r="281" spans="1:41" ht="15">
      <c r="A281" s="27" t="s">
        <v>73</v>
      </c>
      <c r="B281" s="29" t="s">
        <v>767</v>
      </c>
      <c r="C281" s="1266">
        <f>CEILING(74*$Z$1,0.1)</f>
        <v>92.5</v>
      </c>
      <c r="D281" s="1267"/>
      <c r="E281" s="1266">
        <f>CEILING(126*$Z$1,0.1)</f>
        <v>157.5</v>
      </c>
      <c r="F281" s="1267"/>
      <c r="G281" s="1266">
        <f>CEILING(105*$Z$1,0.1)</f>
        <v>131.3</v>
      </c>
      <c r="H281" s="1267"/>
      <c r="I281" s="1266">
        <f>CEILING(116*$Z$1,0.1)</f>
        <v>145</v>
      </c>
      <c r="J281" s="1267"/>
      <c r="K281" s="1266">
        <f>CEILING(84*$Z$1,0.1)</f>
        <v>105</v>
      </c>
      <c r="L281" s="1267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</row>
    <row r="282" spans="1:41" ht="15">
      <c r="A282" s="28" t="s">
        <v>833</v>
      </c>
      <c r="B282" s="12" t="s">
        <v>768</v>
      </c>
      <c r="C282" s="1268">
        <f>CEILING((C281+51.7*$Z$1),0.1)</f>
        <v>157.20000000000002</v>
      </c>
      <c r="D282" s="1270"/>
      <c r="E282" s="1268">
        <f>CEILING((E281+88.2*$Z$1),0.1)</f>
        <v>267.8</v>
      </c>
      <c r="F282" s="1270"/>
      <c r="G282" s="1268">
        <f>CEILING((G281+73.4*$Z$1),0.1)</f>
        <v>223.10000000000002</v>
      </c>
      <c r="H282" s="1270"/>
      <c r="I282" s="1268">
        <f>CEILING((I281+81.2*$Z$1),0.1)</f>
        <v>246.5</v>
      </c>
      <c r="J282" s="1270"/>
      <c r="K282" s="1268">
        <f>CEILING((K281+58.8*$Z$1),0.1)</f>
        <v>178.5</v>
      </c>
      <c r="L282" s="1270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</row>
    <row r="283" spans="1:41" ht="18" customHeight="1">
      <c r="A283" s="168"/>
      <c r="B283" s="29" t="s">
        <v>47</v>
      </c>
      <c r="C283" s="1268">
        <f>CEILING((C281*0.75),0.1)</f>
        <v>69.4</v>
      </c>
      <c r="D283" s="1270"/>
      <c r="E283" s="1268">
        <f>CEILING((E281*0.75),0.1)</f>
        <v>118.2</v>
      </c>
      <c r="F283" s="1270"/>
      <c r="G283" s="1268">
        <f>CEILING((G281*0.75),0.1)</f>
        <v>98.5</v>
      </c>
      <c r="H283" s="1270"/>
      <c r="I283" s="1268">
        <f>CEILING((I281*0.75),0.1)</f>
        <v>108.80000000000001</v>
      </c>
      <c r="J283" s="1270"/>
      <c r="K283" s="1268">
        <f>CEILING((K281*0.75),0.1)</f>
        <v>78.80000000000001</v>
      </c>
      <c r="L283" s="1270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</row>
    <row r="284" spans="1:41" s="404" customFormat="1" ht="18" customHeight="1">
      <c r="A284" s="168"/>
      <c r="B284" s="29" t="s">
        <v>913</v>
      </c>
      <c r="C284" s="1268">
        <f>CEILING(103*$Z$1,0.1)</f>
        <v>128.8</v>
      </c>
      <c r="D284" s="1270"/>
      <c r="E284" s="1268">
        <f>CEILING(138*$Z$1,0.1)</f>
        <v>172.5</v>
      </c>
      <c r="F284" s="1270"/>
      <c r="G284" s="1268">
        <f>CEILING(143*$Z$1,0.1)</f>
        <v>178.8</v>
      </c>
      <c r="H284" s="1270"/>
      <c r="I284" s="1268">
        <f>CEILING(157*$Z$1,0.1)</f>
        <v>196.3</v>
      </c>
      <c r="J284" s="1270"/>
      <c r="K284" s="1268">
        <f>CEILING(117*$Z$1,0.1)</f>
        <v>146.3</v>
      </c>
      <c r="L284" s="1270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</row>
    <row r="285" spans="1:41" ht="18.75" customHeight="1">
      <c r="A285" s="774" t="s">
        <v>450</v>
      </c>
      <c r="B285" s="418" t="s">
        <v>914</v>
      </c>
      <c r="C285" s="1284">
        <f>CEILING((C284*0.5),0.1)</f>
        <v>64.4</v>
      </c>
      <c r="D285" s="1285"/>
      <c r="E285" s="1284">
        <f>CEILING((E284*0.5),0.1)</f>
        <v>86.30000000000001</v>
      </c>
      <c r="F285" s="1285"/>
      <c r="G285" s="1284">
        <f>CEILING((G284*0.5),0.1)</f>
        <v>89.4</v>
      </c>
      <c r="H285" s="1285"/>
      <c r="I285" s="1284">
        <f>CEILING((I284*0.5),0.1)</f>
        <v>98.2</v>
      </c>
      <c r="J285" s="1285"/>
      <c r="K285" s="1284">
        <f>CEILING((K284*0.5),0.1)</f>
        <v>73.2</v>
      </c>
      <c r="L285" s="1285"/>
      <c r="M285" s="1016"/>
      <c r="N285" s="1016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</row>
    <row r="286" spans="1:41" s="607" customFormat="1" ht="18" customHeight="1">
      <c r="A286" s="253" t="s">
        <v>652</v>
      </c>
      <c r="B286" s="253"/>
      <c r="C286" s="253"/>
      <c r="D286" s="253"/>
      <c r="E286" s="253"/>
      <c r="F286" s="253"/>
      <c r="G286" s="253"/>
      <c r="H286" s="253"/>
      <c r="I286" s="352"/>
      <c r="J286" s="352"/>
      <c r="K286" s="354"/>
      <c r="L286" s="354"/>
      <c r="M286" s="347"/>
      <c r="N286" s="347"/>
      <c r="O286" s="354"/>
      <c r="P286" s="354"/>
      <c r="Q286" s="354"/>
      <c r="R286" s="354"/>
      <c r="S286" s="354"/>
      <c r="T286" s="354"/>
      <c r="U286" s="354"/>
      <c r="V286" s="354"/>
      <c r="W286" s="354"/>
      <c r="X286" s="354"/>
      <c r="Y286" s="354"/>
      <c r="Z286" s="354"/>
      <c r="AA286" s="354"/>
      <c r="AB286" s="354"/>
      <c r="AC286" s="354"/>
      <c r="AD286" s="354"/>
      <c r="AE286" s="354"/>
      <c r="AF286" s="354"/>
      <c r="AG286" s="354"/>
      <c r="AH286" s="354"/>
      <c r="AI286" s="354"/>
      <c r="AJ286" s="354"/>
      <c r="AK286" s="354"/>
      <c r="AL286" s="354"/>
      <c r="AM286" s="354"/>
      <c r="AN286" s="354"/>
      <c r="AO286" s="354"/>
    </row>
    <row r="287" spans="1:41" s="777" customFormat="1" ht="15">
      <c r="A287" s="1306"/>
      <c r="B287" s="1307"/>
      <c r="C287" s="1307"/>
      <c r="D287" s="1307"/>
      <c r="E287" s="1307"/>
      <c r="F287" s="1307"/>
      <c r="G287" s="1307"/>
      <c r="H287" s="1307"/>
      <c r="I287" s="1307"/>
      <c r="J287" s="1307"/>
      <c r="K287" s="775"/>
      <c r="L287" s="775"/>
      <c r="M287" s="335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</row>
    <row r="288" spans="1:41" s="404" customFormat="1" ht="18" customHeight="1">
      <c r="A288" s="360" t="s">
        <v>915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166"/>
      <c r="L288" s="166"/>
      <c r="M288" s="1016"/>
      <c r="N288" s="1016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</row>
    <row r="289" spans="1:41" s="479" customFormat="1" ht="18" customHeight="1" thickBot="1">
      <c r="A289" s="172"/>
      <c r="B289" s="767"/>
      <c r="C289" s="22"/>
      <c r="D289" s="22"/>
      <c r="E289" s="22"/>
      <c r="F289" s="22"/>
      <c r="G289" s="22"/>
      <c r="H289" s="22"/>
      <c r="I289" s="22"/>
      <c r="J289" s="22"/>
      <c r="K289" s="166"/>
      <c r="L289" s="166"/>
      <c r="M289" s="1016"/>
      <c r="N289" s="1016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</row>
    <row r="290" spans="1:41" ht="24" customHeight="1" thickTop="1">
      <c r="A290" s="746" t="s">
        <v>43</v>
      </c>
      <c r="B290" s="814" t="s">
        <v>961</v>
      </c>
      <c r="C290" s="747" t="s">
        <v>884</v>
      </c>
      <c r="D290" s="748"/>
      <c r="E290" s="773" t="s">
        <v>911</v>
      </c>
      <c r="F290" s="766"/>
      <c r="G290" s="749" t="s">
        <v>912</v>
      </c>
      <c r="H290" s="750"/>
      <c r="I290" s="1273" t="s">
        <v>881</v>
      </c>
      <c r="J290" s="1274"/>
      <c r="K290" s="1280" t="s">
        <v>882</v>
      </c>
      <c r="L290" s="128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</row>
    <row r="291" spans="1:41" s="402" customFormat="1" ht="15" customHeight="1">
      <c r="A291" s="547" t="s">
        <v>74</v>
      </c>
      <c r="B291" s="10" t="s">
        <v>51</v>
      </c>
      <c r="C291" s="1266">
        <f>CEILING(65*$Z$1,0.1)</f>
        <v>81.30000000000001</v>
      </c>
      <c r="D291" s="1267"/>
      <c r="E291" s="1266">
        <f>CEILING(110*$Z$1,0.1)</f>
        <v>137.5</v>
      </c>
      <c r="F291" s="1267"/>
      <c r="G291" s="1266">
        <f>CEILING(90*$Z$1,0.1)</f>
        <v>112.5</v>
      </c>
      <c r="H291" s="1267"/>
      <c r="I291" s="1266">
        <f>CEILING(100*$Z$1,0.1)</f>
        <v>125</v>
      </c>
      <c r="J291" s="1267"/>
      <c r="K291" s="1266">
        <f>CEILING(75*$Z$1,0.1)</f>
        <v>93.80000000000001</v>
      </c>
      <c r="L291" s="1267"/>
      <c r="M291" s="1087"/>
      <c r="N291" s="1087"/>
      <c r="O291" s="1087"/>
      <c r="P291" s="1087"/>
      <c r="Q291" s="1087"/>
      <c r="R291" s="1087"/>
      <c r="S291" s="1087"/>
      <c r="T291" s="1087"/>
      <c r="U291" s="1087"/>
      <c r="V291" s="1087"/>
      <c r="W291" s="1087"/>
      <c r="X291" s="1087"/>
      <c r="Y291" s="1087"/>
      <c r="Z291" s="1087"/>
      <c r="AA291" s="1087"/>
      <c r="AB291" s="1087"/>
      <c r="AC291" s="1087"/>
      <c r="AD291" s="1087"/>
      <c r="AE291" s="1087"/>
      <c r="AF291" s="1087"/>
      <c r="AG291" s="1087"/>
      <c r="AH291" s="1087"/>
      <c r="AI291" s="1087"/>
      <c r="AJ291" s="1087"/>
      <c r="AK291" s="1087"/>
      <c r="AL291" s="1087"/>
      <c r="AM291" s="1087"/>
      <c r="AN291" s="1087"/>
      <c r="AO291" s="1087"/>
    </row>
    <row r="292" spans="1:41" ht="15" customHeight="1">
      <c r="A292" s="458" t="s">
        <v>59</v>
      </c>
      <c r="B292" s="12" t="s">
        <v>52</v>
      </c>
      <c r="C292" s="1268">
        <f>CEILING((C291+26*$Z$1),0.1)</f>
        <v>113.80000000000001</v>
      </c>
      <c r="D292" s="1270"/>
      <c r="E292" s="1268">
        <f>CEILING((E291+44.1*$Z$1),0.1)</f>
        <v>192.70000000000002</v>
      </c>
      <c r="F292" s="1270"/>
      <c r="G292" s="1268">
        <f>CEILING((G291+36*$Z$1),0.1)</f>
        <v>157.5</v>
      </c>
      <c r="H292" s="1270"/>
      <c r="I292" s="1268">
        <f>CEILING((I291+40*$Z$1),0.1)</f>
        <v>175</v>
      </c>
      <c r="J292" s="1270"/>
      <c r="K292" s="1268">
        <f>CEILING((K291+30*$Z$1),0.1)</f>
        <v>131.3</v>
      </c>
      <c r="L292" s="1270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</row>
    <row r="293" spans="1:41" ht="15" customHeight="1">
      <c r="A293" s="286"/>
      <c r="B293" s="10" t="s">
        <v>47</v>
      </c>
      <c r="C293" s="1268">
        <f>CEILING((C291*0.85),0.1)</f>
        <v>69.2</v>
      </c>
      <c r="D293" s="1270"/>
      <c r="E293" s="1268">
        <f>CEILING((E291*0.85),0.1)</f>
        <v>116.9</v>
      </c>
      <c r="F293" s="1270"/>
      <c r="G293" s="1268">
        <f>CEILING((G291*0.85),0.1)</f>
        <v>95.7</v>
      </c>
      <c r="H293" s="1270"/>
      <c r="I293" s="1268">
        <f>CEILING((I291*0.85),0.1)</f>
        <v>106.30000000000001</v>
      </c>
      <c r="J293" s="1270"/>
      <c r="K293" s="1268">
        <f>CEILING((K291*0.85),0.1)</f>
        <v>79.80000000000001</v>
      </c>
      <c r="L293" s="1270"/>
      <c r="M293" s="342"/>
      <c r="N293" s="342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</row>
    <row r="294" spans="1:41" ht="15" customHeight="1">
      <c r="A294" s="286" t="s">
        <v>1322</v>
      </c>
      <c r="B294" s="10" t="s">
        <v>909</v>
      </c>
      <c r="C294" s="1268">
        <f>C305</f>
        <v>0</v>
      </c>
      <c r="D294" s="1270"/>
      <c r="E294" s="1268">
        <f>CEILING((E291*0.5),0.1)</f>
        <v>68.8</v>
      </c>
      <c r="F294" s="1270"/>
      <c r="G294" s="1268">
        <f>CEILING((G291*0.5),0.1)</f>
        <v>56.300000000000004</v>
      </c>
      <c r="H294" s="1270"/>
      <c r="I294" s="1268">
        <f>CEILING((I291*0.5),0.1)</f>
        <v>62.5</v>
      </c>
      <c r="J294" s="1270"/>
      <c r="K294" s="1268">
        <f>CEILING((K291*0),0.1)</f>
        <v>0</v>
      </c>
      <c r="L294" s="1270"/>
      <c r="M294" s="342"/>
      <c r="N294" s="342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</row>
    <row r="295" spans="1:41" ht="15" customHeight="1">
      <c r="A295" s="642" t="s">
        <v>1286</v>
      </c>
      <c r="B295" s="10" t="s">
        <v>237</v>
      </c>
      <c r="C295" s="1268">
        <f>CEILING(70*$Z$1,0.1)</f>
        <v>87.5</v>
      </c>
      <c r="D295" s="1270"/>
      <c r="E295" s="1268">
        <f>CEILING(118*$Z$1,0.1)</f>
        <v>147.5</v>
      </c>
      <c r="F295" s="1270"/>
      <c r="G295" s="1268">
        <f>CEILING(96*$Z$1,0.1)</f>
        <v>120</v>
      </c>
      <c r="H295" s="1270"/>
      <c r="I295" s="1268">
        <f>CEILING(107*$Z$1,0.1)</f>
        <v>133.8</v>
      </c>
      <c r="J295" s="1270"/>
      <c r="K295" s="1268">
        <f>CEILING(80*$Z$1,0.1)</f>
        <v>100</v>
      </c>
      <c r="L295" s="1270"/>
      <c r="M295" s="342"/>
      <c r="N295" s="342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</row>
    <row r="296" spans="1:41" ht="15.75" thickBot="1">
      <c r="A296" s="548" t="s">
        <v>427</v>
      </c>
      <c r="B296" s="233" t="s">
        <v>238</v>
      </c>
      <c r="C296" s="1284">
        <f>CEILING((C295+28*$Z$1),0.1)</f>
        <v>122.5</v>
      </c>
      <c r="D296" s="1285"/>
      <c r="E296" s="1284">
        <f>CEILING((E295+47.3*$Z$1),0.1)</f>
        <v>206.70000000000002</v>
      </c>
      <c r="F296" s="1285"/>
      <c r="G296" s="1284">
        <f>CEILING((G295+38.4*$Z$1),0.1)</f>
        <v>168</v>
      </c>
      <c r="H296" s="1285"/>
      <c r="I296" s="1284">
        <f>CEILING((I295+42.7*$Z$1),0.1)</f>
        <v>187.20000000000002</v>
      </c>
      <c r="J296" s="1285"/>
      <c r="K296" s="1284">
        <f>CEILING((K295+32*$Z$1),0.1)</f>
        <v>140</v>
      </c>
      <c r="L296" s="1285"/>
      <c r="M296" s="342"/>
      <c r="N296" s="342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</row>
    <row r="297" spans="1:41" s="777" customFormat="1" ht="15.75" thickTop="1">
      <c r="A297" s="1401"/>
      <c r="B297" s="1402"/>
      <c r="C297" s="1307"/>
      <c r="D297" s="1307"/>
      <c r="E297" s="1402"/>
      <c r="F297" s="1402"/>
      <c r="G297" s="1402"/>
      <c r="H297" s="1402"/>
      <c r="I297" s="1402"/>
      <c r="J297" s="1402"/>
      <c r="K297" s="775"/>
      <c r="L297" s="775"/>
      <c r="M297" s="335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</row>
    <row r="298" spans="1:13" s="1200" customFormat="1" ht="17.25" customHeight="1">
      <c r="A298" s="1195" t="s">
        <v>1320</v>
      </c>
      <c r="B298" s="1196"/>
      <c r="C298" s="1196"/>
      <c r="D298" s="1196"/>
      <c r="E298" s="1196"/>
      <c r="F298" s="1196"/>
      <c r="G298" s="1196"/>
      <c r="H298" s="1196"/>
      <c r="I298" s="1197"/>
      <c r="J298" s="1197"/>
      <c r="K298" s="1198"/>
      <c r="L298" s="1198"/>
      <c r="M298" s="1199"/>
    </row>
    <row r="299" spans="1:13" s="1200" customFormat="1" ht="15">
      <c r="A299" s="1195" t="s">
        <v>1321</v>
      </c>
      <c r="B299" s="1196"/>
      <c r="C299" s="1196"/>
      <c r="D299" s="1196"/>
      <c r="E299" s="1196"/>
      <c r="F299" s="1196"/>
      <c r="G299" s="1196"/>
      <c r="H299" s="1196"/>
      <c r="I299" s="1197"/>
      <c r="J299" s="1197"/>
      <c r="K299" s="1198"/>
      <c r="L299" s="1198"/>
      <c r="M299" s="1199"/>
    </row>
    <row r="300" spans="1:41" s="479" customFormat="1" ht="18" customHeight="1">
      <c r="A300" s="172"/>
      <c r="B300" s="767"/>
      <c r="C300" s="22"/>
      <c r="D300" s="22"/>
      <c r="E300" s="22"/>
      <c r="F300" s="22"/>
      <c r="G300" s="22"/>
      <c r="H300" s="22"/>
      <c r="I300" s="22"/>
      <c r="J300" s="22"/>
      <c r="K300" s="166"/>
      <c r="L300" s="166"/>
      <c r="M300" s="1016"/>
      <c r="N300" s="1016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</row>
    <row r="301" spans="1:41" s="479" customFormat="1" ht="15.75" thickBot="1">
      <c r="A301" s="770" t="s">
        <v>669</v>
      </c>
      <c r="B301" s="771"/>
      <c r="C301" s="771"/>
      <c r="D301" s="771"/>
      <c r="E301" s="771"/>
      <c r="F301" s="771"/>
      <c r="G301" s="771"/>
      <c r="H301" s="771"/>
      <c r="I301" s="771"/>
      <c r="J301" s="771"/>
      <c r="K301" s="279"/>
      <c r="L301" s="279"/>
      <c r="M301" s="335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</row>
    <row r="302" spans="1:41" s="479" customFormat="1" ht="30.75" customHeight="1" thickTop="1">
      <c r="A302" s="746" t="s">
        <v>43</v>
      </c>
      <c r="B302" s="814" t="s">
        <v>961</v>
      </c>
      <c r="C302" s="747" t="s">
        <v>884</v>
      </c>
      <c r="D302" s="748"/>
      <c r="E302" s="773" t="s">
        <v>911</v>
      </c>
      <c r="F302" s="766"/>
      <c r="G302" s="749" t="s">
        <v>912</v>
      </c>
      <c r="H302" s="750"/>
      <c r="I302" s="1273" t="s">
        <v>881</v>
      </c>
      <c r="J302" s="1274"/>
      <c r="K302" s="1280" t="s">
        <v>882</v>
      </c>
      <c r="L302" s="1281"/>
      <c r="M302" s="335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</row>
    <row r="303" spans="1:41" s="404" customFormat="1" ht="16.5" customHeight="1">
      <c r="A303" s="78" t="s">
        <v>653</v>
      </c>
      <c r="B303" s="12" t="s">
        <v>765</v>
      </c>
      <c r="C303" s="1266">
        <f>CEILING(58*$Z$1,0.1)</f>
        <v>72.5</v>
      </c>
      <c r="D303" s="1267"/>
      <c r="E303" s="1268">
        <f>CEILING(104*$Z$1,0.1)</f>
        <v>130</v>
      </c>
      <c r="F303" s="1269"/>
      <c r="G303" s="1268">
        <f>CEILING(81*$Z$1,0.1)</f>
        <v>101.30000000000001</v>
      </c>
      <c r="H303" s="1269"/>
      <c r="I303" s="1268">
        <f>CEILING(92*$Z$1,0.1)</f>
        <v>115</v>
      </c>
      <c r="J303" s="1269"/>
      <c r="K303" s="1266">
        <f>CEILING(55*$Z$1,0.1)</f>
        <v>68.8</v>
      </c>
      <c r="L303" s="1267"/>
      <c r="M303" s="1088"/>
      <c r="N303" s="1088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</row>
    <row r="304" spans="1:41" s="404" customFormat="1" ht="18" customHeight="1">
      <c r="A304" s="47" t="s">
        <v>59</v>
      </c>
      <c r="B304" s="12" t="s">
        <v>766</v>
      </c>
      <c r="C304" s="1268">
        <f>CEILING(75.4*$Z$1,0.1)</f>
        <v>94.30000000000001</v>
      </c>
      <c r="D304" s="1270"/>
      <c r="E304" s="1268">
        <f>CEILING(135.2*$Z$1,0.1)</f>
        <v>169</v>
      </c>
      <c r="F304" s="1269"/>
      <c r="G304" s="1268">
        <f>CEILING(105.3*$Z$1,0.1)</f>
        <v>131.70000000000002</v>
      </c>
      <c r="H304" s="1269"/>
      <c r="I304" s="1268">
        <f>CEILING(119.6*$Z$1,0.1)</f>
        <v>149.5</v>
      </c>
      <c r="J304" s="1269"/>
      <c r="K304" s="1268">
        <f>CEILING(71.5*$Z$1,0.1)</f>
        <v>89.4</v>
      </c>
      <c r="L304" s="1270"/>
      <c r="M304" s="1088"/>
      <c r="N304" s="1088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</row>
    <row r="305" spans="1:41" s="404" customFormat="1" ht="18" customHeight="1">
      <c r="A305" s="686"/>
      <c r="B305" s="127" t="s">
        <v>916</v>
      </c>
      <c r="C305" s="1323">
        <f>CEILING((C291*0),0.1)</f>
        <v>0</v>
      </c>
      <c r="D305" s="1324"/>
      <c r="E305" s="1323">
        <f>CEILING((E303*0.5),0.1)</f>
        <v>65</v>
      </c>
      <c r="F305" s="1359"/>
      <c r="G305" s="1323">
        <f>CEILING((G303*0.5),0.1)</f>
        <v>50.7</v>
      </c>
      <c r="H305" s="1359"/>
      <c r="I305" s="1323">
        <f>CEILING((I303*0.5),0.1)</f>
        <v>57.5</v>
      </c>
      <c r="J305" s="1359"/>
      <c r="K305" s="1323">
        <f>CEILING((K291*0),0.1)</f>
        <v>0</v>
      </c>
      <c r="L305" s="1359"/>
      <c r="M305" s="1088"/>
      <c r="N305" s="1088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</row>
    <row r="306" spans="1:41" s="404" customFormat="1" ht="18" customHeight="1">
      <c r="A306" s="655"/>
      <c r="B306" s="513" t="s">
        <v>917</v>
      </c>
      <c r="C306" s="1284">
        <f>CEILING((C303*0.5),0.1)</f>
        <v>36.300000000000004</v>
      </c>
      <c r="D306" s="1285"/>
      <c r="E306" s="1284">
        <f>E305</f>
        <v>65</v>
      </c>
      <c r="F306" s="1372"/>
      <c r="G306" s="1284">
        <f>G305</f>
        <v>50.7</v>
      </c>
      <c r="H306" s="1372"/>
      <c r="I306" s="1284">
        <f>I305</f>
        <v>57.5</v>
      </c>
      <c r="J306" s="1372"/>
      <c r="K306" s="1284">
        <f>CEILING((K303*0.5),0.1)</f>
        <v>34.4</v>
      </c>
      <c r="L306" s="1285"/>
      <c r="M306" s="1088"/>
      <c r="N306" s="1088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</row>
    <row r="307" spans="1:41" s="404" customFormat="1" ht="18" customHeight="1">
      <c r="A307" s="655"/>
      <c r="B307" s="127" t="s">
        <v>654</v>
      </c>
      <c r="C307" s="1266">
        <f>CEILING(58*$Z$1,0.1)</f>
        <v>72.5</v>
      </c>
      <c r="D307" s="1267"/>
      <c r="E307" s="1268">
        <f>CEILING(104*$Z$1,0.1)</f>
        <v>130</v>
      </c>
      <c r="F307" s="1269"/>
      <c r="G307" s="1268">
        <f>CEILING(81*$Z$1,0.1)</f>
        <v>101.30000000000001</v>
      </c>
      <c r="H307" s="1269"/>
      <c r="I307" s="1268">
        <f>CEILING(92*$Z$1,0.1)</f>
        <v>115</v>
      </c>
      <c r="J307" s="1269"/>
      <c r="K307" s="1266">
        <f>CEILING(55*$Z$1,0.1)</f>
        <v>68.8</v>
      </c>
      <c r="L307" s="1267"/>
      <c r="M307" s="1088"/>
      <c r="N307" s="1088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</row>
    <row r="308" spans="1:41" s="404" customFormat="1" ht="18" customHeight="1">
      <c r="A308" s="671"/>
      <c r="B308" s="12" t="s">
        <v>655</v>
      </c>
      <c r="C308" s="1268">
        <f>CEILING(75.4*$Z$1,0.1)</f>
        <v>94.30000000000001</v>
      </c>
      <c r="D308" s="1270"/>
      <c r="E308" s="1268">
        <f>CEILING(135.2*$Z$1,0.1)</f>
        <v>169</v>
      </c>
      <c r="F308" s="1269"/>
      <c r="G308" s="1268">
        <f>CEILING(105.3*$Z$1,0.1)</f>
        <v>131.70000000000002</v>
      </c>
      <c r="H308" s="1269"/>
      <c r="I308" s="1268">
        <f>CEILING(119.6*$Z$1,0.1)</f>
        <v>149.5</v>
      </c>
      <c r="J308" s="1269"/>
      <c r="K308" s="1268">
        <f>CEILING(71.5*$Z$1,0.1)</f>
        <v>89.4</v>
      </c>
      <c r="L308" s="1270"/>
      <c r="M308" s="1088"/>
      <c r="N308" s="1088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</row>
    <row r="309" spans="1:41" s="404" customFormat="1" ht="18" customHeight="1">
      <c r="A309" s="465"/>
      <c r="B309" s="36" t="s">
        <v>916</v>
      </c>
      <c r="C309" s="1323">
        <f>CEILING((C291*0),0.1)</f>
        <v>0</v>
      </c>
      <c r="D309" s="1324"/>
      <c r="E309" s="1323">
        <f>CEILING((E307*0.5),0.1)</f>
        <v>65</v>
      </c>
      <c r="F309" s="1359"/>
      <c r="G309" s="1323">
        <f>CEILING((G307*0.5),0.1)</f>
        <v>50.7</v>
      </c>
      <c r="H309" s="1359"/>
      <c r="I309" s="1323">
        <f>CEILING((I307*0.5),0.1)</f>
        <v>57.5</v>
      </c>
      <c r="J309" s="1359"/>
      <c r="K309" s="1323">
        <f>CEILING((K295*0),0.1)</f>
        <v>0</v>
      </c>
      <c r="L309" s="1359"/>
      <c r="M309" s="1088"/>
      <c r="N309" s="1088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</row>
    <row r="310" spans="1:41" s="479" customFormat="1" ht="18" customHeight="1" thickBot="1">
      <c r="A310" s="610" t="s">
        <v>413</v>
      </c>
      <c r="B310" s="513" t="s">
        <v>917</v>
      </c>
      <c r="C310" s="1284">
        <f>CEILING((C307*0.5),0.1)</f>
        <v>36.300000000000004</v>
      </c>
      <c r="D310" s="1285"/>
      <c r="E310" s="1284">
        <f>E309</f>
        <v>65</v>
      </c>
      <c r="F310" s="1372"/>
      <c r="G310" s="1284">
        <f>G309</f>
        <v>50.7</v>
      </c>
      <c r="H310" s="1372"/>
      <c r="I310" s="1284">
        <f>I309</f>
        <v>57.5</v>
      </c>
      <c r="J310" s="1372"/>
      <c r="K310" s="1284">
        <f>CEILING((K307*0.5),0.1)</f>
        <v>34.4</v>
      </c>
      <c r="L310" s="1285"/>
      <c r="M310" s="1088"/>
      <c r="N310" s="1088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</row>
    <row r="311" spans="1:41" s="777" customFormat="1" ht="15.75" thickTop="1">
      <c r="A311" s="1401"/>
      <c r="B311" s="1402"/>
      <c r="C311" s="1307"/>
      <c r="D311" s="1307"/>
      <c r="E311" s="1402"/>
      <c r="F311" s="1402"/>
      <c r="G311" s="1402"/>
      <c r="H311" s="1402"/>
      <c r="I311" s="1402"/>
      <c r="J311" s="1402"/>
      <c r="K311" s="775"/>
      <c r="L311" s="775"/>
      <c r="M311" s="335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</row>
    <row r="312" spans="1:41" s="479" customFormat="1" ht="18" customHeight="1">
      <c r="A312" s="172"/>
      <c r="B312" s="772"/>
      <c r="C312" s="22"/>
      <c r="D312" s="22"/>
      <c r="E312" s="22"/>
      <c r="F312" s="22"/>
      <c r="G312" s="22"/>
      <c r="H312" s="22"/>
      <c r="I312" s="22"/>
      <c r="J312" s="22"/>
      <c r="K312" s="166"/>
      <c r="L312" s="166"/>
      <c r="M312" s="1016"/>
      <c r="N312" s="1016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</row>
    <row r="313" spans="1:41" s="479" customFormat="1" ht="15.75" thickBot="1">
      <c r="A313" s="770" t="s">
        <v>669</v>
      </c>
      <c r="B313" s="771"/>
      <c r="C313" s="771"/>
      <c r="D313" s="771"/>
      <c r="E313" s="771"/>
      <c r="F313" s="771"/>
      <c r="G313" s="771"/>
      <c r="H313" s="771"/>
      <c r="I313" s="771"/>
      <c r="J313" s="771"/>
      <c r="K313" s="279"/>
      <c r="L313" s="279"/>
      <c r="M313" s="335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</row>
    <row r="314" spans="1:41" s="479" customFormat="1" ht="30.75" customHeight="1" thickTop="1">
      <c r="A314" s="746" t="s">
        <v>43</v>
      </c>
      <c r="B314" s="814" t="s">
        <v>961</v>
      </c>
      <c r="C314" s="747" t="s">
        <v>884</v>
      </c>
      <c r="D314" s="748"/>
      <c r="E314" s="773" t="s">
        <v>911</v>
      </c>
      <c r="F314" s="766"/>
      <c r="G314" s="749" t="s">
        <v>912</v>
      </c>
      <c r="H314" s="750"/>
      <c r="I314" s="1273" t="s">
        <v>881</v>
      </c>
      <c r="J314" s="1274"/>
      <c r="K314" s="1280" t="s">
        <v>882</v>
      </c>
      <c r="L314" s="1281"/>
      <c r="M314" s="335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</row>
    <row r="315" spans="1:41" ht="15.75" customHeight="1">
      <c r="A315" s="137" t="s">
        <v>938</v>
      </c>
      <c r="B315" s="138" t="s">
        <v>76</v>
      </c>
      <c r="C315" s="1304">
        <f>CEILING(38*$Z$1,0.1)</f>
        <v>47.5</v>
      </c>
      <c r="D315" s="1305"/>
      <c r="E315" s="1304">
        <f>CEILING(79*$Z$1,0.1)</f>
        <v>98.80000000000001</v>
      </c>
      <c r="F315" s="1360"/>
      <c r="G315" s="1304">
        <f>CEILING(54*$Z$1,0.1)</f>
        <v>67.5</v>
      </c>
      <c r="H315" s="1360"/>
      <c r="I315" s="1304">
        <f>CEILING(54*$Z$1,0.1)</f>
        <v>67.5</v>
      </c>
      <c r="J315" s="1360"/>
      <c r="K315" s="1304">
        <f>CEILING(44*$Z$1,0.1)</f>
        <v>55</v>
      </c>
      <c r="L315" s="1360"/>
      <c r="M315" s="1089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</row>
    <row r="316" spans="1:41" ht="15">
      <c r="A316" s="139" t="s">
        <v>939</v>
      </c>
      <c r="B316" s="138" t="s">
        <v>77</v>
      </c>
      <c r="C316" s="1302">
        <f>CEILING((C315+40*$Z$1),0.1)</f>
        <v>97.5</v>
      </c>
      <c r="D316" s="1303"/>
      <c r="E316" s="1302">
        <f>CEILING((E315+40*$Z$1),0.1)</f>
        <v>148.8</v>
      </c>
      <c r="F316" s="1303"/>
      <c r="G316" s="1302">
        <f>CEILING((G315+40*$Z$1),0.1)</f>
        <v>117.5</v>
      </c>
      <c r="H316" s="1303"/>
      <c r="I316" s="1302">
        <f>CEILING((I315+40*$Z$1),0.1)</f>
        <v>117.5</v>
      </c>
      <c r="J316" s="1303"/>
      <c r="K316" s="1302">
        <f>CEILING((K315+40*$Z$1),0.1)</f>
        <v>105</v>
      </c>
      <c r="L316" s="1303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</row>
    <row r="317" spans="1:41" ht="15">
      <c r="A317" s="140"/>
      <c r="B317" s="141" t="s">
        <v>47</v>
      </c>
      <c r="C317" s="1302">
        <f>CEILING((C315*0.85),0.1)</f>
        <v>40.400000000000006</v>
      </c>
      <c r="D317" s="1303"/>
      <c r="E317" s="1302">
        <f>CEILING((E315*0.85),0.1)</f>
        <v>84</v>
      </c>
      <c r="F317" s="1303"/>
      <c r="G317" s="1302">
        <f>CEILING((G315*0.85),0.1)</f>
        <v>57.400000000000006</v>
      </c>
      <c r="H317" s="1303"/>
      <c r="I317" s="1302">
        <f>CEILING((I315*0.85),0.1)</f>
        <v>57.400000000000006</v>
      </c>
      <c r="J317" s="1303"/>
      <c r="K317" s="1302">
        <f>CEILING((K315*0.85),0.1)</f>
        <v>46.800000000000004</v>
      </c>
      <c r="L317" s="1303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</row>
    <row r="318" spans="1:41" ht="15">
      <c r="A318" s="806" t="s">
        <v>45</v>
      </c>
      <c r="B318" s="143" t="s">
        <v>189</v>
      </c>
      <c r="C318" s="1302">
        <f>CEILING(74*$Z$1,0.1)</f>
        <v>92.5</v>
      </c>
      <c r="D318" s="1303"/>
      <c r="E318" s="1302">
        <f>CEILING(90*$Z$1,0.1)</f>
        <v>112.5</v>
      </c>
      <c r="F318" s="1303"/>
      <c r="G318" s="1302">
        <f>CEILING(74*$Z$1,0.1)</f>
        <v>92.5</v>
      </c>
      <c r="H318" s="1303"/>
      <c r="I318" s="1302">
        <f>CEILING(74*$Z$1,0.1)</f>
        <v>92.5</v>
      </c>
      <c r="J318" s="1303"/>
      <c r="K318" s="1302">
        <f>CEILING(74*$Z$1,0.1)</f>
        <v>92.5</v>
      </c>
      <c r="L318" s="1303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</row>
    <row r="319" spans="1:41" ht="15">
      <c r="A319" s="140" t="s">
        <v>1335</v>
      </c>
      <c r="B319" s="143" t="s">
        <v>190</v>
      </c>
      <c r="C319" s="1302">
        <f>CEILING((C318+40*$Z$1),0.1)</f>
        <v>142.5</v>
      </c>
      <c r="D319" s="1303"/>
      <c r="E319" s="1302">
        <f>CEILING((E318+40*$Z$1),0.1)</f>
        <v>162.5</v>
      </c>
      <c r="F319" s="1303"/>
      <c r="G319" s="1302">
        <f>CEILING((G318+40*$Z$1),0.1)</f>
        <v>142.5</v>
      </c>
      <c r="H319" s="1303"/>
      <c r="I319" s="1302">
        <f>CEILING((I318+40*$Z$1),0.1)</f>
        <v>142.5</v>
      </c>
      <c r="J319" s="1303"/>
      <c r="K319" s="1302">
        <f>CEILING((K318+40*$Z$1),0.1)</f>
        <v>142.5</v>
      </c>
      <c r="L319" s="1303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</row>
    <row r="320" spans="1:41" ht="15">
      <c r="A320" s="140" t="s">
        <v>1334</v>
      </c>
      <c r="B320" s="143" t="s">
        <v>260</v>
      </c>
      <c r="C320" s="1302">
        <f>CEILING(85*$Z$1,0.1)</f>
        <v>106.30000000000001</v>
      </c>
      <c r="D320" s="1303"/>
      <c r="E320" s="1302">
        <f>CEILING(109*$Z$1,0.1)</f>
        <v>136.3</v>
      </c>
      <c r="F320" s="1303"/>
      <c r="G320" s="1302">
        <f>CEILING(85*$Z$1,0.1)</f>
        <v>106.30000000000001</v>
      </c>
      <c r="H320" s="1303"/>
      <c r="I320" s="1302">
        <f>CEILING(85*$Z$1,0.1)</f>
        <v>106.30000000000001</v>
      </c>
      <c r="J320" s="1303"/>
      <c r="K320" s="1302">
        <f>CEILING(85*$Z$1,0.1)</f>
        <v>106.30000000000001</v>
      </c>
      <c r="L320" s="1303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</row>
    <row r="321" spans="1:41" ht="15.75" thickBot="1">
      <c r="A321" s="160" t="s">
        <v>843</v>
      </c>
      <c r="B321" s="174" t="s">
        <v>261</v>
      </c>
      <c r="C321" s="1353">
        <f>CEILING((C320+40*$Z$1),0.1)</f>
        <v>156.3</v>
      </c>
      <c r="D321" s="1354"/>
      <c r="E321" s="1353">
        <f>CEILING((E320+40*$Z$1),0.1)</f>
        <v>186.3</v>
      </c>
      <c r="F321" s="1354"/>
      <c r="G321" s="1353">
        <f>CEILING((G320+40*$Z$1),0.1)</f>
        <v>156.3</v>
      </c>
      <c r="H321" s="1354"/>
      <c r="I321" s="1353">
        <f>CEILING((I320+40*$Z$1),0.1)</f>
        <v>156.3</v>
      </c>
      <c r="J321" s="1354"/>
      <c r="K321" s="1353">
        <f>CEILING((K320+40*$Z$1),0.1)</f>
        <v>156.3</v>
      </c>
      <c r="L321" s="1354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</row>
    <row r="322" spans="1:41" s="555" customFormat="1" ht="15.75" thickTop="1">
      <c r="A322" s="231" t="s">
        <v>202</v>
      </c>
      <c r="B322" s="231"/>
      <c r="C322" s="22"/>
      <c r="D322" s="22"/>
      <c r="E322" s="22"/>
      <c r="F322" s="22"/>
      <c r="G322" s="22"/>
      <c r="H322" s="22"/>
      <c r="I322" s="805"/>
      <c r="J322" s="805"/>
      <c r="K322" s="805"/>
      <c r="L322" s="805"/>
      <c r="M322" s="613"/>
      <c r="N322" s="613"/>
      <c r="O322" s="613"/>
      <c r="P322" s="613"/>
      <c r="Q322" s="613"/>
      <c r="R322" s="613"/>
      <c r="S322" s="613"/>
      <c r="T322" s="613"/>
      <c r="U322" s="613"/>
      <c r="V322" s="613"/>
      <c r="W322" s="613"/>
      <c r="X322" s="613"/>
      <c r="Y322" s="613"/>
      <c r="Z322" s="613"/>
      <c r="AA322" s="613"/>
      <c r="AB322" s="613"/>
      <c r="AC322" s="613"/>
      <c r="AD322" s="613"/>
      <c r="AE322" s="613"/>
      <c r="AF322" s="613"/>
      <c r="AG322" s="613"/>
      <c r="AH322" s="613"/>
      <c r="AI322" s="613"/>
      <c r="AJ322" s="613"/>
      <c r="AK322" s="613"/>
      <c r="AL322" s="613"/>
      <c r="AM322" s="613"/>
      <c r="AN322" s="613"/>
      <c r="AO322" s="613"/>
    </row>
    <row r="323" spans="1:41" s="593" customFormat="1" ht="18" customHeight="1">
      <c r="A323" s="585" t="s">
        <v>940</v>
      </c>
      <c r="B323" s="585"/>
      <c r="C323" s="585"/>
      <c r="D323" s="585"/>
      <c r="E323" s="585"/>
      <c r="F323" s="585"/>
      <c r="G323" s="585"/>
      <c r="H323" s="585"/>
      <c r="I323" s="585"/>
      <c r="J323" s="585"/>
      <c r="K323" s="807" t="s">
        <v>941</v>
      </c>
      <c r="L323" s="807"/>
      <c r="M323" s="1090"/>
      <c r="N323" s="1090"/>
      <c r="O323" s="1090"/>
      <c r="P323" s="1090"/>
      <c r="Q323" s="1090"/>
      <c r="R323" s="1090"/>
      <c r="S323" s="1090"/>
      <c r="T323" s="1090"/>
      <c r="U323" s="1090"/>
      <c r="V323" s="1090"/>
      <c r="W323" s="1090"/>
      <c r="X323" s="1090"/>
      <c r="Y323" s="1090"/>
      <c r="Z323" s="1090"/>
      <c r="AA323" s="1090"/>
      <c r="AB323" s="1090"/>
      <c r="AC323" s="1090"/>
      <c r="AD323" s="1090"/>
      <c r="AE323" s="1090"/>
      <c r="AF323" s="1090"/>
      <c r="AG323" s="1090"/>
      <c r="AH323" s="1090"/>
      <c r="AI323" s="1090"/>
      <c r="AJ323" s="1090"/>
      <c r="AK323" s="1090"/>
      <c r="AL323" s="1090"/>
      <c r="AM323" s="1090"/>
      <c r="AN323" s="1090"/>
      <c r="AO323" s="1090"/>
    </row>
    <row r="324" spans="1:41" s="479" customFormat="1" ht="15.75" thickBot="1">
      <c r="A324" s="263"/>
      <c r="B324" s="32"/>
      <c r="C324" s="22"/>
      <c r="D324" s="22"/>
      <c r="E324" s="22"/>
      <c r="F324" s="22"/>
      <c r="G324" s="22"/>
      <c r="H324" s="22"/>
      <c r="I324" s="352"/>
      <c r="J324" s="352"/>
      <c r="K324" s="334"/>
      <c r="L324" s="334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</row>
    <row r="325" spans="1:41" s="479" customFormat="1" ht="30.75" customHeight="1" thickBot="1" thickTop="1">
      <c r="A325" s="746" t="s">
        <v>43</v>
      </c>
      <c r="B325" s="814" t="s">
        <v>961</v>
      </c>
      <c r="C325" s="747" t="s">
        <v>884</v>
      </c>
      <c r="D325" s="748"/>
      <c r="E325" s="905" t="s">
        <v>911</v>
      </c>
      <c r="F325" s="906"/>
      <c r="G325" s="749" t="s">
        <v>912</v>
      </c>
      <c r="H325" s="750"/>
      <c r="I325" s="1273" t="s">
        <v>881</v>
      </c>
      <c r="J325" s="1274"/>
      <c r="K325" s="1280" t="s">
        <v>882</v>
      </c>
      <c r="L325" s="1281"/>
      <c r="M325" s="335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</row>
    <row r="326" spans="1:41" s="479" customFormat="1" ht="15.75" customHeight="1" thickTop="1">
      <c r="A326" s="137" t="s">
        <v>1028</v>
      </c>
      <c r="B326" s="213" t="s">
        <v>942</v>
      </c>
      <c r="C326" s="1266">
        <f>CEILING(94*$Z$1,0.1)</f>
        <v>117.5</v>
      </c>
      <c r="D326" s="1267"/>
      <c r="E326" s="1268">
        <f>CEILING(154*$Z$1,0.1)</f>
        <v>192.5</v>
      </c>
      <c r="F326" s="1270"/>
      <c r="G326" s="1268">
        <f>CEILING(121*$Z$1,0.1)</f>
        <v>151.3</v>
      </c>
      <c r="H326" s="1269"/>
      <c r="I326" s="1268">
        <f>CEILING(133*$Z$1,0.1)</f>
        <v>166.3</v>
      </c>
      <c r="J326" s="1269"/>
      <c r="K326" s="1268">
        <f>CEILING(96*$Z$1,0.1)</f>
        <v>120</v>
      </c>
      <c r="L326" s="1269"/>
      <c r="M326" s="403"/>
      <c r="N326" s="342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</row>
    <row r="327" spans="1:41" s="479" customFormat="1" ht="15.75" customHeight="1">
      <c r="A327" s="139" t="s">
        <v>45</v>
      </c>
      <c r="B327" s="138" t="s">
        <v>943</v>
      </c>
      <c r="C327" s="1268">
        <f>CEILING((C326+40*$Z$1),0.1)</f>
        <v>167.5</v>
      </c>
      <c r="D327" s="1270"/>
      <c r="E327" s="1268">
        <f>CEILING((E326+40*$Z$1),0.1)</f>
        <v>242.5</v>
      </c>
      <c r="F327" s="1270"/>
      <c r="G327" s="1268">
        <f>CEILING((G326+40*$Z$1),0.1)</f>
        <v>201.3</v>
      </c>
      <c r="H327" s="1270"/>
      <c r="I327" s="1268">
        <f>CEILING((I326+40*$Z$1),0.1)</f>
        <v>216.3</v>
      </c>
      <c r="J327" s="1270"/>
      <c r="K327" s="1268">
        <f>CEILING((K326+40*$Z$1),0.1)</f>
        <v>170</v>
      </c>
      <c r="L327" s="1270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</row>
    <row r="328" spans="1:41" s="479" customFormat="1" ht="17.25" customHeight="1">
      <c r="A328" s="140"/>
      <c r="B328" s="141" t="s">
        <v>47</v>
      </c>
      <c r="C328" s="1268">
        <f>CEILING((C326*0.85),0.1)</f>
        <v>99.9</v>
      </c>
      <c r="D328" s="1270"/>
      <c r="E328" s="1268">
        <f>CEILING((E326*0.85),0.1)</f>
        <v>163.70000000000002</v>
      </c>
      <c r="F328" s="1270"/>
      <c r="G328" s="1268">
        <f>CEILING((G326*0.85),0.1)</f>
        <v>128.70000000000002</v>
      </c>
      <c r="H328" s="1270"/>
      <c r="I328" s="1268">
        <f>CEILING((I326*0.85),0.1)</f>
        <v>141.4</v>
      </c>
      <c r="J328" s="1270"/>
      <c r="K328" s="1268">
        <f>CEILING((K326*0.85),0.1)</f>
        <v>102</v>
      </c>
      <c r="L328" s="1270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</row>
    <row r="329" spans="1:41" s="479" customFormat="1" ht="15">
      <c r="A329" s="217"/>
      <c r="B329" s="12" t="s">
        <v>801</v>
      </c>
      <c r="C329" s="1268">
        <f>CEILING((C326*0.5),0.1)</f>
        <v>58.800000000000004</v>
      </c>
      <c r="D329" s="1270"/>
      <c r="E329" s="1268">
        <f>CEILING((E326*0.5),0.1)</f>
        <v>96.30000000000001</v>
      </c>
      <c r="F329" s="1270"/>
      <c r="G329" s="1268">
        <f>CEILING((G326*0.5),0.1)</f>
        <v>75.7</v>
      </c>
      <c r="H329" s="1270"/>
      <c r="I329" s="1268">
        <f>CEILING((I326*0.5),0.1)</f>
        <v>83.2</v>
      </c>
      <c r="J329" s="1270"/>
      <c r="K329" s="1268">
        <f>CEILING((K326*0.5),0.1)</f>
        <v>60</v>
      </c>
      <c r="L329" s="1270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</row>
    <row r="330" spans="1:41" s="479" customFormat="1" ht="15">
      <c r="A330" s="140"/>
      <c r="B330" s="143" t="s">
        <v>1030</v>
      </c>
      <c r="C330" s="1268">
        <f>CEILING(139*$Z$1,0.1)</f>
        <v>173.8</v>
      </c>
      <c r="D330" s="1270"/>
      <c r="E330" s="1268">
        <f>CEILING(199*$Z$1,0.1)</f>
        <v>248.8</v>
      </c>
      <c r="F330" s="1270"/>
      <c r="G330" s="1268">
        <f>CEILING(166*$Z$1,0.1)</f>
        <v>207.5</v>
      </c>
      <c r="H330" s="1270"/>
      <c r="I330" s="1268">
        <f>CEILING(178*$Z$1,0.1)</f>
        <v>222.5</v>
      </c>
      <c r="J330" s="1270"/>
      <c r="K330" s="1268">
        <f>CEILING(141*$Z$1,0.1)</f>
        <v>176.3</v>
      </c>
      <c r="L330" s="1270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</row>
    <row r="331" spans="1:41" s="479" customFormat="1" ht="15">
      <c r="A331" s="398"/>
      <c r="B331" s="143" t="s">
        <v>1031</v>
      </c>
      <c r="C331" s="1268">
        <f>CEILING((C330+40*$Z$1),0.1)</f>
        <v>223.8</v>
      </c>
      <c r="D331" s="1270"/>
      <c r="E331" s="1268">
        <f>CEILING((E330+40*$Z$1),0.1)</f>
        <v>298.8</v>
      </c>
      <c r="F331" s="1270"/>
      <c r="G331" s="1268">
        <f>CEILING((G330+40*$Z$1),0.1)</f>
        <v>257.5</v>
      </c>
      <c r="H331" s="1270"/>
      <c r="I331" s="1268">
        <f>CEILING((I330+40*$Z$1),0.1)</f>
        <v>272.5</v>
      </c>
      <c r="J331" s="1270"/>
      <c r="K331" s="1268">
        <f>CEILING((K330+40*$Z$1),0.1)</f>
        <v>226.3</v>
      </c>
      <c r="L331" s="1270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</row>
    <row r="332" spans="1:41" s="479" customFormat="1" ht="15">
      <c r="A332" s="399"/>
      <c r="B332" s="143" t="s">
        <v>1032</v>
      </c>
      <c r="C332" s="1268">
        <f>CEILING(154*$Z$1,0.1)</f>
        <v>192.5</v>
      </c>
      <c r="D332" s="1270"/>
      <c r="E332" s="1268">
        <f>CEILING(214*$Z$1,0.1)</f>
        <v>267.5</v>
      </c>
      <c r="F332" s="1270"/>
      <c r="G332" s="1268">
        <f>CEILING(181*$Z$1,0.1)</f>
        <v>226.3</v>
      </c>
      <c r="H332" s="1270"/>
      <c r="I332" s="1268">
        <f>CEILING(193*$Z$1,0.1)</f>
        <v>241.3</v>
      </c>
      <c r="J332" s="1270"/>
      <c r="K332" s="1268">
        <f>CEILING(156*$Z$1,0.1)</f>
        <v>195</v>
      </c>
      <c r="L332" s="1270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</row>
    <row r="333" spans="1:41" s="479" customFormat="1" ht="15">
      <c r="A333" s="405"/>
      <c r="B333" s="143" t="s">
        <v>1033</v>
      </c>
      <c r="C333" s="1268">
        <f>CEILING((C332+40*$Z$1),0.1)</f>
        <v>242.5</v>
      </c>
      <c r="D333" s="1270"/>
      <c r="E333" s="1268">
        <f>CEILING((E332+40*$Z$1),0.1)</f>
        <v>317.5</v>
      </c>
      <c r="F333" s="1270"/>
      <c r="G333" s="1268">
        <f>CEILING((G332+40*$Z$1),0.1)</f>
        <v>276.3</v>
      </c>
      <c r="H333" s="1270"/>
      <c r="I333" s="1268">
        <f>CEILING((I332+40*$Z$1),0.1)</f>
        <v>291.3</v>
      </c>
      <c r="J333" s="1270"/>
      <c r="K333" s="1268">
        <f>CEILING((K332+40*$Z$1),0.1)</f>
        <v>245</v>
      </c>
      <c r="L333" s="1270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</row>
    <row r="334" spans="1:41" s="479" customFormat="1" ht="15">
      <c r="A334" s="274"/>
      <c r="B334" s="143" t="s">
        <v>805</v>
      </c>
      <c r="C334" s="1268">
        <f>CEILING(164*$Z$1,0.1)</f>
        <v>205</v>
      </c>
      <c r="D334" s="1270"/>
      <c r="E334" s="1268">
        <f>CEILING(224*$Z$1,0.1)</f>
        <v>280</v>
      </c>
      <c r="F334" s="1270"/>
      <c r="G334" s="1268">
        <f>CEILING(191*$Z$1,0.1)</f>
        <v>238.8</v>
      </c>
      <c r="H334" s="1270"/>
      <c r="I334" s="1268">
        <f>CEILING(203*$Z$1,0.1)</f>
        <v>253.8</v>
      </c>
      <c r="J334" s="1270"/>
      <c r="K334" s="1268">
        <f>CEILING(166*$Z$1,0.1)</f>
        <v>207.5</v>
      </c>
      <c r="L334" s="1270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</row>
    <row r="335" spans="1:41" s="479" customFormat="1" ht="15">
      <c r="A335" s="274"/>
      <c r="B335" s="143" t="s">
        <v>1034</v>
      </c>
      <c r="C335" s="1268">
        <f>CEILING((C334+40*$Z$1),0.1)</f>
        <v>255</v>
      </c>
      <c r="D335" s="1270"/>
      <c r="E335" s="1268">
        <f>CEILING((E334+40*$Z$1),0.1)</f>
        <v>330</v>
      </c>
      <c r="F335" s="1270"/>
      <c r="G335" s="1268">
        <f>CEILING((G334+40*$Z$1),0.1)</f>
        <v>288.8</v>
      </c>
      <c r="H335" s="1270"/>
      <c r="I335" s="1268">
        <f>CEILING((I334+40*$Z$1),0.1)</f>
        <v>303.8</v>
      </c>
      <c r="J335" s="1270"/>
      <c r="K335" s="1268">
        <f>CEILING((K334+40*$Z$1),0.1)</f>
        <v>257.5</v>
      </c>
      <c r="L335" s="1270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</row>
    <row r="336" spans="1:41" s="479" customFormat="1" ht="15">
      <c r="A336" s="274"/>
      <c r="B336" s="143" t="s">
        <v>1035</v>
      </c>
      <c r="C336" s="1268">
        <f>CEILING(229*$Z$1,0.1)</f>
        <v>286.3</v>
      </c>
      <c r="D336" s="1270"/>
      <c r="E336" s="1268">
        <f>CEILING(289*$Z$1,0.1)</f>
        <v>361.3</v>
      </c>
      <c r="F336" s="1270"/>
      <c r="G336" s="1268">
        <f>CEILING(256*$Z$1,0.1)</f>
        <v>320</v>
      </c>
      <c r="H336" s="1270"/>
      <c r="I336" s="1268">
        <f>CEILING(268*$Z$1,0.1)</f>
        <v>335</v>
      </c>
      <c r="J336" s="1270"/>
      <c r="K336" s="1268">
        <f>CEILING(231*$Z$1,0.1)</f>
        <v>288.8</v>
      </c>
      <c r="L336" s="1270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</row>
    <row r="337" spans="1:41" s="479" customFormat="1" ht="15.75" thickBot="1">
      <c r="A337" s="160" t="s">
        <v>1029</v>
      </c>
      <c r="B337" s="174" t="s">
        <v>1036</v>
      </c>
      <c r="C337" s="1275">
        <f>CEILING((C336+40*$Z$1),0.1)</f>
        <v>336.3</v>
      </c>
      <c r="D337" s="1277"/>
      <c r="E337" s="1275">
        <f>CEILING((E336+40*$Z$1),0.1)</f>
        <v>411.3</v>
      </c>
      <c r="F337" s="1277"/>
      <c r="G337" s="1275">
        <f>CEILING((G336+40*$Z$1),0.1)</f>
        <v>370</v>
      </c>
      <c r="H337" s="1277"/>
      <c r="I337" s="1275">
        <f>CEILING((I336+40*$Z$1),0.1)</f>
        <v>385</v>
      </c>
      <c r="J337" s="1277"/>
      <c r="K337" s="1275">
        <f>CEILING((K336+40*$Z$1),0.1)</f>
        <v>338.8</v>
      </c>
      <c r="L337" s="1277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</row>
    <row r="338" spans="1:41" s="495" customFormat="1" ht="15.75" thickTop="1">
      <c r="A338" s="899" t="s">
        <v>1037</v>
      </c>
      <c r="B338" s="859"/>
      <c r="C338" s="18"/>
      <c r="D338" s="18"/>
      <c r="E338" s="3"/>
      <c r="F338" s="3"/>
      <c r="G338" s="3"/>
      <c r="H338" s="3"/>
      <c r="I338" s="3"/>
      <c r="J338" s="3"/>
      <c r="K338" s="903"/>
      <c r="L338" s="903"/>
      <c r="M338" s="342"/>
      <c r="N338" s="342"/>
      <c r="O338" s="937"/>
      <c r="P338" s="937"/>
      <c r="Q338" s="937"/>
      <c r="R338" s="937"/>
      <c r="S338" s="937"/>
      <c r="T338" s="937"/>
      <c r="U338" s="937"/>
      <c r="V338" s="937"/>
      <c r="W338" s="937"/>
      <c r="X338" s="937"/>
      <c r="Y338" s="937"/>
      <c r="Z338" s="937"/>
      <c r="AA338" s="937"/>
      <c r="AB338" s="937"/>
      <c r="AC338" s="937"/>
      <c r="AD338" s="937"/>
      <c r="AE338" s="937"/>
      <c r="AF338" s="937"/>
      <c r="AG338" s="937"/>
      <c r="AH338" s="937"/>
      <c r="AI338" s="937"/>
      <c r="AJ338" s="937"/>
      <c r="AK338" s="937"/>
      <c r="AL338" s="937"/>
      <c r="AM338" s="937"/>
      <c r="AN338" s="937"/>
      <c r="AO338" s="937"/>
    </row>
    <row r="339" spans="1:41" s="479" customFormat="1" ht="18" customHeight="1">
      <c r="A339" s="172"/>
      <c r="B339" s="858"/>
      <c r="C339" s="22"/>
      <c r="D339" s="22"/>
      <c r="E339" s="22"/>
      <c r="F339" s="22"/>
      <c r="G339" s="22"/>
      <c r="H339" s="22"/>
      <c r="I339" s="22"/>
      <c r="J339" s="22"/>
      <c r="K339" s="166"/>
      <c r="L339" s="166"/>
      <c r="M339" s="1016"/>
      <c r="N339" s="1016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</row>
    <row r="340" spans="1:41" s="479" customFormat="1" ht="15.75" thickBot="1">
      <c r="A340" s="263"/>
      <c r="B340" s="32"/>
      <c r="C340" s="32"/>
      <c r="D340" s="32"/>
      <c r="E340" s="32"/>
      <c r="F340" s="32"/>
      <c r="G340" s="32"/>
      <c r="H340" s="32"/>
      <c r="I340" s="352"/>
      <c r="J340" s="352"/>
      <c r="K340" s="334"/>
      <c r="L340" s="334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</row>
    <row r="341" spans="1:41" s="479" customFormat="1" ht="30.75" customHeight="1" thickTop="1">
      <c r="A341" s="746" t="s">
        <v>43</v>
      </c>
      <c r="B341" s="814" t="s">
        <v>961</v>
      </c>
      <c r="C341" s="747" t="s">
        <v>884</v>
      </c>
      <c r="D341" s="748"/>
      <c r="E341" s="808" t="s">
        <v>911</v>
      </c>
      <c r="F341" s="750"/>
      <c r="G341" s="749" t="s">
        <v>912</v>
      </c>
      <c r="H341" s="750"/>
      <c r="I341" s="1273" t="s">
        <v>881</v>
      </c>
      <c r="J341" s="1274"/>
      <c r="K341" s="1280" t="s">
        <v>882</v>
      </c>
      <c r="L341" s="1281"/>
      <c r="M341" s="335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</row>
    <row r="342" spans="1:41" s="479" customFormat="1" ht="16.5" customHeight="1">
      <c r="A342" s="216" t="s">
        <v>244</v>
      </c>
      <c r="B342" s="40" t="s">
        <v>215</v>
      </c>
      <c r="C342" s="1266">
        <f>CEILING(120*$Z$1,0.1)</f>
        <v>150</v>
      </c>
      <c r="D342" s="1267"/>
      <c r="E342" s="1268">
        <f>CEILING(180*$Z$1,0.1)</f>
        <v>225</v>
      </c>
      <c r="F342" s="1269"/>
      <c r="G342" s="1302">
        <f>CEILING(109*$Z$1,0.1)</f>
        <v>136.3</v>
      </c>
      <c r="H342" s="1369"/>
      <c r="I342" s="1302">
        <f>CEILING(113*$Z$1,0.1)</f>
        <v>141.3</v>
      </c>
      <c r="J342" s="1369"/>
      <c r="K342" s="1304">
        <f>CEILING(96*$Z$1,0.1)</f>
        <v>120</v>
      </c>
      <c r="L342" s="1305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</row>
    <row r="343" spans="1:41" s="479" customFormat="1" ht="18" customHeight="1">
      <c r="A343" s="182" t="s">
        <v>45</v>
      </c>
      <c r="B343" s="12" t="s">
        <v>216</v>
      </c>
      <c r="C343" s="1268">
        <f>CEILING((C342+40*$Z$1),0.1)</f>
        <v>200</v>
      </c>
      <c r="D343" s="1270"/>
      <c r="E343" s="1268">
        <f>CEILING((E342+40*$Z$1),0.1)</f>
        <v>275</v>
      </c>
      <c r="F343" s="1270"/>
      <c r="G343" s="1302">
        <f>CEILING((G342+40*$Z$1),0.1)</f>
        <v>186.3</v>
      </c>
      <c r="H343" s="1303"/>
      <c r="I343" s="1302">
        <f>CEILING((I342+40*$Z$1),0.1)</f>
        <v>191.3</v>
      </c>
      <c r="J343" s="1303"/>
      <c r="K343" s="1302">
        <f>CEILING((K342+40*$Z$1),0.1)</f>
        <v>170</v>
      </c>
      <c r="L343" s="1303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</row>
    <row r="344" spans="1:41" s="479" customFormat="1" ht="18" customHeight="1">
      <c r="A344" s="182"/>
      <c r="B344" s="12" t="s">
        <v>47</v>
      </c>
      <c r="C344" s="1268">
        <f>CEILING((C342*0.85),0.1)</f>
        <v>127.5</v>
      </c>
      <c r="D344" s="1270"/>
      <c r="E344" s="1268">
        <f>CEILING((E342*0.85),0.1)</f>
        <v>191.3</v>
      </c>
      <c r="F344" s="1270"/>
      <c r="G344" s="1302">
        <f>CEILING((G342*0.85),0.1)</f>
        <v>115.9</v>
      </c>
      <c r="H344" s="1303"/>
      <c r="I344" s="1302">
        <f>CEILING((I342*0.85),0.1)</f>
        <v>120.2</v>
      </c>
      <c r="J344" s="1303"/>
      <c r="K344" s="1302">
        <f>CEILING((K342*0.85),0.1)</f>
        <v>102</v>
      </c>
      <c r="L344" s="1303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</row>
    <row r="345" spans="1:41" s="479" customFormat="1" ht="20.25" customHeight="1">
      <c r="A345" s="232"/>
      <c r="B345" s="12" t="s">
        <v>217</v>
      </c>
      <c r="C345" s="1268">
        <f>CEILING(180*$Z$1,0.1)</f>
        <v>225</v>
      </c>
      <c r="D345" s="1270"/>
      <c r="E345" s="1268">
        <f>CEILING(240*$Z$1,0.1)</f>
        <v>300</v>
      </c>
      <c r="F345" s="1270"/>
      <c r="G345" s="1302">
        <f>CEILING(154*$Z$1,0.1)</f>
        <v>192.5</v>
      </c>
      <c r="H345" s="1303"/>
      <c r="I345" s="1302">
        <f>CEILING(158*$Z$1,0.1)</f>
        <v>197.5</v>
      </c>
      <c r="J345" s="1303"/>
      <c r="K345" s="1302">
        <f>CEILING(141*$Z$1,0.1)</f>
        <v>176.3</v>
      </c>
      <c r="L345" s="1303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</row>
    <row r="346" spans="1:41" s="479" customFormat="1" ht="18" customHeight="1">
      <c r="A346" s="1581" t="s">
        <v>1336</v>
      </c>
      <c r="B346" s="12" t="s">
        <v>218</v>
      </c>
      <c r="C346" s="1268">
        <f>CEILING((C345+80*$Z$1),0.1)</f>
        <v>325</v>
      </c>
      <c r="D346" s="1270"/>
      <c r="E346" s="1268">
        <f>CEILING((E345+80*$Z$1),0.1)</f>
        <v>400</v>
      </c>
      <c r="F346" s="1270"/>
      <c r="G346" s="1302">
        <f>CEILING((G345+80*$Z$1),0.1)</f>
        <v>292.5</v>
      </c>
      <c r="H346" s="1303"/>
      <c r="I346" s="1302">
        <f>CEILING((I345+80*$Z$1),0.1)</f>
        <v>297.5</v>
      </c>
      <c r="J346" s="1303"/>
      <c r="K346" s="1302">
        <f>CEILING((K345+80*$Z$1),0.1)</f>
        <v>276.3</v>
      </c>
      <c r="L346" s="1303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</row>
    <row r="347" spans="1:41" s="479" customFormat="1" ht="16.5" customHeight="1">
      <c r="A347" s="150"/>
      <c r="B347" s="12" t="s">
        <v>219</v>
      </c>
      <c r="C347" s="1268">
        <f>CEILING(200*$Z$1,0.1)</f>
        <v>250</v>
      </c>
      <c r="D347" s="1270"/>
      <c r="E347" s="1268">
        <f>CEILING(260*$Z$1,0.1)</f>
        <v>325</v>
      </c>
      <c r="F347" s="1270"/>
      <c r="G347" s="1302">
        <f>CEILING(169*$Z$1,0.1)</f>
        <v>211.3</v>
      </c>
      <c r="H347" s="1303"/>
      <c r="I347" s="1302">
        <f>CEILING(173*$Z$1,0.1)</f>
        <v>216.3</v>
      </c>
      <c r="J347" s="1303"/>
      <c r="K347" s="1302">
        <f>CEILING(156*$Z$1,0.1)</f>
        <v>195</v>
      </c>
      <c r="L347" s="1303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</row>
    <row r="348" spans="1:41" s="479" customFormat="1" ht="18" customHeight="1">
      <c r="A348" s="785" t="s">
        <v>436</v>
      </c>
      <c r="B348" s="233" t="s">
        <v>220</v>
      </c>
      <c r="C348" s="1284">
        <f>CEILING((C347+100*$Z$1),0.1)</f>
        <v>375</v>
      </c>
      <c r="D348" s="1285"/>
      <c r="E348" s="1284">
        <f>CEILING((E347+100*$Z$1),0.1)</f>
        <v>450</v>
      </c>
      <c r="F348" s="1285"/>
      <c r="G348" s="1346">
        <f>CEILING((G347+100*$Z$1),0.1)</f>
        <v>336.3</v>
      </c>
      <c r="H348" s="1347"/>
      <c r="I348" s="1346">
        <f>CEILING((I347+100*$Z$1),0.1)</f>
        <v>341.3</v>
      </c>
      <c r="J348" s="1347"/>
      <c r="K348" s="1346">
        <f>CEILING((K347+100*$Z$1),0.1)</f>
        <v>320</v>
      </c>
      <c r="L348" s="1347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</row>
    <row r="349" spans="1:41" s="192" customFormat="1" ht="15">
      <c r="A349" s="22" t="s">
        <v>239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166"/>
      <c r="L349" s="166"/>
      <c r="M349" s="342"/>
      <c r="N349" s="342"/>
      <c r="O349" s="335"/>
      <c r="P349" s="335"/>
      <c r="Q349" s="335"/>
      <c r="R349" s="335"/>
      <c r="S349" s="335"/>
      <c r="T349" s="335"/>
      <c r="U349" s="335"/>
      <c r="V349" s="335"/>
      <c r="W349" s="335"/>
      <c r="X349" s="335"/>
      <c r="Y349" s="335"/>
      <c r="Z349" s="335"/>
      <c r="AA349" s="335"/>
      <c r="AB349" s="335"/>
      <c r="AC349" s="335"/>
      <c r="AD349" s="335"/>
      <c r="AE349" s="335"/>
      <c r="AF349" s="335"/>
      <c r="AG349" s="335"/>
      <c r="AH349" s="335"/>
      <c r="AI349" s="335"/>
      <c r="AJ349" s="335"/>
      <c r="AK349" s="335"/>
      <c r="AL349" s="335"/>
      <c r="AM349" s="335"/>
      <c r="AN349" s="335"/>
      <c r="AO349" s="335"/>
    </row>
    <row r="350" spans="1:41" s="192" customFormat="1" ht="15">
      <c r="A350" s="107" t="s">
        <v>957</v>
      </c>
      <c r="B350" s="22"/>
      <c r="C350" s="22"/>
      <c r="D350" s="22"/>
      <c r="E350" s="22"/>
      <c r="F350" s="22"/>
      <c r="G350" s="22"/>
      <c r="H350" s="22"/>
      <c r="I350" s="166"/>
      <c r="J350" s="166"/>
      <c r="K350" s="166"/>
      <c r="L350" s="166"/>
      <c r="M350" s="342"/>
      <c r="N350" s="342"/>
      <c r="O350" s="335"/>
      <c r="P350" s="335"/>
      <c r="Q350" s="335"/>
      <c r="R350" s="335"/>
      <c r="S350" s="335"/>
      <c r="T350" s="335"/>
      <c r="U350" s="335"/>
      <c r="V350" s="335"/>
      <c r="W350" s="335"/>
      <c r="X350" s="335"/>
      <c r="Y350" s="335"/>
      <c r="Z350" s="335"/>
      <c r="AA350" s="335"/>
      <c r="AB350" s="335"/>
      <c r="AC350" s="335"/>
      <c r="AD350" s="335"/>
      <c r="AE350" s="335"/>
      <c r="AF350" s="335"/>
      <c r="AG350" s="335"/>
      <c r="AH350" s="335"/>
      <c r="AI350" s="335"/>
      <c r="AJ350" s="335"/>
      <c r="AK350" s="335"/>
      <c r="AL350" s="335"/>
      <c r="AM350" s="335"/>
      <c r="AN350" s="335"/>
      <c r="AO350" s="335"/>
    </row>
    <row r="351" spans="1:41" s="479" customFormat="1" ht="18" customHeight="1">
      <c r="A351" s="172"/>
      <c r="B351" s="784"/>
      <c r="C351" s="22"/>
      <c r="D351" s="22"/>
      <c r="E351" s="22"/>
      <c r="F351" s="22"/>
      <c r="G351" s="22"/>
      <c r="H351" s="22"/>
      <c r="I351" s="22"/>
      <c r="J351" s="22"/>
      <c r="K351" s="166"/>
      <c r="L351" s="166"/>
      <c r="M351" s="1016"/>
      <c r="N351" s="1016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</row>
    <row r="352" spans="1:41" s="479" customFormat="1" ht="15.75" thickBot="1">
      <c r="A352" s="172"/>
      <c r="B352" s="22"/>
      <c r="C352" s="22"/>
      <c r="D352" s="22"/>
      <c r="E352" s="22"/>
      <c r="F352" s="22"/>
      <c r="G352" s="22"/>
      <c r="H352" s="22"/>
      <c r="I352" s="166"/>
      <c r="J352" s="166"/>
      <c r="K352" s="314"/>
      <c r="L352" s="314"/>
      <c r="M352" s="342"/>
      <c r="N352" s="342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</row>
    <row r="353" spans="1:41" s="479" customFormat="1" ht="30.75" customHeight="1" thickTop="1">
      <c r="A353" s="746" t="s">
        <v>43</v>
      </c>
      <c r="B353" s="814" t="s">
        <v>961</v>
      </c>
      <c r="C353" s="747" t="s">
        <v>884</v>
      </c>
      <c r="D353" s="748"/>
      <c r="E353" s="808" t="s">
        <v>911</v>
      </c>
      <c r="F353" s="750"/>
      <c r="G353" s="749" t="s">
        <v>912</v>
      </c>
      <c r="H353" s="750"/>
      <c r="I353" s="1273" t="s">
        <v>881</v>
      </c>
      <c r="J353" s="1274"/>
      <c r="K353" s="1280" t="s">
        <v>882</v>
      </c>
      <c r="L353" s="1281"/>
      <c r="M353" s="335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</row>
    <row r="354" spans="1:41" ht="16.5" customHeight="1">
      <c r="A354" s="137" t="s">
        <v>20</v>
      </c>
      <c r="B354" s="138" t="s">
        <v>51</v>
      </c>
      <c r="C354" s="1266">
        <f>CEILING(56*$Z$1,0.1)</f>
        <v>70</v>
      </c>
      <c r="D354" s="1267"/>
      <c r="E354" s="1268">
        <f>CEILING(90*$Z$1,0.1)</f>
        <v>112.5</v>
      </c>
      <c r="F354" s="1269"/>
      <c r="G354" s="1302">
        <f>CEILING(56*$Z$1,0.1)</f>
        <v>70</v>
      </c>
      <c r="H354" s="1369"/>
      <c r="I354" s="1302">
        <f>CEILING(63*$Z$1,0.1)</f>
        <v>78.80000000000001</v>
      </c>
      <c r="J354" s="1369"/>
      <c r="K354" s="1304">
        <f>CEILING(52*$Z$1,0.1)</f>
        <v>65</v>
      </c>
      <c r="L354" s="1305"/>
      <c r="M354" s="342"/>
      <c r="N354" s="342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</row>
    <row r="355" spans="1:41" ht="18" customHeight="1">
      <c r="A355" s="139" t="s">
        <v>45</v>
      </c>
      <c r="B355" s="138" t="s">
        <v>52</v>
      </c>
      <c r="C355" s="1268">
        <f>CEILING((C354+25*$Z$1),0.1)</f>
        <v>101.30000000000001</v>
      </c>
      <c r="D355" s="1270"/>
      <c r="E355" s="1268">
        <f>CEILING((E354+25*$Z$1),0.1)</f>
        <v>143.8</v>
      </c>
      <c r="F355" s="1270"/>
      <c r="G355" s="1302">
        <f>CEILING((G354+25*$Z$1),0.1)</f>
        <v>101.30000000000001</v>
      </c>
      <c r="H355" s="1303"/>
      <c r="I355" s="1302">
        <f>CEILING((I354+25*$Z$1),0.1)</f>
        <v>110.10000000000001</v>
      </c>
      <c r="J355" s="1303"/>
      <c r="K355" s="1302">
        <f>CEILING((K354+25*$Z$1),0.1)</f>
        <v>96.30000000000001</v>
      </c>
      <c r="L355" s="1303"/>
      <c r="M355" s="342"/>
      <c r="N355" s="342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</row>
    <row r="356" spans="1:41" ht="16.5" customHeight="1">
      <c r="A356" s="140"/>
      <c r="B356" s="141" t="s">
        <v>47</v>
      </c>
      <c r="C356" s="1268">
        <f>CEILING((C354*0.85),0.1)</f>
        <v>59.5</v>
      </c>
      <c r="D356" s="1270"/>
      <c r="E356" s="1268">
        <f>CEILING((E354*0.85),0.1)</f>
        <v>95.7</v>
      </c>
      <c r="F356" s="1270"/>
      <c r="G356" s="1302">
        <f>CEILING((G354*0.85),0.1)</f>
        <v>59.5</v>
      </c>
      <c r="H356" s="1303"/>
      <c r="I356" s="1302">
        <f>CEILING((I354*0.85),0.1)</f>
        <v>67</v>
      </c>
      <c r="J356" s="1303"/>
      <c r="K356" s="1302">
        <f>CEILING((K354*0.85),0.1)</f>
        <v>55.300000000000004</v>
      </c>
      <c r="L356" s="1303"/>
      <c r="M356" s="342"/>
      <c r="N356" s="342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</row>
    <row r="357" spans="1:41" ht="18" customHeight="1">
      <c r="A357" s="140"/>
      <c r="B357" s="138" t="s">
        <v>78</v>
      </c>
      <c r="C357" s="1268">
        <f>CEILING((C354*0.5),0.1)</f>
        <v>35</v>
      </c>
      <c r="D357" s="1270"/>
      <c r="E357" s="1268">
        <f>CEILING((E354*0.5),0.1)</f>
        <v>56.300000000000004</v>
      </c>
      <c r="F357" s="1270"/>
      <c r="G357" s="1302">
        <f>CEILING((G354*0.5),0.1)</f>
        <v>35</v>
      </c>
      <c r="H357" s="1303"/>
      <c r="I357" s="1302">
        <f>CEILING((I354*0.5),0.1)</f>
        <v>39.400000000000006</v>
      </c>
      <c r="J357" s="1303"/>
      <c r="K357" s="1302">
        <f>CEILING((K354*0),0.1)</f>
        <v>0</v>
      </c>
      <c r="L357" s="1303"/>
      <c r="M357" s="342"/>
      <c r="N357" s="342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</row>
    <row r="358" spans="1:41" s="479" customFormat="1" ht="18" customHeight="1">
      <c r="A358" s="140" t="s">
        <v>1336</v>
      </c>
      <c r="B358" s="147" t="s">
        <v>204</v>
      </c>
      <c r="C358" s="1268">
        <f>CEILING(61*$Z$1,0.1)</f>
        <v>76.3</v>
      </c>
      <c r="D358" s="1270"/>
      <c r="E358" s="1268">
        <f>CEILING(95*$Z$1,0.1)</f>
        <v>118.80000000000001</v>
      </c>
      <c r="F358" s="1270"/>
      <c r="G358" s="1302">
        <f>CEILING(60*$Z$1,0.1)</f>
        <v>75</v>
      </c>
      <c r="H358" s="1303"/>
      <c r="I358" s="1302">
        <f>CEILING(67*$Z$1,0.1)</f>
        <v>83.80000000000001</v>
      </c>
      <c r="J358" s="1303"/>
      <c r="K358" s="1302">
        <f>CEILING(57*$Z$1,0.1)</f>
        <v>71.3</v>
      </c>
      <c r="L358" s="1303"/>
      <c r="M358" s="342"/>
      <c r="N358" s="342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</row>
    <row r="359" spans="1:41" ht="18.75" customHeight="1">
      <c r="A359" s="140"/>
      <c r="B359" s="147" t="s">
        <v>557</v>
      </c>
      <c r="C359" s="1268">
        <f>CEILING(76*$Z$1,0.1)</f>
        <v>95</v>
      </c>
      <c r="D359" s="1270"/>
      <c r="E359" s="1268">
        <f>CEILING(110*$Z$1,0.1)</f>
        <v>137.5</v>
      </c>
      <c r="F359" s="1270"/>
      <c r="G359" s="1302">
        <f>CEILING(72*$Z$1,0.1)</f>
        <v>90</v>
      </c>
      <c r="H359" s="1303"/>
      <c r="I359" s="1302">
        <f>CEILING(79*$Z$1,0.1)</f>
        <v>98.80000000000001</v>
      </c>
      <c r="J359" s="1303"/>
      <c r="K359" s="1302">
        <f>CEILING(70*$Z$1,0.1)</f>
        <v>87.5</v>
      </c>
      <c r="L359" s="1303"/>
      <c r="M359" s="342"/>
      <c r="N359" s="342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</row>
    <row r="360" spans="1:41" ht="18" customHeight="1">
      <c r="A360" s="140"/>
      <c r="B360" s="147" t="s">
        <v>558</v>
      </c>
      <c r="C360" s="1268">
        <f>CEILING((C359+30*$Z$1),0.1)</f>
        <v>132.5</v>
      </c>
      <c r="D360" s="1270"/>
      <c r="E360" s="1268">
        <f>CEILING((E359+30*$Z$1),0.1)</f>
        <v>175</v>
      </c>
      <c r="F360" s="1270"/>
      <c r="G360" s="1302">
        <f>CEILING((G359+30*$Z$1),0.1)</f>
        <v>127.5</v>
      </c>
      <c r="H360" s="1303"/>
      <c r="I360" s="1302">
        <f>CEILING((I359+30*$Z$1),0.1)</f>
        <v>136.3</v>
      </c>
      <c r="J360" s="1303"/>
      <c r="K360" s="1302">
        <f>CEILING((K359+30*$Z$1),0.1)</f>
        <v>125</v>
      </c>
      <c r="L360" s="1303"/>
      <c r="M360" s="1447"/>
      <c r="N360" s="1403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</row>
    <row r="361" spans="1:41" ht="18" customHeight="1">
      <c r="A361" s="274"/>
      <c r="B361" s="147" t="s">
        <v>559</v>
      </c>
      <c r="C361" s="1268">
        <f>CEILING(86*$Z$1,0.1)</f>
        <v>107.5</v>
      </c>
      <c r="D361" s="1270"/>
      <c r="E361" s="1268">
        <f>CEILING(120*$Z$1,0.1)</f>
        <v>150</v>
      </c>
      <c r="F361" s="1270"/>
      <c r="G361" s="1302">
        <f>CEILING(80*$Z$1,0.1)</f>
        <v>100</v>
      </c>
      <c r="H361" s="1303"/>
      <c r="I361" s="1302">
        <f>CEILING(87*$Z$1,0.1)</f>
        <v>108.80000000000001</v>
      </c>
      <c r="J361" s="1303"/>
      <c r="K361" s="1302">
        <f>CEILING(79*$Z$1,0.1)</f>
        <v>98.80000000000001</v>
      </c>
      <c r="L361" s="1303"/>
      <c r="M361" s="1323"/>
      <c r="N361" s="1328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</row>
    <row r="362" spans="1:41" ht="17.25" customHeight="1" thickBot="1">
      <c r="A362" s="252" t="s">
        <v>436</v>
      </c>
      <c r="B362" s="144" t="s">
        <v>560</v>
      </c>
      <c r="C362" s="1275">
        <f>CEILING((C361+40*$Z$1),0.1)</f>
        <v>157.5</v>
      </c>
      <c r="D362" s="1277"/>
      <c r="E362" s="1275">
        <f>CEILING((E361+40*$Z$1),0.1)</f>
        <v>200</v>
      </c>
      <c r="F362" s="1277"/>
      <c r="G362" s="1353">
        <f>CEILING((G361+40*$Z$1),0.1)</f>
        <v>150</v>
      </c>
      <c r="H362" s="1354"/>
      <c r="I362" s="1353">
        <f>CEILING((I361+40*$Z$1),0.1)</f>
        <v>158.8</v>
      </c>
      <c r="J362" s="1354"/>
      <c r="K362" s="1353">
        <f>CEILING((K361+40*$Z$1),0.1)</f>
        <v>148.8</v>
      </c>
      <c r="L362" s="1354"/>
      <c r="M362" s="1323"/>
      <c r="N362" s="1328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</row>
    <row r="363" spans="1:41" ht="18.75" customHeight="1" thickTop="1">
      <c r="A363" s="107" t="s">
        <v>561</v>
      </c>
      <c r="B363" s="234"/>
      <c r="C363" s="3"/>
      <c r="D363" s="3"/>
      <c r="E363" s="3"/>
      <c r="F363" s="3"/>
      <c r="G363" s="3"/>
      <c r="H363" s="3"/>
      <c r="I363" s="3"/>
      <c r="J363" s="3"/>
      <c r="K363" s="303"/>
      <c r="L363" s="303"/>
      <c r="M363" s="1328"/>
      <c r="N363" s="1328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</row>
    <row r="364" spans="1:41" s="479" customFormat="1" ht="18" customHeight="1">
      <c r="A364" s="172"/>
      <c r="B364" s="784"/>
      <c r="C364" s="22"/>
      <c r="D364" s="22"/>
      <c r="E364" s="22"/>
      <c r="F364" s="22"/>
      <c r="G364" s="22"/>
      <c r="H364" s="22"/>
      <c r="I364" s="22"/>
      <c r="J364" s="22"/>
      <c r="K364" s="166"/>
      <c r="L364" s="166"/>
      <c r="M364" s="1016"/>
      <c r="N364" s="1016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</row>
    <row r="365" spans="1:41" ht="20.25" customHeight="1" thickBot="1">
      <c r="A365" s="155"/>
      <c r="B365" s="156"/>
      <c r="C365" s="2"/>
      <c r="D365" s="2"/>
      <c r="E365" s="2"/>
      <c r="F365" s="2"/>
      <c r="G365" s="2"/>
      <c r="H365" s="2"/>
      <c r="I365" s="2"/>
      <c r="J365" s="2"/>
      <c r="K365" s="279"/>
      <c r="L365" s="279"/>
      <c r="M365" s="1328"/>
      <c r="N365" s="1328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</row>
    <row r="366" spans="1:41" s="479" customFormat="1" ht="30.75" customHeight="1" thickTop="1">
      <c r="A366" s="746" t="s">
        <v>43</v>
      </c>
      <c r="B366" s="814" t="s">
        <v>961</v>
      </c>
      <c r="C366" s="747" t="s">
        <v>884</v>
      </c>
      <c r="D366" s="748"/>
      <c r="E366" s="808" t="s">
        <v>911</v>
      </c>
      <c r="F366" s="750"/>
      <c r="G366" s="749" t="s">
        <v>912</v>
      </c>
      <c r="H366" s="750"/>
      <c r="I366" s="1273" t="s">
        <v>881</v>
      </c>
      <c r="J366" s="1274"/>
      <c r="K366" s="1280" t="s">
        <v>882</v>
      </c>
      <c r="L366" s="1281"/>
      <c r="M366" s="335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</row>
    <row r="367" spans="1:41" ht="15.75" customHeight="1">
      <c r="A367" s="212" t="s">
        <v>75</v>
      </c>
      <c r="B367" s="213" t="s">
        <v>942</v>
      </c>
      <c r="C367" s="1266">
        <f>CEILING(49*$Z$1,0.1)</f>
        <v>61.300000000000004</v>
      </c>
      <c r="D367" s="1267"/>
      <c r="E367" s="1268">
        <f>CEILING(84*$Z$1,0.1)</f>
        <v>105</v>
      </c>
      <c r="F367" s="1269"/>
      <c r="G367" s="1268">
        <f>CEILING(60*$Z$1,0.1)</f>
        <v>75</v>
      </c>
      <c r="H367" s="1269"/>
      <c r="I367" s="1268">
        <f>CEILING(65*$Z$1,0.1)</f>
        <v>81.30000000000001</v>
      </c>
      <c r="J367" s="1269"/>
      <c r="K367" s="1268">
        <f>CEILING(50*$Z$1,0.1)</f>
        <v>62.5</v>
      </c>
      <c r="L367" s="1270"/>
      <c r="M367" s="1323"/>
      <c r="N367" s="1328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</row>
    <row r="368" spans="1:41" ht="17.25" customHeight="1">
      <c r="A368" s="214" t="s">
        <v>59</v>
      </c>
      <c r="B368" s="138" t="s">
        <v>943</v>
      </c>
      <c r="C368" s="1268">
        <f>CEILING((C367+25*$Z$1),0.1)</f>
        <v>92.60000000000001</v>
      </c>
      <c r="D368" s="1270"/>
      <c r="E368" s="1268">
        <f>CEILING((E367+25*$Z$1),0.1)</f>
        <v>136.3</v>
      </c>
      <c r="F368" s="1270"/>
      <c r="G368" s="1268">
        <f>CEILING((G367+25*$Z$1),0.1)</f>
        <v>106.30000000000001</v>
      </c>
      <c r="H368" s="1270"/>
      <c r="I368" s="1268">
        <f>CEILING((I367+25*$Z$1),0.1)</f>
        <v>112.60000000000001</v>
      </c>
      <c r="J368" s="1270"/>
      <c r="K368" s="1268">
        <f>CEILING((K367+25*$Z$1),0.1)</f>
        <v>93.80000000000001</v>
      </c>
      <c r="L368" s="1270"/>
      <c r="M368" s="1016"/>
      <c r="N368" s="1016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</row>
    <row r="369" spans="1:41" ht="17.25" customHeight="1">
      <c r="A369" s="168"/>
      <c r="B369" s="141" t="s">
        <v>47</v>
      </c>
      <c r="C369" s="1268">
        <f>CEILING((C367*0.85),0.1)</f>
        <v>52.2</v>
      </c>
      <c r="D369" s="1270"/>
      <c r="E369" s="1268">
        <f>CEILING((E367*0.85),0.1)</f>
        <v>89.30000000000001</v>
      </c>
      <c r="F369" s="1270"/>
      <c r="G369" s="1268">
        <f>CEILING((G367*0.85),0.1)</f>
        <v>63.800000000000004</v>
      </c>
      <c r="H369" s="1270"/>
      <c r="I369" s="1268">
        <f>CEILING((I367*0.85),0.1)</f>
        <v>69.2</v>
      </c>
      <c r="J369" s="1270"/>
      <c r="K369" s="1268">
        <f>CEILING((K367*0.85),0.1)</f>
        <v>53.2</v>
      </c>
      <c r="L369" s="1270"/>
      <c r="M369" s="1016"/>
      <c r="N369" s="1016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</row>
    <row r="370" spans="1:41" ht="17.25" customHeight="1">
      <c r="A370" s="652"/>
      <c r="B370" s="142" t="s">
        <v>78</v>
      </c>
      <c r="C370" s="1268">
        <f>CEILING((C367*0.5),0.1)</f>
        <v>30.700000000000003</v>
      </c>
      <c r="D370" s="1270"/>
      <c r="E370" s="1268">
        <f>CEILING((E367*0.5),0.1)</f>
        <v>52.5</v>
      </c>
      <c r="F370" s="1270"/>
      <c r="G370" s="1268">
        <f>CEILING((G367*0.5),0.1)</f>
        <v>37.5</v>
      </c>
      <c r="H370" s="1270"/>
      <c r="I370" s="1268">
        <f>CEILING((I367*0.5),0.1)</f>
        <v>40.7</v>
      </c>
      <c r="J370" s="1270"/>
      <c r="K370" s="1268">
        <f>CEILING((K367*0),0.1)</f>
        <v>0</v>
      </c>
      <c r="L370" s="1270"/>
      <c r="M370" s="1016"/>
      <c r="N370" s="1016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</row>
    <row r="371" spans="1:41" ht="17.25" customHeight="1">
      <c r="A371" s="214"/>
      <c r="B371" s="138" t="s">
        <v>56</v>
      </c>
      <c r="C371" s="1268">
        <f>CEILING(89*$Z$1,0.1)</f>
        <v>111.30000000000001</v>
      </c>
      <c r="D371" s="1270"/>
      <c r="E371" s="1268">
        <f>CEILING(124*$Z$1,0.1)</f>
        <v>155</v>
      </c>
      <c r="F371" s="1270"/>
      <c r="G371" s="1268">
        <f>CEILING(100*$Z$1,0.1)</f>
        <v>125</v>
      </c>
      <c r="H371" s="1270"/>
      <c r="I371" s="1268">
        <f>CEILING(105*$Z$1,0.1)</f>
        <v>131.3</v>
      </c>
      <c r="J371" s="1270"/>
      <c r="K371" s="1268">
        <f>CEILING(90*$Z$1,0.1)</f>
        <v>112.5</v>
      </c>
      <c r="L371" s="1270"/>
      <c r="M371" s="1323"/>
      <c r="N371" s="1328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</row>
    <row r="372" spans="1:41" ht="16.5" customHeight="1" thickBot="1">
      <c r="A372" s="252" t="s">
        <v>449</v>
      </c>
      <c r="B372" s="144" t="s">
        <v>57</v>
      </c>
      <c r="C372" s="1275">
        <f>CEILING((C371+40*$Z$1),0.1)</f>
        <v>161.3</v>
      </c>
      <c r="D372" s="1277"/>
      <c r="E372" s="1275">
        <f>CEILING((E371+40*$Z$1),0.1)</f>
        <v>205</v>
      </c>
      <c r="F372" s="1277"/>
      <c r="G372" s="1275">
        <f>CEILING((G371+40*$Z$1),0.1)</f>
        <v>175</v>
      </c>
      <c r="H372" s="1277"/>
      <c r="I372" s="1275">
        <f>CEILING((I371+40*$Z$1),0.1)</f>
        <v>181.3</v>
      </c>
      <c r="J372" s="1277"/>
      <c r="K372" s="1275">
        <f>CEILING((K371+40*$Z$1),0.1)</f>
        <v>162.5</v>
      </c>
      <c r="L372" s="1277"/>
      <c r="M372" s="342"/>
      <c r="N372" s="342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</row>
    <row r="373" spans="1:41" s="404" customFormat="1" ht="16.5" customHeight="1" thickTop="1">
      <c r="A373" s="107" t="s">
        <v>372</v>
      </c>
      <c r="B373" s="234"/>
      <c r="C373" s="3"/>
      <c r="D373" s="3"/>
      <c r="E373" s="3"/>
      <c r="F373" s="3"/>
      <c r="G373" s="3"/>
      <c r="H373" s="3"/>
      <c r="I373" s="3"/>
      <c r="J373" s="3"/>
      <c r="K373" s="279"/>
      <c r="L373" s="279"/>
      <c r="M373" s="342"/>
      <c r="N373" s="342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</row>
    <row r="374" spans="1:41" s="479" customFormat="1" ht="18" customHeight="1">
      <c r="A374" s="172"/>
      <c r="B374" s="784"/>
      <c r="C374" s="22"/>
      <c r="D374" s="22"/>
      <c r="E374" s="22"/>
      <c r="F374" s="22"/>
      <c r="G374" s="22"/>
      <c r="H374" s="22"/>
      <c r="I374" s="22"/>
      <c r="J374" s="22"/>
      <c r="K374" s="166"/>
      <c r="L374" s="166"/>
      <c r="M374" s="1016"/>
      <c r="N374" s="1016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</row>
    <row r="375" spans="1:41" s="479" customFormat="1" ht="18" customHeight="1">
      <c r="A375" s="172"/>
      <c r="B375" s="784"/>
      <c r="C375" s="22"/>
      <c r="D375" s="22"/>
      <c r="E375" s="22"/>
      <c r="F375" s="22"/>
      <c r="G375" s="22"/>
      <c r="H375" s="22"/>
      <c r="I375" s="22"/>
      <c r="J375" s="22"/>
      <c r="K375" s="166"/>
      <c r="L375" s="166"/>
      <c r="M375" s="1016"/>
      <c r="N375" s="1016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</row>
    <row r="376" spans="1:41" s="479" customFormat="1" ht="30.75" customHeight="1">
      <c r="A376" s="811" t="s">
        <v>43</v>
      </c>
      <c r="B376" s="818" t="s">
        <v>976</v>
      </c>
      <c r="C376" s="798" t="s">
        <v>884</v>
      </c>
      <c r="D376" s="799"/>
      <c r="E376" s="789" t="s">
        <v>911</v>
      </c>
      <c r="F376" s="790"/>
      <c r="G376" s="816" t="s">
        <v>912</v>
      </c>
      <c r="H376" s="790"/>
      <c r="I376" s="1335" t="s">
        <v>881</v>
      </c>
      <c r="J376" s="1336"/>
      <c r="K376" s="1335" t="s">
        <v>882</v>
      </c>
      <c r="L376" s="1336"/>
      <c r="M376" s="335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</row>
    <row r="377" spans="1:41" s="479" customFormat="1" ht="24" customHeight="1">
      <c r="A377" s="820" t="s">
        <v>955</v>
      </c>
      <c r="B377" s="815" t="s">
        <v>662</v>
      </c>
      <c r="C377" s="681">
        <f>CEILING(100*$Z$1,0.1)</f>
        <v>125</v>
      </c>
      <c r="D377" s="809"/>
      <c r="E377" s="681">
        <f>CEILING(130*$Z$1,0.1)</f>
        <v>162.5</v>
      </c>
      <c r="F377" s="809"/>
      <c r="G377" s="681">
        <f>CEILING(100*$Z$1,0.1)</f>
        <v>125</v>
      </c>
      <c r="H377" s="809"/>
      <c r="I377" s="681">
        <f>CEILING(110*$Z$1,0.1)</f>
        <v>137.5</v>
      </c>
      <c r="J377" s="809"/>
      <c r="K377" s="681">
        <f>CEILING(110*$Z$1,0.1)</f>
        <v>137.5</v>
      </c>
      <c r="L377" s="810"/>
      <c r="M377" s="673"/>
      <c r="N377" s="674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</row>
    <row r="378" spans="1:41" s="479" customFormat="1" ht="19.5" customHeight="1">
      <c r="A378" s="227" t="s">
        <v>950</v>
      </c>
      <c r="B378" s="29" t="s">
        <v>663</v>
      </c>
      <c r="C378" s="683">
        <f>CEILING((C377+75*$Z$1),0.1)</f>
        <v>218.8</v>
      </c>
      <c r="D378" s="279"/>
      <c r="E378" s="683">
        <f>CEILING((E377+75*$Z$1),0.1)</f>
        <v>256.3</v>
      </c>
      <c r="F378" s="279"/>
      <c r="G378" s="683">
        <f>CEILING((G377+75*$Z$1),0.1)</f>
        <v>218.8</v>
      </c>
      <c r="H378" s="279"/>
      <c r="I378" s="683">
        <f>CEILING((I377+75*$Z$1),0.1)</f>
        <v>231.3</v>
      </c>
      <c r="J378" s="279"/>
      <c r="K378" s="683">
        <f>CEILING((K377+75*$Z$1),0.1)</f>
        <v>231.3</v>
      </c>
      <c r="L378" s="812"/>
      <c r="M378" s="1088"/>
      <c r="N378" s="1088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</row>
    <row r="379" spans="1:41" s="479" customFormat="1" ht="24.75" customHeight="1">
      <c r="A379" s="227" t="s">
        <v>965</v>
      </c>
      <c r="B379" s="29" t="s">
        <v>951</v>
      </c>
      <c r="C379" s="683">
        <f>CEILING(110*$Z$1,0.1)</f>
        <v>137.5</v>
      </c>
      <c r="D379" s="279"/>
      <c r="E379" s="683">
        <f>CEILING(140*$Z$1,0.1)</f>
        <v>175</v>
      </c>
      <c r="F379" s="279"/>
      <c r="G379" s="683">
        <f>CEILING(110*$Z$1,0.1)</f>
        <v>137.5</v>
      </c>
      <c r="H379" s="279"/>
      <c r="I379" s="683">
        <f>CEILING(120*$Z$1,0.1)</f>
        <v>150</v>
      </c>
      <c r="J379" s="279"/>
      <c r="K379" s="683">
        <f>CEILING(120*$Z$1,0.1)</f>
        <v>150</v>
      </c>
      <c r="L379" s="812"/>
      <c r="M379" s="1088"/>
      <c r="N379" s="1088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</row>
    <row r="380" spans="1:41" s="479" customFormat="1" ht="26.25" customHeight="1">
      <c r="A380" s="227" t="s">
        <v>963</v>
      </c>
      <c r="B380" s="29" t="s">
        <v>952</v>
      </c>
      <c r="C380" s="683">
        <f>CEILING((C379+75*$Z$1),0.1)</f>
        <v>231.3</v>
      </c>
      <c r="D380" s="279"/>
      <c r="E380" s="683">
        <f>CEILING((E379+75*$Z$1),0.1)</f>
        <v>268.8</v>
      </c>
      <c r="F380" s="279"/>
      <c r="G380" s="683">
        <f>CEILING((G379+75*$Z$1),0.1)</f>
        <v>231.3</v>
      </c>
      <c r="H380" s="279"/>
      <c r="I380" s="683">
        <f>CEILING((I379+75*$Z$1),0.1)</f>
        <v>243.8</v>
      </c>
      <c r="J380" s="279"/>
      <c r="K380" s="683">
        <f>CEILING((K379+75*$Z$1),0.1)</f>
        <v>243.8</v>
      </c>
      <c r="L380" s="812"/>
      <c r="M380" s="1088"/>
      <c r="N380" s="1088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</row>
    <row r="381" spans="1:41" s="479" customFormat="1" ht="26.25" customHeight="1">
      <c r="A381" s="227" t="s">
        <v>964</v>
      </c>
      <c r="B381" s="29" t="s">
        <v>953</v>
      </c>
      <c r="C381" s="683">
        <f>CEILING(135*$Z$1,0.1)</f>
        <v>168.8</v>
      </c>
      <c r="D381" s="279"/>
      <c r="E381" s="683">
        <f>CEILING(165*$Z$1,0.1)</f>
        <v>206.3</v>
      </c>
      <c r="F381" s="279"/>
      <c r="G381" s="683">
        <f>CEILING(135*$Z$1,0.1)</f>
        <v>168.8</v>
      </c>
      <c r="H381" s="279"/>
      <c r="I381" s="683">
        <f>CEILING(145*$Z$1,0.1)</f>
        <v>181.3</v>
      </c>
      <c r="J381" s="279"/>
      <c r="K381" s="683">
        <f>CEILING(145*$Z$1,0.1)</f>
        <v>181.3</v>
      </c>
      <c r="L381" s="812"/>
      <c r="M381" s="1088"/>
      <c r="N381" s="1088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</row>
    <row r="382" spans="1:41" s="479" customFormat="1" ht="26.25" customHeight="1">
      <c r="A382" s="785" t="s">
        <v>661</v>
      </c>
      <c r="B382" s="418" t="s">
        <v>954</v>
      </c>
      <c r="C382" s="544">
        <f>CEILING((C381+75*$Z$1),0.1)</f>
        <v>262.6</v>
      </c>
      <c r="D382" s="813"/>
      <c r="E382" s="544">
        <f>CEILING((E381+75*$Z$1),0.1)</f>
        <v>300.1</v>
      </c>
      <c r="F382" s="813"/>
      <c r="G382" s="544">
        <f>CEILING((G381+75*$Z$1),0.1)</f>
        <v>262.6</v>
      </c>
      <c r="H382" s="813"/>
      <c r="I382" s="544">
        <f>CEILING((I381+75*$Z$1),0.1)</f>
        <v>275.1</v>
      </c>
      <c r="J382" s="813"/>
      <c r="K382" s="544">
        <f>CEILING((K381+75*$Z$1),0.1)</f>
        <v>275.1</v>
      </c>
      <c r="L382" s="719"/>
      <c r="M382" s="1088"/>
      <c r="N382" s="1088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</row>
    <row r="383" spans="1:41" s="479" customFormat="1" ht="18.75" customHeight="1">
      <c r="A383" s="107" t="s">
        <v>960</v>
      </c>
      <c r="B383" s="50"/>
      <c r="C383" s="783"/>
      <c r="D383" s="783"/>
      <c r="E383" s="783"/>
      <c r="F383" s="783"/>
      <c r="G383" s="783"/>
      <c r="H383" s="783"/>
      <c r="I383" s="782"/>
      <c r="J383" s="782"/>
      <c r="K383" s="313"/>
      <c r="L383" s="313"/>
      <c r="M383" s="1088"/>
      <c r="N383" s="1088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</row>
    <row r="384" spans="1:41" s="479" customFormat="1" ht="18" customHeight="1">
      <c r="A384" s="172"/>
      <c r="B384" s="784"/>
      <c r="C384" s="22"/>
      <c r="D384" s="22"/>
      <c r="E384" s="22"/>
      <c r="F384" s="22"/>
      <c r="G384" s="22"/>
      <c r="H384" s="22"/>
      <c r="I384" s="22"/>
      <c r="J384" s="22"/>
      <c r="K384" s="166"/>
      <c r="L384" s="166"/>
      <c r="M384" s="1016"/>
      <c r="N384" s="1016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</row>
    <row r="385" spans="1:41" s="479" customFormat="1" ht="18" customHeight="1" thickBot="1">
      <c r="A385" s="172"/>
      <c r="B385" s="784"/>
      <c r="C385" s="22"/>
      <c r="D385" s="22"/>
      <c r="E385" s="22"/>
      <c r="F385" s="22"/>
      <c r="G385" s="22"/>
      <c r="H385" s="22"/>
      <c r="I385" s="22"/>
      <c r="J385" s="22"/>
      <c r="K385" s="166"/>
      <c r="L385" s="166"/>
      <c r="M385" s="1016"/>
      <c r="N385" s="1016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</row>
    <row r="386" spans="1:41" s="479" customFormat="1" ht="30.75" customHeight="1" thickTop="1">
      <c r="A386" s="746" t="s">
        <v>43</v>
      </c>
      <c r="B386" s="814" t="s">
        <v>961</v>
      </c>
      <c r="C386" s="747" t="s">
        <v>884</v>
      </c>
      <c r="D386" s="748"/>
      <c r="E386" s="808" t="s">
        <v>911</v>
      </c>
      <c r="F386" s="750"/>
      <c r="G386" s="749" t="s">
        <v>912</v>
      </c>
      <c r="H386" s="750"/>
      <c r="I386" s="1273" t="s">
        <v>881</v>
      </c>
      <c r="J386" s="1274"/>
      <c r="K386" s="1280" t="s">
        <v>882</v>
      </c>
      <c r="L386" s="1281"/>
      <c r="M386" s="335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</row>
    <row r="387" spans="1:41" s="479" customFormat="1" ht="15">
      <c r="A387" s="255" t="s">
        <v>245</v>
      </c>
      <c r="B387" s="77" t="s">
        <v>658</v>
      </c>
      <c r="C387" s="1266">
        <f>CEILING(56*$Z$1,0.1)</f>
        <v>70</v>
      </c>
      <c r="D387" s="1267"/>
      <c r="E387" s="1266">
        <f>CEILING(96*$Z$1,0.1)</f>
        <v>120</v>
      </c>
      <c r="F387" s="1267"/>
      <c r="G387" s="1266">
        <f>CEILING(69*$Z$1,0.1)</f>
        <v>86.30000000000001</v>
      </c>
      <c r="H387" s="1267"/>
      <c r="I387" s="1266">
        <f>CEILING(80*$Z$1,0.1)</f>
        <v>100</v>
      </c>
      <c r="J387" s="1267"/>
      <c r="K387" s="1266">
        <f>CEILING(54*$Z$1,0.1)</f>
        <v>67.5</v>
      </c>
      <c r="L387" s="1267"/>
      <c r="M387" s="1088"/>
      <c r="N387" s="1088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</row>
    <row r="388" spans="1:41" s="479" customFormat="1" ht="18" customHeight="1">
      <c r="A388" s="256" t="s">
        <v>59</v>
      </c>
      <c r="B388" s="29" t="s">
        <v>659</v>
      </c>
      <c r="C388" s="1268">
        <f>CEILING((C387+25*$Z$1),0.1)</f>
        <v>101.30000000000001</v>
      </c>
      <c r="D388" s="1270"/>
      <c r="E388" s="1268">
        <f>CEILING((E387+25*$Z$1),0.1)</f>
        <v>151.3</v>
      </c>
      <c r="F388" s="1270"/>
      <c r="G388" s="1268">
        <f>CEILING((G387+25*$Z$1),0.1)</f>
        <v>117.60000000000001</v>
      </c>
      <c r="H388" s="1270"/>
      <c r="I388" s="1268">
        <f>CEILING((I387+25*$Z$1),0.1)</f>
        <v>131.3</v>
      </c>
      <c r="J388" s="1270"/>
      <c r="K388" s="1268">
        <f>CEILING((K387+25*$Z$1),0.1)</f>
        <v>98.80000000000001</v>
      </c>
      <c r="L388" s="1270"/>
      <c r="M388" s="673"/>
      <c r="N388" s="674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</row>
    <row r="389" spans="1:41" s="479" customFormat="1" ht="18" customHeight="1">
      <c r="A389" s="256"/>
      <c r="B389" s="29" t="s">
        <v>656</v>
      </c>
      <c r="C389" s="1268">
        <f>CEILING(60*$Z$1,0.1)</f>
        <v>75</v>
      </c>
      <c r="D389" s="1270"/>
      <c r="E389" s="1268">
        <f>CEILING(100*$Z$1,0.1)</f>
        <v>125</v>
      </c>
      <c r="F389" s="1270"/>
      <c r="G389" s="1268">
        <f>CEILING(73*$Z$1,0.1)</f>
        <v>91.30000000000001</v>
      </c>
      <c r="H389" s="1270"/>
      <c r="I389" s="1268">
        <f>CEILING(84*$Z$1,0.1)</f>
        <v>105</v>
      </c>
      <c r="J389" s="1270"/>
      <c r="K389" s="1268">
        <f>CEILING(58*$Z$1,0.1)</f>
        <v>72.5</v>
      </c>
      <c r="L389" s="1270"/>
      <c r="M389" s="673"/>
      <c r="N389" s="674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</row>
    <row r="390" spans="1:41" s="479" customFormat="1" ht="18" customHeight="1">
      <c r="A390" s="256"/>
      <c r="B390" s="29" t="s">
        <v>657</v>
      </c>
      <c r="C390" s="1268">
        <f>CEILING((C389+25*$Z$1),0.1)</f>
        <v>106.30000000000001</v>
      </c>
      <c r="D390" s="1270"/>
      <c r="E390" s="1268">
        <f>CEILING((E389+25*$Z$1),0.1)</f>
        <v>156.3</v>
      </c>
      <c r="F390" s="1270"/>
      <c r="G390" s="1268">
        <f>CEILING((G389+25*$Z$1),0.1)</f>
        <v>122.60000000000001</v>
      </c>
      <c r="H390" s="1270"/>
      <c r="I390" s="1268">
        <f>CEILING((I389+25*$Z$1),0.1)</f>
        <v>136.3</v>
      </c>
      <c r="J390" s="1270"/>
      <c r="K390" s="1268">
        <f>CEILING((K389+25*$Z$1),0.1)</f>
        <v>103.80000000000001</v>
      </c>
      <c r="L390" s="1270"/>
      <c r="M390" s="673"/>
      <c r="N390" s="674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</row>
    <row r="391" spans="1:41" s="479" customFormat="1" ht="18" customHeight="1">
      <c r="A391" s="256"/>
      <c r="B391" s="29" t="s">
        <v>324</v>
      </c>
      <c r="C391" s="1268">
        <f>CEILING(70*$Z$1,0.1)</f>
        <v>87.5</v>
      </c>
      <c r="D391" s="1270"/>
      <c r="E391" s="1268">
        <f>CEILING(110*$Z$1,0.1)</f>
        <v>137.5</v>
      </c>
      <c r="F391" s="1270"/>
      <c r="G391" s="1268">
        <f>CEILING(83*$Z$1,0.1)</f>
        <v>103.80000000000001</v>
      </c>
      <c r="H391" s="1270"/>
      <c r="I391" s="1268">
        <f>CEILING(94*$Z$1,0.1)</f>
        <v>117.5</v>
      </c>
      <c r="J391" s="1270"/>
      <c r="K391" s="1268">
        <f>CEILING(68*$Z$1,0.1)</f>
        <v>85</v>
      </c>
      <c r="L391" s="1270"/>
      <c r="M391" s="673"/>
      <c r="N391" s="674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</row>
    <row r="392" spans="1:41" s="479" customFormat="1" ht="18" customHeight="1">
      <c r="A392" s="785" t="s">
        <v>661</v>
      </c>
      <c r="B392" s="418" t="s">
        <v>325</v>
      </c>
      <c r="C392" s="1284">
        <f>CEILING((C391+25*$Z$1),0.1)</f>
        <v>118.80000000000001</v>
      </c>
      <c r="D392" s="1285"/>
      <c r="E392" s="1284">
        <f>CEILING((E391+25*$Z$1),0.1)</f>
        <v>168.8</v>
      </c>
      <c r="F392" s="1285"/>
      <c r="G392" s="1284">
        <f>CEILING((G391+25*$Z$1),0.1)</f>
        <v>135.1</v>
      </c>
      <c r="H392" s="1285"/>
      <c r="I392" s="1284">
        <f>CEILING((I391+25*$Z$1),0.1)</f>
        <v>148.8</v>
      </c>
      <c r="J392" s="1285"/>
      <c r="K392" s="1284">
        <f>CEILING((K391+25*$Z$1),0.1)</f>
        <v>116.30000000000001</v>
      </c>
      <c r="L392" s="1285"/>
      <c r="M392" s="673"/>
      <c r="N392" s="674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</row>
    <row r="393" spans="1:41" s="479" customFormat="1" ht="17.25" customHeight="1">
      <c r="A393" s="1434" t="s">
        <v>371</v>
      </c>
      <c r="B393" s="1423"/>
      <c r="C393" s="1423"/>
      <c r="D393" s="1423"/>
      <c r="E393" s="1423"/>
      <c r="F393" s="1423"/>
      <c r="G393" s="1423"/>
      <c r="H393" s="1423"/>
      <c r="I393" s="1423"/>
      <c r="J393" s="1423"/>
      <c r="K393" s="314"/>
      <c r="L393" s="314"/>
      <c r="M393" s="673"/>
      <c r="N393" s="674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</row>
    <row r="394" spans="1:41" s="479" customFormat="1" ht="18" customHeight="1">
      <c r="A394" s="172"/>
      <c r="B394" s="784"/>
      <c r="C394" s="22"/>
      <c r="D394" s="22"/>
      <c r="E394" s="22"/>
      <c r="F394" s="22"/>
      <c r="G394" s="22"/>
      <c r="H394" s="22"/>
      <c r="I394" s="22"/>
      <c r="J394" s="22"/>
      <c r="K394" s="166"/>
      <c r="L394" s="166"/>
      <c r="M394" s="1016"/>
      <c r="N394" s="1016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</row>
    <row r="395" spans="1:41" s="479" customFormat="1" ht="17.25" customHeight="1" thickBot="1">
      <c r="A395" s="172"/>
      <c r="B395" s="50"/>
      <c r="C395" s="549"/>
      <c r="D395" s="549"/>
      <c r="E395" s="549"/>
      <c r="F395" s="549"/>
      <c r="G395" s="549"/>
      <c r="H395" s="549"/>
      <c r="I395" s="549"/>
      <c r="J395" s="549"/>
      <c r="K395" s="314"/>
      <c r="L395" s="314"/>
      <c r="M395" s="673"/>
      <c r="N395" s="674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</row>
    <row r="396" spans="1:41" s="479" customFormat="1" ht="30.75" customHeight="1" thickTop="1">
      <c r="A396" s="746" t="s">
        <v>43</v>
      </c>
      <c r="B396" s="814" t="s">
        <v>1203</v>
      </c>
      <c r="C396" s="747" t="s">
        <v>884</v>
      </c>
      <c r="D396" s="748"/>
      <c r="E396" s="808" t="s">
        <v>911</v>
      </c>
      <c r="F396" s="750"/>
      <c r="G396" s="749" t="s">
        <v>912</v>
      </c>
      <c r="H396" s="750"/>
      <c r="I396" s="1273" t="s">
        <v>881</v>
      </c>
      <c r="J396" s="1274"/>
      <c r="K396" s="1280" t="s">
        <v>882</v>
      </c>
      <c r="L396" s="1281"/>
      <c r="M396" s="335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</row>
    <row r="397" spans="1:41" s="479" customFormat="1" ht="17.25" customHeight="1">
      <c r="A397" s="255" t="s">
        <v>326</v>
      </c>
      <c r="B397" s="77" t="s">
        <v>65</v>
      </c>
      <c r="C397" s="1266">
        <f>CEILING(40*$Z$1,0.1)</f>
        <v>50</v>
      </c>
      <c r="D397" s="1267"/>
      <c r="E397" s="1266">
        <f>CEILING(60*$Z$1,0.1)</f>
        <v>75</v>
      </c>
      <c r="F397" s="1267"/>
      <c r="G397" s="1266">
        <f>CEILING(45*$Z$1,0.1)</f>
        <v>56.300000000000004</v>
      </c>
      <c r="H397" s="1267"/>
      <c r="I397" s="1266">
        <f>CEILING(45*$Z$1,0.1)</f>
        <v>56.300000000000004</v>
      </c>
      <c r="J397" s="1267"/>
      <c r="K397" s="1266">
        <f>CEILING(35*$Z$1,0.1)</f>
        <v>43.800000000000004</v>
      </c>
      <c r="L397" s="1267"/>
      <c r="M397" s="1016"/>
      <c r="N397" s="1016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</row>
    <row r="398" spans="1:41" s="479" customFormat="1" ht="15">
      <c r="A398" s="595" t="s">
        <v>1202</v>
      </c>
      <c r="B398" s="418" t="s">
        <v>66</v>
      </c>
      <c r="C398" s="1284">
        <f>CEILING((C397+25*$Z$1),0.1)</f>
        <v>81.30000000000001</v>
      </c>
      <c r="D398" s="1285"/>
      <c r="E398" s="1284">
        <f>CEILING((E397+25*$Z$1),0.1)</f>
        <v>106.30000000000001</v>
      </c>
      <c r="F398" s="1285"/>
      <c r="G398" s="1284">
        <f>CEILING((G397+25*$Z$1),0.1)</f>
        <v>87.60000000000001</v>
      </c>
      <c r="H398" s="1285"/>
      <c r="I398" s="1284">
        <f>CEILING((I397+25*$Z$1),0.1)</f>
        <v>87.60000000000001</v>
      </c>
      <c r="J398" s="1285"/>
      <c r="K398" s="1284">
        <f>CEILING((K397+25*$Z$1),0.1)</f>
        <v>75.10000000000001</v>
      </c>
      <c r="L398" s="1285"/>
      <c r="M398" s="1088"/>
      <c r="N398" s="1088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</row>
    <row r="399" spans="1:41" s="479" customFormat="1" ht="17.25" customHeight="1">
      <c r="A399" s="1434" t="s">
        <v>371</v>
      </c>
      <c r="B399" s="1362"/>
      <c r="C399" s="1362"/>
      <c r="D399" s="1362"/>
      <c r="E399" s="1362"/>
      <c r="F399" s="1362"/>
      <c r="G399" s="1362"/>
      <c r="H399" s="1362"/>
      <c r="I399" s="1362"/>
      <c r="J399" s="1362"/>
      <c r="K399" s="314"/>
      <c r="L399" s="314"/>
      <c r="M399" s="673"/>
      <c r="N399" s="674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</row>
    <row r="400" spans="1:41" s="479" customFormat="1" ht="17.25" customHeight="1" thickBot="1">
      <c r="A400" s="280"/>
      <c r="B400" s="41"/>
      <c r="C400" s="41"/>
      <c r="D400" s="86"/>
      <c r="E400" s="86"/>
      <c r="F400" s="86"/>
      <c r="G400" s="86"/>
      <c r="H400" s="86"/>
      <c r="I400" s="86"/>
      <c r="J400" s="86"/>
      <c r="K400" s="314"/>
      <c r="L400" s="314"/>
      <c r="M400" s="673"/>
      <c r="N400" s="674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</row>
    <row r="401" spans="1:41" s="479" customFormat="1" ht="30.75" customHeight="1" thickTop="1">
      <c r="A401" s="746" t="s">
        <v>43</v>
      </c>
      <c r="B401" s="814" t="s">
        <v>961</v>
      </c>
      <c r="C401" s="747" t="s">
        <v>884</v>
      </c>
      <c r="D401" s="748"/>
      <c r="E401" s="808" t="s">
        <v>911</v>
      </c>
      <c r="F401" s="750"/>
      <c r="G401" s="749" t="s">
        <v>1337</v>
      </c>
      <c r="H401" s="750"/>
      <c r="I401" s="1273" t="s">
        <v>881</v>
      </c>
      <c r="J401" s="1274"/>
      <c r="K401" s="1280" t="s">
        <v>882</v>
      </c>
      <c r="L401" s="1281"/>
      <c r="M401" s="335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</row>
    <row r="402" spans="1:41" s="479" customFormat="1" ht="15.75" customHeight="1">
      <c r="A402" s="255" t="s">
        <v>327</v>
      </c>
      <c r="B402" s="12" t="s">
        <v>944</v>
      </c>
      <c r="C402" s="1266">
        <f>CEILING(45*$Z$1,0.1)</f>
        <v>56.300000000000004</v>
      </c>
      <c r="D402" s="1267"/>
      <c r="E402" s="1266">
        <f>CEILING(74*$Z$1,0.1)</f>
        <v>92.5</v>
      </c>
      <c r="F402" s="1267"/>
      <c r="G402" s="1369">
        <f>CEILING(47*$Z$1,0.1)</f>
        <v>58.800000000000004</v>
      </c>
      <c r="H402" s="1369"/>
      <c r="I402" s="1304">
        <f>CEILING(47*$Z$1,0.1)</f>
        <v>58.800000000000004</v>
      </c>
      <c r="J402" s="1305"/>
      <c r="K402" s="1304">
        <f>CEILING(43*$Z$1,0.1)</f>
        <v>53.800000000000004</v>
      </c>
      <c r="L402" s="1305"/>
      <c r="M402" s="673"/>
      <c r="N402" s="674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</row>
    <row r="403" spans="1:41" s="479" customFormat="1" ht="15.75" customHeight="1">
      <c r="A403" s="182" t="s">
        <v>59</v>
      </c>
      <c r="B403" s="12" t="s">
        <v>945</v>
      </c>
      <c r="C403" s="1268">
        <f>CEILING((C402+15*$Z$1),0.1)</f>
        <v>75.10000000000001</v>
      </c>
      <c r="D403" s="1270"/>
      <c r="E403" s="1268">
        <f>CEILING((E402+15*$Z$1),0.1)</f>
        <v>111.30000000000001</v>
      </c>
      <c r="F403" s="1270"/>
      <c r="G403" s="1369">
        <f>CEILING((G402+15*$Z$1),0.1)</f>
        <v>77.60000000000001</v>
      </c>
      <c r="H403" s="1369"/>
      <c r="I403" s="1302">
        <f>CEILING((I402+15*$Z$1),0.1)</f>
        <v>77.60000000000001</v>
      </c>
      <c r="J403" s="1303"/>
      <c r="K403" s="1302">
        <f>CEILING((K402+15*$Z$1),0.1)</f>
        <v>72.60000000000001</v>
      </c>
      <c r="L403" s="1303"/>
      <c r="M403" s="673"/>
      <c r="N403" s="674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</row>
    <row r="404" spans="1:41" s="479" customFormat="1" ht="17.25" customHeight="1">
      <c r="A404" s="14"/>
      <c r="B404" s="12" t="s">
        <v>47</v>
      </c>
      <c r="C404" s="1268">
        <f>CEILING((C402*0.85),0.1)</f>
        <v>47.900000000000006</v>
      </c>
      <c r="D404" s="1270"/>
      <c r="E404" s="1268">
        <f>CEILING((E402*0.85),0.1)</f>
        <v>78.7</v>
      </c>
      <c r="F404" s="1270"/>
      <c r="G404" s="1369">
        <f>CEILING((G402*0.85),0.1)</f>
        <v>50</v>
      </c>
      <c r="H404" s="1369"/>
      <c r="I404" s="1302">
        <f>CEILING((I402*0.85),0.1)</f>
        <v>50</v>
      </c>
      <c r="J404" s="1303"/>
      <c r="K404" s="1302">
        <f>CEILING((K402*0.85),0.1)</f>
        <v>45.800000000000004</v>
      </c>
      <c r="L404" s="1303"/>
      <c r="M404" s="673"/>
      <c r="N404" s="674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</row>
    <row r="405" spans="1:41" s="479" customFormat="1" ht="15" customHeight="1">
      <c r="A405" s="14"/>
      <c r="B405" s="12" t="s">
        <v>71</v>
      </c>
      <c r="C405" s="1268">
        <f>CEILING((C402*0.5),0.1)</f>
        <v>28.200000000000003</v>
      </c>
      <c r="D405" s="1270"/>
      <c r="E405" s="1268">
        <f>CEILING((E402*0.5),0.1)</f>
        <v>46.300000000000004</v>
      </c>
      <c r="F405" s="1270"/>
      <c r="G405" s="1369">
        <f>CEILING((G402*0.5),0.1)</f>
        <v>29.400000000000002</v>
      </c>
      <c r="H405" s="1369"/>
      <c r="I405" s="1302">
        <f>CEILING((I402*0.5),0.1)</f>
        <v>29.400000000000002</v>
      </c>
      <c r="J405" s="1303"/>
      <c r="K405" s="1302">
        <f>CEILING((K402*0),0.1)</f>
        <v>0</v>
      </c>
      <c r="L405" s="1303"/>
      <c r="M405" s="673"/>
      <c r="N405" s="674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</row>
    <row r="406" spans="1:41" s="479" customFormat="1" ht="15" customHeight="1">
      <c r="A406" s="1580" t="s">
        <v>1336</v>
      </c>
      <c r="B406" s="12" t="s">
        <v>204</v>
      </c>
      <c r="C406" s="1268">
        <f>CEILING(55*$Z$1,0.1)</f>
        <v>68.8</v>
      </c>
      <c r="D406" s="1270"/>
      <c r="E406" s="1268">
        <f>CEILING(84*$Z$1,0.1)</f>
        <v>105</v>
      </c>
      <c r="F406" s="1270"/>
      <c r="G406" s="1369">
        <f>CEILING(55*$Z$1,0.1)</f>
        <v>68.8</v>
      </c>
      <c r="H406" s="1369"/>
      <c r="I406" s="1302">
        <f>CEILING(55*$Z$1,0.1)</f>
        <v>68.8</v>
      </c>
      <c r="J406" s="1303"/>
      <c r="K406" s="1302">
        <f>CEILING(51*$Z$1,0.1)</f>
        <v>63.800000000000004</v>
      </c>
      <c r="L406" s="1303"/>
      <c r="M406" s="673"/>
      <c r="N406" s="674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</row>
    <row r="407" spans="1:41" s="479" customFormat="1" ht="15" customHeight="1">
      <c r="A407" s="14"/>
      <c r="B407" s="12" t="s">
        <v>205</v>
      </c>
      <c r="C407" s="1268">
        <f>CEILING((C406+15*$Z$1),0.1)</f>
        <v>87.60000000000001</v>
      </c>
      <c r="D407" s="1270"/>
      <c r="E407" s="1268">
        <f>CEILING((E406+15*$Z$1),0.1)</f>
        <v>123.80000000000001</v>
      </c>
      <c r="F407" s="1270"/>
      <c r="G407" s="1369">
        <f>CEILING((G406+15*$Z$1),0.1)</f>
        <v>87.60000000000001</v>
      </c>
      <c r="H407" s="1369"/>
      <c r="I407" s="1302">
        <f>CEILING((I406+15*$Z$1),0.1)</f>
        <v>87.60000000000001</v>
      </c>
      <c r="J407" s="1303"/>
      <c r="K407" s="1302">
        <f>CEILING((K406+15*$Z$1),0.1)</f>
        <v>82.60000000000001</v>
      </c>
      <c r="L407" s="1303"/>
      <c r="M407" s="673"/>
      <c r="N407" s="674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</row>
    <row r="408" spans="1:41" s="479" customFormat="1" ht="17.25" customHeight="1">
      <c r="A408" s="785" t="s">
        <v>661</v>
      </c>
      <c r="B408" s="233" t="s">
        <v>191</v>
      </c>
      <c r="C408" s="1284">
        <f>CEILING(58*$Z$1,0.1)</f>
        <v>72.5</v>
      </c>
      <c r="D408" s="1285"/>
      <c r="E408" s="1284">
        <f>CEILING(87*$Z$1,0.1)</f>
        <v>108.80000000000001</v>
      </c>
      <c r="F408" s="1285"/>
      <c r="G408" s="1346">
        <f>CEILING(57*$Z$1,0.1)</f>
        <v>71.3</v>
      </c>
      <c r="H408" s="1579"/>
      <c r="I408" s="1346">
        <f>CEILING(57*$Z$1,0.1)</f>
        <v>71.3</v>
      </c>
      <c r="J408" s="1347"/>
      <c r="K408" s="1346">
        <f>CEILING(54*$Z$1,0.1)</f>
        <v>67.5</v>
      </c>
      <c r="L408" s="1347"/>
      <c r="M408" s="673"/>
      <c r="N408" s="674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</row>
    <row r="409" spans="1:41" s="479" customFormat="1" ht="16.5" customHeight="1">
      <c r="A409" s="107" t="s">
        <v>946</v>
      </c>
      <c r="B409" s="234"/>
      <c r="C409" s="3"/>
      <c r="D409" s="3"/>
      <c r="E409" s="3"/>
      <c r="F409" s="3"/>
      <c r="G409" s="3"/>
      <c r="H409" s="3"/>
      <c r="I409" s="3"/>
      <c r="J409" s="3"/>
      <c r="K409" s="279"/>
      <c r="L409" s="279"/>
      <c r="M409" s="342"/>
      <c r="N409" s="342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</row>
    <row r="410" spans="1:41" s="479" customFormat="1" ht="18" customHeight="1">
      <c r="A410" s="172"/>
      <c r="B410" s="784"/>
      <c r="C410" s="22"/>
      <c r="D410" s="22"/>
      <c r="E410" s="22"/>
      <c r="F410" s="22"/>
      <c r="G410" s="22"/>
      <c r="H410" s="22"/>
      <c r="I410" s="22"/>
      <c r="J410" s="22"/>
      <c r="K410" s="166"/>
      <c r="L410" s="166"/>
      <c r="M410" s="1016"/>
      <c r="N410" s="1016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</row>
    <row r="411" spans="1:41" s="479" customFormat="1" ht="17.25" customHeight="1">
      <c r="A411" s="172"/>
      <c r="B411" s="50"/>
      <c r="C411" s="489"/>
      <c r="D411" s="489"/>
      <c r="E411" s="489"/>
      <c r="F411" s="489"/>
      <c r="G411" s="489"/>
      <c r="H411" s="489"/>
      <c r="I411" s="489"/>
      <c r="J411" s="489"/>
      <c r="K411" s="314"/>
      <c r="L411" s="314"/>
      <c r="M411" s="673"/>
      <c r="N411" s="674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</row>
    <row r="412" spans="1:41" s="479" customFormat="1" ht="16.5" customHeight="1" thickBot="1">
      <c r="A412" s="107"/>
      <c r="B412" s="156"/>
      <c r="C412" s="3"/>
      <c r="D412" s="3"/>
      <c r="E412" s="3"/>
      <c r="F412" s="3"/>
      <c r="G412" s="3"/>
      <c r="H412" s="3"/>
      <c r="I412" s="3"/>
      <c r="J412" s="3"/>
      <c r="K412" s="279"/>
      <c r="L412" s="279"/>
      <c r="M412" s="342"/>
      <c r="N412" s="342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</row>
    <row r="413" spans="1:41" s="479" customFormat="1" ht="20.25" customHeight="1" thickTop="1">
      <c r="A413" s="746" t="s">
        <v>43</v>
      </c>
      <c r="B413" s="814" t="s">
        <v>961</v>
      </c>
      <c r="C413" s="747" t="s">
        <v>884</v>
      </c>
      <c r="D413" s="748"/>
      <c r="E413" s="773" t="s">
        <v>911</v>
      </c>
      <c r="F413" s="766"/>
      <c r="G413" s="749" t="s">
        <v>912</v>
      </c>
      <c r="H413" s="750"/>
      <c r="I413" s="1273" t="s">
        <v>881</v>
      </c>
      <c r="J413" s="1274"/>
      <c r="K413" s="1280" t="s">
        <v>882</v>
      </c>
      <c r="L413" s="1281"/>
      <c r="M413" s="1323"/>
      <c r="N413" s="1328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</row>
    <row r="414" spans="1:41" ht="15">
      <c r="A414" s="62" t="s">
        <v>80</v>
      </c>
      <c r="B414" s="40" t="s">
        <v>204</v>
      </c>
      <c r="C414" s="1266">
        <f>CEILING(60*$Z$1,0.1)</f>
        <v>75</v>
      </c>
      <c r="D414" s="1267"/>
      <c r="E414" s="1266">
        <f>CEILING(105*$Z$1,0.1)</f>
        <v>131.3</v>
      </c>
      <c r="F414" s="1267"/>
      <c r="G414" s="1268">
        <f>CEILING(75*$Z$1,0.1)</f>
        <v>93.80000000000001</v>
      </c>
      <c r="H414" s="1269"/>
      <c r="I414" s="1268">
        <f>CEILING(82*$Z$1,0.1)</f>
        <v>102.5</v>
      </c>
      <c r="J414" s="1269"/>
      <c r="K414" s="1268">
        <f>CEILING(70*$Z$1,0.1)</f>
        <v>87.5</v>
      </c>
      <c r="L414" s="1269"/>
      <c r="M414" s="1323"/>
      <c r="N414" s="1328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</row>
    <row r="415" spans="1:41" ht="15">
      <c r="A415" s="35" t="s">
        <v>59</v>
      </c>
      <c r="B415" s="12" t="s">
        <v>205</v>
      </c>
      <c r="C415" s="1268">
        <f>CEILING((C414*1.25),0.1)</f>
        <v>93.80000000000001</v>
      </c>
      <c r="D415" s="1270"/>
      <c r="E415" s="1268">
        <f>CEILING((E414*1.25),0.1)</f>
        <v>164.20000000000002</v>
      </c>
      <c r="F415" s="1270"/>
      <c r="G415" s="1268">
        <f>CEILING((G414*1.25),0.1)</f>
        <v>117.30000000000001</v>
      </c>
      <c r="H415" s="1270"/>
      <c r="I415" s="1268">
        <f>CEILING((I414*1.25),0.1)</f>
        <v>128.20000000000002</v>
      </c>
      <c r="J415" s="1270"/>
      <c r="K415" s="1268">
        <f>CEILING((K414*1.25),0.1)</f>
        <v>109.4</v>
      </c>
      <c r="L415" s="1270"/>
      <c r="M415" s="1091"/>
      <c r="N415" s="109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</row>
    <row r="416" spans="1:41" ht="15">
      <c r="A416" s="35" t="s">
        <v>81</v>
      </c>
      <c r="B416" s="12" t="s">
        <v>47</v>
      </c>
      <c r="C416" s="1268">
        <f>CEILING((C414*0.85),0.1)</f>
        <v>63.800000000000004</v>
      </c>
      <c r="D416" s="1270"/>
      <c r="E416" s="1268">
        <f>CEILING((E414*0.85),0.1)</f>
        <v>111.7</v>
      </c>
      <c r="F416" s="1270"/>
      <c r="G416" s="1268">
        <f>CEILING((G414*0.85),0.1)</f>
        <v>79.80000000000001</v>
      </c>
      <c r="H416" s="1270"/>
      <c r="I416" s="1268">
        <f>CEILING((I414*0.85),0.1)</f>
        <v>87.2</v>
      </c>
      <c r="J416" s="1270"/>
      <c r="K416" s="1268">
        <f>CEILING((K414*0.85),0.1)</f>
        <v>74.4</v>
      </c>
      <c r="L416" s="1270"/>
      <c r="M416" s="1091"/>
      <c r="N416" s="109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</row>
    <row r="417" spans="1:41" ht="15">
      <c r="A417" s="168"/>
      <c r="B417" s="142" t="s">
        <v>78</v>
      </c>
      <c r="C417" s="1268">
        <f>CEILING((C414*0.5),0.1)</f>
        <v>37.5</v>
      </c>
      <c r="D417" s="1270"/>
      <c r="E417" s="1268">
        <f>CEILING((E414*0.5),0.1)</f>
        <v>65.7</v>
      </c>
      <c r="F417" s="1270"/>
      <c r="G417" s="1268">
        <f>CEILING((G414*0.5),0.1)</f>
        <v>46.900000000000006</v>
      </c>
      <c r="H417" s="1270"/>
      <c r="I417" s="1268">
        <f>CEILING((I414*0.5),0.1)</f>
        <v>51.300000000000004</v>
      </c>
      <c r="J417" s="1270"/>
      <c r="K417" s="1268">
        <f>CEILING((K414*0.5),0.1)</f>
        <v>43.800000000000004</v>
      </c>
      <c r="L417" s="1270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</row>
    <row r="418" spans="1:41" ht="16.5" customHeight="1">
      <c r="A418" s="400"/>
      <c r="B418" s="37" t="s">
        <v>82</v>
      </c>
      <c r="C418" s="1268">
        <f>CEILING(70*$Z$1,0.1)</f>
        <v>87.5</v>
      </c>
      <c r="D418" s="1270"/>
      <c r="E418" s="1268">
        <f>CEILING(115*$Z$1,0.1)</f>
        <v>143.8</v>
      </c>
      <c r="F418" s="1270"/>
      <c r="G418" s="1268">
        <f>CEILING(85*$Z$1,0.1)</f>
        <v>106.30000000000001</v>
      </c>
      <c r="H418" s="1270"/>
      <c r="I418" s="1268">
        <f>CEILING(92*$Z$1,0.1)</f>
        <v>115</v>
      </c>
      <c r="J418" s="1270"/>
      <c r="K418" s="1268">
        <f>CEILING(80*$Z$1,0.1)</f>
        <v>100</v>
      </c>
      <c r="L418" s="1270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</row>
    <row r="419" spans="1:41" ht="15.75" thickBot="1">
      <c r="A419" s="362" t="s">
        <v>448</v>
      </c>
      <c r="B419" s="13" t="s">
        <v>62</v>
      </c>
      <c r="C419" s="1275">
        <f>CEILING(80*$Z$1,0.1)</f>
        <v>100</v>
      </c>
      <c r="D419" s="1277"/>
      <c r="E419" s="1275">
        <f>CEILING(125*$Z$1,0.1)</f>
        <v>156.3</v>
      </c>
      <c r="F419" s="1277"/>
      <c r="G419" s="1275">
        <f>CEILING(95*$Z$1,0.1)</f>
        <v>118.80000000000001</v>
      </c>
      <c r="H419" s="1277"/>
      <c r="I419" s="1275">
        <f>CEILING(112*$Z$1,0.1)</f>
        <v>140</v>
      </c>
      <c r="J419" s="1277"/>
      <c r="K419" s="1275">
        <f>CEILING(90*$Z$1,0.1)</f>
        <v>112.5</v>
      </c>
      <c r="L419" s="1277"/>
      <c r="M419" s="1323"/>
      <c r="N419" s="1328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</row>
    <row r="420" spans="1:41" ht="15.75" thickTop="1">
      <c r="A420" s="178" t="s">
        <v>733</v>
      </c>
      <c r="B420" s="5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016"/>
      <c r="N420" s="1016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</row>
    <row r="421" spans="1:41" ht="15.75" thickBo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167"/>
      <c r="L421" s="167"/>
      <c r="M421" s="1328"/>
      <c r="N421" s="1328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</row>
    <row r="422" spans="1:41" ht="23.25" customHeight="1" thickTop="1">
      <c r="A422" s="746" t="s">
        <v>43</v>
      </c>
      <c r="B422" s="814" t="s">
        <v>961</v>
      </c>
      <c r="C422" s="747" t="s">
        <v>884</v>
      </c>
      <c r="D422" s="748"/>
      <c r="E422" s="773" t="s">
        <v>911</v>
      </c>
      <c r="F422" s="766"/>
      <c r="G422" s="749" t="s">
        <v>912</v>
      </c>
      <c r="H422" s="750"/>
      <c r="I422" s="1273" t="s">
        <v>881</v>
      </c>
      <c r="J422" s="1274"/>
      <c r="K422" s="1280" t="s">
        <v>882</v>
      </c>
      <c r="L422" s="1281"/>
      <c r="M422" s="1323"/>
      <c r="N422" s="1328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</row>
    <row r="423" spans="1:41" ht="15">
      <c r="A423" s="62" t="s">
        <v>203</v>
      </c>
      <c r="B423" s="40" t="s">
        <v>730</v>
      </c>
      <c r="C423" s="1266">
        <f>CEILING(66*$Z$1,0.1)</f>
        <v>82.5</v>
      </c>
      <c r="D423" s="1267"/>
      <c r="E423" s="1266">
        <f>CEILING(116*$Z$1,0.1)</f>
        <v>145</v>
      </c>
      <c r="F423" s="1267"/>
      <c r="G423" s="1268">
        <f>CEILING(83*$Z$1,0.1)</f>
        <v>103.80000000000001</v>
      </c>
      <c r="H423" s="1269"/>
      <c r="I423" s="1268">
        <f>CEILING(90*$Z$1,0.1)</f>
        <v>112.5</v>
      </c>
      <c r="J423" s="1269"/>
      <c r="K423" s="1268">
        <f>CEILING(77*$Z$1,0.1)</f>
        <v>96.30000000000001</v>
      </c>
      <c r="L423" s="1269"/>
      <c r="M423" s="1015"/>
      <c r="N423" s="1016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</row>
    <row r="424" spans="1:41" ht="15">
      <c r="A424" s="35" t="s">
        <v>59</v>
      </c>
      <c r="B424" s="12" t="s">
        <v>731</v>
      </c>
      <c r="C424" s="1268">
        <f>CEILING((C423*1.25),0.1)</f>
        <v>103.2</v>
      </c>
      <c r="D424" s="1270"/>
      <c r="E424" s="1268">
        <f>CEILING((E423*1.25),0.1)</f>
        <v>181.3</v>
      </c>
      <c r="F424" s="1270"/>
      <c r="G424" s="1268">
        <f>CEILING((G423*1.25),0.1)</f>
        <v>129.8</v>
      </c>
      <c r="H424" s="1270"/>
      <c r="I424" s="1268">
        <f>CEILING((I423*1.25),0.1)</f>
        <v>140.70000000000002</v>
      </c>
      <c r="J424" s="1270"/>
      <c r="K424" s="1268">
        <f>CEILING((K423*1.25),0.1)</f>
        <v>120.4</v>
      </c>
      <c r="L424" s="1270"/>
      <c r="M424" s="1015"/>
      <c r="N424" s="1016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</row>
    <row r="425" spans="1:41" ht="15">
      <c r="A425" s="594" t="s">
        <v>729</v>
      </c>
      <c r="B425" s="142" t="s">
        <v>78</v>
      </c>
      <c r="C425" s="1268">
        <f>CEILING((C423*0.5),0.1)</f>
        <v>41.300000000000004</v>
      </c>
      <c r="D425" s="1270"/>
      <c r="E425" s="1268">
        <f>CEILING((E423*0.5),0.1)</f>
        <v>72.5</v>
      </c>
      <c r="F425" s="1270"/>
      <c r="G425" s="1268">
        <f>CEILING((G423*0.5),0.1)</f>
        <v>51.900000000000006</v>
      </c>
      <c r="H425" s="1270"/>
      <c r="I425" s="1268">
        <f>CEILING((I423*0.5),0.1)</f>
        <v>56.300000000000004</v>
      </c>
      <c r="J425" s="1270"/>
      <c r="K425" s="1268">
        <f>CEILING((K423*0.5),0.1)</f>
        <v>48.2</v>
      </c>
      <c r="L425" s="1270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</row>
    <row r="426" spans="1:41" ht="15.75" customHeight="1" thickBot="1">
      <c r="A426" s="362" t="s">
        <v>448</v>
      </c>
      <c r="B426" s="13" t="s">
        <v>732</v>
      </c>
      <c r="C426" s="1275">
        <f>CEILING(71*$Z$1,0.1)</f>
        <v>88.80000000000001</v>
      </c>
      <c r="D426" s="1277"/>
      <c r="E426" s="1275">
        <f>CEILING(121*$Z$1,0.1)</f>
        <v>151.3</v>
      </c>
      <c r="F426" s="1277"/>
      <c r="G426" s="1275">
        <f>CEILING(88*$Z$1,0.1)</f>
        <v>110</v>
      </c>
      <c r="H426" s="1277"/>
      <c r="I426" s="1275">
        <f>CEILING(95*$Z$1,0.1)</f>
        <v>118.80000000000001</v>
      </c>
      <c r="J426" s="1277"/>
      <c r="K426" s="1275">
        <f>CEILING(82*$Z$1,0.1)</f>
        <v>102.5</v>
      </c>
      <c r="L426" s="1277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</row>
    <row r="427" spans="1:41" ht="15.75" thickTop="1">
      <c r="A427" s="178" t="s">
        <v>734</v>
      </c>
      <c r="B427" s="5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016"/>
      <c r="N427" s="1016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</row>
    <row r="428" spans="1:41" ht="15.75" thickBot="1">
      <c r="A428" s="67"/>
      <c r="B428" s="52"/>
      <c r="C428" s="2"/>
      <c r="D428" s="2"/>
      <c r="E428" s="2"/>
      <c r="F428" s="2"/>
      <c r="G428" s="2"/>
      <c r="H428" s="2"/>
      <c r="I428" s="2"/>
      <c r="J428" s="2"/>
      <c r="K428" s="167"/>
      <c r="L428" s="167"/>
      <c r="M428" s="1328"/>
      <c r="N428" s="1328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</row>
    <row r="429" spans="1:41" s="479" customFormat="1" ht="23.25" customHeight="1" thickTop="1">
      <c r="A429" s="746" t="s">
        <v>43</v>
      </c>
      <c r="B429" s="814" t="s">
        <v>961</v>
      </c>
      <c r="C429" s="747" t="s">
        <v>884</v>
      </c>
      <c r="D429" s="748"/>
      <c r="E429" s="773" t="s">
        <v>911</v>
      </c>
      <c r="F429" s="766"/>
      <c r="G429" s="749" t="s">
        <v>912</v>
      </c>
      <c r="H429" s="750"/>
      <c r="I429" s="1273" t="s">
        <v>881</v>
      </c>
      <c r="J429" s="1274"/>
      <c r="K429" s="1280" t="s">
        <v>882</v>
      </c>
      <c r="L429" s="1281"/>
      <c r="M429" s="1323"/>
      <c r="N429" s="1328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</row>
    <row r="430" spans="1:41" ht="15">
      <c r="A430" s="27" t="s">
        <v>553</v>
      </c>
      <c r="B430" s="12" t="s">
        <v>204</v>
      </c>
      <c r="C430" s="1266">
        <f>CEILING(54*$Z$1,0.1)</f>
        <v>67.5</v>
      </c>
      <c r="D430" s="1267"/>
      <c r="E430" s="1266">
        <f>CEILING(95*$Z$1,0.1)</f>
        <v>118.80000000000001</v>
      </c>
      <c r="F430" s="1267"/>
      <c r="G430" s="1268">
        <f>CEILING(68*$Z$1,0.1)</f>
        <v>85</v>
      </c>
      <c r="H430" s="1269"/>
      <c r="I430" s="1268">
        <f>CEILING(74*$Z$1,0.1)</f>
        <v>92.5</v>
      </c>
      <c r="J430" s="1269"/>
      <c r="K430" s="1268">
        <f>CEILING(63*$Z$1,0.1)</f>
        <v>78.80000000000001</v>
      </c>
      <c r="L430" s="1269"/>
      <c r="M430" s="1323"/>
      <c r="N430" s="1328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</row>
    <row r="431" spans="1:41" ht="15">
      <c r="A431" s="28" t="s">
        <v>59</v>
      </c>
      <c r="B431" s="12" t="s">
        <v>205</v>
      </c>
      <c r="C431" s="1268">
        <f>CEILING((C430*1.25),0.1)</f>
        <v>84.4</v>
      </c>
      <c r="D431" s="1270"/>
      <c r="E431" s="1268">
        <f>CEILING((E430*1.25),0.1)</f>
        <v>148.5</v>
      </c>
      <c r="F431" s="1270"/>
      <c r="G431" s="1268">
        <f>CEILING((G430*1.25),0.1)</f>
        <v>106.30000000000001</v>
      </c>
      <c r="H431" s="1270"/>
      <c r="I431" s="1268">
        <f>CEILING((I430*1.25),0.1)</f>
        <v>115.7</v>
      </c>
      <c r="J431" s="1270"/>
      <c r="K431" s="1268">
        <f>CEILING((K430*1.25),0.1)</f>
        <v>98.5</v>
      </c>
      <c r="L431" s="1270"/>
      <c r="M431" s="1089"/>
      <c r="N431" s="335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</row>
    <row r="432" spans="1:41" ht="15">
      <c r="A432" s="35"/>
      <c r="B432" s="12" t="s">
        <v>47</v>
      </c>
      <c r="C432" s="1268">
        <f>CEILING((C430*0.85),0.1)</f>
        <v>57.400000000000006</v>
      </c>
      <c r="D432" s="1270"/>
      <c r="E432" s="1268">
        <f>CEILING((E430*0.85),0.1)</f>
        <v>101</v>
      </c>
      <c r="F432" s="1270"/>
      <c r="G432" s="1268">
        <f>CEILING((G430*0.85),0.1)</f>
        <v>72.3</v>
      </c>
      <c r="H432" s="1270"/>
      <c r="I432" s="1268">
        <f>CEILING((I430*0.85),0.1)</f>
        <v>78.7</v>
      </c>
      <c r="J432" s="1270"/>
      <c r="K432" s="1268">
        <f>CEILING((K430*0.85),0.1)</f>
        <v>67</v>
      </c>
      <c r="L432" s="1270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</row>
    <row r="433" spans="1:41" ht="15">
      <c r="A433" s="401"/>
      <c r="B433" s="142" t="s">
        <v>78</v>
      </c>
      <c r="C433" s="1268">
        <f>CEILING((C430*0.5),0.1)</f>
        <v>33.800000000000004</v>
      </c>
      <c r="D433" s="1270"/>
      <c r="E433" s="1268">
        <f>CEILING((E430*0.5),0.1)</f>
        <v>59.400000000000006</v>
      </c>
      <c r="F433" s="1270"/>
      <c r="G433" s="1268">
        <f>CEILING((G430*0.5),0.1)</f>
        <v>42.5</v>
      </c>
      <c r="H433" s="1270"/>
      <c r="I433" s="1268">
        <f>CEILING((I430*0.5),0.1)</f>
        <v>46.300000000000004</v>
      </c>
      <c r="J433" s="1270"/>
      <c r="K433" s="1268">
        <f>CEILING((K430*0.5),0.1)</f>
        <v>39.400000000000006</v>
      </c>
      <c r="L433" s="1270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</row>
    <row r="434" spans="1:41" ht="15">
      <c r="A434" s="400"/>
      <c r="B434" s="37" t="s">
        <v>82</v>
      </c>
      <c r="C434" s="1268">
        <f>CEILING(64*$Z$1,0.1)</f>
        <v>80</v>
      </c>
      <c r="D434" s="1270"/>
      <c r="E434" s="1268">
        <f>CEILING(105*$Z$1,0.1)</f>
        <v>131.3</v>
      </c>
      <c r="F434" s="1270"/>
      <c r="G434" s="1268">
        <f>CEILING(78*$Z$1,0.1)</f>
        <v>97.5</v>
      </c>
      <c r="H434" s="1270"/>
      <c r="I434" s="1268">
        <f>CEILING(84*$Z$1,0.1)</f>
        <v>105</v>
      </c>
      <c r="J434" s="1270"/>
      <c r="K434" s="1268">
        <f>CEILING(73*$Z$1,0.1)</f>
        <v>91.30000000000001</v>
      </c>
      <c r="L434" s="1270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</row>
    <row r="435" spans="1:41" ht="15.75" thickBot="1">
      <c r="A435" s="362" t="s">
        <v>447</v>
      </c>
      <c r="B435" s="13" t="s">
        <v>62</v>
      </c>
      <c r="C435" s="1275">
        <f>CEILING(74*$Z$1,0.1)</f>
        <v>92.5</v>
      </c>
      <c r="D435" s="1277"/>
      <c r="E435" s="1275">
        <f>CEILING(115*$Z$1,0.1)</f>
        <v>143.8</v>
      </c>
      <c r="F435" s="1277"/>
      <c r="G435" s="1275">
        <f>CEILING(88*$Z$1,0.1)</f>
        <v>110</v>
      </c>
      <c r="H435" s="1277"/>
      <c r="I435" s="1275">
        <f>CEILING(94*$Z$1,0.1)</f>
        <v>117.5</v>
      </c>
      <c r="J435" s="1277"/>
      <c r="K435" s="1275">
        <f>CEILING(83*$Z$1,0.1)</f>
        <v>103.80000000000001</v>
      </c>
      <c r="L435" s="1277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</row>
    <row r="436" spans="1:41" ht="15.75" thickTop="1">
      <c r="A436" s="178" t="s">
        <v>728</v>
      </c>
      <c r="B436" s="5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</row>
    <row r="437" spans="1:41" s="479" customFormat="1" ht="15.75" thickBot="1">
      <c r="A437" s="178"/>
      <c r="B437" s="5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</row>
    <row r="438" spans="1:25" s="479" customFormat="1" ht="23.25" customHeight="1" thickTop="1">
      <c r="A438" s="746" t="s">
        <v>43</v>
      </c>
      <c r="B438" s="814" t="s">
        <v>961</v>
      </c>
      <c r="C438" s="747" t="s">
        <v>884</v>
      </c>
      <c r="D438" s="748"/>
      <c r="E438" s="773" t="s">
        <v>911</v>
      </c>
      <c r="F438" s="766"/>
      <c r="G438" s="749" t="s">
        <v>912</v>
      </c>
      <c r="H438" s="750"/>
      <c r="I438" s="1273" t="s">
        <v>881</v>
      </c>
      <c r="J438" s="1274"/>
      <c r="K438" s="1280" t="s">
        <v>882</v>
      </c>
      <c r="L438" s="1281"/>
      <c r="M438" s="1323"/>
      <c r="N438" s="1328"/>
      <c r="O438" s="480"/>
      <c r="P438" s="480"/>
      <c r="Q438" s="480"/>
      <c r="R438" s="480"/>
      <c r="S438" s="480"/>
      <c r="T438" s="480"/>
      <c r="U438" s="480"/>
      <c r="V438" s="480"/>
      <c r="W438" s="480"/>
      <c r="X438" s="480"/>
      <c r="Y438" s="480"/>
    </row>
    <row r="439" spans="1:22" s="479" customFormat="1" ht="15">
      <c r="A439" s="27" t="s">
        <v>555</v>
      </c>
      <c r="B439" s="12" t="s">
        <v>204</v>
      </c>
      <c r="C439" s="1266">
        <f>CEILING(41*$Z$1,0.1)</f>
        <v>51.300000000000004</v>
      </c>
      <c r="D439" s="1267"/>
      <c r="E439" s="1266">
        <f>CEILING(71*$Z$1,0.1)</f>
        <v>88.80000000000001</v>
      </c>
      <c r="F439" s="1267"/>
      <c r="G439" s="1266">
        <f>CEILING(51*$Z$1,0.1)</f>
        <v>63.800000000000004</v>
      </c>
      <c r="H439" s="1267"/>
      <c r="I439" s="1266">
        <f>CEILING(55*$Z$1,0.1)</f>
        <v>68.8</v>
      </c>
      <c r="J439" s="1267"/>
      <c r="K439" s="1266">
        <f>CEILING(47*$Z$1,0.1)</f>
        <v>58.800000000000004</v>
      </c>
      <c r="L439" s="1267"/>
      <c r="M439" s="363"/>
      <c r="N439" s="480"/>
      <c r="O439" s="480"/>
      <c r="P439" s="480"/>
      <c r="Q439" s="480"/>
      <c r="R439" s="480"/>
      <c r="S439" s="480"/>
      <c r="T439" s="480"/>
      <c r="U439" s="480"/>
      <c r="V439" s="480"/>
    </row>
    <row r="440" spans="1:22" s="479" customFormat="1" ht="15">
      <c r="A440" s="28" t="s">
        <v>59</v>
      </c>
      <c r="B440" s="12" t="s">
        <v>205</v>
      </c>
      <c r="C440" s="1268">
        <f>CEILING((C439*1.25),0.1)</f>
        <v>64.2</v>
      </c>
      <c r="D440" s="1270"/>
      <c r="E440" s="1268">
        <f>CEILING((E439*1.25),0.1)</f>
        <v>111</v>
      </c>
      <c r="F440" s="1270"/>
      <c r="G440" s="1268">
        <f>CEILING((G439*1.25),0.1)</f>
        <v>79.80000000000001</v>
      </c>
      <c r="H440" s="1270"/>
      <c r="I440" s="1268">
        <f>CEILING((I439*1.25),0.1)</f>
        <v>86</v>
      </c>
      <c r="J440" s="1270"/>
      <c r="K440" s="1268">
        <f>CEILING((K439*1.25),0.1)</f>
        <v>73.5</v>
      </c>
      <c r="L440" s="1270"/>
      <c r="M440" s="480"/>
      <c r="N440" s="480"/>
      <c r="O440" s="480"/>
      <c r="P440" s="480"/>
      <c r="Q440" s="480"/>
      <c r="R440" s="480"/>
      <c r="S440" s="480"/>
      <c r="T440" s="480"/>
      <c r="U440" s="480"/>
      <c r="V440" s="480"/>
    </row>
    <row r="441" spans="1:22" s="479" customFormat="1" ht="15">
      <c r="A441" s="501" t="s">
        <v>556</v>
      </c>
      <c r="B441" s="12" t="s">
        <v>47</v>
      </c>
      <c r="C441" s="1268">
        <f>CEILING((C439*0.85),0.1)</f>
        <v>43.7</v>
      </c>
      <c r="D441" s="1270"/>
      <c r="E441" s="1268">
        <f>CEILING((E439*0.85),0.1)</f>
        <v>75.5</v>
      </c>
      <c r="F441" s="1270"/>
      <c r="G441" s="1268">
        <f>CEILING((G439*0.85),0.1)</f>
        <v>54.300000000000004</v>
      </c>
      <c r="H441" s="1270"/>
      <c r="I441" s="1268">
        <f>CEILING((I439*0.85),0.1)</f>
        <v>58.5</v>
      </c>
      <c r="J441" s="1270"/>
      <c r="K441" s="1268">
        <f>CEILING((K439*0.85),0.1)</f>
        <v>50</v>
      </c>
      <c r="L441" s="1270"/>
      <c r="M441" s="480"/>
      <c r="N441" s="480"/>
      <c r="O441" s="480"/>
      <c r="P441" s="480"/>
      <c r="Q441" s="480"/>
      <c r="R441" s="480"/>
      <c r="S441" s="480"/>
      <c r="T441" s="480"/>
      <c r="U441" s="480"/>
      <c r="V441" s="480"/>
    </row>
    <row r="442" spans="1:22" s="479" customFormat="1" ht="15">
      <c r="A442" s="401"/>
      <c r="B442" s="142" t="s">
        <v>78</v>
      </c>
      <c r="C442" s="1268">
        <f>CEILING((C439*0.5),0.1)</f>
        <v>25.700000000000003</v>
      </c>
      <c r="D442" s="1270"/>
      <c r="E442" s="1268">
        <f>CEILING((E439*0.5),0.1)</f>
        <v>44.400000000000006</v>
      </c>
      <c r="F442" s="1270"/>
      <c r="G442" s="1268">
        <f>CEILING((G439*0.5),0.1)</f>
        <v>31.900000000000002</v>
      </c>
      <c r="H442" s="1270"/>
      <c r="I442" s="1268">
        <f>CEILING((I439*0.5),0.1)</f>
        <v>34.4</v>
      </c>
      <c r="J442" s="1270"/>
      <c r="K442" s="1268">
        <f>CEILING((K439*0.5),0.1)</f>
        <v>29.400000000000002</v>
      </c>
      <c r="L442" s="1270"/>
      <c r="M442" s="480"/>
      <c r="N442" s="480"/>
      <c r="O442" s="480"/>
      <c r="P442" s="480"/>
      <c r="Q442" s="480"/>
      <c r="R442" s="480"/>
      <c r="S442" s="480"/>
      <c r="T442" s="480"/>
      <c r="U442" s="480"/>
      <c r="V442" s="480"/>
    </row>
    <row r="443" spans="1:22" s="479" customFormat="1" ht="15">
      <c r="A443" s="400"/>
      <c r="B443" s="37" t="s">
        <v>82</v>
      </c>
      <c r="C443" s="1268">
        <f>CEILING(51*$Z$1,0.1)</f>
        <v>63.800000000000004</v>
      </c>
      <c r="D443" s="1270"/>
      <c r="E443" s="1268">
        <f>CEILING(81*$Z$1,0.1)</f>
        <v>101.30000000000001</v>
      </c>
      <c r="F443" s="1270"/>
      <c r="G443" s="1268">
        <f>CEILING(61*$Z$1,0.1)</f>
        <v>76.3</v>
      </c>
      <c r="H443" s="1270"/>
      <c r="I443" s="1268">
        <f>CEILING(65*$Z$1,0.1)</f>
        <v>81.30000000000001</v>
      </c>
      <c r="J443" s="1270"/>
      <c r="K443" s="1268">
        <f>CEILING(57*$Z$1,0.1)</f>
        <v>71.3</v>
      </c>
      <c r="L443" s="1270"/>
      <c r="M443" s="480"/>
      <c r="N443" s="480"/>
      <c r="O443" s="480"/>
      <c r="P443" s="480"/>
      <c r="Q443" s="480"/>
      <c r="R443" s="480"/>
      <c r="S443" s="480"/>
      <c r="T443" s="480"/>
      <c r="U443" s="480"/>
      <c r="V443" s="480"/>
    </row>
    <row r="444" spans="1:22" s="479" customFormat="1" ht="15.75" thickBot="1">
      <c r="A444" s="362" t="s">
        <v>447</v>
      </c>
      <c r="B444" s="13" t="s">
        <v>235</v>
      </c>
      <c r="C444" s="1275">
        <f>CEILING(56*$Z$1,0.1)</f>
        <v>70</v>
      </c>
      <c r="D444" s="1277"/>
      <c r="E444" s="1275">
        <f>CEILING(86*$Z$1,0.1)</f>
        <v>107.5</v>
      </c>
      <c r="F444" s="1277"/>
      <c r="G444" s="1275">
        <f>CEILING(66*$Z$1,0.1)</f>
        <v>82.5</v>
      </c>
      <c r="H444" s="1277"/>
      <c r="I444" s="1275">
        <f>CEILING(70*$Z$1,0.1)</f>
        <v>87.5</v>
      </c>
      <c r="J444" s="1277"/>
      <c r="K444" s="1275">
        <f>CEILING(62*$Z$1,0.1)</f>
        <v>77.5</v>
      </c>
      <c r="L444" s="1277"/>
      <c r="M444" s="480"/>
      <c r="N444" s="480"/>
      <c r="O444" s="480"/>
      <c r="P444" s="480"/>
      <c r="Q444" s="480"/>
      <c r="R444" s="480"/>
      <c r="S444" s="480"/>
      <c r="T444" s="480"/>
      <c r="U444" s="480"/>
      <c r="V444" s="480"/>
    </row>
    <row r="445" spans="1:22" s="479" customFormat="1" ht="15.75" thickTop="1">
      <c r="A445" s="178" t="s">
        <v>918</v>
      </c>
      <c r="B445" s="50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480"/>
      <c r="N445" s="480"/>
      <c r="O445" s="480"/>
      <c r="P445" s="480"/>
      <c r="Q445" s="480"/>
      <c r="R445" s="480"/>
      <c r="S445" s="480"/>
      <c r="T445" s="480"/>
      <c r="U445" s="480"/>
      <c r="V445" s="480"/>
    </row>
    <row r="446" spans="1:22" s="479" customFormat="1" ht="15.75" thickBot="1">
      <c r="A446" s="178"/>
      <c r="B446" s="50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480"/>
      <c r="N446" s="480"/>
      <c r="O446" s="480"/>
      <c r="P446" s="480"/>
      <c r="Q446" s="480"/>
      <c r="R446" s="480"/>
      <c r="S446" s="480"/>
      <c r="T446" s="480"/>
      <c r="U446" s="480"/>
      <c r="V446" s="480"/>
    </row>
    <row r="447" spans="1:25" s="479" customFormat="1" ht="23.25" customHeight="1" thickTop="1">
      <c r="A447" s="746" t="s">
        <v>43</v>
      </c>
      <c r="B447" s="814" t="s">
        <v>961</v>
      </c>
      <c r="C447" s="747" t="s">
        <v>884</v>
      </c>
      <c r="D447" s="748"/>
      <c r="E447" s="773" t="s">
        <v>1244</v>
      </c>
      <c r="F447" s="766"/>
      <c r="G447" s="749" t="s">
        <v>1245</v>
      </c>
      <c r="H447" s="750"/>
      <c r="I447" s="1273" t="s">
        <v>1246</v>
      </c>
      <c r="J447" s="1274"/>
      <c r="K447" s="1280" t="s">
        <v>882</v>
      </c>
      <c r="L447" s="1281"/>
      <c r="M447" s="1323"/>
      <c r="N447" s="1328"/>
      <c r="O447" s="480"/>
      <c r="P447" s="480"/>
      <c r="Q447" s="480"/>
      <c r="R447" s="480"/>
      <c r="S447" s="480"/>
      <c r="T447" s="480"/>
      <c r="U447" s="480"/>
      <c r="V447" s="480"/>
      <c r="W447" s="480"/>
      <c r="X447" s="480"/>
      <c r="Y447" s="480"/>
    </row>
    <row r="448" spans="1:25" ht="15">
      <c r="A448" s="227" t="s">
        <v>713</v>
      </c>
      <c r="B448" s="12" t="s">
        <v>204</v>
      </c>
      <c r="C448" s="1266">
        <f>CEILING(81.5*$Z$1,0.1)</f>
        <v>101.9</v>
      </c>
      <c r="D448" s="1267"/>
      <c r="E448" s="1266">
        <f>CEILING(152.9*$Z$1,0.1)</f>
        <v>191.20000000000002</v>
      </c>
      <c r="F448" s="1267"/>
      <c r="G448" s="1266">
        <f>CEILING(91.7*$Z$1,0.1)</f>
        <v>114.7</v>
      </c>
      <c r="H448" s="1267"/>
      <c r="I448" s="1266">
        <f>CEILING(117.2*$Z$1,0.1)</f>
        <v>146.5</v>
      </c>
      <c r="J448" s="1267"/>
      <c r="K448" s="1266">
        <f>CEILING(91.7*$Z$1,0.1)</f>
        <v>114.7</v>
      </c>
      <c r="L448" s="1267"/>
      <c r="M448" s="169"/>
      <c r="X448"/>
      <c r="Y448"/>
    </row>
    <row r="449" spans="1:23" s="479" customFormat="1" ht="15">
      <c r="A449" s="227"/>
      <c r="B449" s="12" t="s">
        <v>205</v>
      </c>
      <c r="C449" s="1268">
        <f>CEILING((C448+25*$Z$1),0.1)</f>
        <v>133.20000000000002</v>
      </c>
      <c r="D449" s="1270"/>
      <c r="E449" s="1268">
        <f>CEILING((E448+25*$Z$1),0.1)</f>
        <v>222.5</v>
      </c>
      <c r="F449" s="1270"/>
      <c r="G449" s="1268">
        <f>CEILING((G448+25*$Z$1),0.1)</f>
        <v>146</v>
      </c>
      <c r="H449" s="1270"/>
      <c r="I449" s="1268">
        <f>CEILING((I448+25*$Z$1),0.1)</f>
        <v>177.8</v>
      </c>
      <c r="J449" s="1270"/>
      <c r="K449" s="1268">
        <f>CEILING((K448+25*$Z$1),0.1)</f>
        <v>146</v>
      </c>
      <c r="L449" s="1270"/>
      <c r="M449" s="480"/>
      <c r="N449" s="480"/>
      <c r="O449" s="480"/>
      <c r="P449" s="480"/>
      <c r="Q449" s="480"/>
      <c r="R449" s="480"/>
      <c r="S449" s="480"/>
      <c r="T449" s="480"/>
      <c r="U449" s="480"/>
      <c r="V449" s="480"/>
      <c r="W449" s="480"/>
    </row>
    <row r="450" spans="1:23" s="479" customFormat="1" ht="15">
      <c r="A450" s="227"/>
      <c r="B450" s="29" t="s">
        <v>47</v>
      </c>
      <c r="C450" s="1268">
        <f>CEILING((C448*0.85),0.1)</f>
        <v>86.7</v>
      </c>
      <c r="D450" s="1270"/>
      <c r="E450" s="1268">
        <f>CEILING((E448*0.85),0.1)</f>
        <v>162.60000000000002</v>
      </c>
      <c r="F450" s="1270"/>
      <c r="G450" s="1268">
        <f>CEILING((G448*0.85),0.1)</f>
        <v>97.5</v>
      </c>
      <c r="H450" s="1270"/>
      <c r="I450" s="1268">
        <f>CEILING((I448*0.85),0.1)</f>
        <v>124.60000000000001</v>
      </c>
      <c r="J450" s="1270"/>
      <c r="K450" s="1268">
        <f>CEILING((K448*0.85),0.1)</f>
        <v>97.5</v>
      </c>
      <c r="L450" s="1270"/>
      <c r="M450" s="480"/>
      <c r="N450" s="480"/>
      <c r="O450" s="480"/>
      <c r="P450" s="480"/>
      <c r="Q450" s="480"/>
      <c r="R450" s="480"/>
      <c r="S450" s="480"/>
      <c r="T450" s="480"/>
      <c r="U450" s="480"/>
      <c r="V450" s="480"/>
      <c r="W450" s="480"/>
    </row>
    <row r="451" spans="1:23" s="479" customFormat="1" ht="15">
      <c r="A451" s="227" t="s">
        <v>59</v>
      </c>
      <c r="B451" s="29" t="s">
        <v>484</v>
      </c>
      <c r="C451" s="1268">
        <f>CEILING(91.5*$Z$1,0.1)</f>
        <v>114.4</v>
      </c>
      <c r="D451" s="1270"/>
      <c r="E451" s="1268">
        <f>CEILING(162.9*$Z$1,0.1)</f>
        <v>203.70000000000002</v>
      </c>
      <c r="F451" s="1270"/>
      <c r="G451" s="1268">
        <f>CEILING(101.7*$Z$1,0.1)</f>
        <v>127.2</v>
      </c>
      <c r="H451" s="1270"/>
      <c r="I451" s="1268">
        <f>CEILING(127.2*$Z$1,0.1)</f>
        <v>159</v>
      </c>
      <c r="J451" s="1270"/>
      <c r="K451" s="1268">
        <f>CEILING(101.7*$Z$1,0.1)</f>
        <v>127.2</v>
      </c>
      <c r="L451" s="1270"/>
      <c r="M451" s="480"/>
      <c r="N451" s="480"/>
      <c r="O451" s="480"/>
      <c r="P451" s="480"/>
      <c r="Q451" s="480"/>
      <c r="R451" s="480"/>
      <c r="S451" s="480"/>
      <c r="T451" s="480"/>
      <c r="U451" s="480"/>
      <c r="V451" s="480"/>
      <c r="W451" s="480"/>
    </row>
    <row r="452" spans="1:23" s="479" customFormat="1" ht="15">
      <c r="A452" s="645" t="s">
        <v>1285</v>
      </c>
      <c r="B452" s="12" t="s">
        <v>714</v>
      </c>
      <c r="C452" s="1268">
        <f>CEILING((C451+25*$Z$1),0.1)</f>
        <v>145.70000000000002</v>
      </c>
      <c r="D452" s="1270"/>
      <c r="E452" s="1268">
        <f>CEILING((E451+25*$Z$1),0.1)</f>
        <v>235</v>
      </c>
      <c r="F452" s="1270"/>
      <c r="G452" s="1268">
        <f>CEILING((G451+25*$Z$1),0.1)</f>
        <v>158.5</v>
      </c>
      <c r="H452" s="1270"/>
      <c r="I452" s="1268">
        <f>CEILING((I451+25*$Z$1),0.1)</f>
        <v>190.3</v>
      </c>
      <c r="J452" s="1270"/>
      <c r="K452" s="1268">
        <f>CEILING((K451+25*$Z$1),0.1)</f>
        <v>158.5</v>
      </c>
      <c r="L452" s="1270"/>
      <c r="M452" s="480"/>
      <c r="N452" s="480"/>
      <c r="O452" s="480"/>
      <c r="P452" s="480"/>
      <c r="Q452" s="480"/>
      <c r="R452" s="480"/>
      <c r="S452" s="480"/>
      <c r="T452" s="480"/>
      <c r="U452" s="480"/>
      <c r="V452" s="480"/>
      <c r="W452" s="480"/>
    </row>
    <row r="453" spans="1:23" s="479" customFormat="1" ht="15">
      <c r="A453" s="550" t="s">
        <v>716</v>
      </c>
      <c r="B453" s="233" t="s">
        <v>715</v>
      </c>
      <c r="C453" s="1284">
        <f>CEILING(103.5*$Z$1,0.1)</f>
        <v>129.4</v>
      </c>
      <c r="D453" s="1285"/>
      <c r="E453" s="1284">
        <f>CEILING(174.9*$Z$1,0.1)</f>
        <v>218.70000000000002</v>
      </c>
      <c r="F453" s="1285"/>
      <c r="G453" s="1284">
        <f>CEILING(113.7*$Z$1,0.1)</f>
        <v>142.20000000000002</v>
      </c>
      <c r="H453" s="1285"/>
      <c r="I453" s="1284">
        <f>CEILING(139.2*$Z$1,0.1)</f>
        <v>174</v>
      </c>
      <c r="J453" s="1285"/>
      <c r="K453" s="1284">
        <f>CEILING(113.7*$Z$1,0.1)</f>
        <v>142.20000000000002</v>
      </c>
      <c r="L453" s="1285"/>
      <c r="M453" s="480"/>
      <c r="N453" s="480"/>
      <c r="O453" s="480"/>
      <c r="P453" s="480"/>
      <c r="Q453" s="480"/>
      <c r="R453" s="480"/>
      <c r="S453" s="480"/>
      <c r="T453" s="480"/>
      <c r="U453" s="480"/>
      <c r="V453" s="480"/>
      <c r="W453" s="480"/>
    </row>
    <row r="454" spans="1:25" ht="15">
      <c r="A454" s="22" t="s">
        <v>1243</v>
      </c>
      <c r="B454" s="50"/>
      <c r="C454" s="382"/>
      <c r="D454" s="382"/>
      <c r="E454" s="382"/>
      <c r="F454" s="382"/>
      <c r="G454" s="382"/>
      <c r="H454" s="382"/>
      <c r="I454" s="382"/>
      <c r="J454" s="382"/>
      <c r="K454" s="279"/>
      <c r="L454" s="279"/>
      <c r="M454" s="169"/>
      <c r="X454"/>
      <c r="Y454"/>
    </row>
    <row r="455" spans="1:41" s="479" customFormat="1" ht="18" customHeight="1">
      <c r="A455" s="172"/>
      <c r="B455" s="1171"/>
      <c r="C455" s="22"/>
      <c r="D455" s="22"/>
      <c r="E455" s="22"/>
      <c r="F455" s="22"/>
      <c r="G455" s="22"/>
      <c r="H455" s="22"/>
      <c r="I455" s="22"/>
      <c r="J455" s="22"/>
      <c r="K455" s="166"/>
      <c r="L455" s="166"/>
      <c r="M455" s="1170"/>
      <c r="N455" s="1170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</row>
    <row r="456" spans="1:43" s="776" customFormat="1" ht="15">
      <c r="A456" s="1306"/>
      <c r="B456" s="1307"/>
      <c r="C456" s="1307"/>
      <c r="D456" s="1307"/>
      <c r="E456" s="1307"/>
      <c r="F456" s="1307"/>
      <c r="G456" s="1307"/>
      <c r="H456" s="1307"/>
      <c r="I456" s="1307"/>
      <c r="J456" s="1307"/>
      <c r="K456" s="775"/>
      <c r="L456" s="775"/>
      <c r="M456" s="335"/>
      <c r="N456" s="335"/>
      <c r="O456" s="335"/>
      <c r="P456" s="335"/>
      <c r="Q456" s="335"/>
      <c r="R456" s="335"/>
      <c r="S456" s="335"/>
      <c r="T456" s="335"/>
      <c r="U456" s="335"/>
      <c r="V456" s="335"/>
      <c r="W456" s="335"/>
      <c r="X456" s="335"/>
      <c r="Y456" s="335"/>
      <c r="Z456" s="335"/>
      <c r="AA456" s="335"/>
      <c r="AB456" s="335"/>
      <c r="AC456" s="335"/>
      <c r="AD456" s="335"/>
      <c r="AE456" s="335"/>
      <c r="AF456" s="335"/>
      <c r="AG456" s="335"/>
      <c r="AH456" s="335"/>
      <c r="AI456" s="335"/>
      <c r="AJ456" s="335"/>
      <c r="AK456" s="335"/>
      <c r="AL456" s="335"/>
      <c r="AM456" s="335"/>
      <c r="AN456" s="335"/>
      <c r="AO456" s="335"/>
      <c r="AP456" s="335"/>
      <c r="AQ456" s="335"/>
    </row>
    <row r="457" spans="1:49" ht="16.5" customHeight="1" thickBot="1">
      <c r="A457" s="1150"/>
      <c r="B457" s="1154"/>
      <c r="C457" s="1154"/>
      <c r="D457" s="1154"/>
      <c r="E457" s="1154"/>
      <c r="F457" s="1154"/>
      <c r="G457" s="1154"/>
      <c r="H457" s="1154"/>
      <c r="I457" s="1154"/>
      <c r="J457" s="1154"/>
      <c r="K457" s="334"/>
      <c r="L457" s="314"/>
      <c r="M457" s="1403"/>
      <c r="N457" s="1403"/>
      <c r="O457" s="481"/>
      <c r="P457" s="481"/>
      <c r="Q457" s="481"/>
      <c r="R457" s="481"/>
      <c r="S457" s="481"/>
      <c r="T457" s="481"/>
      <c r="U457" s="481"/>
      <c r="V457" s="481"/>
      <c r="W457" s="481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  <c r="AL457" s="192"/>
      <c r="AM457" s="192"/>
      <c r="AN457" s="192"/>
      <c r="AO457" s="192"/>
      <c r="AP457" s="192"/>
      <c r="AQ457" s="192"/>
      <c r="AR457" s="192"/>
      <c r="AS457" s="192"/>
      <c r="AT457" s="192"/>
      <c r="AU457" s="192"/>
      <c r="AV457" s="192"/>
      <c r="AW457" s="192"/>
    </row>
    <row r="458" spans="1:49" s="479" customFormat="1" ht="23.25" customHeight="1" thickTop="1">
      <c r="A458" s="786" t="s">
        <v>43</v>
      </c>
      <c r="B458" s="1106" t="s">
        <v>961</v>
      </c>
      <c r="C458" s="787" t="s">
        <v>884</v>
      </c>
      <c r="D458" s="788"/>
      <c r="E458" s="789" t="s">
        <v>911</v>
      </c>
      <c r="F458" s="790"/>
      <c r="G458" s="759" t="s">
        <v>912</v>
      </c>
      <c r="H458" s="760"/>
      <c r="I458" s="1286" t="s">
        <v>881</v>
      </c>
      <c r="J458" s="1287"/>
      <c r="K458" s="1286" t="s">
        <v>882</v>
      </c>
      <c r="L458" s="1287"/>
      <c r="M458" s="1323"/>
      <c r="N458" s="1328"/>
      <c r="O458" s="481"/>
      <c r="P458" s="481"/>
      <c r="Q458" s="481"/>
      <c r="R458" s="481"/>
      <c r="S458" s="481"/>
      <c r="T458" s="481"/>
      <c r="U458" s="481"/>
      <c r="V458" s="481"/>
      <c r="W458" s="481"/>
      <c r="X458" s="481"/>
      <c r="Y458" s="481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192"/>
      <c r="AP458" s="192"/>
      <c r="AQ458" s="192"/>
      <c r="AR458" s="192"/>
      <c r="AS458" s="192"/>
      <c r="AT458" s="192"/>
      <c r="AU458" s="192"/>
      <c r="AV458" s="192"/>
      <c r="AW458" s="192"/>
    </row>
    <row r="459" spans="1:49" s="663" customFormat="1" ht="18" customHeight="1">
      <c r="A459" s="216" t="s">
        <v>926</v>
      </c>
      <c r="B459" s="77" t="s">
        <v>93</v>
      </c>
      <c r="C459" s="1266">
        <f>CEILING(49*$Z$1,0.1)</f>
        <v>61.300000000000004</v>
      </c>
      <c r="D459" s="1267"/>
      <c r="E459" s="1266">
        <f>CEILING(85*$Z$1,0.1)</f>
        <v>106.30000000000001</v>
      </c>
      <c r="F459" s="1267"/>
      <c r="G459" s="1266">
        <f>CEILING(62*$Z$1,0.1)</f>
        <v>77.5</v>
      </c>
      <c r="H459" s="1267"/>
      <c r="I459" s="1266">
        <f>CEILING(70*$Z$1,0.1)</f>
        <v>87.5</v>
      </c>
      <c r="J459" s="1267"/>
      <c r="K459" s="1266">
        <f>CEILING(55*$Z$1,0.1)</f>
        <v>68.8</v>
      </c>
      <c r="L459" s="1267"/>
      <c r="M459" s="20"/>
      <c r="N459" s="20"/>
      <c r="O459" s="481"/>
      <c r="P459" s="481"/>
      <c r="Q459" s="481"/>
      <c r="R459" s="481"/>
      <c r="S459" s="481"/>
      <c r="T459" s="481"/>
      <c r="U459" s="481"/>
      <c r="V459" s="481"/>
      <c r="W459" s="481"/>
      <c r="X459" s="481"/>
      <c r="Y459" s="481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  <c r="AL459" s="192"/>
      <c r="AM459" s="192"/>
      <c r="AN459" s="192"/>
      <c r="AO459" s="192"/>
      <c r="AP459" s="192"/>
      <c r="AQ459" s="192"/>
      <c r="AR459" s="192"/>
      <c r="AS459" s="192"/>
      <c r="AT459" s="192"/>
      <c r="AU459" s="192"/>
      <c r="AV459" s="192"/>
      <c r="AW459" s="192"/>
    </row>
    <row r="460" spans="1:25" s="192" customFormat="1" ht="17.25" customHeight="1">
      <c r="A460" s="227" t="s">
        <v>925</v>
      </c>
      <c r="B460" s="29" t="s">
        <v>12</v>
      </c>
      <c r="C460" s="1268">
        <f>CEILING((C459+30*$Z$1),0.1)</f>
        <v>98.80000000000001</v>
      </c>
      <c r="D460" s="1270"/>
      <c r="E460" s="1268">
        <f>CEILING((E459+35*$Z$1),0.1)</f>
        <v>150.1</v>
      </c>
      <c r="F460" s="1270"/>
      <c r="G460" s="1268">
        <f>CEILING((G459+32*$Z$1),0.1)</f>
        <v>117.5</v>
      </c>
      <c r="H460" s="1270"/>
      <c r="I460" s="1268">
        <f>CEILING((I459+32*$Z$1),0.1)</f>
        <v>127.5</v>
      </c>
      <c r="J460" s="1270"/>
      <c r="K460" s="1268">
        <f>CEILING((K459+32*$Z$1),0.1)</f>
        <v>108.80000000000001</v>
      </c>
      <c r="L460" s="1270"/>
      <c r="M460" s="20"/>
      <c r="N460" s="20"/>
      <c r="O460" s="481"/>
      <c r="P460" s="481"/>
      <c r="Q460" s="481"/>
      <c r="R460" s="481"/>
      <c r="S460" s="481"/>
      <c r="T460" s="481"/>
      <c r="U460" s="481"/>
      <c r="V460" s="481"/>
      <c r="W460" s="481"/>
      <c r="X460" s="481"/>
      <c r="Y460" s="481"/>
    </row>
    <row r="461" spans="1:25" s="192" customFormat="1" ht="18" customHeight="1">
      <c r="A461" s="791"/>
      <c r="B461" s="29" t="s">
        <v>927</v>
      </c>
      <c r="C461" s="1268">
        <f>CEILING((C459*0.85),0.1)</f>
        <v>52.2</v>
      </c>
      <c r="D461" s="1270"/>
      <c r="E461" s="1268">
        <f>CEILING((E459*0.85),0.1)</f>
        <v>90.4</v>
      </c>
      <c r="F461" s="1270"/>
      <c r="G461" s="1268">
        <f>CEILING((G459*0.85),0.1)</f>
        <v>65.9</v>
      </c>
      <c r="H461" s="1270"/>
      <c r="I461" s="1268">
        <f>CEILING((I459*0.85),0.1)</f>
        <v>74.4</v>
      </c>
      <c r="J461" s="1270"/>
      <c r="K461" s="1268">
        <f>CEILING((K459*0.85),0.1)</f>
        <v>58.5</v>
      </c>
      <c r="L461" s="1270"/>
      <c r="M461" s="20"/>
      <c r="N461" s="20"/>
      <c r="O461" s="481"/>
      <c r="P461" s="481"/>
      <c r="Q461" s="481"/>
      <c r="R461" s="481"/>
      <c r="S461" s="481"/>
      <c r="T461" s="481"/>
      <c r="U461" s="481"/>
      <c r="V461" s="481"/>
      <c r="W461" s="481"/>
      <c r="X461" s="481"/>
      <c r="Y461" s="481"/>
    </row>
    <row r="462" spans="1:25" s="192" customFormat="1" ht="17.25" customHeight="1">
      <c r="A462" s="645"/>
      <c r="B462" s="29" t="s">
        <v>71</v>
      </c>
      <c r="C462" s="1268">
        <f>CEILING((C459*0),0.1)</f>
        <v>0</v>
      </c>
      <c r="D462" s="1270"/>
      <c r="E462" s="1268">
        <f>CEILING((E459*0),0.1)</f>
        <v>0</v>
      </c>
      <c r="F462" s="1270"/>
      <c r="G462" s="1268">
        <f>CEILING((G459*0),0.1)</f>
        <v>0</v>
      </c>
      <c r="H462" s="1270"/>
      <c r="I462" s="1268">
        <f>CEILING((I459*0),0.1)</f>
        <v>0</v>
      </c>
      <c r="J462" s="1270"/>
      <c r="K462" s="1268">
        <f>CEILING((K459*0),0.1)</f>
        <v>0</v>
      </c>
      <c r="L462" s="1270"/>
      <c r="M462" s="20"/>
      <c r="N462" s="20"/>
      <c r="O462" s="481"/>
      <c r="P462" s="481"/>
      <c r="Q462" s="481"/>
      <c r="R462" s="481"/>
      <c r="S462" s="481"/>
      <c r="T462" s="481"/>
      <c r="U462" s="481"/>
      <c r="V462" s="481"/>
      <c r="W462" s="481"/>
      <c r="X462" s="481"/>
      <c r="Y462" s="481"/>
    </row>
    <row r="463" spans="1:25" s="192" customFormat="1" ht="18" customHeight="1">
      <c r="A463" s="151" t="s">
        <v>59</v>
      </c>
      <c r="B463" s="29" t="s">
        <v>67</v>
      </c>
      <c r="C463" s="1268">
        <f>CEILING(54*$Z$1,0.1)</f>
        <v>67.5</v>
      </c>
      <c r="D463" s="1270"/>
      <c r="E463" s="1268">
        <f>CEILING(90*$Z$1,0.1)</f>
        <v>112.5</v>
      </c>
      <c r="F463" s="1270"/>
      <c r="G463" s="1268">
        <f>CEILING(67*$Z$1,0.1)</f>
        <v>83.80000000000001</v>
      </c>
      <c r="H463" s="1270"/>
      <c r="I463" s="1268">
        <f>CEILING(75*$Z$1,0.1)</f>
        <v>93.80000000000001</v>
      </c>
      <c r="J463" s="1270"/>
      <c r="K463" s="1268">
        <f>CEILING(60*$Z$1,0.1)</f>
        <v>75</v>
      </c>
      <c r="L463" s="1270"/>
      <c r="M463" s="20"/>
      <c r="N463" s="20"/>
      <c r="O463" s="481"/>
      <c r="P463" s="481"/>
      <c r="Q463" s="481"/>
      <c r="R463" s="481"/>
      <c r="S463" s="481"/>
      <c r="T463" s="481"/>
      <c r="U463" s="481"/>
      <c r="V463" s="481"/>
      <c r="W463" s="481"/>
      <c r="X463" s="481"/>
      <c r="Y463" s="481"/>
    </row>
    <row r="464" spans="1:25" s="192" customFormat="1" ht="16.5" customHeight="1">
      <c r="A464" s="75" t="s">
        <v>924</v>
      </c>
      <c r="B464" s="29" t="s">
        <v>68</v>
      </c>
      <c r="C464" s="1268">
        <f>CEILING((C463+30*$Z$1),0.1)</f>
        <v>105</v>
      </c>
      <c r="D464" s="1270"/>
      <c r="E464" s="1268">
        <f>CEILING((E463+35*$Z$1),0.1)</f>
        <v>156.3</v>
      </c>
      <c r="F464" s="1270"/>
      <c r="G464" s="1268">
        <f>CEILING((G463+32*$Z$1),0.1)</f>
        <v>123.80000000000001</v>
      </c>
      <c r="H464" s="1270"/>
      <c r="I464" s="1268">
        <f>CEILING((I463+32*$Z$1),0.1)</f>
        <v>133.8</v>
      </c>
      <c r="J464" s="1270"/>
      <c r="K464" s="1268">
        <f>CEILING((K463+32*$Z$1),0.1)</f>
        <v>115</v>
      </c>
      <c r="L464" s="1270"/>
      <c r="M464" s="20"/>
      <c r="N464" s="20"/>
      <c r="O464" s="481"/>
      <c r="P464" s="481"/>
      <c r="Q464" s="481"/>
      <c r="R464" s="481"/>
      <c r="S464" s="481"/>
      <c r="T464" s="481"/>
      <c r="U464" s="481"/>
      <c r="V464" s="481"/>
      <c r="W464" s="481"/>
      <c r="X464" s="481"/>
      <c r="Y464" s="481"/>
    </row>
    <row r="465" spans="1:23" s="192" customFormat="1" ht="15.75" customHeight="1">
      <c r="A465" s="1192"/>
      <c r="B465" s="29" t="s">
        <v>928</v>
      </c>
      <c r="C465" s="1268">
        <f>CEILING(59*$Z$1,0.1)</f>
        <v>73.8</v>
      </c>
      <c r="D465" s="1270"/>
      <c r="E465" s="1268">
        <f>CEILING(95*$Z$1,0.1)</f>
        <v>118.80000000000001</v>
      </c>
      <c r="F465" s="1270"/>
      <c r="G465" s="1268">
        <f>CEILING(72*$Z$1,0.1)</f>
        <v>90</v>
      </c>
      <c r="H465" s="1270"/>
      <c r="I465" s="1268">
        <f>CEILING(80*$Z$1,0.1)</f>
        <v>100</v>
      </c>
      <c r="J465" s="1270"/>
      <c r="K465" s="1268">
        <f>CEILING(65*$Z$1,0.1)</f>
        <v>81.30000000000001</v>
      </c>
      <c r="L465" s="1270"/>
      <c r="M465" s="481"/>
      <c r="N465" s="481"/>
      <c r="O465" s="481"/>
      <c r="P465" s="481"/>
      <c r="Q465" s="481"/>
      <c r="R465" s="481"/>
      <c r="S465" s="481"/>
      <c r="T465" s="481"/>
      <c r="U465" s="481"/>
      <c r="V465" s="481"/>
      <c r="W465" s="481"/>
    </row>
    <row r="466" spans="1:23" s="192" customFormat="1" ht="15.75" customHeight="1">
      <c r="A466" s="793"/>
      <c r="B466" s="418" t="s">
        <v>929</v>
      </c>
      <c r="C466" s="1284">
        <f>CEILING((C465+30*$Z$1),0.1)</f>
        <v>111.30000000000001</v>
      </c>
      <c r="D466" s="1285"/>
      <c r="E466" s="1284">
        <f>CEILING((E465+35*$Z$1),0.1)</f>
        <v>162.60000000000002</v>
      </c>
      <c r="F466" s="1285"/>
      <c r="G466" s="1284">
        <f>CEILING((G465+32*$Z$1),0.1)</f>
        <v>130</v>
      </c>
      <c r="H466" s="1285"/>
      <c r="I466" s="1284">
        <f>CEILING((I465+32*$Z$1),0.1)</f>
        <v>140</v>
      </c>
      <c r="J466" s="1285"/>
      <c r="K466" s="1284">
        <f>CEILING((K465+32*$Z$1),0.1)</f>
        <v>121.30000000000001</v>
      </c>
      <c r="L466" s="1285"/>
      <c r="M466" s="481"/>
      <c r="N466" s="481"/>
      <c r="O466" s="481"/>
      <c r="P466" s="481"/>
      <c r="Q466" s="481"/>
      <c r="R466" s="481"/>
      <c r="S466" s="481"/>
      <c r="T466" s="481"/>
      <c r="U466" s="481"/>
      <c r="V466" s="481"/>
      <c r="W466" s="481"/>
    </row>
    <row r="467" spans="1:25" s="192" customFormat="1" ht="19.5" customHeight="1">
      <c r="A467" s="107" t="s">
        <v>930</v>
      </c>
      <c r="B467" s="107"/>
      <c r="C467" s="107"/>
      <c r="D467" s="107"/>
      <c r="E467" s="107"/>
      <c r="F467" s="107"/>
      <c r="G467" s="107"/>
      <c r="H467" s="107"/>
      <c r="I467" s="107"/>
      <c r="J467" s="107"/>
      <c r="K467" s="354"/>
      <c r="L467" s="354"/>
      <c r="M467" s="20"/>
      <c r="N467" s="20"/>
      <c r="O467" s="481"/>
      <c r="P467" s="481"/>
      <c r="Q467" s="481"/>
      <c r="R467" s="481"/>
      <c r="S467" s="481"/>
      <c r="T467" s="481"/>
      <c r="U467" s="481"/>
      <c r="V467" s="481"/>
      <c r="W467" s="481"/>
      <c r="X467" s="481"/>
      <c r="Y467" s="481"/>
    </row>
    <row r="468" spans="1:43" s="776" customFormat="1" ht="15">
      <c r="A468" s="1306"/>
      <c r="B468" s="1307"/>
      <c r="C468" s="1307"/>
      <c r="D468" s="1307"/>
      <c r="E468" s="1307"/>
      <c r="F468" s="1307"/>
      <c r="G468" s="1307"/>
      <c r="H468" s="1307"/>
      <c r="I468" s="1307"/>
      <c r="J468" s="1307"/>
      <c r="K468" s="775"/>
      <c r="L468" s="775"/>
      <c r="M468" s="335"/>
      <c r="N468" s="335"/>
      <c r="O468" s="335"/>
      <c r="P468" s="335"/>
      <c r="Q468" s="335"/>
      <c r="R468" s="335"/>
      <c r="S468" s="335"/>
      <c r="T468" s="335"/>
      <c r="U468" s="335"/>
      <c r="V468" s="335"/>
      <c r="W468" s="335"/>
      <c r="X468" s="335"/>
      <c r="Y468" s="335"/>
      <c r="Z468" s="335"/>
      <c r="AA468" s="335"/>
      <c r="AB468" s="335"/>
      <c r="AC468" s="335"/>
      <c r="AD468" s="335"/>
      <c r="AE468" s="335"/>
      <c r="AF468" s="335"/>
      <c r="AG468" s="335"/>
      <c r="AH468" s="335"/>
      <c r="AI468" s="335"/>
      <c r="AJ468" s="335"/>
      <c r="AK468" s="335"/>
      <c r="AL468" s="335"/>
      <c r="AM468" s="335"/>
      <c r="AN468" s="335"/>
      <c r="AO468" s="335"/>
      <c r="AP468" s="335"/>
      <c r="AQ468" s="335"/>
    </row>
    <row r="469" spans="1:25" s="479" customFormat="1" ht="15.75" thickBot="1">
      <c r="A469" s="781" t="s">
        <v>921</v>
      </c>
      <c r="B469" s="780"/>
      <c r="C469" s="780"/>
      <c r="D469" s="780"/>
      <c r="E469" s="780"/>
      <c r="F469" s="780"/>
      <c r="G469" s="780"/>
      <c r="H469" s="780"/>
      <c r="I469" s="780"/>
      <c r="J469" s="780"/>
      <c r="K469" s="279"/>
      <c r="L469" s="279"/>
      <c r="M469" s="481"/>
      <c r="N469" s="480"/>
      <c r="O469" s="480"/>
      <c r="P469" s="480"/>
      <c r="Q469" s="480"/>
      <c r="R469" s="480"/>
      <c r="S469" s="480"/>
      <c r="T469" s="480"/>
      <c r="U469" s="480"/>
      <c r="V469" s="480"/>
      <c r="W469" s="480"/>
      <c r="X469" s="480"/>
      <c r="Y469" s="480"/>
    </row>
    <row r="470" spans="1:14" ht="15" customHeight="1" thickBot="1" thickTop="1">
      <c r="A470" s="32"/>
      <c r="B470" s="512"/>
      <c r="C470" s="512"/>
      <c r="D470" s="512"/>
      <c r="E470" s="512"/>
      <c r="F470" s="512"/>
      <c r="G470" s="512"/>
      <c r="H470" s="512"/>
      <c r="I470" s="512"/>
      <c r="J470" s="512"/>
      <c r="K470" s="167"/>
      <c r="L470" s="167"/>
      <c r="M470" s="1328"/>
      <c r="N470" s="1328"/>
    </row>
    <row r="471" spans="1:25" s="479" customFormat="1" ht="23.25" customHeight="1" thickTop="1">
      <c r="A471" s="746" t="s">
        <v>43</v>
      </c>
      <c r="B471" s="814" t="s">
        <v>961</v>
      </c>
      <c r="C471" s="747" t="s">
        <v>884</v>
      </c>
      <c r="D471" s="748"/>
      <c r="E471" s="773" t="s">
        <v>911</v>
      </c>
      <c r="F471" s="766"/>
      <c r="G471" s="749" t="s">
        <v>912</v>
      </c>
      <c r="H471" s="750"/>
      <c r="I471" s="1273" t="s">
        <v>881</v>
      </c>
      <c r="J471" s="1274"/>
      <c r="K471" s="1273" t="s">
        <v>882</v>
      </c>
      <c r="L471" s="1274"/>
      <c r="M471" s="1323"/>
      <c r="N471" s="1328"/>
      <c r="O471" s="480"/>
      <c r="P471" s="480"/>
      <c r="Q471" s="480"/>
      <c r="R471" s="480"/>
      <c r="S471" s="480"/>
      <c r="T471" s="480"/>
      <c r="U471" s="480"/>
      <c r="V471" s="480"/>
      <c r="W471" s="480"/>
      <c r="X471" s="480"/>
      <c r="Y471" s="480"/>
    </row>
    <row r="472" spans="1:14" ht="15.75" customHeight="1">
      <c r="A472" s="62" t="s">
        <v>86</v>
      </c>
      <c r="B472" s="40" t="s">
        <v>51</v>
      </c>
      <c r="C472" s="1304">
        <f>CEILING(43*$Z$1,0.1)</f>
        <v>53.800000000000004</v>
      </c>
      <c r="D472" s="1305"/>
      <c r="E472" s="1304">
        <f>CEILING(75*$Z$1,0.1)</f>
        <v>93.80000000000001</v>
      </c>
      <c r="F472" s="1305"/>
      <c r="G472" s="1304">
        <f>CEILING(56*$Z$1,0.1)</f>
        <v>70</v>
      </c>
      <c r="H472" s="1305"/>
      <c r="I472" s="1266">
        <f>CEILING(80*$Z$1,0.1)</f>
        <v>100</v>
      </c>
      <c r="J472" s="1267"/>
      <c r="K472" s="1266">
        <f>CEILING(62*$Z$1,0.1)</f>
        <v>77.5</v>
      </c>
      <c r="L472" s="1267"/>
      <c r="M472" s="21"/>
      <c r="N472" s="20"/>
    </row>
    <row r="473" spans="1:14" ht="15">
      <c r="A473" s="35" t="s">
        <v>59</v>
      </c>
      <c r="B473" s="12" t="s">
        <v>52</v>
      </c>
      <c r="C473" s="1302">
        <f>CEILING((C472+35*$Z$1),0.1)</f>
        <v>97.60000000000001</v>
      </c>
      <c r="D473" s="1303"/>
      <c r="E473" s="1302">
        <f>CEILING((E472+40*$Z$1),0.1)</f>
        <v>143.8</v>
      </c>
      <c r="F473" s="1303"/>
      <c r="G473" s="1302">
        <f>CEILING((G472+25*$Z$1),0.1)</f>
        <v>101.30000000000001</v>
      </c>
      <c r="H473" s="1303"/>
      <c r="I473" s="1268">
        <f>CEILING((I472+40*$Z$1),0.1)</f>
        <v>150</v>
      </c>
      <c r="J473" s="1270"/>
      <c r="K473" s="1268">
        <f>CEILING((K472+35*$Z$1),0.1)</f>
        <v>121.30000000000001</v>
      </c>
      <c r="L473" s="1270"/>
      <c r="M473" s="21"/>
      <c r="N473" s="20"/>
    </row>
    <row r="474" spans="1:14" ht="15">
      <c r="A474" s="217"/>
      <c r="B474" s="12" t="s">
        <v>47</v>
      </c>
      <c r="C474" s="1302">
        <f>CEILING((C472*0.85),0.1)</f>
        <v>45.800000000000004</v>
      </c>
      <c r="D474" s="1303"/>
      <c r="E474" s="1302">
        <f>CEILING((E472*0.85),0.1)</f>
        <v>79.80000000000001</v>
      </c>
      <c r="F474" s="1303"/>
      <c r="G474" s="1302">
        <f>CEILING((G472*0.85),0.1)</f>
        <v>59.5</v>
      </c>
      <c r="H474" s="1303"/>
      <c r="I474" s="1268">
        <f>CEILING((I472*0.85),0.1)</f>
        <v>85</v>
      </c>
      <c r="J474" s="1270"/>
      <c r="K474" s="1268">
        <f>CEILING((K472*0.85),0.1)</f>
        <v>65.9</v>
      </c>
      <c r="L474" s="1270"/>
      <c r="M474" s="16"/>
      <c r="N474" s="20"/>
    </row>
    <row r="475" spans="1:14" ht="15">
      <c r="A475" s="217" t="s">
        <v>1280</v>
      </c>
      <c r="B475" s="12" t="s">
        <v>87</v>
      </c>
      <c r="C475" s="1302">
        <f>CEILING((C472*0.5),0.1)</f>
        <v>26.900000000000002</v>
      </c>
      <c r="D475" s="1303"/>
      <c r="E475" s="1302">
        <f>CEILING((E472*0.5),0.1)</f>
        <v>46.900000000000006</v>
      </c>
      <c r="F475" s="1303"/>
      <c r="G475" s="1302">
        <f>CEILING((G472*0.5),0.1)</f>
        <v>35</v>
      </c>
      <c r="H475" s="1303"/>
      <c r="I475" s="1268">
        <f>CEILING((I472*0.5),0.1)</f>
        <v>50</v>
      </c>
      <c r="J475" s="1270"/>
      <c r="K475" s="1268">
        <f>CEILING((K472*0.5),0.1)</f>
        <v>38.800000000000004</v>
      </c>
      <c r="L475" s="1270"/>
      <c r="M475" s="16"/>
      <c r="N475" s="20"/>
    </row>
    <row r="476" spans="1:14" ht="15.75" customHeight="1">
      <c r="A476" s="217"/>
      <c r="B476" s="12" t="s">
        <v>919</v>
      </c>
      <c r="C476" s="1302">
        <f>CEILING(58*$Z$1,0.1)</f>
        <v>72.5</v>
      </c>
      <c r="D476" s="1303"/>
      <c r="E476" s="1302">
        <f>CEILING(90*$Z$1,0.1)</f>
        <v>112.5</v>
      </c>
      <c r="F476" s="1303"/>
      <c r="G476" s="1302">
        <f>CEILING(71*$Z$1,0.1)</f>
        <v>88.80000000000001</v>
      </c>
      <c r="H476" s="1303"/>
      <c r="I476" s="1268">
        <f>CEILING(95*$Z$1,0.1)</f>
        <v>118.80000000000001</v>
      </c>
      <c r="J476" s="1270"/>
      <c r="K476" s="1268">
        <f>CEILING(77*$Z$1,0.1)</f>
        <v>96.30000000000001</v>
      </c>
      <c r="L476" s="1270"/>
      <c r="M476" s="16"/>
      <c r="N476" s="20"/>
    </row>
    <row r="477" spans="1:14" ht="16.5" customHeight="1" thickBot="1">
      <c r="A477" s="476" t="s">
        <v>742</v>
      </c>
      <c r="B477" s="13" t="s">
        <v>920</v>
      </c>
      <c r="C477" s="1346">
        <f>CEILING((C476+40*$Z$1),0.1)</f>
        <v>122.5</v>
      </c>
      <c r="D477" s="1347"/>
      <c r="E477" s="1346">
        <f>CEILING((E476+40*$Z$1),0.1)</f>
        <v>162.5</v>
      </c>
      <c r="F477" s="1347"/>
      <c r="G477" s="1346">
        <f>CEILING((G476+25*$Z$1),0.1)</f>
        <v>120.10000000000001</v>
      </c>
      <c r="H477" s="1347"/>
      <c r="I477" s="1284">
        <f>CEILING((I476+40*$Z$1),0.1)</f>
        <v>168.8</v>
      </c>
      <c r="J477" s="1285"/>
      <c r="K477" s="1284">
        <f>CEILING((K476+35*$Z$1),0.1)</f>
        <v>140.1</v>
      </c>
      <c r="L477" s="1285"/>
      <c r="M477" s="16"/>
      <c r="N477" s="20"/>
    </row>
    <row r="478" spans="1:58" s="777" customFormat="1" ht="15.75" thickTop="1">
      <c r="A478" s="1401"/>
      <c r="B478" s="1402"/>
      <c r="C478" s="1307"/>
      <c r="D478" s="1307"/>
      <c r="E478" s="1402"/>
      <c r="F478" s="1402"/>
      <c r="G478" s="1402"/>
      <c r="H478" s="1402"/>
      <c r="I478" s="1402"/>
      <c r="J478" s="1402"/>
      <c r="K478" s="775"/>
      <c r="L478" s="775"/>
      <c r="M478" s="335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  <c r="AX478" s="331"/>
      <c r="AY478" s="331"/>
      <c r="AZ478" s="331"/>
      <c r="BA478" s="331"/>
      <c r="BB478" s="331"/>
      <c r="BC478" s="331"/>
      <c r="BD478" s="331"/>
      <c r="BE478" s="331"/>
      <c r="BF478" s="331"/>
    </row>
    <row r="479" spans="1:58" s="479" customFormat="1" ht="15.75" thickBot="1">
      <c r="A479" s="770" t="s">
        <v>921</v>
      </c>
      <c r="B479" s="771"/>
      <c r="C479" s="771"/>
      <c r="D479" s="771"/>
      <c r="E479" s="771"/>
      <c r="F479" s="771"/>
      <c r="G479" s="771"/>
      <c r="H479" s="771"/>
      <c r="I479" s="771"/>
      <c r="J479" s="771"/>
      <c r="K479" s="279"/>
      <c r="L479" s="279"/>
      <c r="M479" s="335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  <c r="AX479" s="331"/>
      <c r="AY479" s="331"/>
      <c r="AZ479" s="331"/>
      <c r="BA479" s="331"/>
      <c r="BB479" s="331"/>
      <c r="BC479" s="331"/>
      <c r="BD479" s="331"/>
      <c r="BE479" s="331"/>
      <c r="BF479" s="331"/>
    </row>
    <row r="480" spans="1:58" s="479" customFormat="1" ht="23.25" customHeight="1" thickTop="1">
      <c r="A480" s="746" t="s">
        <v>43</v>
      </c>
      <c r="B480" s="814" t="s">
        <v>961</v>
      </c>
      <c r="C480" s="747" t="s">
        <v>884</v>
      </c>
      <c r="D480" s="748"/>
      <c r="E480" s="773" t="s">
        <v>911</v>
      </c>
      <c r="F480" s="766"/>
      <c r="G480" s="749" t="s">
        <v>912</v>
      </c>
      <c r="H480" s="750"/>
      <c r="I480" s="1273" t="s">
        <v>881</v>
      </c>
      <c r="J480" s="1274"/>
      <c r="K480" s="1280" t="s">
        <v>882</v>
      </c>
      <c r="L480" s="1281"/>
      <c r="M480" s="1323"/>
      <c r="N480" s="1328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  <c r="AX480" s="331"/>
      <c r="AY480" s="331"/>
      <c r="AZ480" s="331"/>
      <c r="BA480" s="331"/>
      <c r="BB480" s="331"/>
      <c r="BC480" s="331"/>
      <c r="BD480" s="331"/>
      <c r="BE480" s="331"/>
      <c r="BF480" s="331"/>
    </row>
    <row r="481" spans="1:58" ht="16.5" customHeight="1">
      <c r="A481" s="78" t="s">
        <v>922</v>
      </c>
      <c r="B481" s="77" t="s">
        <v>51</v>
      </c>
      <c r="C481" s="1266">
        <f>CEILING(54*$Z$1,0.1)</f>
        <v>67.5</v>
      </c>
      <c r="D481" s="1267"/>
      <c r="E481" s="1268">
        <f>CEILING(97*$Z$1,0.1)</f>
        <v>121.30000000000001</v>
      </c>
      <c r="F481" s="1270"/>
      <c r="G481" s="1268">
        <f>CEILING(67*$Z$1,0.1)</f>
        <v>83.80000000000001</v>
      </c>
      <c r="H481" s="1270"/>
      <c r="I481" s="1268">
        <f>CEILING(78*$Z$1,0.1)</f>
        <v>97.5</v>
      </c>
      <c r="J481" s="1270"/>
      <c r="K481" s="1268">
        <f>CEILING(60*$Z$1,0.1)</f>
        <v>75</v>
      </c>
      <c r="L481" s="1270"/>
      <c r="M481" s="403"/>
      <c r="N481" s="342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  <c r="AX481" s="331"/>
      <c r="AY481" s="331"/>
      <c r="AZ481" s="331"/>
      <c r="BA481" s="331"/>
      <c r="BB481" s="331"/>
      <c r="BC481" s="331"/>
      <c r="BD481" s="331"/>
      <c r="BE481" s="331"/>
      <c r="BF481" s="331"/>
    </row>
    <row r="482" spans="1:58" ht="16.5" customHeight="1">
      <c r="A482" s="182" t="s">
        <v>59</v>
      </c>
      <c r="B482" s="29" t="s">
        <v>52</v>
      </c>
      <c r="C482" s="1268">
        <f>CEILING((C481+32*$Z$1),0.1)</f>
        <v>107.5</v>
      </c>
      <c r="D482" s="1270"/>
      <c r="E482" s="1268">
        <f>CEILING((E481+40*$Z$1),0.1)</f>
        <v>171.3</v>
      </c>
      <c r="F482" s="1270"/>
      <c r="G482" s="1268">
        <f>CEILING((G481+35*$Z$1),0.1)</f>
        <v>127.60000000000001</v>
      </c>
      <c r="H482" s="1270"/>
      <c r="I482" s="1268">
        <f>CEILING((I481+35*$Z$1),0.1)</f>
        <v>141.3</v>
      </c>
      <c r="J482" s="1270"/>
      <c r="K482" s="1268">
        <f>CEILING((K481+32*$Z$1),0.1)</f>
        <v>115</v>
      </c>
      <c r="L482" s="1270"/>
      <c r="M482" s="403"/>
      <c r="N482" s="342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  <c r="AX482" s="331"/>
      <c r="AY482" s="331"/>
      <c r="AZ482" s="331"/>
      <c r="BA482" s="331"/>
      <c r="BB482" s="331"/>
      <c r="BC482" s="331"/>
      <c r="BD482" s="331"/>
      <c r="BE482" s="331"/>
      <c r="BF482" s="331"/>
    </row>
    <row r="483" spans="1:58" s="479" customFormat="1" ht="16.5" customHeight="1">
      <c r="A483" s="84"/>
      <c r="B483" s="29" t="s">
        <v>919</v>
      </c>
      <c r="C483" s="1268">
        <f>CEILING(64*$Z$1,0.1)</f>
        <v>80</v>
      </c>
      <c r="D483" s="1270"/>
      <c r="E483" s="1268">
        <f>CEILING(107*$Z$1,0.1)</f>
        <v>133.8</v>
      </c>
      <c r="F483" s="1270"/>
      <c r="G483" s="1268">
        <f>CEILING(77*$Z$1,0.1)</f>
        <v>96.30000000000001</v>
      </c>
      <c r="H483" s="1270"/>
      <c r="I483" s="1268">
        <f>CEILING(88*$Z$1,0.1)</f>
        <v>110</v>
      </c>
      <c r="J483" s="1270"/>
      <c r="K483" s="1268">
        <f>CEILING(70*$Z$1,0.1)</f>
        <v>87.5</v>
      </c>
      <c r="L483" s="1270"/>
      <c r="M483" s="342"/>
      <c r="N483" s="342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  <c r="AX483" s="331"/>
      <c r="AY483" s="331"/>
      <c r="AZ483" s="331"/>
      <c r="BA483" s="331"/>
      <c r="BB483" s="331"/>
      <c r="BC483" s="331"/>
      <c r="BD483" s="331"/>
      <c r="BE483" s="331"/>
      <c r="BF483" s="331"/>
    </row>
    <row r="484" spans="1:58" s="479" customFormat="1" ht="16.5" customHeight="1" thickBot="1">
      <c r="A484" s="476" t="s">
        <v>742</v>
      </c>
      <c r="B484" s="184" t="s">
        <v>920</v>
      </c>
      <c r="C484" s="1284">
        <f>CEILING((C483+32*$Z$1),0.1)</f>
        <v>120</v>
      </c>
      <c r="D484" s="1285"/>
      <c r="E484" s="1284">
        <f>CEILING((E483+40*$Z$1),0.1)</f>
        <v>183.8</v>
      </c>
      <c r="F484" s="1285"/>
      <c r="G484" s="1284">
        <f>CEILING((G483+35*$Z$1),0.1)</f>
        <v>140.1</v>
      </c>
      <c r="H484" s="1285"/>
      <c r="I484" s="1284">
        <f>CEILING((I483+35*$Z$1),0.1)</f>
        <v>153.8</v>
      </c>
      <c r="J484" s="1285"/>
      <c r="K484" s="1284">
        <f>CEILING((K483+32*$Z$1),0.1)</f>
        <v>127.5</v>
      </c>
      <c r="L484" s="1285"/>
      <c r="M484" s="342"/>
      <c r="N484" s="342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  <c r="AX484" s="331"/>
      <c r="AY484" s="331"/>
      <c r="AZ484" s="331"/>
      <c r="BA484" s="331"/>
      <c r="BB484" s="331"/>
      <c r="BC484" s="331"/>
      <c r="BD484" s="331"/>
      <c r="BE484" s="331"/>
      <c r="BF484" s="331"/>
    </row>
    <row r="485" spans="1:58" ht="17.25" customHeight="1" thickTop="1">
      <c r="A485" s="1361" t="s">
        <v>202</v>
      </c>
      <c r="B485" s="1362"/>
      <c r="C485" s="1362"/>
      <c r="D485" s="1362"/>
      <c r="E485" s="1362"/>
      <c r="F485" s="1362"/>
      <c r="G485" s="1362"/>
      <c r="H485" s="1362"/>
      <c r="I485" s="1362"/>
      <c r="J485" s="1362"/>
      <c r="K485" s="166"/>
      <c r="L485" s="166"/>
      <c r="M485" s="342"/>
      <c r="N485" s="342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  <c r="AX485" s="331"/>
      <c r="AY485" s="331"/>
      <c r="AZ485" s="331"/>
      <c r="BA485" s="331"/>
      <c r="BB485" s="331"/>
      <c r="BC485" s="331"/>
      <c r="BD485" s="331"/>
      <c r="BE485" s="331"/>
      <c r="BF485" s="331"/>
    </row>
    <row r="486" spans="1:58" s="192" customFormat="1" ht="19.5" customHeight="1">
      <c r="A486" s="107" t="s">
        <v>923</v>
      </c>
      <c r="B486" s="107"/>
      <c r="C486" s="107"/>
      <c r="D486" s="107"/>
      <c r="E486" s="107"/>
      <c r="F486" s="107"/>
      <c r="G486" s="107"/>
      <c r="H486" s="107"/>
      <c r="I486" s="107"/>
      <c r="J486" s="107"/>
      <c r="K486" s="354"/>
      <c r="L486" s="354"/>
      <c r="M486" s="342"/>
      <c r="N486" s="342"/>
      <c r="O486" s="335"/>
      <c r="P486" s="335"/>
      <c r="Q486" s="335"/>
      <c r="R486" s="335"/>
      <c r="S486" s="335"/>
      <c r="T486" s="335"/>
      <c r="U486" s="335"/>
      <c r="V486" s="335"/>
      <c r="W486" s="335"/>
      <c r="X486" s="335"/>
      <c r="Y486" s="335"/>
      <c r="Z486" s="335"/>
      <c r="AA486" s="335"/>
      <c r="AB486" s="335"/>
      <c r="AC486" s="335"/>
      <c r="AD486" s="335"/>
      <c r="AE486" s="335"/>
      <c r="AF486" s="335"/>
      <c r="AG486" s="335"/>
      <c r="AH486" s="335"/>
      <c r="AI486" s="335"/>
      <c r="AJ486" s="335"/>
      <c r="AK486" s="335"/>
      <c r="AL486" s="335"/>
      <c r="AM486" s="335"/>
      <c r="AN486" s="335"/>
      <c r="AO486" s="335"/>
      <c r="AP486" s="335"/>
      <c r="AQ486" s="335"/>
      <c r="AR486" s="335"/>
      <c r="AS486" s="335"/>
      <c r="AT486" s="335"/>
      <c r="AU486" s="335"/>
      <c r="AV486" s="335"/>
      <c r="AW486" s="335"/>
      <c r="AX486" s="335"/>
      <c r="AY486" s="335"/>
      <c r="AZ486" s="335"/>
      <c r="BA486" s="335"/>
      <c r="BB486" s="335"/>
      <c r="BC486" s="335"/>
      <c r="BD486" s="335"/>
      <c r="BE486" s="335"/>
      <c r="BF486" s="335"/>
    </row>
    <row r="487" spans="1:58" s="776" customFormat="1" ht="15">
      <c r="A487" s="1306"/>
      <c r="B487" s="1307"/>
      <c r="C487" s="1307"/>
      <c r="D487" s="1307"/>
      <c r="E487" s="1307"/>
      <c r="F487" s="1307"/>
      <c r="G487" s="1307"/>
      <c r="H487" s="1307"/>
      <c r="I487" s="1307"/>
      <c r="J487" s="1307"/>
      <c r="K487" s="775"/>
      <c r="L487" s="775"/>
      <c r="M487" s="335"/>
      <c r="N487" s="335"/>
      <c r="O487" s="335"/>
      <c r="P487" s="335"/>
      <c r="Q487" s="335"/>
      <c r="R487" s="335"/>
      <c r="S487" s="335"/>
      <c r="T487" s="335"/>
      <c r="U487" s="335"/>
      <c r="V487" s="335"/>
      <c r="W487" s="335"/>
      <c r="X487" s="335"/>
      <c r="Y487" s="335"/>
      <c r="Z487" s="335"/>
      <c r="AA487" s="335"/>
      <c r="AB487" s="335"/>
      <c r="AC487" s="335"/>
      <c r="AD487" s="335"/>
      <c r="AE487" s="335"/>
      <c r="AF487" s="335"/>
      <c r="AG487" s="335"/>
      <c r="AH487" s="335"/>
      <c r="AI487" s="335"/>
      <c r="AJ487" s="335"/>
      <c r="AK487" s="335"/>
      <c r="AL487" s="335"/>
      <c r="AM487" s="335"/>
      <c r="AN487" s="335"/>
      <c r="AO487" s="335"/>
      <c r="AP487" s="335"/>
      <c r="AQ487" s="335"/>
      <c r="AR487" s="335"/>
      <c r="AS487" s="335"/>
      <c r="AT487" s="335"/>
      <c r="AU487" s="335"/>
      <c r="AV487" s="335"/>
      <c r="AW487" s="335"/>
      <c r="AX487" s="335"/>
      <c r="AY487" s="335"/>
      <c r="AZ487" s="335"/>
      <c r="BA487" s="335"/>
      <c r="BB487" s="335"/>
      <c r="BC487" s="335"/>
      <c r="BD487" s="335"/>
      <c r="BE487" s="335"/>
      <c r="BF487" s="335"/>
    </row>
    <row r="488" spans="1:58" s="479" customFormat="1" ht="23.25" customHeight="1">
      <c r="A488" s="794" t="s">
        <v>43</v>
      </c>
      <c r="B488" s="819" t="s">
        <v>961</v>
      </c>
      <c r="C488" s="795" t="s">
        <v>884</v>
      </c>
      <c r="D488" s="796"/>
      <c r="E488" s="773" t="s">
        <v>911</v>
      </c>
      <c r="F488" s="766"/>
      <c r="G488" s="765" t="s">
        <v>912</v>
      </c>
      <c r="H488" s="766"/>
      <c r="I488" s="1280" t="s">
        <v>881</v>
      </c>
      <c r="J488" s="1281"/>
      <c r="K488" s="1280" t="s">
        <v>882</v>
      </c>
      <c r="L488" s="1281"/>
      <c r="M488" s="1323"/>
      <c r="N488" s="1328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  <c r="AX488" s="331"/>
      <c r="AY488" s="331"/>
      <c r="AZ488" s="331"/>
      <c r="BA488" s="331"/>
      <c r="BB488" s="331"/>
      <c r="BC488" s="331"/>
      <c r="BD488" s="331"/>
      <c r="BE488" s="331"/>
      <c r="BF488" s="331"/>
    </row>
    <row r="489" spans="1:58" s="479" customFormat="1" ht="17.25" customHeight="1">
      <c r="A489" s="729" t="s">
        <v>354</v>
      </c>
      <c r="B489" s="467" t="s">
        <v>460</v>
      </c>
      <c r="C489" s="1266">
        <f>CEILING(45*$Z$1,0.1)</f>
        <v>56.300000000000004</v>
      </c>
      <c r="D489" s="1267"/>
      <c r="E489" s="1266">
        <f>CEILING(86*$Z$1,0.1)</f>
        <v>107.5</v>
      </c>
      <c r="F489" s="1267"/>
      <c r="G489" s="1266">
        <f>CEILING(62*$Z$1,0.1)</f>
        <v>77.5</v>
      </c>
      <c r="H489" s="1267"/>
      <c r="I489" s="1266">
        <f>CEILING(72*$Z$1,0.1)</f>
        <v>90</v>
      </c>
      <c r="J489" s="1267"/>
      <c r="K489" s="1266">
        <f>CEILING(46*$Z$1,0.1)</f>
        <v>57.5</v>
      </c>
      <c r="L489" s="1267"/>
      <c r="M489" s="403"/>
      <c r="N489" s="342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  <c r="AX489" s="331"/>
      <c r="AY489" s="331"/>
      <c r="AZ489" s="331"/>
      <c r="BA489" s="331"/>
      <c r="BB489" s="331"/>
      <c r="BC489" s="331"/>
      <c r="BD489" s="331"/>
      <c r="BE489" s="331"/>
      <c r="BF489" s="331"/>
    </row>
    <row r="490" spans="1:58" ht="19.5" customHeight="1">
      <c r="A490" s="730" t="s">
        <v>59</v>
      </c>
      <c r="B490" s="467" t="s">
        <v>461</v>
      </c>
      <c r="C490" s="1268">
        <f>CEILING((C489+22*$Z$1),0.1)</f>
        <v>83.80000000000001</v>
      </c>
      <c r="D490" s="1270"/>
      <c r="E490" s="1268">
        <f>CEILING((E489+22*$Z$1),0.1)</f>
        <v>135</v>
      </c>
      <c r="F490" s="1270"/>
      <c r="G490" s="1268">
        <f>CEILING((G489+22*$Z$1),0.1)</f>
        <v>105</v>
      </c>
      <c r="H490" s="1270"/>
      <c r="I490" s="1268">
        <f>CEILING((I489+22*$Z$1),0.1)</f>
        <v>117.5</v>
      </c>
      <c r="J490" s="1270"/>
      <c r="K490" s="1268">
        <f>CEILING((K489+22*$Z$1),0.1)</f>
        <v>85</v>
      </c>
      <c r="L490" s="1270"/>
      <c r="M490" s="1088"/>
      <c r="N490" s="423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  <c r="AX490" s="331"/>
      <c r="AY490" s="331"/>
      <c r="AZ490" s="331"/>
      <c r="BA490" s="331"/>
      <c r="BB490" s="331"/>
      <c r="BC490" s="331"/>
      <c r="BD490" s="331"/>
      <c r="BE490" s="331"/>
      <c r="BF490" s="331"/>
    </row>
    <row r="491" spans="1:58" s="479" customFormat="1" ht="17.25" customHeight="1">
      <c r="A491" s="731"/>
      <c r="B491" s="467" t="s">
        <v>87</v>
      </c>
      <c r="C491" s="1268">
        <f>CEILING((C489*0.5),0.1)</f>
        <v>28.200000000000003</v>
      </c>
      <c r="D491" s="1270"/>
      <c r="E491" s="1268">
        <f>CEILING((E489*0.5),0.1)</f>
        <v>53.800000000000004</v>
      </c>
      <c r="F491" s="1270"/>
      <c r="G491" s="1268">
        <f>CEILING((G489*0.5),0.1)</f>
        <v>38.800000000000004</v>
      </c>
      <c r="H491" s="1270"/>
      <c r="I491" s="1268">
        <f>CEILING((I489*0.5),0.1)</f>
        <v>45</v>
      </c>
      <c r="J491" s="1270"/>
      <c r="K491" s="1268">
        <f>CEILING((K489*0.5),0.1)</f>
        <v>28.8</v>
      </c>
      <c r="L491" s="1270"/>
      <c r="M491" s="673"/>
      <c r="N491" s="342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  <c r="AX491" s="331"/>
      <c r="AY491" s="331"/>
      <c r="AZ491" s="331"/>
      <c r="BA491" s="331"/>
      <c r="BB491" s="331"/>
      <c r="BC491" s="331"/>
      <c r="BD491" s="331"/>
      <c r="BE491" s="331"/>
      <c r="BF491" s="331"/>
    </row>
    <row r="492" spans="1:58" s="479" customFormat="1" ht="17.25" customHeight="1">
      <c r="A492" s="731"/>
      <c r="B492" s="467" t="s">
        <v>743</v>
      </c>
      <c r="C492" s="1268">
        <f>CEILING(50*$Z$1,0.1)</f>
        <v>62.5</v>
      </c>
      <c r="D492" s="1270"/>
      <c r="E492" s="1268">
        <f>CEILING(91*$Z$1,0.1)</f>
        <v>113.80000000000001</v>
      </c>
      <c r="F492" s="1270"/>
      <c r="G492" s="1268">
        <f>CEILING(67*$Z$1,0.1)</f>
        <v>83.80000000000001</v>
      </c>
      <c r="H492" s="1270"/>
      <c r="I492" s="1268">
        <f>CEILING(77*$Z$1,0.1)</f>
        <v>96.30000000000001</v>
      </c>
      <c r="J492" s="1270"/>
      <c r="K492" s="1268">
        <f>CEILING(51*$Z$1,0.1)</f>
        <v>63.800000000000004</v>
      </c>
      <c r="L492" s="1270"/>
      <c r="M492" s="673"/>
      <c r="N492" s="342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  <c r="AX492" s="331"/>
      <c r="AY492" s="331"/>
      <c r="AZ492" s="331"/>
      <c r="BA492" s="331"/>
      <c r="BB492" s="331"/>
      <c r="BC492" s="331"/>
      <c r="BD492" s="331"/>
      <c r="BE492" s="331"/>
      <c r="BF492" s="331"/>
    </row>
    <row r="493" spans="1:58" s="479" customFormat="1" ht="17.25" customHeight="1">
      <c r="A493" s="610" t="s">
        <v>745</v>
      </c>
      <c r="B493" s="468" t="s">
        <v>744</v>
      </c>
      <c r="C493" s="1284">
        <f>CEILING((C492+22*$Z$1),0.1)</f>
        <v>90</v>
      </c>
      <c r="D493" s="1285"/>
      <c r="E493" s="1284">
        <f>CEILING((E492+22*$Z$1),0.1)</f>
        <v>141.3</v>
      </c>
      <c r="F493" s="1285"/>
      <c r="G493" s="1284">
        <f>CEILING((G492+22*$Z$1),0.1)</f>
        <v>111.30000000000001</v>
      </c>
      <c r="H493" s="1285"/>
      <c r="I493" s="1284">
        <f>CEILING((I492+22*$Z$1),0.1)</f>
        <v>123.80000000000001</v>
      </c>
      <c r="J493" s="1285"/>
      <c r="K493" s="1284">
        <f>CEILING((K492+22*$Z$1),0.1)</f>
        <v>91.30000000000001</v>
      </c>
      <c r="L493" s="1285"/>
      <c r="M493" s="673"/>
      <c r="N493" s="342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  <c r="AX493" s="331"/>
      <c r="AY493" s="331"/>
      <c r="AZ493" s="331"/>
      <c r="BA493" s="331"/>
      <c r="BB493" s="331"/>
      <c r="BC493" s="331"/>
      <c r="BD493" s="331"/>
      <c r="BE493" s="331"/>
      <c r="BF493" s="331"/>
    </row>
    <row r="494" spans="1:58" s="192" customFormat="1" ht="19.5" customHeight="1">
      <c r="A494" s="107" t="s">
        <v>958</v>
      </c>
      <c r="B494" s="107"/>
      <c r="C494" s="107"/>
      <c r="D494" s="107"/>
      <c r="E494" s="107"/>
      <c r="F494" s="107"/>
      <c r="G494" s="107"/>
      <c r="H494" s="107"/>
      <c r="I494" s="107"/>
      <c r="J494" s="107"/>
      <c r="K494" s="354"/>
      <c r="L494" s="354"/>
      <c r="M494" s="342"/>
      <c r="N494" s="342"/>
      <c r="O494" s="335"/>
      <c r="P494" s="335"/>
      <c r="Q494" s="335"/>
      <c r="R494" s="335"/>
      <c r="S494" s="335"/>
      <c r="T494" s="335"/>
      <c r="U494" s="335"/>
      <c r="V494" s="335"/>
      <c r="W494" s="335"/>
      <c r="X494" s="335"/>
      <c r="Y494" s="335"/>
      <c r="Z494" s="335"/>
      <c r="AA494" s="335"/>
      <c r="AB494" s="335"/>
      <c r="AC494" s="335"/>
      <c r="AD494" s="335"/>
      <c r="AE494" s="335"/>
      <c r="AF494" s="335"/>
      <c r="AG494" s="335"/>
      <c r="AH494" s="335"/>
      <c r="AI494" s="335"/>
      <c r="AJ494" s="335"/>
      <c r="AK494" s="335"/>
      <c r="AL494" s="335"/>
      <c r="AM494" s="335"/>
      <c r="AN494" s="335"/>
      <c r="AO494" s="335"/>
      <c r="AP494" s="335"/>
      <c r="AQ494" s="335"/>
      <c r="AR494" s="335"/>
      <c r="AS494" s="335"/>
      <c r="AT494" s="335"/>
      <c r="AU494" s="335"/>
      <c r="AV494" s="335"/>
      <c r="AW494" s="335"/>
      <c r="AX494" s="335"/>
      <c r="AY494" s="335"/>
      <c r="AZ494" s="335"/>
      <c r="BA494" s="335"/>
      <c r="BB494" s="335"/>
      <c r="BC494" s="335"/>
      <c r="BD494" s="335"/>
      <c r="BE494" s="335"/>
      <c r="BF494" s="335"/>
    </row>
    <row r="495" spans="1:58" s="776" customFormat="1" ht="15">
      <c r="A495" s="1306"/>
      <c r="B495" s="1307"/>
      <c r="C495" s="1307"/>
      <c r="D495" s="1307"/>
      <c r="E495" s="1307"/>
      <c r="F495" s="1307"/>
      <c r="G495" s="1307"/>
      <c r="H495" s="1307"/>
      <c r="I495" s="1307"/>
      <c r="J495" s="1307"/>
      <c r="K495" s="775"/>
      <c r="L495" s="775"/>
      <c r="M495" s="335"/>
      <c r="N495" s="335"/>
      <c r="O495" s="335"/>
      <c r="P495" s="335"/>
      <c r="Q495" s="335"/>
      <c r="R495" s="335"/>
      <c r="S495" s="335"/>
      <c r="T495" s="335"/>
      <c r="U495" s="335"/>
      <c r="V495" s="335"/>
      <c r="W495" s="335"/>
      <c r="X495" s="335"/>
      <c r="Y495" s="335"/>
      <c r="Z495" s="335"/>
      <c r="AA495" s="335"/>
      <c r="AB495" s="335"/>
      <c r="AC495" s="335"/>
      <c r="AD495" s="335"/>
      <c r="AE495" s="335"/>
      <c r="AF495" s="335"/>
      <c r="AG495" s="335"/>
      <c r="AH495" s="335"/>
      <c r="AI495" s="335"/>
      <c r="AJ495" s="335"/>
      <c r="AK495" s="335"/>
      <c r="AL495" s="335"/>
      <c r="AM495" s="335"/>
      <c r="AN495" s="335"/>
      <c r="AO495" s="335"/>
      <c r="AP495" s="335"/>
      <c r="AQ495" s="335"/>
      <c r="AR495" s="335"/>
      <c r="AS495" s="335"/>
      <c r="AT495" s="335"/>
      <c r="AU495" s="335"/>
      <c r="AV495" s="335"/>
      <c r="AW495" s="335"/>
      <c r="AX495" s="335"/>
      <c r="AY495" s="335"/>
      <c r="AZ495" s="335"/>
      <c r="BA495" s="335"/>
      <c r="BB495" s="335"/>
      <c r="BC495" s="335"/>
      <c r="BD495" s="335"/>
      <c r="BE495" s="335"/>
      <c r="BF495" s="335"/>
    </row>
    <row r="496" spans="1:58" s="192" customFormat="1" ht="15">
      <c r="A496" s="797" t="s">
        <v>669</v>
      </c>
      <c r="B496" s="779"/>
      <c r="C496" s="779"/>
      <c r="D496" s="779"/>
      <c r="E496" s="779"/>
      <c r="F496" s="779"/>
      <c r="G496" s="779"/>
      <c r="H496" s="779"/>
      <c r="I496" s="779"/>
      <c r="J496" s="779"/>
      <c r="K496" s="279"/>
      <c r="L496" s="279"/>
      <c r="M496" s="335"/>
      <c r="N496" s="335"/>
      <c r="O496" s="335"/>
      <c r="P496" s="335"/>
      <c r="Q496" s="335"/>
      <c r="R496" s="335"/>
      <c r="S496" s="335"/>
      <c r="T496" s="335"/>
      <c r="U496" s="335"/>
      <c r="V496" s="335"/>
      <c r="W496" s="335"/>
      <c r="X496" s="335"/>
      <c r="Y496" s="335"/>
      <c r="Z496" s="335"/>
      <c r="AA496" s="335"/>
      <c r="AB496" s="335"/>
      <c r="AC496" s="335"/>
      <c r="AD496" s="335"/>
      <c r="AE496" s="335"/>
      <c r="AF496" s="335"/>
      <c r="AG496" s="335"/>
      <c r="AH496" s="335"/>
      <c r="AI496" s="335"/>
      <c r="AJ496" s="335"/>
      <c r="AK496" s="335"/>
      <c r="AL496" s="335"/>
      <c r="AM496" s="335"/>
      <c r="AN496" s="335"/>
      <c r="AO496" s="335"/>
      <c r="AP496" s="335"/>
      <c r="AQ496" s="335"/>
      <c r="AR496" s="335"/>
      <c r="AS496" s="335"/>
      <c r="AT496" s="335"/>
      <c r="AU496" s="335"/>
      <c r="AV496" s="335"/>
      <c r="AW496" s="335"/>
      <c r="AX496" s="335"/>
      <c r="AY496" s="335"/>
      <c r="AZ496" s="335"/>
      <c r="BA496" s="335"/>
      <c r="BB496" s="335"/>
      <c r="BC496" s="335"/>
      <c r="BD496" s="335"/>
      <c r="BE496" s="335"/>
      <c r="BF496" s="335"/>
    </row>
    <row r="497" spans="1:58" s="192" customFormat="1" ht="17.25" customHeight="1">
      <c r="A497" s="542"/>
      <c r="B497" s="578"/>
      <c r="C497" s="58"/>
      <c r="D497" s="58"/>
      <c r="E497" s="58"/>
      <c r="F497" s="58"/>
      <c r="G497" s="58"/>
      <c r="H497" s="58"/>
      <c r="I497" s="58"/>
      <c r="J497" s="58"/>
      <c r="K497" s="778"/>
      <c r="L497" s="778"/>
      <c r="M497" s="342"/>
      <c r="N497" s="342"/>
      <c r="O497" s="335"/>
      <c r="P497" s="335"/>
      <c r="Q497" s="335"/>
      <c r="R497" s="335"/>
      <c r="S497" s="335"/>
      <c r="T497" s="335"/>
      <c r="U497" s="335"/>
      <c r="V497" s="335"/>
      <c r="W497" s="335"/>
      <c r="X497" s="335"/>
      <c r="Y497" s="335"/>
      <c r="Z497" s="335"/>
      <c r="AA497" s="335"/>
      <c r="AB497" s="335"/>
      <c r="AC497" s="335"/>
      <c r="AD497" s="335"/>
      <c r="AE497" s="335"/>
      <c r="AF497" s="335"/>
      <c r="AG497" s="335"/>
      <c r="AH497" s="335"/>
      <c r="AI497" s="335"/>
      <c r="AJ497" s="335"/>
      <c r="AK497" s="335"/>
      <c r="AL497" s="335"/>
      <c r="AM497" s="335"/>
      <c r="AN497" s="335"/>
      <c r="AO497" s="335"/>
      <c r="AP497" s="335"/>
      <c r="AQ497" s="335"/>
      <c r="AR497" s="335"/>
      <c r="AS497" s="335"/>
      <c r="AT497" s="335"/>
      <c r="AU497" s="335"/>
      <c r="AV497" s="335"/>
      <c r="AW497" s="335"/>
      <c r="AX497" s="335"/>
      <c r="AY497" s="335"/>
      <c r="AZ497" s="335"/>
      <c r="BA497" s="335"/>
      <c r="BB497" s="335"/>
      <c r="BC497" s="335"/>
      <c r="BD497" s="335"/>
      <c r="BE497" s="335"/>
      <c r="BF497" s="335"/>
    </row>
    <row r="498" spans="1:63" s="663" customFormat="1" ht="23.25" customHeight="1">
      <c r="A498" s="794" t="s">
        <v>43</v>
      </c>
      <c r="B498" s="819" t="s">
        <v>961</v>
      </c>
      <c r="C498" s="798" t="s">
        <v>884</v>
      </c>
      <c r="D498" s="799"/>
      <c r="E498" s="773" t="s">
        <v>911</v>
      </c>
      <c r="F498" s="766"/>
      <c r="G498" s="765" t="s">
        <v>912</v>
      </c>
      <c r="H498" s="766"/>
      <c r="I498" s="1280" t="s">
        <v>881</v>
      </c>
      <c r="J498" s="1281"/>
      <c r="K498" s="1280" t="s">
        <v>882</v>
      </c>
      <c r="L498" s="1281"/>
      <c r="M498" s="1323"/>
      <c r="N498" s="1328"/>
      <c r="O498" s="335"/>
      <c r="P498" s="335"/>
      <c r="Q498" s="335"/>
      <c r="R498" s="335"/>
      <c r="S498" s="335"/>
      <c r="T498" s="335"/>
      <c r="U498" s="335"/>
      <c r="V498" s="335"/>
      <c r="W498" s="335"/>
      <c r="X498" s="335"/>
      <c r="Y498" s="335"/>
      <c r="Z498" s="335"/>
      <c r="AA498" s="335"/>
      <c r="AB498" s="335"/>
      <c r="AC498" s="335"/>
      <c r="AD498" s="335"/>
      <c r="AE498" s="335"/>
      <c r="AF498" s="335"/>
      <c r="AG498" s="335"/>
      <c r="AH498" s="335"/>
      <c r="AI498" s="335"/>
      <c r="AJ498" s="335"/>
      <c r="AK498" s="335"/>
      <c r="AL498" s="335"/>
      <c r="AM498" s="335"/>
      <c r="AN498" s="335"/>
      <c r="AO498" s="335"/>
      <c r="AP498" s="335"/>
      <c r="AQ498" s="335"/>
      <c r="AR498" s="335"/>
      <c r="AS498" s="335"/>
      <c r="AT498" s="335"/>
      <c r="AU498" s="335"/>
      <c r="AV498" s="335"/>
      <c r="AW498" s="335"/>
      <c r="AX498" s="335"/>
      <c r="AY498" s="335"/>
      <c r="AZ498" s="335"/>
      <c r="BA498" s="335"/>
      <c r="BB498" s="335"/>
      <c r="BC498" s="335"/>
      <c r="BD498" s="335"/>
      <c r="BE498" s="335"/>
      <c r="BF498" s="335"/>
      <c r="BG498" s="192"/>
      <c r="BH498" s="192"/>
      <c r="BI498" s="192"/>
      <c r="BJ498" s="192"/>
      <c r="BK498" s="192"/>
    </row>
    <row r="499" spans="1:58" s="479" customFormat="1" ht="15">
      <c r="A499" s="62" t="s">
        <v>353</v>
      </c>
      <c r="B499" s="29" t="s">
        <v>51</v>
      </c>
      <c r="C499" s="1266">
        <f>CEILING(52*$Z$1,0.1)</f>
        <v>65</v>
      </c>
      <c r="D499" s="1267"/>
      <c r="E499" s="1266">
        <f>CEILING(99*$Z$1,0.1)</f>
        <v>123.80000000000001</v>
      </c>
      <c r="F499" s="1267"/>
      <c r="G499" s="1266">
        <f>CEILING(72*$Z$1,0.1)</f>
        <v>90</v>
      </c>
      <c r="H499" s="1267"/>
      <c r="I499" s="1266">
        <f>CEILING(84*$Z$1,0.1)</f>
        <v>105</v>
      </c>
      <c r="J499" s="1267"/>
      <c r="K499" s="1266">
        <f>CEILING(55*$Z$1,0.1)</f>
        <v>68.8</v>
      </c>
      <c r="L499" s="1267"/>
      <c r="M499" s="403"/>
      <c r="N499" s="342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  <c r="AX499" s="331"/>
      <c r="AY499" s="331"/>
      <c r="AZ499" s="331"/>
      <c r="BA499" s="331"/>
      <c r="BB499" s="331"/>
      <c r="BC499" s="331"/>
      <c r="BD499" s="331"/>
      <c r="BE499" s="331"/>
      <c r="BF499" s="331"/>
    </row>
    <row r="500" spans="1:58" s="479" customFormat="1" ht="15">
      <c r="A500" s="35" t="s">
        <v>59</v>
      </c>
      <c r="B500" s="29" t="s">
        <v>52</v>
      </c>
      <c r="C500" s="1268">
        <f>CEILING((C499+25*$Z$1),0.1)</f>
        <v>96.30000000000001</v>
      </c>
      <c r="D500" s="1270"/>
      <c r="E500" s="1268">
        <f>CEILING((E499+25*$Z$1),0.1)</f>
        <v>155.10000000000002</v>
      </c>
      <c r="F500" s="1270"/>
      <c r="G500" s="1268">
        <f>CEILING((G499+25*$Z$1),0.1)</f>
        <v>121.30000000000001</v>
      </c>
      <c r="H500" s="1270"/>
      <c r="I500" s="1268">
        <f>CEILING((I499+25*$Z$1),0.1)</f>
        <v>136.3</v>
      </c>
      <c r="J500" s="1270"/>
      <c r="K500" s="1268">
        <f>CEILING((K499+25*$Z$1),0.1)</f>
        <v>100.10000000000001</v>
      </c>
      <c r="L500" s="1270"/>
      <c r="M500" s="342"/>
      <c r="N500" s="342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  <c r="AX500" s="331"/>
      <c r="AY500" s="331"/>
      <c r="AZ500" s="331"/>
      <c r="BA500" s="331"/>
      <c r="BB500" s="331"/>
      <c r="BC500" s="331"/>
      <c r="BD500" s="331"/>
      <c r="BE500" s="331"/>
      <c r="BF500" s="331"/>
    </row>
    <row r="501" spans="1:53" s="479" customFormat="1" ht="15.75" customHeight="1">
      <c r="A501" s="534"/>
      <c r="B501" s="29" t="s">
        <v>47</v>
      </c>
      <c r="C501" s="1268">
        <f>CEILING((C499*0.85),0.1)</f>
        <v>55.300000000000004</v>
      </c>
      <c r="D501" s="1270"/>
      <c r="E501" s="1268">
        <f>CEILING((E499*0.85),0.1)</f>
        <v>105.30000000000001</v>
      </c>
      <c r="F501" s="1270"/>
      <c r="G501" s="1268">
        <f>CEILING((G499*0.85),0.1)</f>
        <v>76.5</v>
      </c>
      <c r="H501" s="1270"/>
      <c r="I501" s="1268">
        <f>CEILING((I499*0.85),0.1)</f>
        <v>89.30000000000001</v>
      </c>
      <c r="J501" s="1270"/>
      <c r="K501" s="1268">
        <f>CEILING((K499*0.85),0.1)</f>
        <v>58.5</v>
      </c>
      <c r="L501" s="1270"/>
      <c r="M501" s="342"/>
      <c r="N501" s="342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  <c r="AX501" s="331"/>
      <c r="AY501" s="331"/>
      <c r="AZ501" s="331"/>
      <c r="BA501" s="331"/>
    </row>
    <row r="502" spans="1:53" ht="15.75" thickBot="1">
      <c r="A502" s="105" t="s">
        <v>745</v>
      </c>
      <c r="B502" s="184" t="s">
        <v>78</v>
      </c>
      <c r="C502" s="1284">
        <f>CEILING((C499*0.5),0.1)</f>
        <v>32.5</v>
      </c>
      <c r="D502" s="1285"/>
      <c r="E502" s="1284">
        <f>CEILING((E499*0.5),0.1)</f>
        <v>61.900000000000006</v>
      </c>
      <c r="F502" s="1285"/>
      <c r="G502" s="1284">
        <f>CEILING((G499*0.5),0.1)</f>
        <v>45</v>
      </c>
      <c r="H502" s="1285"/>
      <c r="I502" s="1284">
        <f>CEILING((I499*0.5),0.1)</f>
        <v>52.5</v>
      </c>
      <c r="J502" s="1285"/>
      <c r="K502" s="1284">
        <f>CEILING((K499*0.5),0.1)</f>
        <v>34.4</v>
      </c>
      <c r="L502" s="1285"/>
      <c r="M502" s="342"/>
      <c r="N502" s="342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  <c r="AX502" s="331"/>
      <c r="AY502" s="331"/>
      <c r="AZ502" s="331"/>
      <c r="BA502" s="331"/>
    </row>
    <row r="503" spans="1:53" s="192" customFormat="1" ht="19.5" customHeight="1" thickTop="1">
      <c r="A503" s="107" t="s">
        <v>931</v>
      </c>
      <c r="B503" s="107"/>
      <c r="C503" s="107"/>
      <c r="D503" s="107"/>
      <c r="E503" s="107"/>
      <c r="F503" s="107"/>
      <c r="G503" s="107"/>
      <c r="H503" s="107"/>
      <c r="I503" s="107"/>
      <c r="J503" s="107"/>
      <c r="K503" s="354"/>
      <c r="L503" s="354"/>
      <c r="M503" s="342"/>
      <c r="N503" s="342"/>
      <c r="O503" s="335"/>
      <c r="P503" s="335"/>
      <c r="Q503" s="335"/>
      <c r="R503" s="335"/>
      <c r="S503" s="335"/>
      <c r="T503" s="335"/>
      <c r="U503" s="335"/>
      <c r="V503" s="335"/>
      <c r="W503" s="335"/>
      <c r="X503" s="335"/>
      <c r="Y503" s="335"/>
      <c r="Z503" s="335"/>
      <c r="AA503" s="335"/>
      <c r="AB503" s="335"/>
      <c r="AC503" s="335"/>
      <c r="AD503" s="335"/>
      <c r="AE503" s="335"/>
      <c r="AF503" s="335"/>
      <c r="AG503" s="335"/>
      <c r="AH503" s="335"/>
      <c r="AI503" s="335"/>
      <c r="AJ503" s="335"/>
      <c r="AK503" s="335"/>
      <c r="AL503" s="335"/>
      <c r="AM503" s="335"/>
      <c r="AN503" s="335"/>
      <c r="AO503" s="335"/>
      <c r="AP503" s="335"/>
      <c r="AQ503" s="335"/>
      <c r="AR503" s="335"/>
      <c r="AS503" s="335"/>
      <c r="AT503" s="335"/>
      <c r="AU503" s="335"/>
      <c r="AV503" s="335"/>
      <c r="AW503" s="335"/>
      <c r="AX503" s="335"/>
      <c r="AY503" s="335"/>
      <c r="AZ503" s="335"/>
      <c r="BA503" s="335"/>
    </row>
    <row r="504" spans="1:53" s="479" customFormat="1" ht="15">
      <c r="A504" s="75" t="s">
        <v>746</v>
      </c>
      <c r="B504" s="50"/>
      <c r="C504" s="599"/>
      <c r="D504" s="599"/>
      <c r="E504" s="599"/>
      <c r="F504" s="599"/>
      <c r="G504" s="599"/>
      <c r="H504" s="599"/>
      <c r="I504" s="599"/>
      <c r="J504" s="599"/>
      <c r="K504" s="599"/>
      <c r="L504" s="599"/>
      <c r="M504" s="342"/>
      <c r="N504" s="342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  <c r="AX504" s="331"/>
      <c r="AY504" s="331"/>
      <c r="AZ504" s="331"/>
      <c r="BA504" s="331"/>
    </row>
    <row r="505" spans="1:53" s="776" customFormat="1" ht="15">
      <c r="A505" s="1306"/>
      <c r="B505" s="1307"/>
      <c r="C505" s="1307"/>
      <c r="D505" s="1307"/>
      <c r="E505" s="1307"/>
      <c r="F505" s="1307"/>
      <c r="G505" s="1307"/>
      <c r="H505" s="1307"/>
      <c r="I505" s="1307"/>
      <c r="J505" s="1307"/>
      <c r="K505" s="775"/>
      <c r="L505" s="775"/>
      <c r="M505" s="335"/>
      <c r="N505" s="335"/>
      <c r="O505" s="335"/>
      <c r="P505" s="335"/>
      <c r="Q505" s="335"/>
      <c r="R505" s="335"/>
      <c r="S505" s="335"/>
      <c r="T505" s="335"/>
      <c r="U505" s="335"/>
      <c r="V505" s="335"/>
      <c r="W505" s="335"/>
      <c r="X505" s="335"/>
      <c r="Y505" s="335"/>
      <c r="Z505" s="335"/>
      <c r="AA505" s="335"/>
      <c r="AB505" s="335"/>
      <c r="AC505" s="335"/>
      <c r="AD505" s="335"/>
      <c r="AE505" s="335"/>
      <c r="AF505" s="335"/>
      <c r="AG505" s="335"/>
      <c r="AH505" s="335"/>
      <c r="AI505" s="335"/>
      <c r="AJ505" s="335"/>
      <c r="AK505" s="335"/>
      <c r="AL505" s="335"/>
      <c r="AM505" s="335"/>
      <c r="AN505" s="335"/>
      <c r="AO505" s="335"/>
      <c r="AP505" s="335"/>
      <c r="AQ505" s="335"/>
      <c r="AR505" s="335"/>
      <c r="AS505" s="335"/>
      <c r="AT505" s="335"/>
      <c r="AU505" s="335"/>
      <c r="AV505" s="335"/>
      <c r="AW505" s="335"/>
      <c r="AX505" s="335"/>
      <c r="AY505" s="335"/>
      <c r="AZ505" s="335"/>
      <c r="BA505" s="335"/>
    </row>
    <row r="506" spans="1:25" s="192" customFormat="1" ht="15">
      <c r="A506" s="797" t="s">
        <v>669</v>
      </c>
      <c r="B506" s="779"/>
      <c r="C506" s="779"/>
      <c r="D506" s="779"/>
      <c r="E506" s="779"/>
      <c r="F506" s="779"/>
      <c r="G506" s="779"/>
      <c r="H506" s="779"/>
      <c r="I506" s="779"/>
      <c r="J506" s="779"/>
      <c r="K506" s="279"/>
      <c r="L506" s="279"/>
      <c r="M506" s="481"/>
      <c r="N506" s="481"/>
      <c r="O506" s="481"/>
      <c r="P506" s="481"/>
      <c r="Q506" s="481"/>
      <c r="R506" s="481"/>
      <c r="S506" s="481"/>
      <c r="T506" s="481"/>
      <c r="U506" s="481"/>
      <c r="V506" s="481"/>
      <c r="W506" s="481"/>
      <c r="X506" s="481"/>
      <c r="Y506" s="481"/>
    </row>
    <row r="507" spans="1:14" ht="15">
      <c r="A507" s="107"/>
      <c r="B507" s="58"/>
      <c r="C507" s="58"/>
      <c r="D507" s="58"/>
      <c r="E507" s="58"/>
      <c r="F507" s="58"/>
      <c r="G507" s="58"/>
      <c r="H507" s="58"/>
      <c r="I507" s="58"/>
      <c r="J507" s="58"/>
      <c r="K507" s="94"/>
      <c r="L507" s="313"/>
      <c r="M507" s="20"/>
      <c r="N507" s="20"/>
    </row>
    <row r="508" spans="1:25" s="404" customFormat="1" ht="24" customHeight="1">
      <c r="A508" s="794" t="s">
        <v>43</v>
      </c>
      <c r="B508" s="819" t="s">
        <v>961</v>
      </c>
      <c r="C508" s="795" t="s">
        <v>884</v>
      </c>
      <c r="D508" s="796"/>
      <c r="E508" s="773" t="s">
        <v>933</v>
      </c>
      <c r="F508" s="766"/>
      <c r="G508" s="765" t="s">
        <v>934</v>
      </c>
      <c r="H508" s="766"/>
      <c r="I508" s="1280" t="s">
        <v>881</v>
      </c>
      <c r="J508" s="1281"/>
      <c r="K508" s="1280" t="s">
        <v>882</v>
      </c>
      <c r="L508" s="1281"/>
      <c r="M508" s="21"/>
      <c r="N508" s="20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  <c r="Y508" s="169"/>
    </row>
    <row r="509" spans="1:25" s="404" customFormat="1" ht="17.25" customHeight="1">
      <c r="A509" s="62" t="s">
        <v>932</v>
      </c>
      <c r="B509" s="29" t="s">
        <v>874</v>
      </c>
      <c r="C509" s="1266">
        <f>CEILING(60*$Z$1,0.1)</f>
        <v>75</v>
      </c>
      <c r="D509" s="1267"/>
      <c r="E509" s="1266">
        <f>CEILING(120*$Z$1,0.1)</f>
        <v>150</v>
      </c>
      <c r="F509" s="1267"/>
      <c r="G509" s="1266">
        <f>CEILING(88*$Z$1,0.1)</f>
        <v>110</v>
      </c>
      <c r="H509" s="1267"/>
      <c r="I509" s="1266">
        <f>CEILING(97*$Z$1,0.1)</f>
        <v>121.30000000000001</v>
      </c>
      <c r="J509" s="1267"/>
      <c r="K509" s="1266">
        <f>CEILING(62*$Z$1,0.1)</f>
        <v>77.5</v>
      </c>
      <c r="L509" s="1267"/>
      <c r="M509" s="21"/>
      <c r="N509" s="20"/>
      <c r="O509" s="169"/>
      <c r="P509" s="169"/>
      <c r="Q509" s="169"/>
      <c r="R509" s="169"/>
      <c r="S509" s="169"/>
      <c r="T509" s="169"/>
      <c r="U509" s="169"/>
      <c r="V509" s="169"/>
      <c r="W509" s="169"/>
      <c r="X509" s="169"/>
      <c r="Y509" s="169"/>
    </row>
    <row r="510" spans="1:25" s="404" customFormat="1" ht="17.25" customHeight="1">
      <c r="A510" s="35" t="s">
        <v>59</v>
      </c>
      <c r="B510" s="29" t="s">
        <v>744</v>
      </c>
      <c r="C510" s="1268">
        <f>CEILING((C509+25*$Z$1),0.1)</f>
        <v>106.30000000000001</v>
      </c>
      <c r="D510" s="1270"/>
      <c r="E510" s="1268">
        <f>CEILING((E509+25*$Z$1),0.1)</f>
        <v>181.3</v>
      </c>
      <c r="F510" s="1270"/>
      <c r="G510" s="1268">
        <f>CEILING((G509+25*$Z$1),0.1)</f>
        <v>141.3</v>
      </c>
      <c r="H510" s="1270"/>
      <c r="I510" s="1268">
        <f>CEILING((I509+25*$Z$1),0.1)</f>
        <v>152.6</v>
      </c>
      <c r="J510" s="1270"/>
      <c r="K510" s="1268">
        <f>CEILING((K509+25*$Z$1),0.1)</f>
        <v>108.80000000000001</v>
      </c>
      <c r="L510" s="1270"/>
      <c r="M510" s="21"/>
      <c r="N510" s="20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</row>
    <row r="511" spans="1:25" s="404" customFormat="1" ht="17.25" customHeight="1">
      <c r="A511" s="735"/>
      <c r="B511" s="29" t="s">
        <v>47</v>
      </c>
      <c r="C511" s="1268">
        <f>CEILING((C509*0.85),0.1)</f>
        <v>63.800000000000004</v>
      </c>
      <c r="D511" s="1270"/>
      <c r="E511" s="1268">
        <f>CEILING((E509*0.85),0.1)</f>
        <v>127.5</v>
      </c>
      <c r="F511" s="1270"/>
      <c r="G511" s="1268">
        <f>CEILING((G509*0.85),0.1)</f>
        <v>93.5</v>
      </c>
      <c r="H511" s="1270"/>
      <c r="I511" s="1268">
        <f>CEILING((I509*0.85),0.1)</f>
        <v>103.2</v>
      </c>
      <c r="J511" s="1270"/>
      <c r="K511" s="1268">
        <f>CEILING((K509*0.85),0.1)</f>
        <v>65.9</v>
      </c>
      <c r="L511" s="1270"/>
      <c r="M511" s="20"/>
      <c r="N511" s="20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</row>
    <row r="512" spans="1:25" s="404" customFormat="1" ht="17.25" customHeight="1" thickBot="1">
      <c r="A512" s="79" t="s">
        <v>745</v>
      </c>
      <c r="B512" s="13" t="s">
        <v>107</v>
      </c>
      <c r="C512" s="1284">
        <f>CEILING((C509*0.5),0.1)</f>
        <v>37.5</v>
      </c>
      <c r="D512" s="1285"/>
      <c r="E512" s="1284">
        <f>CEILING((E509*0.5),0.1)</f>
        <v>75</v>
      </c>
      <c r="F512" s="1285"/>
      <c r="G512" s="1284">
        <f>CEILING((G509*0.5),0.1)</f>
        <v>55</v>
      </c>
      <c r="H512" s="1285"/>
      <c r="I512" s="1284">
        <f>CEILING((I509*0.5),0.1)</f>
        <v>60.7</v>
      </c>
      <c r="J512" s="1285"/>
      <c r="K512" s="1284">
        <f>CEILING((K509*0.5),0.1)</f>
        <v>38.800000000000004</v>
      </c>
      <c r="L512" s="1285"/>
      <c r="M512" s="20"/>
      <c r="N512" s="20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</row>
    <row r="513" spans="1:25" s="192" customFormat="1" ht="19.5" customHeight="1" thickTop="1">
      <c r="A513" s="107" t="s">
        <v>931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354"/>
      <c r="L513" s="354"/>
      <c r="M513" s="20"/>
      <c r="N513" s="20"/>
      <c r="O513" s="481"/>
      <c r="P513" s="481"/>
      <c r="Q513" s="481"/>
      <c r="R513" s="481"/>
      <c r="S513" s="481"/>
      <c r="T513" s="481"/>
      <c r="U513" s="481"/>
      <c r="V513" s="481"/>
      <c r="W513" s="481"/>
      <c r="X513" s="481"/>
      <c r="Y513" s="481"/>
    </row>
    <row r="514" spans="1:39" s="776" customFormat="1" ht="15">
      <c r="A514" s="1306"/>
      <c r="B514" s="1307"/>
      <c r="C514" s="1307"/>
      <c r="D514" s="1307"/>
      <c r="E514" s="1307"/>
      <c r="F514" s="1307"/>
      <c r="G514" s="1307"/>
      <c r="H514" s="1307"/>
      <c r="I514" s="1307"/>
      <c r="J514" s="1307"/>
      <c r="K514" s="775"/>
      <c r="L514" s="347"/>
      <c r="M514" s="335"/>
      <c r="N514" s="335"/>
      <c r="O514" s="335"/>
      <c r="P514" s="335"/>
      <c r="Q514" s="335"/>
      <c r="R514" s="335"/>
      <c r="S514" s="335"/>
      <c r="T514" s="335"/>
      <c r="U514" s="335"/>
      <c r="V514" s="335"/>
      <c r="W514" s="335"/>
      <c r="X514" s="335"/>
      <c r="Y514" s="335"/>
      <c r="Z514" s="335"/>
      <c r="AA514" s="335"/>
      <c r="AB514" s="335"/>
      <c r="AC514" s="335"/>
      <c r="AD514" s="335"/>
      <c r="AE514" s="335"/>
      <c r="AF514" s="335"/>
      <c r="AG514" s="335"/>
      <c r="AH514" s="335"/>
      <c r="AI514" s="335"/>
      <c r="AJ514" s="335"/>
      <c r="AK514" s="335"/>
      <c r="AL514" s="335"/>
      <c r="AM514" s="335"/>
    </row>
    <row r="515" spans="1:25" s="192" customFormat="1" ht="15">
      <c r="A515" s="797" t="s">
        <v>669</v>
      </c>
      <c r="B515" s="779"/>
      <c r="C515" s="779"/>
      <c r="D515" s="779"/>
      <c r="E515" s="779"/>
      <c r="F515" s="779"/>
      <c r="G515" s="779"/>
      <c r="H515" s="779"/>
      <c r="I515" s="779"/>
      <c r="J515" s="779"/>
      <c r="K515" s="279"/>
      <c r="L515" s="279"/>
      <c r="M515" s="481"/>
      <c r="N515" s="481"/>
      <c r="O515" s="481"/>
      <c r="P515" s="481"/>
      <c r="Q515" s="481"/>
      <c r="R515" s="481"/>
      <c r="S515" s="481"/>
      <c r="T515" s="481"/>
      <c r="U515" s="481"/>
      <c r="V515" s="481"/>
      <c r="W515" s="481"/>
      <c r="X515" s="481"/>
      <c r="Y515" s="481"/>
    </row>
    <row r="516" spans="1:25" s="404" customFormat="1" ht="17.25" customHeight="1">
      <c r="A516" s="107"/>
      <c r="B516" s="58"/>
      <c r="C516" s="58"/>
      <c r="D516" s="58"/>
      <c r="E516" s="58"/>
      <c r="F516" s="58"/>
      <c r="G516" s="58"/>
      <c r="H516" s="58"/>
      <c r="I516" s="58"/>
      <c r="J516" s="58"/>
      <c r="K516" s="407"/>
      <c r="L516" s="407"/>
      <c r="M516" s="20"/>
      <c r="N516" s="20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  <c r="Y516" s="169"/>
    </row>
    <row r="517" spans="1:25" s="479" customFormat="1" ht="29.25" customHeight="1">
      <c r="A517" s="794" t="s">
        <v>43</v>
      </c>
      <c r="B517" s="819" t="s">
        <v>961</v>
      </c>
      <c r="C517" s="795" t="s">
        <v>884</v>
      </c>
      <c r="D517" s="796"/>
      <c r="E517" s="773" t="s">
        <v>911</v>
      </c>
      <c r="F517" s="766"/>
      <c r="G517" s="765" t="s">
        <v>912</v>
      </c>
      <c r="H517" s="766"/>
      <c r="I517" s="1280" t="s">
        <v>881</v>
      </c>
      <c r="J517" s="1281"/>
      <c r="K517" s="1280" t="s">
        <v>882</v>
      </c>
      <c r="L517" s="1281"/>
      <c r="M517" s="20"/>
      <c r="N517" s="20"/>
      <c r="O517" s="480"/>
      <c r="P517" s="480"/>
      <c r="Q517" s="480"/>
      <c r="R517" s="480"/>
      <c r="S517" s="480"/>
      <c r="T517" s="480"/>
      <c r="U517" s="480"/>
      <c r="V517" s="480"/>
      <c r="W517" s="480"/>
      <c r="X517" s="480"/>
      <c r="Y517" s="480"/>
    </row>
    <row r="518" spans="1:25" s="479" customFormat="1" ht="17.25" customHeight="1">
      <c r="A518" s="62" t="s">
        <v>1165</v>
      </c>
      <c r="B518" s="29" t="s">
        <v>1167</v>
      </c>
      <c r="C518" s="1266">
        <f>CEILING(41*$Z$1,0.1)</f>
        <v>51.300000000000004</v>
      </c>
      <c r="D518" s="1267"/>
      <c r="E518" s="1268">
        <f>CEILING(88*$Z$1,0.1)</f>
        <v>110</v>
      </c>
      <c r="F518" s="1269"/>
      <c r="G518" s="1268">
        <f>CEILING(48*$Z$1,0.1)</f>
        <v>60</v>
      </c>
      <c r="H518" s="1269"/>
      <c r="I518" s="1266">
        <f>CEILING(60*$Z$1,0.1)</f>
        <v>75</v>
      </c>
      <c r="J518" s="1267"/>
      <c r="K518" s="1266">
        <f>CEILING(43*$Z$1,0.1)</f>
        <v>53.800000000000004</v>
      </c>
      <c r="L518" s="1267"/>
      <c r="M518" s="20"/>
      <c r="N518" s="20"/>
      <c r="O518" s="480"/>
      <c r="P518" s="480"/>
      <c r="Q518" s="480"/>
      <c r="R518" s="480"/>
      <c r="S518" s="480"/>
      <c r="T518" s="480"/>
      <c r="U518" s="480"/>
      <c r="V518" s="480"/>
      <c r="W518" s="480"/>
      <c r="X518" s="480"/>
      <c r="Y518" s="480"/>
    </row>
    <row r="519" spans="1:25" s="479" customFormat="1" ht="17.25" customHeight="1">
      <c r="A519" s="65" t="s">
        <v>59</v>
      </c>
      <c r="B519" s="29" t="s">
        <v>1168</v>
      </c>
      <c r="C519" s="1268">
        <f>CEILING((C518+25*$Z$1),0.1)</f>
        <v>82.60000000000001</v>
      </c>
      <c r="D519" s="1270"/>
      <c r="E519" s="1268">
        <f>CEILING((E518+25*$Z$1),0.1)</f>
        <v>141.3</v>
      </c>
      <c r="F519" s="1270"/>
      <c r="G519" s="1268">
        <f>CEILING((G518+25*$Z$1),0.1)</f>
        <v>91.30000000000001</v>
      </c>
      <c r="H519" s="1270"/>
      <c r="I519" s="1268">
        <f>CEILING((I518+25*$Z$1),0.1)</f>
        <v>106.30000000000001</v>
      </c>
      <c r="J519" s="1270"/>
      <c r="K519" s="1268">
        <f>CEILING((K518+25*$Z$1),0.1)</f>
        <v>85.10000000000001</v>
      </c>
      <c r="L519" s="1270"/>
      <c r="M519" s="20"/>
      <c r="N519" s="20"/>
      <c r="O519" s="480"/>
      <c r="P519" s="480"/>
      <c r="Q519" s="480"/>
      <c r="R519" s="480"/>
      <c r="S519" s="480"/>
      <c r="T519" s="480"/>
      <c r="U519" s="480"/>
      <c r="V519" s="480"/>
      <c r="W519" s="480"/>
      <c r="X519" s="480"/>
      <c r="Y519" s="480"/>
    </row>
    <row r="520" spans="1:25" s="479" customFormat="1" ht="17.25" customHeight="1">
      <c r="A520" s="398"/>
      <c r="B520" s="29" t="s">
        <v>1169</v>
      </c>
      <c r="C520" s="1268">
        <f>CEILING((C518*0.85),0.1)</f>
        <v>43.7</v>
      </c>
      <c r="D520" s="1270"/>
      <c r="E520" s="1268">
        <f>CEILING((E518*0.85),0.1)</f>
        <v>93.5</v>
      </c>
      <c r="F520" s="1270"/>
      <c r="G520" s="1268">
        <f>CEILING((G518*0.85),0.1)</f>
        <v>51</v>
      </c>
      <c r="H520" s="1270"/>
      <c r="I520" s="1268">
        <f>CEILING((I518*0.85),0.1)</f>
        <v>63.800000000000004</v>
      </c>
      <c r="J520" s="1270"/>
      <c r="K520" s="1268">
        <f>CEILING((K518*0.85),0.1)</f>
        <v>45.800000000000004</v>
      </c>
      <c r="L520" s="1270"/>
      <c r="M520" s="20"/>
      <c r="N520" s="20"/>
      <c r="O520" s="480"/>
      <c r="P520" s="480"/>
      <c r="Q520" s="480"/>
      <c r="R520" s="480"/>
      <c r="S520" s="480"/>
      <c r="T520" s="480"/>
      <c r="U520" s="480"/>
      <c r="V520" s="480"/>
      <c r="W520" s="480"/>
      <c r="X520" s="480"/>
      <c r="Y520" s="480"/>
    </row>
    <row r="521" spans="1:25" s="479" customFormat="1" ht="17.25" customHeight="1">
      <c r="A521" s="534"/>
      <c r="B521" s="29" t="s">
        <v>1170</v>
      </c>
      <c r="C521" s="1337">
        <v>0</v>
      </c>
      <c r="D521" s="1338"/>
      <c r="E521" s="1337">
        <v>0</v>
      </c>
      <c r="F521" s="1338"/>
      <c r="G521" s="1337">
        <v>0</v>
      </c>
      <c r="H521" s="1338"/>
      <c r="I521" s="1337">
        <v>0</v>
      </c>
      <c r="J521" s="1338"/>
      <c r="K521" s="1337">
        <v>0</v>
      </c>
      <c r="L521" s="1338"/>
      <c r="M521" s="20"/>
      <c r="N521" s="20"/>
      <c r="O521" s="480"/>
      <c r="P521" s="480"/>
      <c r="Q521" s="480"/>
      <c r="R521" s="480"/>
      <c r="S521" s="480"/>
      <c r="T521" s="480"/>
      <c r="U521" s="480"/>
      <c r="V521" s="480"/>
      <c r="W521" s="480"/>
      <c r="X521" s="480"/>
      <c r="Y521" s="480"/>
    </row>
    <row r="522" spans="1:25" s="479" customFormat="1" ht="17.25" customHeight="1">
      <c r="A522" s="65"/>
      <c r="B522" s="29" t="s">
        <v>944</v>
      </c>
      <c r="C522" s="1337">
        <f>CEILING(51*$Z$1,0.1)</f>
        <v>63.800000000000004</v>
      </c>
      <c r="D522" s="1338"/>
      <c r="E522" s="1337">
        <f>CEILING(98*$Z$1,0.1)</f>
        <v>122.5</v>
      </c>
      <c r="F522" s="1338"/>
      <c r="G522" s="1337">
        <f>CEILING(58*$Z$1,0.1)</f>
        <v>72.5</v>
      </c>
      <c r="H522" s="1338"/>
      <c r="I522" s="1337">
        <f>CEILING(70*$Z$1,0.1)</f>
        <v>87.5</v>
      </c>
      <c r="J522" s="1338"/>
      <c r="K522" s="1337">
        <f>CEILING(53*$Z$1,0.1)</f>
        <v>66.3</v>
      </c>
      <c r="L522" s="1338"/>
      <c r="M522" s="20"/>
      <c r="N522" s="20"/>
      <c r="O522" s="480"/>
      <c r="P522" s="480"/>
      <c r="Q522" s="480"/>
      <c r="R522" s="480"/>
      <c r="S522" s="480"/>
      <c r="T522" s="480"/>
      <c r="U522" s="480"/>
      <c r="V522" s="480"/>
      <c r="W522" s="480"/>
      <c r="X522" s="480"/>
      <c r="Y522" s="480"/>
    </row>
    <row r="523" spans="1:25" s="479" customFormat="1" ht="17.25" customHeight="1" thickBot="1">
      <c r="A523" s="79" t="s">
        <v>1166</v>
      </c>
      <c r="B523" s="13" t="s">
        <v>945</v>
      </c>
      <c r="C523" s="1275">
        <f>CEILING((C522+25*$Z$1),0.1)</f>
        <v>95.10000000000001</v>
      </c>
      <c r="D523" s="1277"/>
      <c r="E523" s="1275">
        <f>CEILING((E522+25*$Z$1),0.1)</f>
        <v>153.8</v>
      </c>
      <c r="F523" s="1277"/>
      <c r="G523" s="1275">
        <f>CEILING((G522+25*$Z$1),0.1)</f>
        <v>103.80000000000001</v>
      </c>
      <c r="H523" s="1277"/>
      <c r="I523" s="1275">
        <f>CEILING((I522+25*$Z$1),0.1)</f>
        <v>118.80000000000001</v>
      </c>
      <c r="J523" s="1277"/>
      <c r="K523" s="1275">
        <f>CEILING((K522+25*$Z$1),0.1)</f>
        <v>97.60000000000001</v>
      </c>
      <c r="L523" s="1277"/>
      <c r="M523" s="20"/>
      <c r="N523" s="20"/>
      <c r="O523" s="480"/>
      <c r="P523" s="480"/>
      <c r="Q523" s="480"/>
      <c r="R523" s="480"/>
      <c r="S523" s="480"/>
      <c r="T523" s="480"/>
      <c r="U523" s="480"/>
      <c r="V523" s="480"/>
      <c r="W523" s="480"/>
      <c r="X523" s="480"/>
      <c r="Y523" s="480"/>
    </row>
    <row r="524" spans="1:25" s="192" customFormat="1" ht="19.5" customHeight="1" thickTop="1">
      <c r="A524" s="107" t="s">
        <v>931</v>
      </c>
      <c r="B524" s="107"/>
      <c r="C524" s="107"/>
      <c r="D524" s="107"/>
      <c r="E524" s="107"/>
      <c r="F524" s="107"/>
      <c r="G524" s="107"/>
      <c r="H524" s="107"/>
      <c r="I524" s="107"/>
      <c r="J524" s="107"/>
      <c r="K524" s="354"/>
      <c r="L524" s="354"/>
      <c r="M524" s="20"/>
      <c r="N524" s="20"/>
      <c r="O524" s="481"/>
      <c r="P524" s="481"/>
      <c r="Q524" s="481"/>
      <c r="R524" s="481"/>
      <c r="S524" s="481"/>
      <c r="T524" s="481"/>
      <c r="U524" s="481"/>
      <c r="V524" s="481"/>
      <c r="W524" s="481"/>
      <c r="X524" s="481"/>
      <c r="Y524" s="481"/>
    </row>
    <row r="525" spans="1:72" s="776" customFormat="1" ht="15">
      <c r="A525" s="1306"/>
      <c r="B525" s="1307"/>
      <c r="C525" s="1307"/>
      <c r="D525" s="1307"/>
      <c r="E525" s="1307"/>
      <c r="F525" s="1307"/>
      <c r="G525" s="1307"/>
      <c r="H525" s="1307"/>
      <c r="I525" s="1307"/>
      <c r="J525" s="1307"/>
      <c r="K525" s="775"/>
      <c r="L525" s="775"/>
      <c r="M525" s="335"/>
      <c r="N525" s="335"/>
      <c r="O525" s="335"/>
      <c r="P525" s="335"/>
      <c r="Q525" s="335"/>
      <c r="R525" s="335"/>
      <c r="S525" s="335"/>
      <c r="T525" s="335"/>
      <c r="U525" s="335"/>
      <c r="V525" s="335"/>
      <c r="W525" s="335"/>
      <c r="X525" s="335"/>
      <c r="Y525" s="335"/>
      <c r="Z525" s="335"/>
      <c r="AA525" s="335"/>
      <c r="AB525" s="335"/>
      <c r="AC525" s="335"/>
      <c r="AD525" s="335"/>
      <c r="AE525" s="335"/>
      <c r="AF525" s="335"/>
      <c r="AG525" s="335"/>
      <c r="AH525" s="335"/>
      <c r="AI525" s="335"/>
      <c r="AJ525" s="335"/>
      <c r="AK525" s="335"/>
      <c r="AL525" s="335"/>
      <c r="AM525" s="335"/>
      <c r="AN525" s="335"/>
      <c r="AO525" s="335"/>
      <c r="AP525" s="335"/>
      <c r="AQ525" s="335"/>
      <c r="AR525" s="335"/>
      <c r="AS525" s="335"/>
      <c r="AT525" s="335"/>
      <c r="AU525" s="335"/>
      <c r="AV525" s="335"/>
      <c r="AW525" s="335"/>
      <c r="AX525" s="335"/>
      <c r="AY525" s="335"/>
      <c r="AZ525" s="335"/>
      <c r="BA525" s="335"/>
      <c r="BB525" s="335"/>
      <c r="BC525" s="335"/>
      <c r="BD525" s="335"/>
      <c r="BE525" s="335"/>
      <c r="BF525" s="335"/>
      <c r="BG525" s="335"/>
      <c r="BH525" s="335"/>
      <c r="BI525" s="335"/>
      <c r="BJ525" s="335"/>
      <c r="BK525" s="335"/>
      <c r="BL525" s="335"/>
      <c r="BM525" s="335"/>
      <c r="BN525" s="335"/>
      <c r="BO525" s="335"/>
      <c r="BP525" s="335"/>
      <c r="BQ525" s="335"/>
      <c r="BR525" s="335"/>
      <c r="BS525" s="335"/>
      <c r="BT525" s="335"/>
    </row>
    <row r="526" spans="1:45" s="1109" customFormat="1" ht="18" customHeight="1">
      <c r="A526" s="1107" t="s">
        <v>1171</v>
      </c>
      <c r="B526" s="1107"/>
      <c r="C526" s="1107"/>
      <c r="D526" s="1107"/>
      <c r="E526" s="1107"/>
      <c r="F526" s="1107"/>
      <c r="G526" s="1107"/>
      <c r="H526" s="1107"/>
      <c r="I526" s="1107"/>
      <c r="J526" s="1107"/>
      <c r="K526" s="1108"/>
      <c r="L526" s="1108"/>
      <c r="M526" s="1110"/>
      <c r="N526" s="1110"/>
      <c r="O526" s="1072"/>
      <c r="P526" s="1072"/>
      <c r="Q526" s="1072"/>
      <c r="R526" s="1072"/>
      <c r="S526" s="1072"/>
      <c r="T526" s="1072"/>
      <c r="U526" s="1072"/>
      <c r="V526" s="1072"/>
      <c r="W526" s="1072"/>
      <c r="X526" s="1072"/>
      <c r="Y526" s="1072"/>
      <c r="Z526" s="1072"/>
      <c r="AA526" s="1072"/>
      <c r="AB526" s="1072"/>
      <c r="AC526" s="1072"/>
      <c r="AD526" s="1072"/>
      <c r="AE526" s="1072"/>
      <c r="AF526" s="1072"/>
      <c r="AG526" s="1072"/>
      <c r="AH526" s="1072"/>
      <c r="AI526" s="1072"/>
      <c r="AJ526" s="1072"/>
      <c r="AK526" s="1072"/>
      <c r="AL526" s="1072"/>
      <c r="AM526" s="1072"/>
      <c r="AN526" s="1072"/>
      <c r="AO526" s="1072"/>
      <c r="AP526" s="1072"/>
      <c r="AQ526" s="1072"/>
      <c r="AR526" s="1072"/>
      <c r="AS526" s="1072"/>
    </row>
    <row r="527" spans="1:25" s="192" customFormat="1" ht="15">
      <c r="A527" s="955" t="s">
        <v>921</v>
      </c>
      <c r="B527" s="949"/>
      <c r="C527" s="949"/>
      <c r="D527" s="949"/>
      <c r="E527" s="949"/>
      <c r="F527" s="949"/>
      <c r="G527" s="949"/>
      <c r="H527" s="949"/>
      <c r="I527" s="949"/>
      <c r="J527" s="949"/>
      <c r="K527" s="279"/>
      <c r="L527" s="279"/>
      <c r="M527" s="481"/>
      <c r="N527" s="481"/>
      <c r="O527" s="481"/>
      <c r="P527" s="481"/>
      <c r="Q527" s="481"/>
      <c r="R527" s="481"/>
      <c r="S527" s="481"/>
      <c r="T527" s="481"/>
      <c r="U527" s="481"/>
      <c r="V527" s="481"/>
      <c r="W527" s="481"/>
      <c r="X527" s="481"/>
      <c r="Y527" s="481"/>
    </row>
    <row r="528" spans="1:27" s="479" customFormat="1" ht="18" customHeight="1">
      <c r="A528" s="1318"/>
      <c r="B528" s="1318"/>
      <c r="C528" s="1318"/>
      <c r="D528" s="1318"/>
      <c r="E528" s="1318"/>
      <c r="F528" s="1318"/>
      <c r="G528" s="1318"/>
      <c r="H528" s="1318"/>
      <c r="I528" s="1269"/>
      <c r="J528" s="1269"/>
      <c r="K528" s="1269"/>
      <c r="L528" s="1269"/>
      <c r="M528" s="20"/>
      <c r="N528" s="20"/>
      <c r="O528" s="481"/>
      <c r="P528" s="481"/>
      <c r="Q528" s="481"/>
      <c r="R528" s="481"/>
      <c r="S528" s="481"/>
      <c r="T528" s="481"/>
      <c r="U528" s="481"/>
      <c r="V528" s="481"/>
      <c r="W528" s="481"/>
      <c r="X528" s="481"/>
      <c r="Y528" s="481"/>
      <c r="Z528" s="192"/>
      <c r="AA528" s="192"/>
    </row>
    <row r="529" spans="1:27" s="663" customFormat="1" ht="23.25" customHeight="1">
      <c r="A529" s="794" t="s">
        <v>43</v>
      </c>
      <c r="B529" s="819" t="s">
        <v>961</v>
      </c>
      <c r="C529" s="795" t="s">
        <v>884</v>
      </c>
      <c r="D529" s="796"/>
      <c r="E529" s="773" t="s">
        <v>911</v>
      </c>
      <c r="F529" s="766"/>
      <c r="G529" s="765" t="s">
        <v>912</v>
      </c>
      <c r="H529" s="766"/>
      <c r="I529" s="1280" t="s">
        <v>881</v>
      </c>
      <c r="J529" s="1281"/>
      <c r="K529" s="1280" t="s">
        <v>882</v>
      </c>
      <c r="L529" s="1281"/>
      <c r="M529" s="1323"/>
      <c r="N529" s="1328"/>
      <c r="O529" s="481"/>
      <c r="P529" s="481"/>
      <c r="Q529" s="481"/>
      <c r="R529" s="481"/>
      <c r="S529" s="481"/>
      <c r="T529" s="481"/>
      <c r="U529" s="481"/>
      <c r="V529" s="481"/>
      <c r="W529" s="481"/>
      <c r="X529" s="481"/>
      <c r="Y529" s="481"/>
      <c r="Z529" s="192"/>
      <c r="AA529" s="192"/>
    </row>
    <row r="530" spans="1:25" s="404" customFormat="1" ht="18" customHeight="1">
      <c r="A530" s="212" t="s">
        <v>809</v>
      </c>
      <c r="B530" s="800" t="s">
        <v>364</v>
      </c>
      <c r="C530" s="1266">
        <f>CEILING(60*$Z$1,0.1)</f>
        <v>75</v>
      </c>
      <c r="D530" s="1267"/>
      <c r="E530" s="1268">
        <f>CEILING(110*$Z$1,0.1)</f>
        <v>137.5</v>
      </c>
      <c r="F530" s="1270"/>
      <c r="G530" s="1268">
        <f>CEILING(77*$Z$1,0.1)</f>
        <v>96.30000000000001</v>
      </c>
      <c r="H530" s="1270"/>
      <c r="I530" s="1268">
        <f>CEILING(87*$Z$1,0.1)</f>
        <v>108.80000000000001</v>
      </c>
      <c r="J530" s="1270"/>
      <c r="K530" s="1268">
        <f>CEILING(67*$Z$1,0.1)</f>
        <v>83.80000000000001</v>
      </c>
      <c r="L530" s="1270"/>
      <c r="M530" s="20"/>
      <c r="N530" s="20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  <c r="Y530" s="169"/>
    </row>
    <row r="531" spans="1:25" s="404" customFormat="1" ht="18" customHeight="1">
      <c r="A531" s="214" t="s">
        <v>59</v>
      </c>
      <c r="B531" s="147" t="s">
        <v>747</v>
      </c>
      <c r="C531" s="1268">
        <f>CEILING((C530+25*$Z$1),0.1)</f>
        <v>106.30000000000001</v>
      </c>
      <c r="D531" s="1270"/>
      <c r="E531" s="1268">
        <f>CEILING((E530+25*$Z$1),0.1)</f>
        <v>168.8</v>
      </c>
      <c r="F531" s="1270"/>
      <c r="G531" s="1268">
        <f>CEILING((G530+25*$Z$1),0.1)</f>
        <v>127.60000000000001</v>
      </c>
      <c r="H531" s="1270"/>
      <c r="I531" s="1268">
        <f>CEILING((I530+25*$Z$1),0.1)</f>
        <v>140.1</v>
      </c>
      <c r="J531" s="1270"/>
      <c r="K531" s="1268">
        <f>CEILING((K530+25*$Z$1),0.1)</f>
        <v>115.10000000000001</v>
      </c>
      <c r="L531" s="1270"/>
      <c r="M531" s="20"/>
      <c r="N531" s="20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  <c r="Y531" s="169"/>
    </row>
    <row r="532" spans="1:25" s="404" customFormat="1" ht="18" customHeight="1">
      <c r="A532" s="214"/>
      <c r="B532" s="298" t="s">
        <v>225</v>
      </c>
      <c r="C532" s="1268">
        <f>CEILING(65*$Z$1,0.1)</f>
        <v>81.30000000000001</v>
      </c>
      <c r="D532" s="1270"/>
      <c r="E532" s="1268">
        <f>CEILING(115*$Z$1,0.1)</f>
        <v>143.8</v>
      </c>
      <c r="F532" s="1270"/>
      <c r="G532" s="1268">
        <f>CEILING(82*$Z$1,0.1)</f>
        <v>102.5</v>
      </c>
      <c r="H532" s="1270"/>
      <c r="I532" s="1268">
        <f>CEILING(92*$Z$1,0.1)</f>
        <v>115</v>
      </c>
      <c r="J532" s="1270"/>
      <c r="K532" s="1268">
        <f>CEILING(72*$Z$1,0.1)</f>
        <v>90</v>
      </c>
      <c r="L532" s="1270"/>
      <c r="M532" s="20"/>
      <c r="N532" s="20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  <c r="Y532" s="169"/>
    </row>
    <row r="533" spans="1:25" s="404" customFormat="1" ht="18" customHeight="1">
      <c r="A533" s="649"/>
      <c r="B533" s="147" t="s">
        <v>226</v>
      </c>
      <c r="C533" s="1268">
        <f>CEILING((C532+25*$Z$1),0.1)</f>
        <v>112.60000000000001</v>
      </c>
      <c r="D533" s="1270"/>
      <c r="E533" s="1268">
        <f>CEILING((E532+25*$Z$1),0.1)</f>
        <v>175.10000000000002</v>
      </c>
      <c r="F533" s="1270"/>
      <c r="G533" s="1268">
        <f>CEILING((G532+25*$Z$1),0.1)</f>
        <v>133.8</v>
      </c>
      <c r="H533" s="1270"/>
      <c r="I533" s="1268">
        <f>CEILING((I532+25*$Z$1),0.1)</f>
        <v>146.3</v>
      </c>
      <c r="J533" s="1270"/>
      <c r="K533" s="1268">
        <f>CEILING((K532+25*$Z$1),0.1)</f>
        <v>121.30000000000001</v>
      </c>
      <c r="L533" s="1270"/>
      <c r="M533" s="20"/>
      <c r="N533" s="20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  <c r="Y533" s="169"/>
    </row>
    <row r="534" spans="1:25" s="404" customFormat="1" ht="18" customHeight="1">
      <c r="A534" s="649"/>
      <c r="B534" s="147" t="s">
        <v>373</v>
      </c>
      <c r="C534" s="1268">
        <f>CEILING(70*$Z$1,0.1)</f>
        <v>87.5</v>
      </c>
      <c r="D534" s="1270"/>
      <c r="E534" s="1268">
        <f>CEILING(120*$Z$1,0.1)</f>
        <v>150</v>
      </c>
      <c r="F534" s="1270"/>
      <c r="G534" s="1268">
        <f>CEILING(87*$Z$1,0.1)</f>
        <v>108.80000000000001</v>
      </c>
      <c r="H534" s="1270"/>
      <c r="I534" s="1268">
        <f>CEILING(97*$Z$1,0.1)</f>
        <v>121.30000000000001</v>
      </c>
      <c r="J534" s="1270"/>
      <c r="K534" s="1268">
        <f>CEILING(77*$Z$1,0.1)</f>
        <v>96.30000000000001</v>
      </c>
      <c r="L534" s="1270"/>
      <c r="M534" s="20"/>
      <c r="N534" s="20"/>
      <c r="O534" s="169"/>
      <c r="P534" s="169"/>
      <c r="Q534" s="169"/>
      <c r="R534" s="169"/>
      <c r="S534" s="169"/>
      <c r="T534" s="169"/>
      <c r="U534" s="169"/>
      <c r="V534" s="169"/>
      <c r="W534" s="169"/>
      <c r="X534" s="169"/>
      <c r="Y534" s="169"/>
    </row>
    <row r="535" spans="1:25" s="404" customFormat="1" ht="18.75" customHeight="1">
      <c r="A535" s="649"/>
      <c r="B535" s="147" t="s">
        <v>374</v>
      </c>
      <c r="C535" s="1268">
        <f>CEILING((C534+25*$Z$1),0.1)</f>
        <v>118.80000000000001</v>
      </c>
      <c r="D535" s="1270"/>
      <c r="E535" s="1268">
        <f>CEILING((E534+25*$Z$1),0.1)</f>
        <v>181.3</v>
      </c>
      <c r="F535" s="1270"/>
      <c r="G535" s="1268">
        <f>CEILING((G534+25*$Z$1),0.1)</f>
        <v>140.1</v>
      </c>
      <c r="H535" s="1270"/>
      <c r="I535" s="1268">
        <f>CEILING((I534+25*$Z$1),0.1)</f>
        <v>152.6</v>
      </c>
      <c r="J535" s="1270"/>
      <c r="K535" s="1268">
        <f>CEILING((K534+25*$Z$1),0.1)</f>
        <v>127.60000000000001</v>
      </c>
      <c r="L535" s="1270"/>
      <c r="M535" s="20"/>
      <c r="N535" s="20"/>
      <c r="O535" s="169"/>
      <c r="P535" s="169"/>
      <c r="Q535" s="169"/>
      <c r="R535" s="169"/>
      <c r="S535" s="169"/>
      <c r="T535" s="169"/>
      <c r="U535" s="169"/>
      <c r="V535" s="169"/>
      <c r="W535" s="169"/>
      <c r="X535" s="169"/>
      <c r="Y535" s="169"/>
    </row>
    <row r="536" spans="1:25" s="404" customFormat="1" ht="18" customHeight="1">
      <c r="A536" s="214"/>
      <c r="B536" s="147" t="s">
        <v>748</v>
      </c>
      <c r="C536" s="1268">
        <f>CEILING(80*$Z$1,0.1)</f>
        <v>100</v>
      </c>
      <c r="D536" s="1270"/>
      <c r="E536" s="1268">
        <f>CEILING(130*$Z$1,0.1)</f>
        <v>162.5</v>
      </c>
      <c r="F536" s="1270"/>
      <c r="G536" s="1268">
        <f>CEILING(97*$Z$1,0.1)</f>
        <v>121.30000000000001</v>
      </c>
      <c r="H536" s="1270"/>
      <c r="I536" s="1268">
        <f>CEILING(107*$Z$1,0.1)</f>
        <v>133.8</v>
      </c>
      <c r="J536" s="1270"/>
      <c r="K536" s="1268">
        <f>CEILING(87*$Z$1,0.1)</f>
        <v>108.80000000000001</v>
      </c>
      <c r="L536" s="1270"/>
      <c r="M536" s="20"/>
      <c r="N536" s="20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</row>
    <row r="537" spans="1:25" s="404" customFormat="1" ht="18" customHeight="1" thickBot="1">
      <c r="A537" s="105" t="s">
        <v>745</v>
      </c>
      <c r="B537" s="801" t="s">
        <v>749</v>
      </c>
      <c r="C537" s="1284">
        <f>CEILING((C536+25*$Z$1),0.1)</f>
        <v>131.3</v>
      </c>
      <c r="D537" s="1285"/>
      <c r="E537" s="1284">
        <f>CEILING((E536+25*$Z$1),0.1)</f>
        <v>193.8</v>
      </c>
      <c r="F537" s="1285"/>
      <c r="G537" s="1284">
        <f>CEILING((G536+25*$Z$1),0.1)</f>
        <v>152.6</v>
      </c>
      <c r="H537" s="1285"/>
      <c r="I537" s="1284">
        <f>CEILING((I536+25*$Z$1),0.1)</f>
        <v>165.10000000000002</v>
      </c>
      <c r="J537" s="1285"/>
      <c r="K537" s="1284">
        <f>CEILING((K536+25*$Z$1),0.1)</f>
        <v>140.1</v>
      </c>
      <c r="L537" s="1285"/>
      <c r="M537" s="20"/>
      <c r="N537" s="20"/>
      <c r="O537" s="169"/>
      <c r="P537" s="169"/>
      <c r="Q537" s="169"/>
      <c r="R537" s="169"/>
      <c r="S537" s="169"/>
      <c r="T537" s="169"/>
      <c r="U537" s="169"/>
      <c r="V537" s="169"/>
      <c r="W537" s="169"/>
      <c r="X537" s="169"/>
      <c r="Y537" s="169"/>
    </row>
    <row r="538" spans="1:25" s="404" customFormat="1" ht="18" customHeight="1" thickTop="1">
      <c r="A538" s="1542" t="s">
        <v>628</v>
      </c>
      <c r="B538" s="1318"/>
      <c r="C538" s="1318"/>
      <c r="D538" s="1318"/>
      <c r="E538" s="1318"/>
      <c r="F538" s="1318"/>
      <c r="G538" s="1318"/>
      <c r="H538" s="1318"/>
      <c r="I538" s="427"/>
      <c r="J538" s="427"/>
      <c r="K538" s="427"/>
      <c r="L538" s="427"/>
      <c r="M538" s="20"/>
      <c r="N538" s="20"/>
      <c r="O538" s="169"/>
      <c r="P538" s="169"/>
      <c r="Q538" s="169"/>
      <c r="R538" s="169"/>
      <c r="S538" s="169"/>
      <c r="T538" s="169"/>
      <c r="U538" s="169"/>
      <c r="V538" s="169"/>
      <c r="W538" s="169"/>
      <c r="X538" s="169"/>
      <c r="Y538" s="169"/>
    </row>
    <row r="539" spans="1:25" s="192" customFormat="1" ht="19.5" customHeight="1">
      <c r="A539" s="107" t="s">
        <v>959</v>
      </c>
      <c r="B539" s="107"/>
      <c r="C539" s="107"/>
      <c r="D539" s="107"/>
      <c r="E539" s="107"/>
      <c r="F539" s="107"/>
      <c r="G539" s="107"/>
      <c r="H539" s="107"/>
      <c r="I539" s="107"/>
      <c r="J539" s="107"/>
      <c r="K539" s="354"/>
      <c r="L539" s="354"/>
      <c r="M539" s="20"/>
      <c r="N539" s="20"/>
      <c r="O539" s="481"/>
      <c r="P539" s="481"/>
      <c r="Q539" s="481"/>
      <c r="R539" s="481"/>
      <c r="S539" s="481"/>
      <c r="T539" s="481"/>
      <c r="U539" s="481"/>
      <c r="V539" s="481"/>
      <c r="W539" s="481"/>
      <c r="X539" s="481"/>
      <c r="Y539" s="481"/>
    </row>
    <row r="540" spans="1:33" s="776" customFormat="1" ht="15">
      <c r="A540" s="1306"/>
      <c r="B540" s="1306"/>
      <c r="C540" s="1306"/>
      <c r="D540" s="1306"/>
      <c r="E540" s="1306"/>
      <c r="F540" s="1306"/>
      <c r="G540" s="1306"/>
      <c r="H540" s="1306"/>
      <c r="I540" s="1306"/>
      <c r="J540" s="1306"/>
      <c r="K540" s="775"/>
      <c r="L540" s="775"/>
      <c r="M540" s="335"/>
      <c r="N540" s="335"/>
      <c r="O540" s="335"/>
      <c r="P540" s="335"/>
      <c r="Q540" s="335"/>
      <c r="R540" s="335"/>
      <c r="S540" s="335"/>
      <c r="T540" s="335"/>
      <c r="U540" s="335"/>
      <c r="V540" s="335"/>
      <c r="W540" s="335"/>
      <c r="X540" s="335"/>
      <c r="Y540" s="335"/>
      <c r="Z540" s="335"/>
      <c r="AA540" s="335"/>
      <c r="AB540" s="335"/>
      <c r="AC540" s="335"/>
      <c r="AD540" s="335"/>
      <c r="AE540" s="335"/>
      <c r="AF540" s="335"/>
      <c r="AG540" s="335"/>
    </row>
    <row r="541" spans="1:35" s="479" customFormat="1" ht="18" customHeight="1">
      <c r="A541" s="172"/>
      <c r="B541" s="779"/>
      <c r="C541" s="22"/>
      <c r="D541" s="22"/>
      <c r="E541" s="22"/>
      <c r="F541" s="22"/>
      <c r="G541" s="22"/>
      <c r="H541" s="22"/>
      <c r="I541" s="22"/>
      <c r="J541" s="22"/>
      <c r="K541" s="166"/>
      <c r="L541" s="166"/>
      <c r="M541" s="3"/>
      <c r="N541" s="3"/>
      <c r="O541" s="481"/>
      <c r="P541" s="481"/>
      <c r="Q541" s="481"/>
      <c r="R541" s="481"/>
      <c r="S541" s="481"/>
      <c r="T541" s="481"/>
      <c r="U541" s="481"/>
      <c r="V541" s="481"/>
      <c r="W541" s="481"/>
      <c r="X541" s="481"/>
      <c r="Y541" s="481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</row>
    <row r="542" spans="1:35" s="663" customFormat="1" ht="23.25" customHeight="1">
      <c r="A542" s="794" t="s">
        <v>43</v>
      </c>
      <c r="B542" s="819" t="s">
        <v>961</v>
      </c>
      <c r="C542" s="795" t="s">
        <v>1315</v>
      </c>
      <c r="D542" s="796"/>
      <c r="E542" s="1280" t="s">
        <v>935</v>
      </c>
      <c r="F542" s="1281"/>
      <c r="G542" s="765" t="s">
        <v>1317</v>
      </c>
      <c r="H542" s="766"/>
      <c r="I542" s="1280" t="s">
        <v>881</v>
      </c>
      <c r="J542" s="1281"/>
      <c r="K542" s="1280" t="s">
        <v>882</v>
      </c>
      <c r="L542" s="1334"/>
      <c r="M542" s="1328"/>
      <c r="N542" s="1328"/>
      <c r="O542" s="481"/>
      <c r="P542" s="481"/>
      <c r="Q542" s="481"/>
      <c r="R542" s="481"/>
      <c r="S542" s="481"/>
      <c r="T542" s="481"/>
      <c r="U542" s="481"/>
      <c r="V542" s="481"/>
      <c r="W542" s="481"/>
      <c r="X542" s="481"/>
      <c r="Y542" s="481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</row>
    <row r="543" spans="1:35" s="479" customFormat="1" ht="15.75" customHeight="1">
      <c r="A543" s="379" t="s">
        <v>88</v>
      </c>
      <c r="B543" s="29" t="s">
        <v>36</v>
      </c>
      <c r="C543" s="1304">
        <f>CEILING(30*$Z$1,0.1)</f>
        <v>37.5</v>
      </c>
      <c r="D543" s="1305"/>
      <c r="E543" s="1304">
        <f>CEILING(40*$Z$1,0.1)</f>
        <v>50</v>
      </c>
      <c r="F543" s="1305"/>
      <c r="G543" s="1304">
        <f>CEILING(36*$Z$1,0.1)</f>
        <v>45</v>
      </c>
      <c r="H543" s="1305"/>
      <c r="I543" s="1304">
        <f>CEILING(36*$Z$1,0.1)</f>
        <v>45</v>
      </c>
      <c r="J543" s="1305"/>
      <c r="K543" s="1304">
        <f>CEILING(30*$Z$1,0.1)</f>
        <v>37.5</v>
      </c>
      <c r="L543" s="1305"/>
      <c r="M543" s="481"/>
      <c r="N543" s="481"/>
      <c r="O543" s="481"/>
      <c r="P543" s="481"/>
      <c r="Q543" s="481"/>
      <c r="R543" s="481"/>
      <c r="S543" s="481"/>
      <c r="T543" s="481"/>
      <c r="U543" s="481"/>
      <c r="V543" s="481"/>
      <c r="W543" s="481"/>
      <c r="X543" s="192"/>
      <c r="Y543" s="192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</row>
    <row r="544" spans="1:35" s="479" customFormat="1" ht="15.75" customHeight="1">
      <c r="A544" s="161" t="s">
        <v>35</v>
      </c>
      <c r="B544" s="29" t="s">
        <v>37</v>
      </c>
      <c r="C544" s="1302">
        <f>CEILING((C543+10*$Z$1),0.1)</f>
        <v>50</v>
      </c>
      <c r="D544" s="1303"/>
      <c r="E544" s="1302">
        <f>CEILING((E543+8*$Z$1),0.1)</f>
        <v>60</v>
      </c>
      <c r="F544" s="1303"/>
      <c r="G544" s="1302">
        <f>CEILING((G543+7*$Z$1),0.1)</f>
        <v>53.800000000000004</v>
      </c>
      <c r="H544" s="1303"/>
      <c r="I544" s="1302">
        <f>CEILING((I543+7*$Z$1),0.1)</f>
        <v>53.800000000000004</v>
      </c>
      <c r="J544" s="1303"/>
      <c r="K544" s="1302">
        <f>CEILING((K543+10*$Z$1),0.1)</f>
        <v>50</v>
      </c>
      <c r="L544" s="1303"/>
      <c r="M544" s="481"/>
      <c r="N544" s="481"/>
      <c r="O544" s="481"/>
      <c r="P544" s="481"/>
      <c r="Q544" s="481"/>
      <c r="R544" s="481"/>
      <c r="S544" s="481"/>
      <c r="T544" s="481"/>
      <c r="U544" s="481"/>
      <c r="V544" s="481"/>
      <c r="W544" s="481"/>
      <c r="X544" s="192"/>
      <c r="Y544" s="192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</row>
    <row r="545" spans="1:35" s="479" customFormat="1" ht="16.5" customHeight="1">
      <c r="A545" s="398" t="s">
        <v>1314</v>
      </c>
      <c r="B545" s="29" t="s">
        <v>334</v>
      </c>
      <c r="C545" s="1302">
        <f>CEILING((C543*0.85),0.1)</f>
        <v>31.900000000000002</v>
      </c>
      <c r="D545" s="1303"/>
      <c r="E545" s="1302">
        <f>CEILING((E543*0.85),0.1)</f>
        <v>42.5</v>
      </c>
      <c r="F545" s="1303"/>
      <c r="G545" s="1302">
        <f>CEILING((G543*0.85),0.1)</f>
        <v>38.300000000000004</v>
      </c>
      <c r="H545" s="1303"/>
      <c r="I545" s="1302">
        <f>CEILING((I543*0.85),0.1)</f>
        <v>38.300000000000004</v>
      </c>
      <c r="J545" s="1303"/>
      <c r="K545" s="1302">
        <f>CEILING((K543*0.85),0.1)</f>
        <v>31.900000000000002</v>
      </c>
      <c r="L545" s="1303"/>
      <c r="M545" s="481"/>
      <c r="N545" s="481"/>
      <c r="O545" s="481"/>
      <c r="P545" s="481"/>
      <c r="Q545" s="481"/>
      <c r="R545" s="481"/>
      <c r="S545" s="481"/>
      <c r="T545" s="481"/>
      <c r="U545" s="481"/>
      <c r="V545" s="481"/>
      <c r="W545" s="481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</row>
    <row r="546" spans="1:35" s="479" customFormat="1" ht="14.25" customHeight="1" thickBot="1">
      <c r="A546" s="79" t="s">
        <v>446</v>
      </c>
      <c r="B546" s="418" t="s">
        <v>1170</v>
      </c>
      <c r="C546" s="1346">
        <f>CEILING((C543*0),0.1)</f>
        <v>0</v>
      </c>
      <c r="D546" s="1347"/>
      <c r="E546" s="1346">
        <f>CEILING((E543*0),0.1)</f>
        <v>0</v>
      </c>
      <c r="F546" s="1347"/>
      <c r="G546" s="1346">
        <f>CEILING((G543*0),0.1)</f>
        <v>0</v>
      </c>
      <c r="H546" s="1347"/>
      <c r="I546" s="1346">
        <f>CEILING((I543*0),0.1)</f>
        <v>0</v>
      </c>
      <c r="J546" s="1347"/>
      <c r="K546" s="1346">
        <f>CEILING((K543*0),0.1)</f>
        <v>0</v>
      </c>
      <c r="L546" s="1347"/>
      <c r="M546" s="481"/>
      <c r="N546" s="481"/>
      <c r="O546" s="481"/>
      <c r="P546" s="481"/>
      <c r="Q546" s="481"/>
      <c r="R546" s="481"/>
      <c r="S546" s="481"/>
      <c r="T546" s="481"/>
      <c r="U546" s="481"/>
      <c r="V546" s="481"/>
      <c r="W546" s="481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</row>
    <row r="547" spans="1:23" s="192" customFormat="1" ht="15.75" customHeight="1" thickTop="1">
      <c r="A547" s="62" t="s">
        <v>89</v>
      </c>
      <c r="B547" s="29" t="s">
        <v>51</v>
      </c>
      <c r="C547" s="1266">
        <f>CEILING(38*$Z$1,0.1)</f>
        <v>47.5</v>
      </c>
      <c r="D547" s="1267"/>
      <c r="E547" s="1266">
        <f>CEILING(58*$Z$1,0.1)</f>
        <v>72.5</v>
      </c>
      <c r="F547" s="1267"/>
      <c r="G547" s="1266">
        <f>CEILING(50*$Z$1,0.1)</f>
        <v>62.5</v>
      </c>
      <c r="H547" s="1267"/>
      <c r="I547" s="1266">
        <f>CEILING(50*$Z$1,0.1)</f>
        <v>62.5</v>
      </c>
      <c r="J547" s="1267"/>
      <c r="K547" s="1266">
        <f>CEILING(38*$Z$1,0.1)</f>
        <v>47.5</v>
      </c>
      <c r="L547" s="1267"/>
      <c r="M547" s="481"/>
      <c r="N547" s="481"/>
      <c r="O547" s="481"/>
      <c r="P547" s="481"/>
      <c r="Q547" s="481"/>
      <c r="R547" s="481"/>
      <c r="S547" s="481"/>
      <c r="T547" s="481"/>
      <c r="U547" s="481"/>
      <c r="V547" s="481"/>
      <c r="W547" s="481"/>
    </row>
    <row r="548" spans="1:25" s="192" customFormat="1" ht="15">
      <c r="A548" s="65" t="s">
        <v>90</v>
      </c>
      <c r="B548" s="29" t="s">
        <v>52</v>
      </c>
      <c r="C548" s="1268">
        <f>CEILING((C547+15*$Z$1),0.1)</f>
        <v>66.3</v>
      </c>
      <c r="D548" s="1270"/>
      <c r="E548" s="1268">
        <f>CEILING((E547+15*$Z$1),0.1)</f>
        <v>91.30000000000001</v>
      </c>
      <c r="F548" s="1270"/>
      <c r="G548" s="1268">
        <f>CEILING((G547+15*$Z$1),0.1)</f>
        <v>81.30000000000001</v>
      </c>
      <c r="H548" s="1270"/>
      <c r="I548" s="1268">
        <f>CEILING((I547+15*$Z$1),0.1)</f>
        <v>81.30000000000001</v>
      </c>
      <c r="J548" s="1270"/>
      <c r="K548" s="1268">
        <f>CEILING((K547+15*$Z$1),0.1)</f>
        <v>66.3</v>
      </c>
      <c r="L548" s="1270"/>
      <c r="M548" s="3"/>
      <c r="N548" s="20"/>
      <c r="O548" s="481"/>
      <c r="P548" s="481"/>
      <c r="Q548" s="481"/>
      <c r="R548" s="481"/>
      <c r="S548" s="481"/>
      <c r="T548" s="481"/>
      <c r="U548" s="481"/>
      <c r="V548" s="481"/>
      <c r="W548" s="481"/>
      <c r="X548" s="481"/>
      <c r="Y548" s="481"/>
    </row>
    <row r="549" spans="1:25" s="192" customFormat="1" ht="15">
      <c r="A549" s="398"/>
      <c r="B549" s="29" t="s">
        <v>334</v>
      </c>
      <c r="C549" s="1268">
        <f>CEILING((C547*0.85),0.1)</f>
        <v>40.400000000000006</v>
      </c>
      <c r="D549" s="1270"/>
      <c r="E549" s="1268">
        <f>CEILING((E547*0.85),0.1)</f>
        <v>61.7</v>
      </c>
      <c r="F549" s="1270"/>
      <c r="G549" s="1268">
        <f>CEILING((G547*0.85),0.1)</f>
        <v>53.2</v>
      </c>
      <c r="H549" s="1270"/>
      <c r="I549" s="1268">
        <f>CEILING((I547*0.85),0.1)</f>
        <v>53.2</v>
      </c>
      <c r="J549" s="1270"/>
      <c r="K549" s="1268">
        <f>CEILING((K547*0.85),0.1)</f>
        <v>40.400000000000006</v>
      </c>
      <c r="L549" s="1270"/>
      <c r="M549" s="3"/>
      <c r="N549" s="20"/>
      <c r="O549" s="481"/>
      <c r="P549" s="481"/>
      <c r="Q549" s="481"/>
      <c r="R549" s="481"/>
      <c r="S549" s="481"/>
      <c r="T549" s="481"/>
      <c r="U549" s="481"/>
      <c r="V549" s="481"/>
      <c r="W549" s="481"/>
      <c r="X549" s="481"/>
      <c r="Y549" s="481"/>
    </row>
    <row r="550" spans="1:35" s="667" customFormat="1" ht="18" customHeight="1" thickBot="1">
      <c r="A550" s="79" t="s">
        <v>445</v>
      </c>
      <c r="B550" s="418" t="s">
        <v>1170</v>
      </c>
      <c r="C550" s="1284">
        <f>CEILING((C547*0),0.1)</f>
        <v>0</v>
      </c>
      <c r="D550" s="1285"/>
      <c r="E550" s="1284">
        <f>CEILING((E547*0),0.1)</f>
        <v>0</v>
      </c>
      <c r="F550" s="1285"/>
      <c r="G550" s="1284">
        <f>CEILING((G547*0),0.1)</f>
        <v>0</v>
      </c>
      <c r="H550" s="1285"/>
      <c r="I550" s="1284">
        <f>CEILING((I547*0),0.1)</f>
        <v>0</v>
      </c>
      <c r="J550" s="1285"/>
      <c r="K550" s="1284">
        <f>CEILING((K547*0),0.1)</f>
        <v>0</v>
      </c>
      <c r="L550" s="1285"/>
      <c r="M550" s="3"/>
      <c r="N550" s="20"/>
      <c r="O550" s="481"/>
      <c r="P550" s="481"/>
      <c r="Q550" s="481"/>
      <c r="R550" s="481"/>
      <c r="S550" s="481"/>
      <c r="T550" s="481"/>
      <c r="U550" s="481"/>
      <c r="V550" s="481"/>
      <c r="W550" s="481"/>
      <c r="X550" s="481"/>
      <c r="Y550" s="481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</row>
    <row r="551" spans="1:37" s="479" customFormat="1" ht="17.25" customHeight="1" thickTop="1">
      <c r="A551" s="62" t="s">
        <v>40</v>
      </c>
      <c r="B551" s="29" t="s">
        <v>51</v>
      </c>
      <c r="C551" s="1266">
        <f>CEILING(33*$Z$1,0.1)</f>
        <v>41.300000000000004</v>
      </c>
      <c r="D551" s="1267"/>
      <c r="E551" s="1266">
        <f>CEILING(43*$Z$1,0.1)</f>
        <v>53.800000000000004</v>
      </c>
      <c r="F551" s="1267"/>
      <c r="G551" s="1266">
        <f>CEILING(37*$Z$1,0.1)</f>
        <v>46.300000000000004</v>
      </c>
      <c r="H551" s="1267"/>
      <c r="I551" s="1266">
        <f>CEILING(37*$Z$1,0.1)</f>
        <v>46.300000000000004</v>
      </c>
      <c r="J551" s="1267"/>
      <c r="K551" s="1266">
        <f>CEILING(33*$Z$1,0.1)</f>
        <v>41.300000000000004</v>
      </c>
      <c r="L551" s="1267"/>
      <c r="M551" s="423"/>
      <c r="N551" s="423"/>
      <c r="O551" s="335"/>
      <c r="P551" s="335"/>
      <c r="Q551" s="335"/>
      <c r="R551" s="335"/>
      <c r="S551" s="335"/>
      <c r="T551" s="335"/>
      <c r="U551" s="335"/>
      <c r="V551" s="335"/>
      <c r="W551" s="335"/>
      <c r="X551" s="335"/>
      <c r="Y551" s="335"/>
      <c r="Z551" s="335"/>
      <c r="AA551" s="335"/>
      <c r="AB551" s="335"/>
      <c r="AC551" s="335"/>
      <c r="AD551" s="335"/>
      <c r="AE551" s="335"/>
      <c r="AF551" s="335"/>
      <c r="AG551" s="335"/>
      <c r="AH551" s="335"/>
      <c r="AI551" s="335"/>
      <c r="AJ551" s="331"/>
      <c r="AK551" s="331"/>
    </row>
    <row r="552" spans="1:37" s="479" customFormat="1" ht="18" customHeight="1">
      <c r="A552" s="65" t="s">
        <v>90</v>
      </c>
      <c r="B552" s="29" t="s">
        <v>52</v>
      </c>
      <c r="C552" s="1268">
        <f>CEILING((C551+12*$Z$1),0.1)</f>
        <v>56.300000000000004</v>
      </c>
      <c r="D552" s="1270"/>
      <c r="E552" s="1268">
        <f>CEILING((E551+12*$Z$1),0.1)</f>
        <v>68.8</v>
      </c>
      <c r="F552" s="1270"/>
      <c r="G552" s="1268">
        <f>CEILING((G551+12*$Z$1),0.1)</f>
        <v>61.300000000000004</v>
      </c>
      <c r="H552" s="1270"/>
      <c r="I552" s="1268">
        <f>CEILING((I551+12*$Z$1),0.1)</f>
        <v>61.300000000000004</v>
      </c>
      <c r="J552" s="1270"/>
      <c r="K552" s="1268">
        <f>CEILING((K551+12*$Z$1),0.1)</f>
        <v>56.300000000000004</v>
      </c>
      <c r="L552" s="1270"/>
      <c r="M552" s="342"/>
      <c r="N552" s="342"/>
      <c r="O552" s="335"/>
      <c r="P552" s="335"/>
      <c r="Q552" s="335"/>
      <c r="R552" s="335"/>
      <c r="S552" s="335"/>
      <c r="T552" s="335"/>
      <c r="U552" s="335"/>
      <c r="V552" s="335"/>
      <c r="W552" s="335"/>
      <c r="X552" s="335"/>
      <c r="Y552" s="335"/>
      <c r="Z552" s="335"/>
      <c r="AA552" s="335"/>
      <c r="AB552" s="335"/>
      <c r="AC552" s="335"/>
      <c r="AD552" s="335"/>
      <c r="AE552" s="335"/>
      <c r="AF552" s="335"/>
      <c r="AG552" s="335"/>
      <c r="AH552" s="335"/>
      <c r="AI552" s="335"/>
      <c r="AJ552" s="331"/>
      <c r="AK552" s="331"/>
    </row>
    <row r="553" spans="1:37" s="479" customFormat="1" ht="18" customHeight="1">
      <c r="A553" s="398"/>
      <c r="B553" s="29" t="s">
        <v>47</v>
      </c>
      <c r="C553" s="1268">
        <f>CEILING((C551*0.85),0.1)</f>
        <v>35.2</v>
      </c>
      <c r="D553" s="1270"/>
      <c r="E553" s="1268">
        <f>CEILING((E551*0.85),0.1)</f>
        <v>45.800000000000004</v>
      </c>
      <c r="F553" s="1270"/>
      <c r="G553" s="1268">
        <f>CEILING((G551*0.85),0.1)</f>
        <v>39.400000000000006</v>
      </c>
      <c r="H553" s="1270"/>
      <c r="I553" s="1268">
        <f>CEILING((I551*0.85),0.1)</f>
        <v>39.400000000000006</v>
      </c>
      <c r="J553" s="1270"/>
      <c r="K553" s="1268">
        <f>CEILING((K551*0.85),0.1)</f>
        <v>35.2</v>
      </c>
      <c r="L553" s="1270"/>
      <c r="M553" s="342"/>
      <c r="N553" s="342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</row>
    <row r="554" spans="1:37" s="479" customFormat="1" ht="18" customHeight="1" thickBot="1">
      <c r="A554" s="79" t="s">
        <v>445</v>
      </c>
      <c r="B554" s="13" t="s">
        <v>1170</v>
      </c>
      <c r="C554" s="1568">
        <v>0</v>
      </c>
      <c r="D554" s="1569"/>
      <c r="E554" s="1284">
        <f>CEILING((E551*0),0.1)</f>
        <v>0</v>
      </c>
      <c r="F554" s="1285"/>
      <c r="G554" s="1284">
        <f>CEILING((G551*0),0.1)</f>
        <v>0</v>
      </c>
      <c r="H554" s="1285"/>
      <c r="I554" s="1284">
        <f>CEILING((I551*0),0.1)</f>
        <v>0</v>
      </c>
      <c r="J554" s="1285"/>
      <c r="K554" s="1284">
        <f>CEILING((K551*0),0.1)</f>
        <v>0</v>
      </c>
      <c r="L554" s="1285"/>
      <c r="M554" s="342"/>
      <c r="N554" s="342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</row>
    <row r="555" spans="1:37" s="776" customFormat="1" ht="15.75" thickTop="1">
      <c r="A555" s="1306"/>
      <c r="B555" s="1306"/>
      <c r="C555" s="1306"/>
      <c r="D555" s="1306"/>
      <c r="E555" s="1306"/>
      <c r="F555" s="1306"/>
      <c r="G555" s="1306"/>
      <c r="H555" s="1306"/>
      <c r="I555" s="1306"/>
      <c r="J555" s="1306"/>
      <c r="K555" s="775"/>
      <c r="L555" s="775"/>
      <c r="M555" s="335"/>
      <c r="N555" s="335"/>
      <c r="O555" s="335"/>
      <c r="P555" s="335"/>
      <c r="Q555" s="335"/>
      <c r="R555" s="335"/>
      <c r="S555" s="335"/>
      <c r="T555" s="335"/>
      <c r="U555" s="335"/>
      <c r="V555" s="335"/>
      <c r="W555" s="335"/>
      <c r="X555" s="335"/>
      <c r="Y555" s="335"/>
      <c r="Z555" s="335"/>
      <c r="AA555" s="335"/>
      <c r="AB555" s="335"/>
      <c r="AC555" s="335"/>
      <c r="AD555" s="335"/>
      <c r="AE555" s="335"/>
      <c r="AF555" s="335"/>
      <c r="AG555" s="335"/>
      <c r="AH555" s="335"/>
      <c r="AI555" s="335"/>
      <c r="AJ555" s="335"/>
      <c r="AK555" s="335"/>
    </row>
    <row r="556" spans="1:37" s="479" customFormat="1" ht="18" customHeight="1">
      <c r="A556" s="172" t="s">
        <v>936</v>
      </c>
      <c r="B556" s="779"/>
      <c r="C556" s="22"/>
      <c r="D556" s="22"/>
      <c r="E556" s="22"/>
      <c r="F556" s="22"/>
      <c r="G556" s="22"/>
      <c r="H556" s="22"/>
      <c r="I556" s="22"/>
      <c r="J556" s="22"/>
      <c r="K556" s="166"/>
      <c r="L556" s="166"/>
      <c r="M556" s="802"/>
      <c r="N556" s="802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</row>
    <row r="557" spans="1:37" s="479" customFormat="1" ht="18" customHeight="1">
      <c r="A557" s="172" t="s">
        <v>937</v>
      </c>
      <c r="B557" s="779"/>
      <c r="C557" s="22"/>
      <c r="D557" s="22"/>
      <c r="E557" s="22"/>
      <c r="F557" s="22"/>
      <c r="G557" s="22"/>
      <c r="H557" s="22"/>
      <c r="I557" s="22"/>
      <c r="J557" s="22"/>
      <c r="K557" s="166"/>
      <c r="L557" s="166"/>
      <c r="M557" s="802"/>
      <c r="N557" s="802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</row>
    <row r="558" spans="1:37" s="479" customFormat="1" ht="18" customHeight="1">
      <c r="A558" s="172"/>
      <c r="B558" s="779"/>
      <c r="C558" s="22"/>
      <c r="D558" s="22"/>
      <c r="E558" s="22"/>
      <c r="F558" s="22"/>
      <c r="G558" s="22"/>
      <c r="H558" s="22"/>
      <c r="I558" s="22"/>
      <c r="J558" s="22"/>
      <c r="K558" s="166"/>
      <c r="L558" s="166"/>
      <c r="M558" s="802"/>
      <c r="N558" s="802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</row>
    <row r="559" spans="1:119" s="663" customFormat="1" ht="23.25" customHeight="1">
      <c r="A559" s="794" t="s">
        <v>43</v>
      </c>
      <c r="B559" s="819" t="s">
        <v>961</v>
      </c>
      <c r="C559" s="795" t="s">
        <v>968</v>
      </c>
      <c r="D559" s="796"/>
      <c r="E559" s="773" t="s">
        <v>911</v>
      </c>
      <c r="F559" s="766"/>
      <c r="G559" s="765" t="s">
        <v>912</v>
      </c>
      <c r="H559" s="766"/>
      <c r="I559" s="1280" t="s">
        <v>969</v>
      </c>
      <c r="J559" s="1281"/>
      <c r="K559" s="1280" t="s">
        <v>970</v>
      </c>
      <c r="L559" s="1281"/>
      <c r="M559" s="1323"/>
      <c r="N559" s="1328"/>
      <c r="O559" s="335"/>
      <c r="P559" s="335"/>
      <c r="Q559" s="335"/>
      <c r="R559" s="335"/>
      <c r="S559" s="335"/>
      <c r="T559" s="335"/>
      <c r="U559" s="335"/>
      <c r="V559" s="335"/>
      <c r="W559" s="335"/>
      <c r="X559" s="335"/>
      <c r="Y559" s="335"/>
      <c r="Z559" s="335"/>
      <c r="AA559" s="335"/>
      <c r="AB559" s="335"/>
      <c r="AC559" s="335"/>
      <c r="AD559" s="335"/>
      <c r="AE559" s="335"/>
      <c r="AF559" s="335"/>
      <c r="AG559" s="335"/>
      <c r="AH559" s="335"/>
      <c r="AI559" s="335"/>
      <c r="AJ559" s="335"/>
      <c r="AK559" s="335"/>
      <c r="AL559" s="192"/>
      <c r="AM559" s="192"/>
      <c r="AN559" s="192"/>
      <c r="AO559" s="192"/>
      <c r="AP559" s="192"/>
      <c r="AQ559" s="192"/>
      <c r="AR559" s="192"/>
      <c r="AS559" s="192"/>
      <c r="AT559" s="192"/>
      <c r="AU559" s="192"/>
      <c r="AV559" s="192"/>
      <c r="AW559" s="192"/>
      <c r="AX559" s="192"/>
      <c r="AY559" s="192"/>
      <c r="AZ559" s="192"/>
      <c r="BA559" s="192"/>
      <c r="BB559" s="192"/>
      <c r="BC559" s="192"/>
      <c r="BD559" s="192"/>
      <c r="BE559" s="192"/>
      <c r="BF559" s="192"/>
      <c r="BG559" s="192"/>
      <c r="BH559" s="192"/>
      <c r="BI559" s="192"/>
      <c r="BJ559" s="192"/>
      <c r="BK559" s="192"/>
      <c r="BL559" s="192"/>
      <c r="BM559" s="192"/>
      <c r="BN559" s="192"/>
      <c r="BO559" s="192"/>
      <c r="BP559" s="192"/>
      <c r="BQ559" s="192"/>
      <c r="BR559" s="192"/>
      <c r="BS559" s="192"/>
      <c r="BT559" s="192"/>
      <c r="BU559" s="192"/>
      <c r="BV559" s="192"/>
      <c r="BW559" s="192"/>
      <c r="BX559" s="192"/>
      <c r="BY559" s="192"/>
      <c r="BZ559" s="192"/>
      <c r="CA559" s="192"/>
      <c r="CB559" s="192"/>
      <c r="CC559" s="192"/>
      <c r="CD559" s="192"/>
      <c r="CE559" s="192"/>
      <c r="CF559" s="192"/>
      <c r="CG559" s="192"/>
      <c r="CH559" s="192"/>
      <c r="CI559" s="192"/>
      <c r="CJ559" s="192"/>
      <c r="CK559" s="192"/>
      <c r="CL559" s="192"/>
      <c r="CM559" s="192"/>
      <c r="CN559" s="192"/>
      <c r="CO559" s="192"/>
      <c r="CP559" s="192"/>
      <c r="CQ559" s="192"/>
      <c r="CR559" s="192"/>
      <c r="CS559" s="192"/>
      <c r="CT559" s="192"/>
      <c r="CU559" s="192"/>
      <c r="CV559" s="192"/>
      <c r="CW559" s="192"/>
      <c r="CX559" s="192"/>
      <c r="CY559" s="192"/>
      <c r="CZ559" s="192"/>
      <c r="DA559" s="192"/>
      <c r="DB559" s="192"/>
      <c r="DC559" s="192"/>
      <c r="DD559" s="192"/>
      <c r="DE559" s="192"/>
      <c r="DF559" s="192"/>
      <c r="DG559" s="192"/>
      <c r="DH559" s="192"/>
      <c r="DI559" s="192"/>
      <c r="DJ559" s="192"/>
      <c r="DK559" s="192"/>
      <c r="DL559" s="192"/>
      <c r="DM559" s="192"/>
      <c r="DN559" s="192"/>
      <c r="DO559" s="192"/>
    </row>
    <row r="560" spans="1:37" s="404" customFormat="1" ht="16.5" customHeight="1">
      <c r="A560" s="62" t="s">
        <v>92</v>
      </c>
      <c r="B560" s="245" t="s">
        <v>262</v>
      </c>
      <c r="C560" s="1266">
        <f>CEILING(44*$Z$1,0.1)</f>
        <v>55</v>
      </c>
      <c r="D560" s="1267"/>
      <c r="E560" s="1268">
        <f>CEILING(55*$Z$1,0.1)</f>
        <v>68.8</v>
      </c>
      <c r="F560" s="1269"/>
      <c r="G560" s="1268">
        <f>CEILING(55*$Z$1,0.1)</f>
        <v>68.8</v>
      </c>
      <c r="H560" s="1269"/>
      <c r="I560" s="1268">
        <f>CEILING(55*$Z$1,0.1)</f>
        <v>68.8</v>
      </c>
      <c r="J560" s="1269"/>
      <c r="K560" s="1266">
        <f>CEILING(44*$Z$1,0.1)</f>
        <v>55</v>
      </c>
      <c r="L560" s="1267"/>
      <c r="M560" s="673"/>
      <c r="N560" s="674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</row>
    <row r="561" spans="1:37" s="404" customFormat="1" ht="17.25" customHeight="1">
      <c r="A561" s="35" t="s">
        <v>59</v>
      </c>
      <c r="B561" s="37" t="s">
        <v>263</v>
      </c>
      <c r="C561" s="1268">
        <f>CEILING((C560+11*$Z$1),0.1)</f>
        <v>68.8</v>
      </c>
      <c r="D561" s="1270"/>
      <c r="E561" s="1268">
        <f>CEILING(69*$Z$1,0.1)</f>
        <v>86.30000000000001</v>
      </c>
      <c r="F561" s="1269"/>
      <c r="G561" s="1268">
        <f>CEILING(69*$Z$1,0.1)</f>
        <v>86.30000000000001</v>
      </c>
      <c r="H561" s="1269"/>
      <c r="I561" s="1268">
        <f>CEILING(69*$Z$1,0.1)</f>
        <v>86.30000000000001</v>
      </c>
      <c r="J561" s="1269"/>
      <c r="K561" s="1268">
        <f>CEILING((K560+11*$Z$1),0.1)</f>
        <v>68.8</v>
      </c>
      <c r="L561" s="1270"/>
      <c r="M561" s="673"/>
      <c r="N561" s="674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</row>
    <row r="562" spans="1:37" s="404" customFormat="1" ht="18.75" customHeight="1">
      <c r="A562" s="180"/>
      <c r="B562" s="12" t="s">
        <v>264</v>
      </c>
      <c r="C562" s="1268">
        <f>CEILING((C560*0.8),0.1)</f>
        <v>44</v>
      </c>
      <c r="D562" s="1270"/>
      <c r="E562" s="1268">
        <f>CEILING(44*$Z$1,0.1)</f>
        <v>55</v>
      </c>
      <c r="F562" s="1269"/>
      <c r="G562" s="1268">
        <f>CEILING(44*$Z$1,0.1)</f>
        <v>55</v>
      </c>
      <c r="H562" s="1269"/>
      <c r="I562" s="1268">
        <f>CEILING(44*$Z$1,0.1)</f>
        <v>55</v>
      </c>
      <c r="J562" s="1269"/>
      <c r="K562" s="1268">
        <f>CEILING((K560*0.8),0.1)</f>
        <v>44</v>
      </c>
      <c r="L562" s="1270"/>
      <c r="M562" s="423"/>
      <c r="N562" s="423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</row>
    <row r="563" spans="1:37" s="404" customFormat="1" ht="17.25" customHeight="1">
      <c r="A563" s="180"/>
      <c r="B563" s="127" t="s">
        <v>909</v>
      </c>
      <c r="C563" s="1268">
        <f>CEILING((C560*0),0.1)</f>
        <v>0</v>
      </c>
      <c r="D563" s="1270"/>
      <c r="E563" s="1328">
        <v>0</v>
      </c>
      <c r="F563" s="1359"/>
      <c r="G563" s="1328">
        <v>0</v>
      </c>
      <c r="H563" s="1359"/>
      <c r="I563" s="1328">
        <v>0</v>
      </c>
      <c r="J563" s="1435"/>
      <c r="K563" s="1268">
        <f>CEILING((K560*0),0.1)</f>
        <v>0</v>
      </c>
      <c r="L563" s="1270"/>
      <c r="M563" s="342"/>
      <c r="N563" s="342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</row>
    <row r="564" spans="1:37" s="479" customFormat="1" ht="17.25" customHeight="1">
      <c r="A564" s="180"/>
      <c r="B564" s="127" t="s">
        <v>971</v>
      </c>
      <c r="C564" s="1284">
        <f>CEILING((C560*0.5),0.1)</f>
        <v>27.5</v>
      </c>
      <c r="D564" s="1285"/>
      <c r="E564" s="1372">
        <f>CEILING((E560*0.5),0.1)</f>
        <v>34.4</v>
      </c>
      <c r="F564" s="1285"/>
      <c r="G564" s="1372">
        <f>CEILING((G560*0.5),0.1)</f>
        <v>34.4</v>
      </c>
      <c r="H564" s="1285"/>
      <c r="I564" s="1372">
        <f>CEILING((I560*0.5),0.1)</f>
        <v>34.4</v>
      </c>
      <c r="J564" s="1372"/>
      <c r="K564" s="1284">
        <f>CEILING((K560*0.5),0.1)</f>
        <v>27.5</v>
      </c>
      <c r="L564" s="1285"/>
      <c r="M564" s="342"/>
      <c r="N564" s="342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</row>
    <row r="565" spans="1:37" s="479" customFormat="1" ht="17.25" customHeight="1">
      <c r="A565" s="180"/>
      <c r="B565" s="245" t="s">
        <v>265</v>
      </c>
      <c r="C565" s="1266">
        <f>CEILING(49*$Z$1,0.1)</f>
        <v>61.300000000000004</v>
      </c>
      <c r="D565" s="1267"/>
      <c r="E565" s="1266">
        <f>CEILING(60*$Z$1,0.1)</f>
        <v>75</v>
      </c>
      <c r="F565" s="1326"/>
      <c r="G565" s="1266">
        <f>CEILING(60*$Z$1,0.1)</f>
        <v>75</v>
      </c>
      <c r="H565" s="1326"/>
      <c r="I565" s="1266">
        <f>CEILING(60*$Z$1,0.1)</f>
        <v>75</v>
      </c>
      <c r="J565" s="1326"/>
      <c r="K565" s="1266">
        <f>CEILING(49*$Z$1,0.1)</f>
        <v>61.300000000000004</v>
      </c>
      <c r="L565" s="1267"/>
      <c r="M565" s="342"/>
      <c r="N565" s="342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</row>
    <row r="566" spans="1:37" s="479" customFormat="1" ht="17.25" customHeight="1">
      <c r="A566" s="180"/>
      <c r="B566" s="37" t="s">
        <v>266</v>
      </c>
      <c r="C566" s="1268">
        <f>CEILING((C565+11*$Z$1),0.1)</f>
        <v>75.10000000000001</v>
      </c>
      <c r="D566" s="1270"/>
      <c r="E566" s="1268">
        <f>CEILING(74*$Z$1,0.1)</f>
        <v>92.5</v>
      </c>
      <c r="F566" s="1269"/>
      <c r="G566" s="1268">
        <f>CEILING(74*$Z$1,0.1)</f>
        <v>92.5</v>
      </c>
      <c r="H566" s="1269"/>
      <c r="I566" s="1268">
        <f>CEILING(74*$Z$1,0.1)</f>
        <v>92.5</v>
      </c>
      <c r="J566" s="1269"/>
      <c r="K566" s="1268">
        <f>CEILING((K565+11*$Z$1),0.1)</f>
        <v>75.10000000000001</v>
      </c>
      <c r="L566" s="1270"/>
      <c r="M566" s="342"/>
      <c r="N566" s="342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</row>
    <row r="567" spans="1:37" s="404" customFormat="1" ht="17.25" customHeight="1">
      <c r="A567" s="180"/>
      <c r="B567" s="37" t="s">
        <v>267</v>
      </c>
      <c r="C567" s="1268">
        <f>CEILING((C565*0.82),0.1)</f>
        <v>50.300000000000004</v>
      </c>
      <c r="D567" s="1270"/>
      <c r="E567" s="1268">
        <f>CEILING(49*$Z$1,0.1)</f>
        <v>61.300000000000004</v>
      </c>
      <c r="F567" s="1544"/>
      <c r="G567" s="1268">
        <f>CEILING(49*$Z$1,0.1)</f>
        <v>61.300000000000004</v>
      </c>
      <c r="H567" s="1544"/>
      <c r="I567" s="1268">
        <f>CEILING(49*$Z$1,0.1)</f>
        <v>61.300000000000004</v>
      </c>
      <c r="J567" s="1545"/>
      <c r="K567" s="1268">
        <f>CEILING((K565*0.82),0.1)</f>
        <v>50.300000000000004</v>
      </c>
      <c r="L567" s="1270"/>
      <c r="M567" s="342"/>
      <c r="N567" s="342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</row>
    <row r="568" spans="1:37" s="404" customFormat="1" ht="16.5" customHeight="1">
      <c r="A568" s="180"/>
      <c r="B568" s="127" t="s">
        <v>909</v>
      </c>
      <c r="C568" s="1268">
        <f>CEILING((C565*0),0.1)</f>
        <v>0</v>
      </c>
      <c r="D568" s="1270"/>
      <c r="E568" s="1323">
        <v>0</v>
      </c>
      <c r="F568" s="1359"/>
      <c r="G568" s="1323">
        <v>0</v>
      </c>
      <c r="H568" s="1359"/>
      <c r="I568" s="1323">
        <v>0</v>
      </c>
      <c r="J568" s="1435"/>
      <c r="K568" s="1268">
        <f>CEILING((K565*0),0.1)</f>
        <v>0</v>
      </c>
      <c r="L568" s="1270"/>
      <c r="M568" s="673"/>
      <c r="N568" s="674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</row>
    <row r="569" spans="1:37" s="404" customFormat="1" ht="16.5" customHeight="1" thickBot="1">
      <c r="A569" s="79" t="s">
        <v>834</v>
      </c>
      <c r="B569" s="371" t="s">
        <v>909</v>
      </c>
      <c r="C569" s="1284">
        <f>CEILING((C565*0.5),0.1)</f>
        <v>30.700000000000003</v>
      </c>
      <c r="D569" s="1285"/>
      <c r="E569" s="1275">
        <f>CEILING((E565*0.5),0.1)</f>
        <v>37.5</v>
      </c>
      <c r="F569" s="1277"/>
      <c r="G569" s="1275">
        <f>CEILING((G565*0.5),0.1)</f>
        <v>37.5</v>
      </c>
      <c r="H569" s="1277"/>
      <c r="I569" s="1275">
        <f>CEILING((I565*0.5),0.1)</f>
        <v>37.5</v>
      </c>
      <c r="J569" s="1276"/>
      <c r="K569" s="1284">
        <f>CEILING((K565*0.5),0.1)</f>
        <v>30.700000000000003</v>
      </c>
      <c r="L569" s="1285"/>
      <c r="M569" s="673"/>
      <c r="N569" s="674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</row>
    <row r="570" spans="1:37" s="776" customFormat="1" ht="15.75" thickTop="1">
      <c r="A570" s="1306"/>
      <c r="B570" s="1306"/>
      <c r="C570" s="1306"/>
      <c r="D570" s="1306"/>
      <c r="E570" s="1306"/>
      <c r="F570" s="1306"/>
      <c r="G570" s="1306"/>
      <c r="H570" s="1306"/>
      <c r="I570" s="1306"/>
      <c r="J570" s="1306"/>
      <c r="K570" s="775"/>
      <c r="L570" s="775"/>
      <c r="M570" s="335"/>
      <c r="N570" s="335"/>
      <c r="O570" s="335"/>
      <c r="P570" s="335"/>
      <c r="Q570" s="335"/>
      <c r="R570" s="335"/>
      <c r="S570" s="335"/>
      <c r="T570" s="335"/>
      <c r="U570" s="335"/>
      <c r="V570" s="335"/>
      <c r="W570" s="335"/>
      <c r="X570" s="335"/>
      <c r="Y570" s="335"/>
      <c r="Z570" s="335"/>
      <c r="AA570" s="335"/>
      <c r="AB570" s="335"/>
      <c r="AC570" s="335"/>
      <c r="AD570" s="335"/>
      <c r="AE570" s="335"/>
      <c r="AF570" s="335"/>
      <c r="AG570" s="335"/>
      <c r="AH570" s="335"/>
      <c r="AI570" s="335"/>
      <c r="AJ570" s="335"/>
      <c r="AK570" s="335"/>
    </row>
    <row r="571" spans="1:37" s="192" customFormat="1" ht="15">
      <c r="A571" s="797" t="s">
        <v>972</v>
      </c>
      <c r="B571" s="804"/>
      <c r="C571" s="804"/>
      <c r="D571" s="804"/>
      <c r="E571" s="804"/>
      <c r="F571" s="804"/>
      <c r="G571" s="804"/>
      <c r="H571" s="804"/>
      <c r="I571" s="804"/>
      <c r="J571" s="804"/>
      <c r="K571" s="279"/>
      <c r="L571" s="279"/>
      <c r="M571" s="335"/>
      <c r="N571" s="335"/>
      <c r="O571" s="335"/>
      <c r="P571" s="335"/>
      <c r="Q571" s="335"/>
      <c r="R571" s="335"/>
      <c r="S571" s="335"/>
      <c r="T571" s="335"/>
      <c r="U571" s="335"/>
      <c r="V571" s="335"/>
      <c r="W571" s="335"/>
      <c r="X571" s="335"/>
      <c r="Y571" s="335"/>
      <c r="Z571" s="335"/>
      <c r="AA571" s="335"/>
      <c r="AB571" s="335"/>
      <c r="AC571" s="335"/>
      <c r="AD571" s="335"/>
      <c r="AE571" s="335"/>
      <c r="AF571" s="335"/>
      <c r="AG571" s="335"/>
      <c r="AH571" s="335"/>
      <c r="AI571" s="335"/>
      <c r="AJ571" s="335"/>
      <c r="AK571" s="335"/>
    </row>
    <row r="572" spans="1:37" ht="18.75" customHeight="1" thickBot="1">
      <c r="A572" s="79"/>
      <c r="B572" s="52"/>
      <c r="C572" s="1570"/>
      <c r="D572" s="1570"/>
      <c r="E572" s="1556"/>
      <c r="F572" s="1556"/>
      <c r="G572" s="1556"/>
      <c r="H572" s="1556"/>
      <c r="I572" s="1328"/>
      <c r="J572" s="1328"/>
      <c r="K572" s="94"/>
      <c r="L572" s="94"/>
      <c r="M572" s="673"/>
      <c r="N572" s="674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</row>
    <row r="573" spans="1:119" s="663" customFormat="1" ht="23.25" customHeight="1" thickTop="1">
      <c r="A573" s="794" t="s">
        <v>43</v>
      </c>
      <c r="B573" s="819" t="s">
        <v>961</v>
      </c>
      <c r="C573" s="787" t="s">
        <v>968</v>
      </c>
      <c r="D573" s="788"/>
      <c r="E573" s="789" t="s">
        <v>911</v>
      </c>
      <c r="F573" s="790"/>
      <c r="G573" s="765" t="s">
        <v>912</v>
      </c>
      <c r="H573" s="766"/>
      <c r="I573" s="1280" t="s">
        <v>969</v>
      </c>
      <c r="J573" s="1281"/>
      <c r="K573" s="1280" t="s">
        <v>970</v>
      </c>
      <c r="L573" s="1281"/>
      <c r="M573" s="1323"/>
      <c r="N573" s="1328"/>
      <c r="O573" s="335"/>
      <c r="P573" s="335"/>
      <c r="Q573" s="335"/>
      <c r="R573" s="335"/>
      <c r="S573" s="335"/>
      <c r="T573" s="335"/>
      <c r="U573" s="335"/>
      <c r="V573" s="335"/>
      <c r="W573" s="335"/>
      <c r="X573" s="335"/>
      <c r="Y573" s="335"/>
      <c r="Z573" s="335"/>
      <c r="AA573" s="335"/>
      <c r="AB573" s="335"/>
      <c r="AC573" s="335"/>
      <c r="AD573" s="335"/>
      <c r="AE573" s="335"/>
      <c r="AF573" s="335"/>
      <c r="AG573" s="335"/>
      <c r="AH573" s="335"/>
      <c r="AI573" s="335"/>
      <c r="AJ573" s="335"/>
      <c r="AK573" s="335"/>
      <c r="AL573" s="192"/>
      <c r="AM573" s="192"/>
      <c r="AN573" s="192"/>
      <c r="AO573" s="192"/>
      <c r="AP573" s="192"/>
      <c r="AQ573" s="192"/>
      <c r="AR573" s="192"/>
      <c r="AS573" s="192"/>
      <c r="AT573" s="192"/>
      <c r="AU573" s="192"/>
      <c r="AV573" s="192"/>
      <c r="AW573" s="192"/>
      <c r="AX573" s="192"/>
      <c r="AY573" s="192"/>
      <c r="AZ573" s="192"/>
      <c r="BA573" s="192"/>
      <c r="BB573" s="192"/>
      <c r="BC573" s="192"/>
      <c r="BD573" s="192"/>
      <c r="BE573" s="192"/>
      <c r="BF573" s="192"/>
      <c r="BG573" s="192"/>
      <c r="BH573" s="192"/>
      <c r="BI573" s="192"/>
      <c r="BJ573" s="192"/>
      <c r="BK573" s="192"/>
      <c r="BL573" s="192"/>
      <c r="BM573" s="192"/>
      <c r="BN573" s="192"/>
      <c r="BO573" s="192"/>
      <c r="BP573" s="192"/>
      <c r="BQ573" s="192"/>
      <c r="BR573" s="192"/>
      <c r="BS573" s="192"/>
      <c r="BT573" s="192"/>
      <c r="BU573" s="192"/>
      <c r="BV573" s="192"/>
      <c r="BW573" s="192"/>
      <c r="BX573" s="192"/>
      <c r="BY573" s="192"/>
      <c r="BZ573" s="192"/>
      <c r="CA573" s="192"/>
      <c r="CB573" s="192"/>
      <c r="CC573" s="192"/>
      <c r="CD573" s="192"/>
      <c r="CE573" s="192"/>
      <c r="CF573" s="192"/>
      <c r="CG573" s="192"/>
      <c r="CH573" s="192"/>
      <c r="CI573" s="192"/>
      <c r="CJ573" s="192"/>
      <c r="CK573" s="192"/>
      <c r="CL573" s="192"/>
      <c r="CM573" s="192"/>
      <c r="CN573" s="192"/>
      <c r="CO573" s="192"/>
      <c r="CP573" s="192"/>
      <c r="CQ573" s="192"/>
      <c r="CR573" s="192"/>
      <c r="CS573" s="192"/>
      <c r="CT573" s="192"/>
      <c r="CU573" s="192"/>
      <c r="CV573" s="192"/>
      <c r="CW573" s="192"/>
      <c r="CX573" s="192"/>
      <c r="CY573" s="192"/>
      <c r="CZ573" s="192"/>
      <c r="DA573" s="192"/>
      <c r="DB573" s="192"/>
      <c r="DC573" s="192"/>
      <c r="DD573" s="192"/>
      <c r="DE573" s="192"/>
      <c r="DF573" s="192"/>
      <c r="DG573" s="192"/>
      <c r="DH573" s="192"/>
      <c r="DI573" s="192"/>
      <c r="DJ573" s="192"/>
      <c r="DK573" s="192"/>
      <c r="DL573" s="192"/>
      <c r="DM573" s="192"/>
      <c r="DN573" s="192"/>
      <c r="DO573" s="192"/>
    </row>
    <row r="574" spans="1:37" ht="16.5" customHeight="1">
      <c r="A574" s="78" t="s">
        <v>966</v>
      </c>
      <c r="B574" s="29" t="s">
        <v>93</v>
      </c>
      <c r="C574" s="1266">
        <f>CEILING(40*$Z$1,0.1)</f>
        <v>50</v>
      </c>
      <c r="D574" s="1267"/>
      <c r="E574" s="1266">
        <f>CEILING(53*$Z$1,0.1)</f>
        <v>66.3</v>
      </c>
      <c r="F574" s="1267"/>
      <c r="G574" s="1266">
        <f>CEILING(53*$Z$1,0.1)</f>
        <v>66.3</v>
      </c>
      <c r="H574" s="1267"/>
      <c r="I574" s="1266">
        <f>CEILING(53*$Z$1,0.1)</f>
        <v>66.3</v>
      </c>
      <c r="J574" s="1267"/>
      <c r="K574" s="1266">
        <f>CEILING(40*$Z$1,0.1)</f>
        <v>50</v>
      </c>
      <c r="L574" s="1267"/>
      <c r="M574" s="673"/>
      <c r="N574" s="674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</row>
    <row r="575" spans="1:37" ht="18" customHeight="1">
      <c r="A575" s="28" t="s">
        <v>59</v>
      </c>
      <c r="B575" s="50" t="s">
        <v>12</v>
      </c>
      <c r="C575" s="1268">
        <f>CEILING((C574+10*$Z$1),0.1)</f>
        <v>62.5</v>
      </c>
      <c r="D575" s="1270"/>
      <c r="E575" s="1268">
        <f>CEILING(66*$Z$1,0.1)</f>
        <v>82.5</v>
      </c>
      <c r="F575" s="1270"/>
      <c r="G575" s="1268">
        <f>CEILING(66*$Z$1,0.1)</f>
        <v>82.5</v>
      </c>
      <c r="H575" s="1270"/>
      <c r="I575" s="1268">
        <f>CEILING(66*$Z$1,0.1)</f>
        <v>82.5</v>
      </c>
      <c r="J575" s="1270"/>
      <c r="K575" s="1268">
        <f>CEILING((K574+10*$Z$1),0.1)</f>
        <v>62.5</v>
      </c>
      <c r="L575" s="1270"/>
      <c r="M575" s="673"/>
      <c r="N575" s="674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</row>
    <row r="576" spans="1:119" ht="18" customHeight="1">
      <c r="A576" s="28"/>
      <c r="B576" s="127" t="s">
        <v>47</v>
      </c>
      <c r="C576" s="1268">
        <f>CEILING((C574*0.8),0.1)</f>
        <v>40</v>
      </c>
      <c r="D576" s="1270"/>
      <c r="E576" s="1268">
        <f>CEILING(42*$Z$1,0.1)</f>
        <v>52.5</v>
      </c>
      <c r="F576" s="1270"/>
      <c r="G576" s="1268">
        <f>CEILING(42*$Z$1,0.1)</f>
        <v>52.5</v>
      </c>
      <c r="H576" s="1270"/>
      <c r="I576" s="1268">
        <f>CEILING(42*$Z$1,0.1)</f>
        <v>52.5</v>
      </c>
      <c r="J576" s="1270"/>
      <c r="K576" s="1268">
        <f>CEILING((K574*0.8),0.1)</f>
        <v>40</v>
      </c>
      <c r="L576" s="1270"/>
      <c r="M576" s="342"/>
      <c r="N576" s="389"/>
      <c r="O576" s="335"/>
      <c r="P576" s="335"/>
      <c r="Q576" s="335"/>
      <c r="R576" s="335"/>
      <c r="S576" s="335"/>
      <c r="T576" s="335"/>
      <c r="U576" s="335"/>
      <c r="V576" s="335"/>
      <c r="W576" s="335"/>
      <c r="X576" s="335"/>
      <c r="Y576" s="335"/>
      <c r="Z576" s="335"/>
      <c r="AA576" s="335"/>
      <c r="AB576" s="335"/>
      <c r="AC576" s="335"/>
      <c r="AD576" s="335"/>
      <c r="AE576" s="335"/>
      <c r="AF576" s="335"/>
      <c r="AG576" s="335"/>
      <c r="AH576" s="335"/>
      <c r="AI576" s="335"/>
      <c r="AJ576" s="335"/>
      <c r="AK576" s="335"/>
      <c r="AL576" s="192"/>
      <c r="AM576" s="192"/>
      <c r="AN576" s="192"/>
      <c r="AO576" s="192"/>
      <c r="AP576" s="192"/>
      <c r="AQ576" s="192"/>
      <c r="AR576" s="192"/>
      <c r="AS576" s="192"/>
      <c r="AT576" s="192"/>
      <c r="AU576" s="192"/>
      <c r="AV576" s="192"/>
      <c r="AW576" s="192"/>
      <c r="AX576" s="192"/>
      <c r="AY576" s="192"/>
      <c r="AZ576" s="192"/>
      <c r="BA576" s="192"/>
      <c r="BB576" s="192"/>
      <c r="BC576" s="192"/>
      <c r="BD576" s="192"/>
      <c r="BE576" s="192"/>
      <c r="BF576" s="192"/>
      <c r="BG576" s="192"/>
      <c r="BH576" s="192"/>
      <c r="BI576" s="192"/>
      <c r="BJ576" s="192"/>
      <c r="BK576" s="192"/>
      <c r="BL576" s="192"/>
      <c r="BM576" s="192"/>
      <c r="BN576" s="192"/>
      <c r="BO576" s="192"/>
      <c r="BP576" s="192"/>
      <c r="BQ576" s="192"/>
      <c r="BR576" s="192"/>
      <c r="BS576" s="192"/>
      <c r="BT576" s="192"/>
      <c r="BU576" s="192"/>
      <c r="BV576" s="192"/>
      <c r="BW576" s="192"/>
      <c r="BX576" s="192"/>
      <c r="BY576" s="192"/>
      <c r="BZ576" s="192"/>
      <c r="CA576" s="192"/>
      <c r="CB576" s="192"/>
      <c r="CC576" s="192"/>
      <c r="CD576" s="192"/>
      <c r="CE576" s="192"/>
      <c r="CF576" s="192"/>
      <c r="CG576" s="192"/>
      <c r="CH576" s="192"/>
      <c r="CI576" s="192"/>
      <c r="CJ576" s="192"/>
      <c r="CK576" s="192"/>
      <c r="CL576" s="192"/>
      <c r="CM576" s="192"/>
      <c r="CN576" s="192"/>
      <c r="CO576" s="192"/>
      <c r="CP576" s="192"/>
      <c r="CQ576" s="192"/>
      <c r="CR576" s="192"/>
      <c r="CS576" s="192"/>
      <c r="CT576" s="192"/>
      <c r="CU576" s="192"/>
      <c r="CV576" s="192"/>
      <c r="CW576" s="192"/>
      <c r="CX576" s="192"/>
      <c r="CY576" s="192"/>
      <c r="CZ576" s="192"/>
      <c r="DA576" s="192"/>
      <c r="DB576" s="192"/>
      <c r="DC576" s="192"/>
      <c r="DD576" s="192"/>
      <c r="DE576" s="192"/>
      <c r="DF576" s="192"/>
      <c r="DG576" s="192"/>
      <c r="DH576" s="192"/>
      <c r="DI576" s="192"/>
      <c r="DJ576" s="192"/>
      <c r="DK576" s="192"/>
      <c r="DL576" s="192"/>
      <c r="DM576" s="192"/>
      <c r="DN576" s="192"/>
      <c r="DO576" s="192"/>
    </row>
    <row r="577" spans="1:119" s="479" customFormat="1" ht="18" customHeight="1">
      <c r="A577" s="644"/>
      <c r="B577" s="127" t="s">
        <v>71</v>
      </c>
      <c r="C577" s="1268">
        <f>CEILING((C574*0),0.1)</f>
        <v>0</v>
      </c>
      <c r="D577" s="1270"/>
      <c r="E577" s="1323">
        <v>0</v>
      </c>
      <c r="F577" s="1359"/>
      <c r="G577" s="1323">
        <v>0</v>
      </c>
      <c r="H577" s="1359"/>
      <c r="I577" s="1323">
        <v>0</v>
      </c>
      <c r="J577" s="1359"/>
      <c r="K577" s="1268">
        <f>CEILING((K574*0),0.1)</f>
        <v>0</v>
      </c>
      <c r="L577" s="1270"/>
      <c r="M577" s="342"/>
      <c r="N577" s="389"/>
      <c r="O577" s="335"/>
      <c r="P577" s="335"/>
      <c r="Q577" s="335"/>
      <c r="R577" s="335"/>
      <c r="S577" s="335"/>
      <c r="T577" s="335"/>
      <c r="U577" s="335"/>
      <c r="V577" s="335"/>
      <c r="W577" s="335"/>
      <c r="X577" s="335"/>
      <c r="Y577" s="335"/>
      <c r="Z577" s="335"/>
      <c r="AA577" s="335"/>
      <c r="AB577" s="335"/>
      <c r="AC577" s="335"/>
      <c r="AD577" s="335"/>
      <c r="AE577" s="335"/>
      <c r="AF577" s="335"/>
      <c r="AG577" s="335"/>
      <c r="AH577" s="335"/>
      <c r="AI577" s="335"/>
      <c r="AJ577" s="335"/>
      <c r="AK577" s="335"/>
      <c r="AL577" s="192"/>
      <c r="AM577" s="192"/>
      <c r="AN577" s="192"/>
      <c r="AO577" s="192"/>
      <c r="AP577" s="192"/>
      <c r="AQ577" s="192"/>
      <c r="AR577" s="192"/>
      <c r="AS577" s="192"/>
      <c r="AT577" s="192"/>
      <c r="AU577" s="192"/>
      <c r="AV577" s="192"/>
      <c r="AW577" s="192"/>
      <c r="AX577" s="192"/>
      <c r="AY577" s="192"/>
      <c r="AZ577" s="192"/>
      <c r="BA577" s="192"/>
      <c r="BB577" s="192"/>
      <c r="BC577" s="192"/>
      <c r="BD577" s="192"/>
      <c r="BE577" s="192"/>
      <c r="BF577" s="192"/>
      <c r="BG577" s="192"/>
      <c r="BH577" s="192"/>
      <c r="BI577" s="192"/>
      <c r="BJ577" s="192"/>
      <c r="BK577" s="192"/>
      <c r="BL577" s="192"/>
      <c r="BM577" s="192"/>
      <c r="BN577" s="192"/>
      <c r="BO577" s="192"/>
      <c r="BP577" s="192"/>
      <c r="BQ577" s="192"/>
      <c r="BR577" s="192"/>
      <c r="BS577" s="192"/>
      <c r="BT577" s="192"/>
      <c r="BU577" s="192"/>
      <c r="BV577" s="192"/>
      <c r="BW577" s="192"/>
      <c r="BX577" s="192"/>
      <c r="BY577" s="192"/>
      <c r="BZ577" s="192"/>
      <c r="CA577" s="192"/>
      <c r="CB577" s="192"/>
      <c r="CC577" s="192"/>
      <c r="CD577" s="192"/>
      <c r="CE577" s="192"/>
      <c r="CF577" s="192"/>
      <c r="CG577" s="192"/>
      <c r="CH577" s="192"/>
      <c r="CI577" s="192"/>
      <c r="CJ577" s="192"/>
      <c r="CK577" s="192"/>
      <c r="CL577" s="192"/>
      <c r="CM577" s="192"/>
      <c r="CN577" s="192"/>
      <c r="CO577" s="192"/>
      <c r="CP577" s="192"/>
      <c r="CQ577" s="192"/>
      <c r="CR577" s="192"/>
      <c r="CS577" s="192"/>
      <c r="CT577" s="192"/>
      <c r="CU577" s="192"/>
      <c r="CV577" s="192"/>
      <c r="CW577" s="192"/>
      <c r="CX577" s="192"/>
      <c r="CY577" s="192"/>
      <c r="CZ577" s="192"/>
      <c r="DA577" s="192"/>
      <c r="DB577" s="192"/>
      <c r="DC577" s="192"/>
      <c r="DD577" s="192"/>
      <c r="DE577" s="192"/>
      <c r="DF577" s="192"/>
      <c r="DG577" s="192"/>
      <c r="DH577" s="192"/>
      <c r="DI577" s="192"/>
      <c r="DJ577" s="192"/>
      <c r="DK577" s="192"/>
      <c r="DL577" s="192"/>
      <c r="DM577" s="192"/>
      <c r="DN577" s="192"/>
      <c r="DO577" s="192"/>
    </row>
    <row r="578" spans="1:119" ht="15.75" customHeight="1">
      <c r="A578" s="28"/>
      <c r="B578" s="29" t="s">
        <v>973</v>
      </c>
      <c r="C578" s="1268">
        <f>CEILING(45*$Z$1,0.1)</f>
        <v>56.300000000000004</v>
      </c>
      <c r="D578" s="1270"/>
      <c r="E578" s="1268">
        <f>CEILING(58*$Z$1,0.1)</f>
        <v>72.5</v>
      </c>
      <c r="F578" s="1270"/>
      <c r="G578" s="1268">
        <f>CEILING(58*$Z$1,0.1)</f>
        <v>72.5</v>
      </c>
      <c r="H578" s="1270"/>
      <c r="I578" s="1268">
        <f>CEILING(58*$Z$1,0.1)</f>
        <v>72.5</v>
      </c>
      <c r="J578" s="1270"/>
      <c r="K578" s="1268">
        <f>CEILING(45*$Z$1,0.1)</f>
        <v>56.300000000000004</v>
      </c>
      <c r="L578" s="1270"/>
      <c r="M578" s="342"/>
      <c r="N578" s="389"/>
      <c r="O578" s="335"/>
      <c r="P578" s="335"/>
      <c r="Q578" s="335"/>
      <c r="R578" s="335"/>
      <c r="S578" s="335"/>
      <c r="T578" s="335"/>
      <c r="U578" s="335"/>
      <c r="V578" s="335"/>
      <c r="W578" s="335"/>
      <c r="X578" s="335"/>
      <c r="Y578" s="335"/>
      <c r="Z578" s="335"/>
      <c r="AA578" s="335"/>
      <c r="AB578" s="335"/>
      <c r="AC578" s="335"/>
      <c r="AD578" s="335"/>
      <c r="AE578" s="335"/>
      <c r="AF578" s="335"/>
      <c r="AG578" s="335"/>
      <c r="AH578" s="335"/>
      <c r="AI578" s="335"/>
      <c r="AJ578" s="335"/>
      <c r="AK578" s="335"/>
      <c r="AL578" s="192"/>
      <c r="AM578" s="192"/>
      <c r="AN578" s="192"/>
      <c r="AO578" s="192"/>
      <c r="AP578" s="192"/>
      <c r="AQ578" s="192"/>
      <c r="AR578" s="192"/>
      <c r="AS578" s="192"/>
      <c r="AT578" s="192"/>
      <c r="AU578" s="192"/>
      <c r="AV578" s="192"/>
      <c r="AW578" s="192"/>
      <c r="AX578" s="192"/>
      <c r="AY578" s="192"/>
      <c r="AZ578" s="192"/>
      <c r="BA578" s="192"/>
      <c r="BB578" s="192"/>
      <c r="BC578" s="192"/>
      <c r="BD578" s="192"/>
      <c r="BE578" s="192"/>
      <c r="BF578" s="192"/>
      <c r="BG578" s="192"/>
      <c r="BH578" s="192"/>
      <c r="BI578" s="192"/>
      <c r="BJ578" s="192"/>
      <c r="BK578" s="192"/>
      <c r="BL578" s="192"/>
      <c r="BM578" s="192"/>
      <c r="BN578" s="192"/>
      <c r="BO578" s="192"/>
      <c r="BP578" s="192"/>
      <c r="BQ578" s="192"/>
      <c r="BR578" s="192"/>
      <c r="BS578" s="192"/>
      <c r="BT578" s="192"/>
      <c r="BU578" s="192"/>
      <c r="BV578" s="192"/>
      <c r="BW578" s="192"/>
      <c r="BX578" s="192"/>
      <c r="BY578" s="192"/>
      <c r="BZ578" s="192"/>
      <c r="CA578" s="192"/>
      <c r="CB578" s="192"/>
      <c r="CC578" s="192"/>
      <c r="CD578" s="192"/>
      <c r="CE578" s="192"/>
      <c r="CF578" s="192"/>
      <c r="CG578" s="192"/>
      <c r="CH578" s="192"/>
      <c r="CI578" s="192"/>
      <c r="CJ578" s="192"/>
      <c r="CK578" s="192"/>
      <c r="CL578" s="192"/>
      <c r="CM578" s="192"/>
      <c r="CN578" s="192"/>
      <c r="CO578" s="192"/>
      <c r="CP578" s="192"/>
      <c r="CQ578" s="192"/>
      <c r="CR578" s="192"/>
      <c r="CS578" s="192"/>
      <c r="CT578" s="192"/>
      <c r="CU578" s="192"/>
      <c r="CV578" s="192"/>
      <c r="CW578" s="192"/>
      <c r="CX578" s="192"/>
      <c r="CY578" s="192"/>
      <c r="CZ578" s="192"/>
      <c r="DA578" s="192"/>
      <c r="DB578" s="192"/>
      <c r="DC578" s="192"/>
      <c r="DD578" s="192"/>
      <c r="DE578" s="192"/>
      <c r="DF578" s="192"/>
      <c r="DG578" s="192"/>
      <c r="DH578" s="192"/>
      <c r="DI578" s="192"/>
      <c r="DJ578" s="192"/>
      <c r="DK578" s="192"/>
      <c r="DL578" s="192"/>
      <c r="DM578" s="192"/>
      <c r="DN578" s="192"/>
      <c r="DO578" s="192"/>
    </row>
    <row r="579" spans="1:119" ht="18" customHeight="1" thickBot="1">
      <c r="A579" s="105" t="s">
        <v>834</v>
      </c>
      <c r="B579" s="184" t="s">
        <v>974</v>
      </c>
      <c r="C579" s="1284">
        <f>CEILING((C578+10*$Z$1),0.1)</f>
        <v>68.8</v>
      </c>
      <c r="D579" s="1285"/>
      <c r="E579" s="1284">
        <f>CEILING((E578+13*$Z$1),0.1)</f>
        <v>88.80000000000001</v>
      </c>
      <c r="F579" s="1285"/>
      <c r="G579" s="1284">
        <f>CEILING((G578+13*$Z$1),0.1)</f>
        <v>88.80000000000001</v>
      </c>
      <c r="H579" s="1285"/>
      <c r="I579" s="1284">
        <f>CEILING((I578+13*$Z$1),0.1)</f>
        <v>88.80000000000001</v>
      </c>
      <c r="J579" s="1285"/>
      <c r="K579" s="1284">
        <f>CEILING((K578+10*$Z$1),0.1)</f>
        <v>68.8</v>
      </c>
      <c r="L579" s="1285"/>
      <c r="M579" s="342"/>
      <c r="N579" s="389"/>
      <c r="O579" s="335"/>
      <c r="P579" s="335"/>
      <c r="Q579" s="335"/>
      <c r="R579" s="335"/>
      <c r="S579" s="335"/>
      <c r="T579" s="335"/>
      <c r="U579" s="335"/>
      <c r="V579" s="335"/>
      <c r="W579" s="335"/>
      <c r="X579" s="335"/>
      <c r="Y579" s="335"/>
      <c r="Z579" s="335"/>
      <c r="AA579" s="335"/>
      <c r="AB579" s="335"/>
      <c r="AC579" s="335"/>
      <c r="AD579" s="335"/>
      <c r="AE579" s="335"/>
      <c r="AF579" s="335"/>
      <c r="AG579" s="335"/>
      <c r="AH579" s="335"/>
      <c r="AI579" s="335"/>
      <c r="AJ579" s="335"/>
      <c r="AK579" s="335"/>
      <c r="AL579" s="192"/>
      <c r="AM579" s="192"/>
      <c r="AN579" s="192"/>
      <c r="AO579" s="192"/>
      <c r="AP579" s="192"/>
      <c r="AQ579" s="192"/>
      <c r="AR579" s="192"/>
      <c r="AS579" s="192"/>
      <c r="AT579" s="192"/>
      <c r="AU579" s="192"/>
      <c r="AV579" s="192"/>
      <c r="AW579" s="192"/>
      <c r="AX579" s="192"/>
      <c r="AY579" s="192"/>
      <c r="AZ579" s="192"/>
      <c r="BA579" s="192"/>
      <c r="BB579" s="192"/>
      <c r="BC579" s="192"/>
      <c r="BD579" s="192"/>
      <c r="BE579" s="192"/>
      <c r="BF579" s="192"/>
      <c r="BG579" s="192"/>
      <c r="BH579" s="192"/>
      <c r="BI579" s="192"/>
      <c r="BJ579" s="192"/>
      <c r="BK579" s="192"/>
      <c r="BL579" s="192"/>
      <c r="BM579" s="192"/>
      <c r="BN579" s="192"/>
      <c r="BO579" s="192"/>
      <c r="BP579" s="192"/>
      <c r="BQ579" s="192"/>
      <c r="BR579" s="192"/>
      <c r="BS579" s="192"/>
      <c r="BT579" s="192"/>
      <c r="BU579" s="192"/>
      <c r="BV579" s="192"/>
      <c r="BW579" s="192"/>
      <c r="BX579" s="192"/>
      <c r="BY579" s="192"/>
      <c r="BZ579" s="192"/>
      <c r="CA579" s="192"/>
      <c r="CB579" s="192"/>
      <c r="CC579" s="192"/>
      <c r="CD579" s="192"/>
      <c r="CE579" s="192"/>
      <c r="CF579" s="192"/>
      <c r="CG579" s="192"/>
      <c r="CH579" s="192"/>
      <c r="CI579" s="192"/>
      <c r="CJ579" s="192"/>
      <c r="CK579" s="192"/>
      <c r="CL579" s="192"/>
      <c r="CM579" s="192"/>
      <c r="CN579" s="192"/>
      <c r="CO579" s="192"/>
      <c r="CP579" s="192"/>
      <c r="CQ579" s="192"/>
      <c r="CR579" s="192"/>
      <c r="CS579" s="192"/>
      <c r="CT579" s="192"/>
      <c r="CU579" s="192"/>
      <c r="CV579" s="192"/>
      <c r="CW579" s="192"/>
      <c r="CX579" s="192"/>
      <c r="CY579" s="192"/>
      <c r="CZ579" s="192"/>
      <c r="DA579" s="192"/>
      <c r="DB579" s="192"/>
      <c r="DC579" s="192"/>
      <c r="DD579" s="192"/>
      <c r="DE579" s="192"/>
      <c r="DF579" s="192"/>
      <c r="DG579" s="192"/>
      <c r="DH579" s="192"/>
      <c r="DI579" s="192"/>
      <c r="DJ579" s="192"/>
      <c r="DK579" s="192"/>
      <c r="DL579" s="192"/>
      <c r="DM579" s="192"/>
      <c r="DN579" s="192"/>
      <c r="DO579" s="192"/>
    </row>
    <row r="580" spans="1:37" s="776" customFormat="1" ht="15.75" thickTop="1">
      <c r="A580" s="1306"/>
      <c r="B580" s="1306"/>
      <c r="C580" s="1306"/>
      <c r="D580" s="1306"/>
      <c r="E580" s="1306"/>
      <c r="F580" s="1306"/>
      <c r="G580" s="1306"/>
      <c r="H580" s="1306"/>
      <c r="I580" s="1306"/>
      <c r="J580" s="1306"/>
      <c r="K580" s="775"/>
      <c r="L580" s="775"/>
      <c r="M580" s="335"/>
      <c r="N580" s="335"/>
      <c r="O580" s="335"/>
      <c r="P580" s="335"/>
      <c r="Q580" s="335"/>
      <c r="R580" s="335"/>
      <c r="S580" s="335"/>
      <c r="T580" s="335"/>
      <c r="U580" s="335"/>
      <c r="V580" s="335"/>
      <c r="W580" s="335"/>
      <c r="X580" s="335"/>
      <c r="Y580" s="335"/>
      <c r="Z580" s="335"/>
      <c r="AA580" s="335"/>
      <c r="AB580" s="335"/>
      <c r="AC580" s="335"/>
      <c r="AD580" s="335"/>
      <c r="AE580" s="335"/>
      <c r="AF580" s="335"/>
      <c r="AG580" s="335"/>
      <c r="AH580" s="335"/>
      <c r="AI580" s="335"/>
      <c r="AJ580" s="335"/>
      <c r="AK580" s="335"/>
    </row>
    <row r="581" spans="1:37" s="192" customFormat="1" ht="15">
      <c r="A581" s="797" t="s">
        <v>972</v>
      </c>
      <c r="B581" s="804"/>
      <c r="C581" s="804"/>
      <c r="D581" s="804"/>
      <c r="E581" s="804"/>
      <c r="F581" s="804"/>
      <c r="G581" s="804"/>
      <c r="H581" s="804"/>
      <c r="I581" s="804"/>
      <c r="J581" s="804"/>
      <c r="K581" s="279"/>
      <c r="L581" s="279"/>
      <c r="M581" s="335"/>
      <c r="N581" s="335"/>
      <c r="O581" s="335"/>
      <c r="P581" s="335"/>
      <c r="Q581" s="335"/>
      <c r="R581" s="335"/>
      <c r="S581" s="335"/>
      <c r="T581" s="335"/>
      <c r="U581" s="335"/>
      <c r="V581" s="335"/>
      <c r="W581" s="335"/>
      <c r="X581" s="335"/>
      <c r="Y581" s="335"/>
      <c r="Z581" s="335"/>
      <c r="AA581" s="335"/>
      <c r="AB581" s="335"/>
      <c r="AC581" s="335"/>
      <c r="AD581" s="335"/>
      <c r="AE581" s="335"/>
      <c r="AF581" s="335"/>
      <c r="AG581" s="335"/>
      <c r="AH581" s="335"/>
      <c r="AI581" s="335"/>
      <c r="AJ581" s="335"/>
      <c r="AK581" s="335"/>
    </row>
    <row r="582" spans="1:119" ht="15.75" customHeight="1">
      <c r="A582" s="603"/>
      <c r="B582" s="604"/>
      <c r="C582" s="605"/>
      <c r="D582" s="605"/>
      <c r="E582" s="85"/>
      <c r="F582" s="85"/>
      <c r="G582" s="85"/>
      <c r="H582" s="85"/>
      <c r="I582" s="85"/>
      <c r="J582" s="85"/>
      <c r="K582" s="314"/>
      <c r="L582" s="314"/>
      <c r="M582" s="342"/>
      <c r="N582" s="389"/>
      <c r="O582" s="335"/>
      <c r="P582" s="335"/>
      <c r="Q582" s="335"/>
      <c r="R582" s="335"/>
      <c r="S582" s="335"/>
      <c r="T582" s="335"/>
      <c r="U582" s="335"/>
      <c r="V582" s="335"/>
      <c r="W582" s="335"/>
      <c r="X582" s="335"/>
      <c r="Y582" s="335"/>
      <c r="Z582" s="335"/>
      <c r="AA582" s="335"/>
      <c r="AB582" s="335"/>
      <c r="AC582" s="335"/>
      <c r="AD582" s="335"/>
      <c r="AE582" s="335"/>
      <c r="AF582" s="335"/>
      <c r="AG582" s="335"/>
      <c r="AH582" s="335"/>
      <c r="AI582" s="335"/>
      <c r="AJ582" s="335"/>
      <c r="AK582" s="335"/>
      <c r="AL582" s="192"/>
      <c r="AM582" s="192"/>
      <c r="AN582" s="192"/>
      <c r="AO582" s="192"/>
      <c r="AP582" s="192"/>
      <c r="AQ582" s="192"/>
      <c r="AR582" s="192"/>
      <c r="AS582" s="192"/>
      <c r="AT582" s="192"/>
      <c r="AU582" s="192"/>
      <c r="AV582" s="192"/>
      <c r="AW582" s="192"/>
      <c r="AX582" s="192"/>
      <c r="AY582" s="192"/>
      <c r="AZ582" s="192"/>
      <c r="BA582" s="192"/>
      <c r="BB582" s="192"/>
      <c r="BC582" s="192"/>
      <c r="BD582" s="192"/>
      <c r="BE582" s="192"/>
      <c r="BF582" s="192"/>
      <c r="BG582" s="192"/>
      <c r="BH582" s="192"/>
      <c r="BI582" s="192"/>
      <c r="BJ582" s="192"/>
      <c r="BK582" s="192"/>
      <c r="BL582" s="192"/>
      <c r="BM582" s="192"/>
      <c r="BN582" s="192"/>
      <c r="BO582" s="192"/>
      <c r="BP582" s="192"/>
      <c r="BQ582" s="192"/>
      <c r="BR582" s="192"/>
      <c r="BS582" s="192"/>
      <c r="BT582" s="192"/>
      <c r="BU582" s="192"/>
      <c r="BV582" s="192"/>
      <c r="BW582" s="192"/>
      <c r="BX582" s="192"/>
      <c r="BY582" s="192"/>
      <c r="BZ582" s="192"/>
      <c r="CA582" s="192"/>
      <c r="CB582" s="192"/>
      <c r="CC582" s="192"/>
      <c r="CD582" s="192"/>
      <c r="CE582" s="192"/>
      <c r="CF582" s="192"/>
      <c r="CG582" s="192"/>
      <c r="CH582" s="192"/>
      <c r="CI582" s="192"/>
      <c r="CJ582" s="192"/>
      <c r="CK582" s="192"/>
      <c r="CL582" s="192"/>
      <c r="CM582" s="192"/>
      <c r="CN582" s="192"/>
      <c r="CO582" s="192"/>
      <c r="CP582" s="192"/>
      <c r="CQ582" s="192"/>
      <c r="CR582" s="192"/>
      <c r="CS582" s="192"/>
      <c r="CT582" s="192"/>
      <c r="CU582" s="192"/>
      <c r="CV582" s="192"/>
      <c r="CW582" s="192"/>
      <c r="CX582" s="192"/>
      <c r="CY582" s="192"/>
      <c r="CZ582" s="192"/>
      <c r="DA582" s="192"/>
      <c r="DB582" s="192"/>
      <c r="DC582" s="192"/>
      <c r="DD582" s="192"/>
      <c r="DE582" s="192"/>
      <c r="DF582" s="192"/>
      <c r="DG582" s="192"/>
      <c r="DH582" s="192"/>
      <c r="DI582" s="192"/>
      <c r="DJ582" s="192"/>
      <c r="DK582" s="192"/>
      <c r="DL582" s="192"/>
      <c r="DM582" s="192"/>
      <c r="DN582" s="192"/>
      <c r="DO582" s="192"/>
    </row>
    <row r="583" spans="1:119" s="663" customFormat="1" ht="23.25" customHeight="1">
      <c r="A583" s="794" t="s">
        <v>43</v>
      </c>
      <c r="B583" s="819" t="s">
        <v>961</v>
      </c>
      <c r="C583" s="795" t="s">
        <v>884</v>
      </c>
      <c r="D583" s="796"/>
      <c r="E583" s="773" t="s">
        <v>911</v>
      </c>
      <c r="F583" s="766"/>
      <c r="G583" s="765" t="s">
        <v>912</v>
      </c>
      <c r="H583" s="766"/>
      <c r="I583" s="1280" t="s">
        <v>881</v>
      </c>
      <c r="J583" s="1281"/>
      <c r="K583" s="1280" t="s">
        <v>882</v>
      </c>
      <c r="L583" s="1281"/>
      <c r="M583" s="1323"/>
      <c r="N583" s="1328"/>
      <c r="O583" s="335"/>
      <c r="P583" s="335"/>
      <c r="Q583" s="335"/>
      <c r="R583" s="335"/>
      <c r="S583" s="335"/>
      <c r="T583" s="335"/>
      <c r="U583" s="335"/>
      <c r="V583" s="335"/>
      <c r="W583" s="335"/>
      <c r="X583" s="335"/>
      <c r="Y583" s="335"/>
      <c r="Z583" s="335"/>
      <c r="AA583" s="335"/>
      <c r="AB583" s="335"/>
      <c r="AC583" s="335"/>
      <c r="AD583" s="335"/>
      <c r="AE583" s="335"/>
      <c r="AF583" s="335"/>
      <c r="AG583" s="335"/>
      <c r="AH583" s="335"/>
      <c r="AI583" s="335"/>
      <c r="AJ583" s="335"/>
      <c r="AK583" s="335"/>
      <c r="AL583" s="192"/>
      <c r="AM583" s="192"/>
      <c r="AN583" s="192"/>
      <c r="AO583" s="192"/>
      <c r="AP583" s="192"/>
      <c r="AQ583" s="192"/>
      <c r="AR583" s="192"/>
      <c r="AS583" s="192"/>
      <c r="AT583" s="192"/>
      <c r="AU583" s="192"/>
      <c r="AV583" s="192"/>
      <c r="AW583" s="192"/>
      <c r="AX583" s="192"/>
      <c r="AY583" s="192"/>
      <c r="AZ583" s="192"/>
      <c r="BA583" s="192"/>
      <c r="BB583" s="192"/>
      <c r="BC583" s="192"/>
      <c r="BD583" s="192"/>
      <c r="BE583" s="192"/>
      <c r="BF583" s="192"/>
      <c r="BG583" s="192"/>
      <c r="BH583" s="192"/>
      <c r="BI583" s="192"/>
      <c r="BJ583" s="192"/>
      <c r="BK583" s="192"/>
      <c r="BL583" s="192"/>
      <c r="BM583" s="192"/>
      <c r="BN583" s="192"/>
      <c r="BO583" s="192"/>
      <c r="BP583" s="192"/>
      <c r="BQ583" s="192"/>
      <c r="BR583" s="192"/>
      <c r="BS583" s="192"/>
      <c r="BT583" s="192"/>
      <c r="BU583" s="192"/>
      <c r="BV583" s="192"/>
      <c r="BW583" s="192"/>
      <c r="BX583" s="192"/>
      <c r="BY583" s="192"/>
      <c r="BZ583" s="192"/>
      <c r="CA583" s="192"/>
      <c r="CB583" s="192"/>
      <c r="CC583" s="192"/>
      <c r="CD583" s="192"/>
      <c r="CE583" s="192"/>
      <c r="CF583" s="192"/>
      <c r="CG583" s="192"/>
      <c r="CH583" s="192"/>
      <c r="CI583" s="192"/>
      <c r="CJ583" s="192"/>
      <c r="CK583" s="192"/>
      <c r="CL583" s="192"/>
      <c r="CM583" s="192"/>
      <c r="CN583" s="192"/>
      <c r="CO583" s="192"/>
      <c r="CP583" s="192"/>
      <c r="CQ583" s="192"/>
      <c r="CR583" s="192"/>
      <c r="CS583" s="192"/>
      <c r="CT583" s="192"/>
      <c r="CU583" s="192"/>
      <c r="CV583" s="192"/>
      <c r="CW583" s="192"/>
      <c r="CX583" s="192"/>
      <c r="CY583" s="192"/>
      <c r="CZ583" s="192"/>
      <c r="DA583" s="192"/>
      <c r="DB583" s="192"/>
      <c r="DC583" s="192"/>
      <c r="DD583" s="192"/>
      <c r="DE583" s="192"/>
      <c r="DF583" s="192"/>
      <c r="DG583" s="192"/>
      <c r="DH583" s="192"/>
      <c r="DI583" s="192"/>
      <c r="DJ583" s="192"/>
      <c r="DK583" s="192"/>
      <c r="DL583" s="192"/>
      <c r="DM583" s="192"/>
      <c r="DN583" s="192"/>
      <c r="DO583" s="192"/>
    </row>
    <row r="584" spans="1:37" s="192" customFormat="1" ht="16.5" customHeight="1">
      <c r="A584" s="83" t="s">
        <v>100</v>
      </c>
      <c r="B584" s="77" t="s">
        <v>51</v>
      </c>
      <c r="C584" s="1266">
        <f>CEILING(44*$Z$1,0.1)</f>
        <v>55</v>
      </c>
      <c r="D584" s="1267"/>
      <c r="E584" s="1266">
        <f>CEILING(51*$Z$1,0.1)</f>
        <v>63.800000000000004</v>
      </c>
      <c r="F584" s="1267"/>
      <c r="G584" s="1266">
        <f>CEILING(51*$Z$1,0.1)</f>
        <v>63.800000000000004</v>
      </c>
      <c r="H584" s="1267"/>
      <c r="I584" s="1266">
        <f>CEILING(51*$Z$1,0.1)</f>
        <v>63.800000000000004</v>
      </c>
      <c r="J584" s="1267"/>
      <c r="K584" s="1268">
        <f>CEILING(44*$Z$1,0.1)</f>
        <v>55</v>
      </c>
      <c r="L584" s="1270"/>
      <c r="M584" s="342"/>
      <c r="N584" s="389"/>
      <c r="O584" s="335"/>
      <c r="P584" s="335"/>
      <c r="Q584" s="335"/>
      <c r="R584" s="335"/>
      <c r="S584" s="335"/>
      <c r="T584" s="335"/>
      <c r="U584" s="335"/>
      <c r="V584" s="335"/>
      <c r="W584" s="335"/>
      <c r="X584" s="335"/>
      <c r="Y584" s="335"/>
      <c r="Z584" s="335"/>
      <c r="AA584" s="335"/>
      <c r="AB584" s="335"/>
      <c r="AC584" s="335"/>
      <c r="AD584" s="335"/>
      <c r="AE584" s="335"/>
      <c r="AF584" s="335"/>
      <c r="AG584" s="335"/>
      <c r="AH584" s="335"/>
      <c r="AI584" s="335"/>
      <c r="AJ584" s="335"/>
      <c r="AK584" s="335"/>
    </row>
    <row r="585" spans="1:37" s="192" customFormat="1" ht="18" customHeight="1">
      <c r="A585" s="81"/>
      <c r="B585" s="29" t="s">
        <v>52</v>
      </c>
      <c r="C585" s="1268">
        <f>CEILING(55*$Z$1,0.1)</f>
        <v>68.8</v>
      </c>
      <c r="D585" s="1270"/>
      <c r="E585" s="1268">
        <f>CEILING(62*$Z$1,0.1)</f>
        <v>77.5</v>
      </c>
      <c r="F585" s="1270"/>
      <c r="G585" s="1268">
        <f>CEILING(62*$Z$1,0.1)</f>
        <v>77.5</v>
      </c>
      <c r="H585" s="1270"/>
      <c r="I585" s="1268">
        <f>CEILING(62*$Z$1,0.1)</f>
        <v>77.5</v>
      </c>
      <c r="J585" s="1270"/>
      <c r="K585" s="1268">
        <f>CEILING(55*$Z$1,0.1)</f>
        <v>68.8</v>
      </c>
      <c r="L585" s="1270"/>
      <c r="M585" s="802"/>
      <c r="N585" s="802"/>
      <c r="O585" s="335"/>
      <c r="P585" s="335"/>
      <c r="Q585" s="335"/>
      <c r="R585" s="335"/>
      <c r="S585" s="335"/>
      <c r="T585" s="335"/>
      <c r="U585" s="335"/>
      <c r="V585" s="335"/>
      <c r="W585" s="335"/>
      <c r="X585" s="335"/>
      <c r="Y585" s="335"/>
      <c r="Z585" s="335"/>
      <c r="AA585" s="335"/>
      <c r="AB585" s="335"/>
      <c r="AC585" s="335"/>
      <c r="AD585" s="335"/>
      <c r="AE585" s="335"/>
      <c r="AF585" s="335"/>
      <c r="AG585" s="335"/>
      <c r="AH585" s="335"/>
      <c r="AI585" s="335"/>
      <c r="AJ585" s="335"/>
      <c r="AK585" s="335"/>
    </row>
    <row r="586" spans="1:119" s="667" customFormat="1" ht="15">
      <c r="A586" s="548" t="s">
        <v>444</v>
      </c>
      <c r="B586" s="617" t="s">
        <v>967</v>
      </c>
      <c r="C586" s="1284">
        <f>CEILING((C584*0.7),0.1)</f>
        <v>38.5</v>
      </c>
      <c r="D586" s="1285"/>
      <c r="E586" s="1284">
        <f>CEILING((E584*0.7),0.1)</f>
        <v>44.7</v>
      </c>
      <c r="F586" s="1285"/>
      <c r="G586" s="1284">
        <f>CEILING((G584*0.7),0.1)</f>
        <v>44.7</v>
      </c>
      <c r="H586" s="1285"/>
      <c r="I586" s="1284">
        <f>CEILING((I584*0.7),0.1)</f>
        <v>44.7</v>
      </c>
      <c r="J586" s="1285"/>
      <c r="K586" s="1284">
        <f>CEILING((K584*0.7),0.1)</f>
        <v>38.5</v>
      </c>
      <c r="L586" s="1285"/>
      <c r="M586" s="802"/>
      <c r="N586" s="802"/>
      <c r="O586" s="335"/>
      <c r="P586" s="335"/>
      <c r="Q586" s="335"/>
      <c r="R586" s="335"/>
      <c r="S586" s="335"/>
      <c r="T586" s="335"/>
      <c r="U586" s="335"/>
      <c r="V586" s="335"/>
      <c r="W586" s="335"/>
      <c r="X586" s="335"/>
      <c r="Y586" s="335"/>
      <c r="Z586" s="335"/>
      <c r="AA586" s="335"/>
      <c r="AB586" s="335"/>
      <c r="AC586" s="335"/>
      <c r="AD586" s="335"/>
      <c r="AE586" s="335"/>
      <c r="AF586" s="335"/>
      <c r="AG586" s="335"/>
      <c r="AH586" s="335"/>
      <c r="AI586" s="335"/>
      <c r="AJ586" s="335"/>
      <c r="AK586" s="335"/>
      <c r="AL586" s="192"/>
      <c r="AM586" s="192"/>
      <c r="AN586" s="192"/>
      <c r="AO586" s="192"/>
      <c r="AP586" s="192"/>
      <c r="AQ586" s="192"/>
      <c r="AR586" s="192"/>
      <c r="AS586" s="192"/>
      <c r="AT586" s="192"/>
      <c r="AU586" s="192"/>
      <c r="AV586" s="192"/>
      <c r="AW586" s="192"/>
      <c r="AX586" s="192"/>
      <c r="AY586" s="192"/>
      <c r="AZ586" s="192"/>
      <c r="BA586" s="192"/>
      <c r="BB586" s="192"/>
      <c r="BC586" s="192"/>
      <c r="BD586" s="192"/>
      <c r="BE586" s="192"/>
      <c r="BF586" s="192"/>
      <c r="BG586" s="192"/>
      <c r="BH586" s="192"/>
      <c r="BI586" s="192"/>
      <c r="BJ586" s="192"/>
      <c r="BK586" s="192"/>
      <c r="BL586" s="192"/>
      <c r="BM586" s="192"/>
      <c r="BN586" s="192"/>
      <c r="BO586" s="192"/>
      <c r="BP586" s="192"/>
      <c r="BQ586" s="192"/>
      <c r="BR586" s="192"/>
      <c r="BS586" s="192"/>
      <c r="BT586" s="192"/>
      <c r="BU586" s="192"/>
      <c r="BV586" s="192"/>
      <c r="BW586" s="192"/>
      <c r="BX586" s="192"/>
      <c r="BY586" s="192"/>
      <c r="BZ586" s="192"/>
      <c r="CA586" s="192"/>
      <c r="CB586" s="192"/>
      <c r="CC586" s="192"/>
      <c r="CD586" s="192"/>
      <c r="CE586" s="192"/>
      <c r="CF586" s="192"/>
      <c r="CG586" s="192"/>
      <c r="CH586" s="192"/>
      <c r="CI586" s="192"/>
      <c r="CJ586" s="192"/>
      <c r="CK586" s="192"/>
      <c r="CL586" s="192"/>
      <c r="CM586" s="192"/>
      <c r="CN586" s="192"/>
      <c r="CO586" s="192"/>
      <c r="CP586" s="192"/>
      <c r="CQ586" s="192"/>
      <c r="CR586" s="192"/>
      <c r="CS586" s="192"/>
      <c r="CT586" s="192"/>
      <c r="CU586" s="192"/>
      <c r="CV586" s="192"/>
      <c r="CW586" s="192"/>
      <c r="CX586" s="192"/>
      <c r="CY586" s="192"/>
      <c r="CZ586" s="192"/>
      <c r="DA586" s="192"/>
      <c r="DB586" s="192"/>
      <c r="DC586" s="192"/>
      <c r="DD586" s="192"/>
      <c r="DE586" s="192"/>
      <c r="DF586" s="192"/>
      <c r="DG586" s="192"/>
      <c r="DH586" s="192"/>
      <c r="DI586" s="192"/>
      <c r="DJ586" s="192"/>
      <c r="DK586" s="192"/>
      <c r="DL586" s="192"/>
      <c r="DM586" s="192"/>
      <c r="DN586" s="192"/>
      <c r="DO586" s="192"/>
    </row>
    <row r="587" spans="1:37" s="776" customFormat="1" ht="15">
      <c r="A587" s="1306"/>
      <c r="B587" s="1306"/>
      <c r="C587" s="1306"/>
      <c r="D587" s="1306"/>
      <c r="E587" s="1306"/>
      <c r="F587" s="1306"/>
      <c r="G587" s="1306"/>
      <c r="H587" s="1306"/>
      <c r="I587" s="1306"/>
      <c r="J587" s="1306"/>
      <c r="K587" s="775"/>
      <c r="L587" s="775"/>
      <c r="M587" s="335"/>
      <c r="N587" s="335"/>
      <c r="O587" s="335"/>
      <c r="P587" s="335"/>
      <c r="Q587" s="335"/>
      <c r="R587" s="335"/>
      <c r="S587" s="335"/>
      <c r="T587" s="335"/>
      <c r="U587" s="335"/>
      <c r="V587" s="335"/>
      <c r="W587" s="335"/>
      <c r="X587" s="335"/>
      <c r="Y587" s="335"/>
      <c r="Z587" s="335"/>
      <c r="AA587" s="335"/>
      <c r="AB587" s="335"/>
      <c r="AC587" s="335"/>
      <c r="AD587" s="335"/>
      <c r="AE587" s="335"/>
      <c r="AF587" s="335"/>
      <c r="AG587" s="335"/>
      <c r="AH587" s="335"/>
      <c r="AI587" s="335"/>
      <c r="AJ587" s="335"/>
      <c r="AK587" s="335"/>
    </row>
    <row r="588" spans="1:12" s="335" customFormat="1" ht="15">
      <c r="A588" s="803" t="s">
        <v>979</v>
      </c>
      <c r="B588" s="586"/>
      <c r="C588" s="586"/>
      <c r="D588" s="586"/>
      <c r="E588" s="586"/>
      <c r="F588" s="586"/>
      <c r="G588" s="586"/>
      <c r="H588" s="586"/>
      <c r="I588" s="586"/>
      <c r="J588" s="586"/>
      <c r="K588" s="347"/>
      <c r="L588" s="347"/>
    </row>
    <row r="589" spans="1:119" s="479" customFormat="1" ht="15">
      <c r="A589" s="821"/>
      <c r="B589" s="44"/>
      <c r="C589" s="783"/>
      <c r="D589" s="783"/>
      <c r="E589" s="783"/>
      <c r="F589" s="783"/>
      <c r="G589" s="783"/>
      <c r="H589" s="783"/>
      <c r="I589" s="802"/>
      <c r="J589" s="802"/>
      <c r="K589" s="94"/>
      <c r="L589" s="94"/>
      <c r="M589" s="802"/>
      <c r="N589" s="802"/>
      <c r="O589" s="335"/>
      <c r="P589" s="335"/>
      <c r="Q589" s="335"/>
      <c r="R589" s="335"/>
      <c r="S589" s="335"/>
      <c r="T589" s="335"/>
      <c r="U589" s="335"/>
      <c r="V589" s="335"/>
      <c r="W589" s="335"/>
      <c r="X589" s="335"/>
      <c r="Y589" s="335"/>
      <c r="Z589" s="335"/>
      <c r="AA589" s="335"/>
      <c r="AB589" s="335"/>
      <c r="AC589" s="335"/>
      <c r="AD589" s="335"/>
      <c r="AE589" s="335"/>
      <c r="AF589" s="335"/>
      <c r="AG589" s="335"/>
      <c r="AH589" s="335"/>
      <c r="AI589" s="335"/>
      <c r="AJ589" s="335"/>
      <c r="AK589" s="335"/>
      <c r="AL589" s="192"/>
      <c r="AM589" s="192"/>
      <c r="AN589" s="192"/>
      <c r="AO589" s="192"/>
      <c r="AP589" s="192"/>
      <c r="AQ589" s="192"/>
      <c r="AR589" s="192"/>
      <c r="AS589" s="192"/>
      <c r="AT589" s="192"/>
      <c r="AU589" s="192"/>
      <c r="AV589" s="192"/>
      <c r="AW589" s="192"/>
      <c r="AX589" s="192"/>
      <c r="AY589" s="192"/>
      <c r="AZ589" s="192"/>
      <c r="BA589" s="192"/>
      <c r="BB589" s="192"/>
      <c r="BC589" s="192"/>
      <c r="BD589" s="192"/>
      <c r="BE589" s="192"/>
      <c r="BF589" s="192"/>
      <c r="BG589" s="192"/>
      <c r="BH589" s="192"/>
      <c r="BI589" s="192"/>
      <c r="BJ589" s="192"/>
      <c r="BK589" s="192"/>
      <c r="BL589" s="192"/>
      <c r="BM589" s="192"/>
      <c r="BN589" s="192"/>
      <c r="BO589" s="192"/>
      <c r="BP589" s="192"/>
      <c r="BQ589" s="192"/>
      <c r="BR589" s="192"/>
      <c r="BS589" s="192"/>
      <c r="BT589" s="192"/>
      <c r="BU589" s="192"/>
      <c r="BV589" s="192"/>
      <c r="BW589" s="192"/>
      <c r="BX589" s="192"/>
      <c r="BY589" s="192"/>
      <c r="BZ589" s="192"/>
      <c r="CA589" s="192"/>
      <c r="CB589" s="192"/>
      <c r="CC589" s="192"/>
      <c r="CD589" s="192"/>
      <c r="CE589" s="192"/>
      <c r="CF589" s="192"/>
      <c r="CG589" s="192"/>
      <c r="CH589" s="192"/>
      <c r="CI589" s="192"/>
      <c r="CJ589" s="192"/>
      <c r="CK589" s="192"/>
      <c r="CL589" s="192"/>
      <c r="CM589" s="192"/>
      <c r="CN589" s="192"/>
      <c r="CO589" s="192"/>
      <c r="CP589" s="192"/>
      <c r="CQ589" s="192"/>
      <c r="CR589" s="192"/>
      <c r="CS589" s="192"/>
      <c r="CT589" s="192"/>
      <c r="CU589" s="192"/>
      <c r="CV589" s="192"/>
      <c r="CW589" s="192"/>
      <c r="CX589" s="192"/>
      <c r="CY589" s="192"/>
      <c r="CZ589" s="192"/>
      <c r="DA589" s="192"/>
      <c r="DB589" s="192"/>
      <c r="DC589" s="192"/>
      <c r="DD589" s="192"/>
      <c r="DE589" s="192"/>
      <c r="DF589" s="192"/>
      <c r="DG589" s="192"/>
      <c r="DH589" s="192"/>
      <c r="DI589" s="192"/>
      <c r="DJ589" s="192"/>
      <c r="DK589" s="192"/>
      <c r="DL589" s="192"/>
      <c r="DM589" s="192"/>
      <c r="DN589" s="192"/>
      <c r="DO589" s="192"/>
    </row>
    <row r="590" spans="1:40" s="822" customFormat="1" ht="21.75" customHeight="1">
      <c r="A590" s="794" t="s">
        <v>43</v>
      </c>
      <c r="B590" s="819" t="s">
        <v>961</v>
      </c>
      <c r="C590" s="795" t="s">
        <v>884</v>
      </c>
      <c r="D590" s="796"/>
      <c r="E590" s="773" t="s">
        <v>911</v>
      </c>
      <c r="F590" s="766"/>
      <c r="G590" s="765" t="s">
        <v>912</v>
      </c>
      <c r="H590" s="766"/>
      <c r="I590" s="1280" t="s">
        <v>881</v>
      </c>
      <c r="J590" s="1281"/>
      <c r="K590" s="1280" t="s">
        <v>882</v>
      </c>
      <c r="L590" s="1281"/>
      <c r="M590" s="342"/>
      <c r="N590" s="389"/>
      <c r="O590" s="335"/>
      <c r="P590" s="335"/>
      <c r="Q590" s="335"/>
      <c r="R590" s="335"/>
      <c r="S590" s="335"/>
      <c r="T590" s="335"/>
      <c r="U590" s="335"/>
      <c r="V590" s="335"/>
      <c r="W590" s="335"/>
      <c r="X590" s="335"/>
      <c r="Y590" s="335"/>
      <c r="Z590" s="335"/>
      <c r="AA590" s="335"/>
      <c r="AB590" s="335"/>
      <c r="AC590" s="335"/>
      <c r="AD590" s="335"/>
      <c r="AE590" s="335"/>
      <c r="AF590" s="839"/>
      <c r="AG590" s="839"/>
      <c r="AH590" s="839"/>
      <c r="AI590" s="839"/>
      <c r="AJ590" s="839"/>
      <c r="AK590" s="839"/>
      <c r="AL590" s="839"/>
      <c r="AM590" s="839"/>
      <c r="AN590" s="839"/>
    </row>
    <row r="591" spans="1:25" s="192" customFormat="1" ht="15">
      <c r="A591" s="83" t="s">
        <v>975</v>
      </c>
      <c r="B591" s="77" t="s">
        <v>51</v>
      </c>
      <c r="C591" s="1266">
        <f>CEILING(40*$Z$1,0.1)</f>
        <v>50</v>
      </c>
      <c r="D591" s="1267"/>
      <c r="E591" s="1266">
        <f>CEILING(44*$Z$1,0.1)</f>
        <v>55</v>
      </c>
      <c r="F591" s="1267"/>
      <c r="G591" s="1266">
        <f>CEILING(44*$Z$1,0.1)</f>
        <v>55</v>
      </c>
      <c r="H591" s="1267"/>
      <c r="I591" s="1266">
        <f>CEILING(44*$Z$1,0.1)</f>
        <v>55</v>
      </c>
      <c r="J591" s="1267"/>
      <c r="K591" s="1268">
        <f>CEILING(40*$Z$1,0.1)</f>
        <v>50</v>
      </c>
      <c r="L591" s="1270"/>
      <c r="M591" s="20"/>
      <c r="N591" s="234"/>
      <c r="O591" s="481"/>
      <c r="P591" s="481"/>
      <c r="Q591" s="481"/>
      <c r="R591" s="481"/>
      <c r="S591" s="481"/>
      <c r="T591" s="481"/>
      <c r="U591" s="481"/>
      <c r="V591" s="481"/>
      <c r="W591" s="481"/>
      <c r="X591" s="481"/>
      <c r="Y591" s="481"/>
    </row>
    <row r="592" spans="1:25" s="192" customFormat="1" ht="15">
      <c r="A592" s="81"/>
      <c r="B592" s="29" t="s">
        <v>52</v>
      </c>
      <c r="C592" s="1268">
        <f>CEILING(51*$Z$1,0.1)</f>
        <v>63.800000000000004</v>
      </c>
      <c r="D592" s="1270"/>
      <c r="E592" s="1268">
        <f>CEILING(55*$Z$1,0.1)</f>
        <v>68.8</v>
      </c>
      <c r="F592" s="1270"/>
      <c r="G592" s="1268">
        <f>CEILING(55*$Z$1,0.1)</f>
        <v>68.8</v>
      </c>
      <c r="H592" s="1270"/>
      <c r="I592" s="1268">
        <f>CEILING(55*$Z$1,0.1)</f>
        <v>68.8</v>
      </c>
      <c r="J592" s="1270"/>
      <c r="K592" s="1268">
        <f>CEILING(51*$Z$1,0.1)</f>
        <v>63.800000000000004</v>
      </c>
      <c r="L592" s="1270"/>
      <c r="M592" s="20"/>
      <c r="N592" s="234"/>
      <c r="O592" s="481"/>
      <c r="P592" s="481"/>
      <c r="Q592" s="481"/>
      <c r="R592" s="481"/>
      <c r="S592" s="481"/>
      <c r="T592" s="481"/>
      <c r="U592" s="481"/>
      <c r="V592" s="481"/>
      <c r="W592" s="481"/>
      <c r="X592" s="481"/>
      <c r="Y592" s="481"/>
    </row>
    <row r="593" spans="1:42" s="667" customFormat="1" ht="16.5" customHeight="1">
      <c r="A593" s="548" t="s">
        <v>444</v>
      </c>
      <c r="B593" s="617" t="s">
        <v>967</v>
      </c>
      <c r="C593" s="1284">
        <f>CEILING((C591*0.7),0.1)</f>
        <v>35</v>
      </c>
      <c r="D593" s="1285"/>
      <c r="E593" s="1284">
        <f>CEILING((E591*0.7),0.1)</f>
        <v>38.5</v>
      </c>
      <c r="F593" s="1285"/>
      <c r="G593" s="1284">
        <f>CEILING((G591*0.7),0.1)</f>
        <v>38.5</v>
      </c>
      <c r="H593" s="1285"/>
      <c r="I593" s="1284">
        <f>CEILING((I591*0.7),0.1)</f>
        <v>38.5</v>
      </c>
      <c r="J593" s="1285"/>
      <c r="K593" s="1284">
        <f>CEILING((K591*0.7),0.1)</f>
        <v>35</v>
      </c>
      <c r="L593" s="1285"/>
      <c r="M593" s="20"/>
      <c r="N593" s="234"/>
      <c r="O593" s="481"/>
      <c r="P593" s="481"/>
      <c r="Q593" s="481"/>
      <c r="R593" s="481"/>
      <c r="S593" s="481"/>
      <c r="T593" s="481"/>
      <c r="U593" s="481"/>
      <c r="V593" s="481"/>
      <c r="W593" s="481"/>
      <c r="X593" s="481"/>
      <c r="Y593" s="481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  <c r="AK593" s="192"/>
      <c r="AL593" s="192"/>
      <c r="AM593" s="192"/>
      <c r="AN593" s="192"/>
      <c r="AO593" s="192"/>
      <c r="AP593" s="192"/>
    </row>
    <row r="594" spans="1:37" s="776" customFormat="1" ht="15">
      <c r="A594" s="1306"/>
      <c r="B594" s="1306"/>
      <c r="C594" s="1306"/>
      <c r="D594" s="1306"/>
      <c r="E594" s="1306"/>
      <c r="F594" s="1306"/>
      <c r="G594" s="1306"/>
      <c r="H594" s="1306"/>
      <c r="I594" s="1306"/>
      <c r="J594" s="1306"/>
      <c r="K594" s="775"/>
      <c r="L594" s="775"/>
      <c r="M594" s="335"/>
      <c r="N594" s="335"/>
      <c r="O594" s="335"/>
      <c r="P594" s="335"/>
      <c r="Q594" s="335"/>
      <c r="R594" s="335"/>
      <c r="S594" s="335"/>
      <c r="T594" s="335"/>
      <c r="U594" s="335"/>
      <c r="V594" s="335"/>
      <c r="W594" s="335"/>
      <c r="X594" s="335"/>
      <c r="Y594" s="335"/>
      <c r="Z594" s="335"/>
      <c r="AA594" s="335"/>
      <c r="AB594" s="335"/>
      <c r="AC594" s="335"/>
      <c r="AD594" s="335"/>
      <c r="AE594" s="335"/>
      <c r="AF594" s="335"/>
      <c r="AG594" s="335"/>
      <c r="AH594" s="335"/>
      <c r="AI594" s="335"/>
      <c r="AJ594" s="335"/>
      <c r="AK594" s="335"/>
    </row>
    <row r="595" spans="1:12" s="335" customFormat="1" ht="15">
      <c r="A595" s="803" t="s">
        <v>978</v>
      </c>
      <c r="B595" s="586"/>
      <c r="C595" s="586"/>
      <c r="D595" s="586"/>
      <c r="E595" s="586"/>
      <c r="F595" s="586"/>
      <c r="G595" s="586"/>
      <c r="H595" s="586"/>
      <c r="I595" s="586"/>
      <c r="J595" s="586"/>
      <c r="K595" s="347"/>
      <c r="L595" s="347"/>
    </row>
    <row r="596" spans="1:25" s="192" customFormat="1" ht="16.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94"/>
      <c r="L596" s="94"/>
      <c r="M596" s="43"/>
      <c r="N596" s="43"/>
      <c r="O596" s="481"/>
      <c r="P596" s="481"/>
      <c r="Q596" s="481"/>
      <c r="R596" s="481"/>
      <c r="S596" s="481"/>
      <c r="T596" s="481"/>
      <c r="U596" s="481"/>
      <c r="V596" s="481"/>
      <c r="W596" s="481"/>
      <c r="X596" s="481"/>
      <c r="Y596" s="481"/>
    </row>
    <row r="597" spans="1:45" s="822" customFormat="1" ht="21.75" customHeight="1">
      <c r="A597" s="794" t="s">
        <v>43</v>
      </c>
      <c r="B597" s="819" t="s">
        <v>961</v>
      </c>
      <c r="C597" s="795" t="s">
        <v>884</v>
      </c>
      <c r="D597" s="796"/>
      <c r="E597" s="773" t="s">
        <v>911</v>
      </c>
      <c r="F597" s="766"/>
      <c r="G597" s="765" t="s">
        <v>912</v>
      </c>
      <c r="H597" s="766"/>
      <c r="I597" s="1280" t="s">
        <v>881</v>
      </c>
      <c r="J597" s="1281"/>
      <c r="K597" s="1280" t="s">
        <v>882</v>
      </c>
      <c r="L597" s="1334"/>
      <c r="M597" s="342"/>
      <c r="N597" s="389"/>
      <c r="O597" s="335"/>
      <c r="P597" s="335"/>
      <c r="Q597" s="335"/>
      <c r="R597" s="335"/>
      <c r="S597" s="335"/>
      <c r="T597" s="335"/>
      <c r="U597" s="335"/>
      <c r="V597" s="335"/>
      <c r="W597" s="335"/>
      <c r="X597" s="335"/>
      <c r="Y597" s="335"/>
      <c r="Z597" s="335"/>
      <c r="AA597" s="335"/>
      <c r="AB597" s="335"/>
      <c r="AC597" s="335"/>
      <c r="AD597" s="335"/>
      <c r="AE597" s="335"/>
      <c r="AF597" s="839"/>
      <c r="AG597" s="839"/>
      <c r="AH597" s="839"/>
      <c r="AI597" s="839"/>
      <c r="AJ597" s="839"/>
      <c r="AK597" s="839"/>
      <c r="AL597" s="839"/>
      <c r="AM597" s="839"/>
      <c r="AN597" s="839"/>
      <c r="AO597" s="839"/>
      <c r="AP597" s="839"/>
      <c r="AQ597" s="839"/>
      <c r="AR597" s="839"/>
      <c r="AS597" s="839"/>
    </row>
    <row r="598" spans="1:25" s="192" customFormat="1" ht="15.75" customHeight="1">
      <c r="A598" s="78" t="s">
        <v>95</v>
      </c>
      <c r="B598" s="40" t="s">
        <v>51</v>
      </c>
      <c r="C598" s="1266">
        <f>CEILING(44*$Z$1,0.1)</f>
        <v>55</v>
      </c>
      <c r="D598" s="1267"/>
      <c r="E598" s="1266">
        <f>CEILING(51*$Z$1,0.1)</f>
        <v>63.800000000000004</v>
      </c>
      <c r="F598" s="1267"/>
      <c r="G598" s="1266">
        <f>CEILING(51*$Z$1,0.1)</f>
        <v>63.800000000000004</v>
      </c>
      <c r="H598" s="1267"/>
      <c r="I598" s="1266">
        <f>CEILING(51*$Z$1,0.1)</f>
        <v>63.800000000000004</v>
      </c>
      <c r="J598" s="1267"/>
      <c r="K598" s="1266">
        <f>CEILING(44*$Z$1,0.1)</f>
        <v>55</v>
      </c>
      <c r="L598" s="1267"/>
      <c r="M598" s="43"/>
      <c r="N598" s="43"/>
      <c r="O598" s="481"/>
      <c r="P598" s="481"/>
      <c r="Q598" s="481"/>
      <c r="R598" s="481"/>
      <c r="S598" s="481"/>
      <c r="T598" s="481"/>
      <c r="U598" s="481"/>
      <c r="V598" s="481"/>
      <c r="W598" s="481"/>
      <c r="X598" s="481"/>
      <c r="Y598" s="481"/>
    </row>
    <row r="599" spans="1:25" s="192" customFormat="1" ht="17.25" customHeight="1">
      <c r="A599" s="182" t="s">
        <v>90</v>
      </c>
      <c r="B599" s="12" t="s">
        <v>52</v>
      </c>
      <c r="C599" s="1268">
        <f>CEILING(55*$Z$1,0.1)</f>
        <v>68.8</v>
      </c>
      <c r="D599" s="1270"/>
      <c r="E599" s="1268">
        <f>CEILING(62*$Z$1,0.1)</f>
        <v>77.5</v>
      </c>
      <c r="F599" s="1270"/>
      <c r="G599" s="1268">
        <f>CEILING(62*$Z$1,0.1)</f>
        <v>77.5</v>
      </c>
      <c r="H599" s="1270"/>
      <c r="I599" s="1268">
        <f>CEILING(62*$Z$1,0.1)</f>
        <v>77.5</v>
      </c>
      <c r="J599" s="1270"/>
      <c r="K599" s="1268">
        <f>CEILING(55*$Z$1,0.1)</f>
        <v>68.8</v>
      </c>
      <c r="L599" s="1270"/>
      <c r="M599" s="43"/>
      <c r="N599" s="43"/>
      <c r="O599" s="481"/>
      <c r="P599" s="481"/>
      <c r="Q599" s="481"/>
      <c r="R599" s="481"/>
      <c r="S599" s="481"/>
      <c r="T599" s="481"/>
      <c r="U599" s="481"/>
      <c r="V599" s="481"/>
      <c r="W599" s="481"/>
      <c r="X599" s="481"/>
      <c r="Y599" s="481"/>
    </row>
    <row r="600" spans="1:25" s="192" customFormat="1" ht="18.75" customHeight="1">
      <c r="A600" s="14"/>
      <c r="B600" s="12" t="s">
        <v>47</v>
      </c>
      <c r="C600" s="1268">
        <f>CEILING((C598*0.85),0.1)</f>
        <v>46.800000000000004</v>
      </c>
      <c r="D600" s="1270"/>
      <c r="E600" s="1268">
        <f>CEILING((E598*0.85),0.1)</f>
        <v>54.300000000000004</v>
      </c>
      <c r="F600" s="1270"/>
      <c r="G600" s="1268">
        <f>CEILING((G598*0.85),0.1)</f>
        <v>54.300000000000004</v>
      </c>
      <c r="H600" s="1270"/>
      <c r="I600" s="1268">
        <f>CEILING((I598*0.85),0.1)</f>
        <v>54.300000000000004</v>
      </c>
      <c r="J600" s="1270"/>
      <c r="K600" s="1268">
        <f>CEILING((K598*0.85),0.1)</f>
        <v>46.800000000000004</v>
      </c>
      <c r="L600" s="1270"/>
      <c r="M600" s="43"/>
      <c r="N600" s="43"/>
      <c r="O600" s="481"/>
      <c r="P600" s="481"/>
      <c r="Q600" s="481"/>
      <c r="R600" s="481"/>
      <c r="S600" s="481"/>
      <c r="T600" s="481"/>
      <c r="U600" s="481"/>
      <c r="V600" s="481"/>
      <c r="W600" s="481"/>
      <c r="X600" s="481"/>
      <c r="Y600" s="481"/>
    </row>
    <row r="601" spans="1:25" s="192" customFormat="1" ht="15" customHeight="1">
      <c r="A601" s="14"/>
      <c r="B601" s="11" t="s">
        <v>967</v>
      </c>
      <c r="C601" s="1268">
        <f>CEILING((C598*0.7),0.1)</f>
        <v>38.5</v>
      </c>
      <c r="D601" s="1270"/>
      <c r="E601" s="1268">
        <f>CEILING((E598*0.7),0.1)</f>
        <v>44.7</v>
      </c>
      <c r="F601" s="1270"/>
      <c r="G601" s="1268">
        <f>CEILING((G598*0.7),0.1)</f>
        <v>44.7</v>
      </c>
      <c r="H601" s="1270"/>
      <c r="I601" s="1268">
        <f>CEILING((I598*0.7),0.1)</f>
        <v>44.7</v>
      </c>
      <c r="J601" s="1270"/>
      <c r="K601" s="1268">
        <f>CEILING((K598*0.7),0.1)</f>
        <v>38.5</v>
      </c>
      <c r="L601" s="1270"/>
      <c r="M601" s="25"/>
      <c r="N601" s="25"/>
      <c r="O601" s="481"/>
      <c r="P601" s="481"/>
      <c r="Q601" s="481"/>
      <c r="R601" s="481"/>
      <c r="S601" s="481"/>
      <c r="T601" s="481"/>
      <c r="U601" s="481"/>
      <c r="V601" s="481"/>
      <c r="W601" s="481"/>
      <c r="X601" s="481"/>
      <c r="Y601" s="481"/>
    </row>
    <row r="602" spans="1:25" s="192" customFormat="1" ht="16.5" customHeight="1">
      <c r="A602" s="14"/>
      <c r="B602" s="29" t="s">
        <v>204</v>
      </c>
      <c r="C602" s="1268">
        <f>CEILING(51*$Z$1,0.1)</f>
        <v>63.800000000000004</v>
      </c>
      <c r="D602" s="1270"/>
      <c r="E602" s="1268">
        <f>CEILING(55*$Z$1,0.1)</f>
        <v>68.8</v>
      </c>
      <c r="F602" s="1270"/>
      <c r="G602" s="1268">
        <f>CEILING(55*$Z$1,0.1)</f>
        <v>68.8</v>
      </c>
      <c r="H602" s="1270"/>
      <c r="I602" s="1268">
        <f>CEILING(55*$Z$1,0.1)</f>
        <v>68.8</v>
      </c>
      <c r="J602" s="1270"/>
      <c r="K602" s="1268">
        <f>CEILING(51*$Z$1,0.1)</f>
        <v>63.800000000000004</v>
      </c>
      <c r="L602" s="1270"/>
      <c r="M602" s="25"/>
      <c r="N602" s="25"/>
      <c r="O602" s="481"/>
      <c r="P602" s="481"/>
      <c r="Q602" s="481"/>
      <c r="R602" s="481"/>
      <c r="S602" s="481"/>
      <c r="T602" s="481"/>
      <c r="U602" s="481"/>
      <c r="V602" s="481"/>
      <c r="W602" s="481"/>
      <c r="X602" s="481"/>
      <c r="Y602" s="481"/>
    </row>
    <row r="603" spans="1:45" s="667" customFormat="1" ht="17.25" customHeight="1">
      <c r="A603" s="548" t="s">
        <v>443</v>
      </c>
      <c r="B603" s="617" t="s">
        <v>205</v>
      </c>
      <c r="C603" s="1284">
        <f>CEILING(62*$Z$1,0.1)</f>
        <v>77.5</v>
      </c>
      <c r="D603" s="1285"/>
      <c r="E603" s="1284">
        <f>CEILING(66*$Z$1,0.1)</f>
        <v>82.5</v>
      </c>
      <c r="F603" s="1285"/>
      <c r="G603" s="1284">
        <f>CEILING(66*$Z$1,0.1)</f>
        <v>82.5</v>
      </c>
      <c r="H603" s="1285"/>
      <c r="I603" s="1284">
        <f>CEILING(66*$Z$1,0.1)</f>
        <v>82.5</v>
      </c>
      <c r="J603" s="1285"/>
      <c r="K603" s="1284">
        <f>CEILING(62*$Z$1,0.1)</f>
        <v>77.5</v>
      </c>
      <c r="L603" s="1285"/>
      <c r="M603" s="3"/>
      <c r="N603" s="3"/>
      <c r="O603" s="481"/>
      <c r="P603" s="481"/>
      <c r="Q603" s="481"/>
      <c r="R603" s="481"/>
      <c r="S603" s="481"/>
      <c r="T603" s="481"/>
      <c r="U603" s="481"/>
      <c r="V603" s="481"/>
      <c r="W603" s="481"/>
      <c r="X603" s="481"/>
      <c r="Y603" s="481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  <c r="AK603" s="192"/>
      <c r="AL603" s="192"/>
      <c r="AM603" s="192"/>
      <c r="AN603" s="192"/>
      <c r="AO603" s="192"/>
      <c r="AP603" s="192"/>
      <c r="AQ603" s="192"/>
      <c r="AR603" s="192"/>
      <c r="AS603" s="192"/>
    </row>
    <row r="604" spans="1:37" s="776" customFormat="1" ht="15">
      <c r="A604" s="1306"/>
      <c r="B604" s="1306"/>
      <c r="C604" s="1306"/>
      <c r="D604" s="1306"/>
      <c r="E604" s="1306"/>
      <c r="F604" s="1306"/>
      <c r="G604" s="1306"/>
      <c r="H604" s="1306"/>
      <c r="I604" s="1306"/>
      <c r="J604" s="1306"/>
      <c r="K604" s="775"/>
      <c r="L604" s="775"/>
      <c r="M604" s="335"/>
      <c r="N604" s="335"/>
      <c r="O604" s="335"/>
      <c r="P604" s="335"/>
      <c r="Q604" s="335"/>
      <c r="R604" s="335"/>
      <c r="S604" s="335"/>
      <c r="T604" s="335"/>
      <c r="U604" s="335"/>
      <c r="V604" s="335"/>
      <c r="W604" s="335"/>
      <c r="X604" s="335"/>
      <c r="Y604" s="335"/>
      <c r="Z604" s="335"/>
      <c r="AA604" s="335"/>
      <c r="AB604" s="335"/>
      <c r="AC604" s="335"/>
      <c r="AD604" s="335"/>
      <c r="AE604" s="335"/>
      <c r="AF604" s="335"/>
      <c r="AG604" s="335"/>
      <c r="AH604" s="335"/>
      <c r="AI604" s="335"/>
      <c r="AJ604" s="335"/>
      <c r="AK604" s="335"/>
    </row>
    <row r="605" spans="1:12" s="335" customFormat="1" ht="15">
      <c r="A605" s="803" t="s">
        <v>979</v>
      </c>
      <c r="B605" s="586"/>
      <c r="C605" s="586"/>
      <c r="D605" s="586"/>
      <c r="E605" s="586"/>
      <c r="F605" s="586"/>
      <c r="G605" s="586"/>
      <c r="H605" s="586"/>
      <c r="I605" s="586"/>
      <c r="J605" s="586"/>
      <c r="K605" s="347"/>
      <c r="L605" s="347"/>
    </row>
    <row r="606" spans="1:49" s="192" customFormat="1" ht="19.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94"/>
      <c r="L606" s="94"/>
      <c r="M606" s="43"/>
      <c r="N606" s="842"/>
      <c r="O606" s="335"/>
      <c r="P606" s="335"/>
      <c r="Q606" s="335"/>
      <c r="R606" s="335"/>
      <c r="S606" s="335"/>
      <c r="T606" s="335"/>
      <c r="U606" s="335"/>
      <c r="V606" s="335"/>
      <c r="W606" s="335"/>
      <c r="X606" s="335"/>
      <c r="Y606" s="335"/>
      <c r="Z606" s="335"/>
      <c r="AA606" s="335"/>
      <c r="AB606" s="335"/>
      <c r="AC606" s="335"/>
      <c r="AD606" s="335"/>
      <c r="AE606" s="335"/>
      <c r="AF606" s="335"/>
      <c r="AG606" s="335"/>
      <c r="AH606" s="335"/>
      <c r="AI606" s="335"/>
      <c r="AJ606" s="335"/>
      <c r="AK606" s="335"/>
      <c r="AL606" s="335"/>
      <c r="AM606" s="335"/>
      <c r="AN606" s="335"/>
      <c r="AO606" s="335"/>
      <c r="AP606" s="335"/>
      <c r="AQ606" s="335"/>
      <c r="AR606" s="335"/>
      <c r="AS606" s="335"/>
      <c r="AT606" s="335"/>
      <c r="AU606" s="335"/>
      <c r="AV606" s="335"/>
      <c r="AW606" s="335"/>
    </row>
    <row r="607" spans="1:49" s="822" customFormat="1" ht="21.75" customHeight="1">
      <c r="A607" s="794" t="s">
        <v>43</v>
      </c>
      <c r="B607" s="819" t="s">
        <v>977</v>
      </c>
      <c r="C607" s="795" t="s">
        <v>884</v>
      </c>
      <c r="D607" s="796"/>
      <c r="E607" s="773" t="s">
        <v>911</v>
      </c>
      <c r="F607" s="766"/>
      <c r="G607" s="765" t="s">
        <v>912</v>
      </c>
      <c r="H607" s="766"/>
      <c r="I607" s="1280" t="s">
        <v>881</v>
      </c>
      <c r="J607" s="1281"/>
      <c r="K607" s="1280" t="s">
        <v>882</v>
      </c>
      <c r="L607" s="1281"/>
      <c r="M607" s="342"/>
      <c r="N607" s="389"/>
      <c r="O607" s="335"/>
      <c r="P607" s="335"/>
      <c r="Q607" s="335"/>
      <c r="R607" s="335"/>
      <c r="S607" s="335"/>
      <c r="T607" s="335"/>
      <c r="U607" s="335"/>
      <c r="V607" s="335"/>
      <c r="W607" s="335"/>
      <c r="X607" s="335"/>
      <c r="Y607" s="335"/>
      <c r="Z607" s="335"/>
      <c r="AA607" s="335"/>
      <c r="AB607" s="335"/>
      <c r="AC607" s="335"/>
      <c r="AD607" s="335"/>
      <c r="AE607" s="335"/>
      <c r="AF607" s="335"/>
      <c r="AG607" s="335"/>
      <c r="AH607" s="335"/>
      <c r="AI607" s="335"/>
      <c r="AJ607" s="335"/>
      <c r="AK607" s="335"/>
      <c r="AL607" s="335"/>
      <c r="AM607" s="335"/>
      <c r="AN607" s="335"/>
      <c r="AO607" s="335"/>
      <c r="AP607" s="335"/>
      <c r="AQ607" s="335"/>
      <c r="AR607" s="335"/>
      <c r="AS607" s="335"/>
      <c r="AT607" s="335"/>
      <c r="AU607" s="335"/>
      <c r="AV607" s="335"/>
      <c r="AW607" s="335"/>
    </row>
    <row r="608" spans="1:49" s="192" customFormat="1" ht="16.5" customHeight="1">
      <c r="A608" s="83" t="s">
        <v>96</v>
      </c>
      <c r="B608" s="77" t="s">
        <v>51</v>
      </c>
      <c r="C608" s="1266">
        <f>CEILING(23*$Z$1,0.1)</f>
        <v>28.8</v>
      </c>
      <c r="D608" s="1267"/>
      <c r="E608" s="1266">
        <f>CEILING(25*$Z$1,0.1)</f>
        <v>31.3</v>
      </c>
      <c r="F608" s="1267"/>
      <c r="G608" s="1266">
        <f>CEILING(25*$Z$1,0.1)</f>
        <v>31.3</v>
      </c>
      <c r="H608" s="1267"/>
      <c r="I608" s="1266">
        <f>CEILING(25*$Z$1,0.1)</f>
        <v>31.3</v>
      </c>
      <c r="J608" s="1267"/>
      <c r="K608" s="1266">
        <f>CEILING(23*$Z$1,0.1)</f>
        <v>28.8</v>
      </c>
      <c r="L608" s="1267"/>
      <c r="M608" s="43"/>
      <c r="N608" s="842"/>
      <c r="O608" s="335"/>
      <c r="P608" s="335"/>
      <c r="Q608" s="335"/>
      <c r="R608" s="335"/>
      <c r="S608" s="335"/>
      <c r="T608" s="335"/>
      <c r="U608" s="335"/>
      <c r="V608" s="335"/>
      <c r="W608" s="335"/>
      <c r="X608" s="335"/>
      <c r="Y608" s="335"/>
      <c r="Z608" s="335"/>
      <c r="AA608" s="335"/>
      <c r="AB608" s="335"/>
      <c r="AC608" s="335"/>
      <c r="AD608" s="335"/>
      <c r="AE608" s="335"/>
      <c r="AF608" s="335"/>
      <c r="AG608" s="335"/>
      <c r="AH608" s="335"/>
      <c r="AI608" s="335"/>
      <c r="AJ608" s="335"/>
      <c r="AK608" s="335"/>
      <c r="AL608" s="335"/>
      <c r="AM608" s="335"/>
      <c r="AN608" s="335"/>
      <c r="AO608" s="335"/>
      <c r="AP608" s="335"/>
      <c r="AQ608" s="335"/>
      <c r="AR608" s="335"/>
      <c r="AS608" s="335"/>
      <c r="AT608" s="335"/>
      <c r="AU608" s="335"/>
      <c r="AV608" s="335"/>
      <c r="AW608" s="335"/>
    </row>
    <row r="609" spans="1:49" s="192" customFormat="1" ht="16.5" customHeight="1">
      <c r="A609" s="81" t="s">
        <v>94</v>
      </c>
      <c r="B609" s="29" t="s">
        <v>52</v>
      </c>
      <c r="C609" s="1268">
        <f>CEILING(29*$Z$1,0.1)</f>
        <v>36.300000000000004</v>
      </c>
      <c r="D609" s="1270"/>
      <c r="E609" s="1268">
        <f>CEILING(31*$Z$1,0.1)</f>
        <v>38.800000000000004</v>
      </c>
      <c r="F609" s="1270"/>
      <c r="G609" s="1268">
        <f>CEILING(31*$Z$1,0.1)</f>
        <v>38.800000000000004</v>
      </c>
      <c r="H609" s="1270"/>
      <c r="I609" s="1268">
        <f>CEILING(31*$Z$1,0.1)</f>
        <v>38.800000000000004</v>
      </c>
      <c r="J609" s="1270"/>
      <c r="K609" s="1268">
        <f>CEILING(29*$Z$1,0.1)</f>
        <v>36.300000000000004</v>
      </c>
      <c r="L609" s="1270"/>
      <c r="M609" s="43"/>
      <c r="N609" s="842"/>
      <c r="O609" s="335"/>
      <c r="P609" s="335"/>
      <c r="Q609" s="335"/>
      <c r="R609" s="335"/>
      <c r="S609" s="335"/>
      <c r="T609" s="335"/>
      <c r="U609" s="335"/>
      <c r="V609" s="335"/>
      <c r="W609" s="335"/>
      <c r="X609" s="335"/>
      <c r="Y609" s="335"/>
      <c r="Z609" s="335"/>
      <c r="AA609" s="335"/>
      <c r="AB609" s="335"/>
      <c r="AC609" s="335"/>
      <c r="AD609" s="335"/>
      <c r="AE609" s="335"/>
      <c r="AF609" s="335"/>
      <c r="AG609" s="335"/>
      <c r="AH609" s="335"/>
      <c r="AI609" s="335"/>
      <c r="AJ609" s="335"/>
      <c r="AK609" s="335"/>
      <c r="AL609" s="335"/>
      <c r="AM609" s="335"/>
      <c r="AN609" s="335"/>
      <c r="AO609" s="335"/>
      <c r="AP609" s="335"/>
      <c r="AQ609" s="335"/>
      <c r="AR609" s="335"/>
      <c r="AS609" s="335"/>
      <c r="AT609" s="335"/>
      <c r="AU609" s="335"/>
      <c r="AV609" s="335"/>
      <c r="AW609" s="335"/>
    </row>
    <row r="610" spans="1:49" s="667" customFormat="1" ht="14.25" customHeight="1">
      <c r="A610" s="774" t="s">
        <v>442</v>
      </c>
      <c r="B610" s="617" t="s">
        <v>967</v>
      </c>
      <c r="C610" s="1284">
        <f>CEILING((C608*0.7),0.1)</f>
        <v>20.200000000000003</v>
      </c>
      <c r="D610" s="1285"/>
      <c r="E610" s="1284">
        <f>CEILING((E608*0.7),0.1)</f>
        <v>22</v>
      </c>
      <c r="F610" s="1285"/>
      <c r="G610" s="1284">
        <f>CEILING((G608*0.7),0.1)</f>
        <v>22</v>
      </c>
      <c r="H610" s="1285"/>
      <c r="I610" s="1284">
        <f>CEILING((I608*0.7),0.1)</f>
        <v>22</v>
      </c>
      <c r="J610" s="1285"/>
      <c r="K610" s="1284">
        <f>CEILING((K608*0.7),0.1)</f>
        <v>20.200000000000003</v>
      </c>
      <c r="L610" s="1285"/>
      <c r="M610" s="25"/>
      <c r="N610" s="423"/>
      <c r="O610" s="335"/>
      <c r="P610" s="335"/>
      <c r="Q610" s="335"/>
      <c r="R610" s="335"/>
      <c r="S610" s="335"/>
      <c r="T610" s="335"/>
      <c r="U610" s="335"/>
      <c r="V610" s="335"/>
      <c r="W610" s="335"/>
      <c r="X610" s="335"/>
      <c r="Y610" s="335"/>
      <c r="Z610" s="335"/>
      <c r="AA610" s="335"/>
      <c r="AB610" s="335"/>
      <c r="AC610" s="335"/>
      <c r="AD610" s="335"/>
      <c r="AE610" s="335"/>
      <c r="AF610" s="335"/>
      <c r="AG610" s="335"/>
      <c r="AH610" s="335"/>
      <c r="AI610" s="335"/>
      <c r="AJ610" s="335"/>
      <c r="AK610" s="335"/>
      <c r="AL610" s="335"/>
      <c r="AM610" s="335"/>
      <c r="AN610" s="335"/>
      <c r="AO610" s="335"/>
      <c r="AP610" s="335"/>
      <c r="AQ610" s="335"/>
      <c r="AR610" s="335"/>
      <c r="AS610" s="335"/>
      <c r="AT610" s="335"/>
      <c r="AU610" s="335"/>
      <c r="AV610" s="335"/>
      <c r="AW610" s="335"/>
    </row>
    <row r="611" spans="1:12" s="335" customFormat="1" ht="15">
      <c r="A611" s="803" t="s">
        <v>978</v>
      </c>
      <c r="B611" s="586"/>
      <c r="C611" s="586"/>
      <c r="D611" s="586"/>
      <c r="E611" s="586"/>
      <c r="F611" s="586"/>
      <c r="G611" s="586"/>
      <c r="H611" s="586"/>
      <c r="I611" s="586"/>
      <c r="J611" s="586"/>
      <c r="K611" s="347"/>
      <c r="L611" s="347"/>
    </row>
    <row r="612" spans="1:45" s="1112" customFormat="1" ht="15">
      <c r="A612" s="1012"/>
      <c r="B612" s="1012"/>
      <c r="C612" s="1012"/>
      <c r="D612" s="1012"/>
      <c r="E612" s="1012"/>
      <c r="F612" s="1012"/>
      <c r="G612" s="1012"/>
      <c r="H612" s="1012"/>
      <c r="I612" s="1012"/>
      <c r="J612" s="1012"/>
      <c r="K612" s="1111"/>
      <c r="L612" s="1111"/>
      <c r="M612" s="335"/>
      <c r="N612" s="335"/>
      <c r="O612" s="335"/>
      <c r="P612" s="335"/>
      <c r="Q612" s="335"/>
      <c r="R612" s="335"/>
      <c r="S612" s="335"/>
      <c r="T612" s="335"/>
      <c r="U612" s="335"/>
      <c r="V612" s="335"/>
      <c r="W612" s="335"/>
      <c r="X612" s="335"/>
      <c r="Y612" s="335"/>
      <c r="Z612" s="335"/>
      <c r="AA612" s="335"/>
      <c r="AB612" s="335"/>
      <c r="AC612" s="335"/>
      <c r="AD612" s="335"/>
      <c r="AE612" s="335"/>
      <c r="AF612" s="335"/>
      <c r="AG612" s="335"/>
      <c r="AH612" s="335"/>
      <c r="AI612" s="335"/>
      <c r="AJ612" s="335"/>
      <c r="AK612" s="335"/>
      <c r="AL612" s="335"/>
      <c r="AM612" s="335"/>
      <c r="AN612" s="335"/>
      <c r="AO612" s="335"/>
      <c r="AP612" s="335"/>
      <c r="AQ612" s="335"/>
      <c r="AR612" s="335"/>
      <c r="AS612" s="335"/>
    </row>
    <row r="613" spans="1:49" s="192" customFormat="1" ht="18" customHeight="1">
      <c r="A613" s="20"/>
      <c r="B613" s="18"/>
      <c r="C613" s="85"/>
      <c r="D613" s="85"/>
      <c r="E613" s="85"/>
      <c r="F613" s="85"/>
      <c r="G613" s="85"/>
      <c r="H613" s="85"/>
      <c r="I613" s="1373"/>
      <c r="J613" s="1373"/>
      <c r="K613" s="112"/>
      <c r="L613" s="112"/>
      <c r="M613" s="43"/>
      <c r="N613" s="842"/>
      <c r="O613" s="335"/>
      <c r="P613" s="335"/>
      <c r="Q613" s="335"/>
      <c r="R613" s="335"/>
      <c r="S613" s="335"/>
      <c r="T613" s="335"/>
      <c r="U613" s="335"/>
      <c r="V613" s="335"/>
      <c r="W613" s="335"/>
      <c r="X613" s="335"/>
      <c r="Y613" s="335"/>
      <c r="Z613" s="335"/>
      <c r="AA613" s="335"/>
      <c r="AB613" s="335"/>
      <c r="AC613" s="335"/>
      <c r="AD613" s="335"/>
      <c r="AE613" s="335"/>
      <c r="AF613" s="335"/>
      <c r="AG613" s="335"/>
      <c r="AH613" s="335"/>
      <c r="AI613" s="335"/>
      <c r="AJ613" s="335"/>
      <c r="AK613" s="335"/>
      <c r="AL613" s="335"/>
      <c r="AM613" s="335"/>
      <c r="AN613" s="335"/>
      <c r="AO613" s="335"/>
      <c r="AP613" s="335"/>
      <c r="AQ613" s="335"/>
      <c r="AR613" s="335"/>
      <c r="AS613" s="335"/>
      <c r="AT613" s="335"/>
      <c r="AU613" s="335"/>
      <c r="AV613" s="335"/>
      <c r="AW613" s="335"/>
    </row>
    <row r="614" spans="1:49" s="822" customFormat="1" ht="21.75" customHeight="1">
      <c r="A614" s="794" t="s">
        <v>43</v>
      </c>
      <c r="B614" s="819" t="s">
        <v>977</v>
      </c>
      <c r="C614" s="795" t="s">
        <v>884</v>
      </c>
      <c r="D614" s="796"/>
      <c r="E614" s="773" t="s">
        <v>911</v>
      </c>
      <c r="F614" s="766"/>
      <c r="G614" s="765" t="s">
        <v>912</v>
      </c>
      <c r="H614" s="766"/>
      <c r="I614" s="1280" t="s">
        <v>881</v>
      </c>
      <c r="J614" s="1281"/>
      <c r="K614" s="1280" t="s">
        <v>882</v>
      </c>
      <c r="L614" s="1281"/>
      <c r="M614" s="342"/>
      <c r="N614" s="389"/>
      <c r="O614" s="335"/>
      <c r="P614" s="335"/>
      <c r="Q614" s="335"/>
      <c r="R614" s="335"/>
      <c r="S614" s="335"/>
      <c r="T614" s="335"/>
      <c r="U614" s="335"/>
      <c r="V614" s="335"/>
      <c r="W614" s="335"/>
      <c r="X614" s="335"/>
      <c r="Y614" s="335"/>
      <c r="Z614" s="335"/>
      <c r="AA614" s="335"/>
      <c r="AB614" s="335"/>
      <c r="AC614" s="335"/>
      <c r="AD614" s="335"/>
      <c r="AE614" s="335"/>
      <c r="AF614" s="335"/>
      <c r="AG614" s="335"/>
      <c r="AH614" s="335"/>
      <c r="AI614" s="335"/>
      <c r="AJ614" s="335"/>
      <c r="AK614" s="335"/>
      <c r="AL614" s="335"/>
      <c r="AM614" s="335"/>
      <c r="AN614" s="335"/>
      <c r="AO614" s="335"/>
      <c r="AP614" s="335"/>
      <c r="AQ614" s="335"/>
      <c r="AR614" s="335"/>
      <c r="AS614" s="335"/>
      <c r="AT614" s="335"/>
      <c r="AU614" s="335"/>
      <c r="AV614" s="335"/>
      <c r="AW614" s="335"/>
    </row>
    <row r="615" spans="1:49" s="192" customFormat="1" ht="16.5" customHeight="1">
      <c r="A615" s="162" t="s">
        <v>571</v>
      </c>
      <c r="B615" s="77" t="s">
        <v>51</v>
      </c>
      <c r="C615" s="1266">
        <f>CEILING(23*$Z$1,0.1)</f>
        <v>28.8</v>
      </c>
      <c r="D615" s="1267"/>
      <c r="E615" s="1266">
        <f>CEILING(25*$Z$1,0.1)</f>
        <v>31.3</v>
      </c>
      <c r="F615" s="1267"/>
      <c r="G615" s="1266">
        <f>CEILING(25*$Z$1,0.1)</f>
        <v>31.3</v>
      </c>
      <c r="H615" s="1267"/>
      <c r="I615" s="1266">
        <f>CEILING(25*$Z$1,0.1)</f>
        <v>31.3</v>
      </c>
      <c r="J615" s="1267"/>
      <c r="K615" s="1266">
        <f>CEILING(23*$Z$1,0.1)</f>
        <v>28.8</v>
      </c>
      <c r="L615" s="1267"/>
      <c r="M615" s="43"/>
      <c r="N615" s="842"/>
      <c r="O615" s="335"/>
      <c r="P615" s="335"/>
      <c r="Q615" s="335"/>
      <c r="R615" s="335"/>
      <c r="S615" s="335"/>
      <c r="T615" s="335"/>
      <c r="U615" s="335"/>
      <c r="V615" s="335"/>
      <c r="W615" s="335"/>
      <c r="X615" s="335"/>
      <c r="Y615" s="335"/>
      <c r="Z615" s="335"/>
      <c r="AA615" s="335"/>
      <c r="AB615" s="335"/>
      <c r="AC615" s="335"/>
      <c r="AD615" s="335"/>
      <c r="AE615" s="335"/>
      <c r="AF615" s="335"/>
      <c r="AG615" s="335"/>
      <c r="AH615" s="335"/>
      <c r="AI615" s="335"/>
      <c r="AJ615" s="335"/>
      <c r="AK615" s="335"/>
      <c r="AL615" s="335"/>
      <c r="AM615" s="335"/>
      <c r="AN615" s="335"/>
      <c r="AO615" s="335"/>
      <c r="AP615" s="335"/>
      <c r="AQ615" s="335"/>
      <c r="AR615" s="335"/>
      <c r="AS615" s="335"/>
      <c r="AT615" s="335"/>
      <c r="AU615" s="335"/>
      <c r="AV615" s="335"/>
      <c r="AW615" s="335"/>
    </row>
    <row r="616" spans="1:49" s="192" customFormat="1" ht="16.5" customHeight="1">
      <c r="A616" s="81"/>
      <c r="B616" s="29" t="s">
        <v>52</v>
      </c>
      <c r="C616" s="1268">
        <f>CEILING(29*$Z$1,0.1)</f>
        <v>36.300000000000004</v>
      </c>
      <c r="D616" s="1270"/>
      <c r="E616" s="1268">
        <f>CEILING(31*$Z$1,0.1)</f>
        <v>38.800000000000004</v>
      </c>
      <c r="F616" s="1270"/>
      <c r="G616" s="1268">
        <f>CEILING(31*$Z$1,0.1)</f>
        <v>38.800000000000004</v>
      </c>
      <c r="H616" s="1270"/>
      <c r="I616" s="1268">
        <f>CEILING(31*$Z$1,0.1)</f>
        <v>38.800000000000004</v>
      </c>
      <c r="J616" s="1270"/>
      <c r="K616" s="1268">
        <f>CEILING(29*$Z$1,0.1)</f>
        <v>36.300000000000004</v>
      </c>
      <c r="L616" s="1270"/>
      <c r="M616" s="43"/>
      <c r="N616" s="842"/>
      <c r="O616" s="335"/>
      <c r="P616" s="335"/>
      <c r="Q616" s="335"/>
      <c r="R616" s="335"/>
      <c r="S616" s="335"/>
      <c r="T616" s="335"/>
      <c r="U616" s="335"/>
      <c r="V616" s="335"/>
      <c r="W616" s="335"/>
      <c r="X616" s="335"/>
      <c r="Y616" s="335"/>
      <c r="Z616" s="335"/>
      <c r="AA616" s="335"/>
      <c r="AB616" s="335"/>
      <c r="AC616" s="335"/>
      <c r="AD616" s="335"/>
      <c r="AE616" s="335"/>
      <c r="AF616" s="335"/>
      <c r="AG616" s="335"/>
      <c r="AH616" s="335"/>
      <c r="AI616" s="335"/>
      <c r="AJ616" s="335"/>
      <c r="AK616" s="335"/>
      <c r="AL616" s="335"/>
      <c r="AM616" s="335"/>
      <c r="AN616" s="335"/>
      <c r="AO616" s="335"/>
      <c r="AP616" s="335"/>
      <c r="AQ616" s="335"/>
      <c r="AR616" s="335"/>
      <c r="AS616" s="335"/>
      <c r="AT616" s="335"/>
      <c r="AU616" s="335"/>
      <c r="AV616" s="335"/>
      <c r="AW616" s="335"/>
    </row>
    <row r="617" spans="1:49" s="667" customFormat="1" ht="17.25" customHeight="1">
      <c r="A617" s="774" t="s">
        <v>443</v>
      </c>
      <c r="B617" s="617" t="s">
        <v>967</v>
      </c>
      <c r="C617" s="1284">
        <f>CEILING((C615*0.7),0.1)</f>
        <v>20.200000000000003</v>
      </c>
      <c r="D617" s="1285"/>
      <c r="E617" s="1284">
        <f>CEILING((E615*0.7),0.1)</f>
        <v>22</v>
      </c>
      <c r="F617" s="1285"/>
      <c r="G617" s="1284">
        <f>CEILING((G615*0.7),0.1)</f>
        <v>22</v>
      </c>
      <c r="H617" s="1285"/>
      <c r="I617" s="1284">
        <f>CEILING((I615*0.7),0.1)</f>
        <v>22</v>
      </c>
      <c r="J617" s="1285"/>
      <c r="K617" s="1284">
        <f>CEILING((K615*0.7),0.1)</f>
        <v>20.200000000000003</v>
      </c>
      <c r="L617" s="1285"/>
      <c r="M617" s="43"/>
      <c r="N617" s="842"/>
      <c r="O617" s="335"/>
      <c r="P617" s="335"/>
      <c r="Q617" s="335"/>
      <c r="R617" s="335"/>
      <c r="S617" s="335"/>
      <c r="T617" s="335"/>
      <c r="U617" s="335"/>
      <c r="V617" s="335"/>
      <c r="W617" s="335"/>
      <c r="X617" s="335"/>
      <c r="Y617" s="335"/>
      <c r="Z617" s="335"/>
      <c r="AA617" s="335"/>
      <c r="AB617" s="335"/>
      <c r="AC617" s="335"/>
      <c r="AD617" s="335"/>
      <c r="AE617" s="335"/>
      <c r="AF617" s="335"/>
      <c r="AG617" s="335"/>
      <c r="AH617" s="335"/>
      <c r="AI617" s="335"/>
      <c r="AJ617" s="335"/>
      <c r="AK617" s="335"/>
      <c r="AL617" s="335"/>
      <c r="AM617" s="335"/>
      <c r="AN617" s="335"/>
      <c r="AO617" s="335"/>
      <c r="AP617" s="335"/>
      <c r="AQ617" s="335"/>
      <c r="AR617" s="335"/>
      <c r="AS617" s="335"/>
      <c r="AT617" s="335"/>
      <c r="AU617" s="335"/>
      <c r="AV617" s="335"/>
      <c r="AW617" s="335"/>
    </row>
    <row r="618" spans="1:12" s="335" customFormat="1" ht="15">
      <c r="A618" s="803" t="s">
        <v>978</v>
      </c>
      <c r="B618" s="586"/>
      <c r="C618" s="586"/>
      <c r="D618" s="586"/>
      <c r="E618" s="586"/>
      <c r="F618" s="586"/>
      <c r="G618" s="586"/>
      <c r="H618" s="586"/>
      <c r="I618" s="586"/>
      <c r="J618" s="586"/>
      <c r="K618" s="347"/>
      <c r="L618" s="347"/>
    </row>
    <row r="619" spans="1:45" s="1112" customFormat="1" ht="15">
      <c r="A619" s="1012"/>
      <c r="B619" s="1012"/>
      <c r="C619" s="1012"/>
      <c r="D619" s="1012"/>
      <c r="E619" s="1012"/>
      <c r="F619" s="1012"/>
      <c r="G619" s="1012"/>
      <c r="H619" s="1012"/>
      <c r="I619" s="1012"/>
      <c r="J619" s="1012"/>
      <c r="K619" s="1111"/>
      <c r="L619" s="1111"/>
      <c r="M619" s="335"/>
      <c r="N619" s="335"/>
      <c r="O619" s="335"/>
      <c r="P619" s="335"/>
      <c r="Q619" s="335"/>
      <c r="R619" s="335"/>
      <c r="S619" s="335"/>
      <c r="T619" s="335"/>
      <c r="U619" s="335"/>
      <c r="V619" s="335"/>
      <c r="W619" s="335"/>
      <c r="X619" s="335"/>
      <c r="Y619" s="335"/>
      <c r="Z619" s="335"/>
      <c r="AA619" s="335"/>
      <c r="AB619" s="335"/>
      <c r="AC619" s="335"/>
      <c r="AD619" s="335"/>
      <c r="AE619" s="335"/>
      <c r="AF619" s="335"/>
      <c r="AG619" s="335"/>
      <c r="AH619" s="335"/>
      <c r="AI619" s="335"/>
      <c r="AJ619" s="335"/>
      <c r="AK619" s="335"/>
      <c r="AL619" s="335"/>
      <c r="AM619" s="335"/>
      <c r="AN619" s="335"/>
      <c r="AO619" s="335"/>
      <c r="AP619" s="335"/>
      <c r="AQ619" s="335"/>
      <c r="AR619" s="335"/>
      <c r="AS619" s="335"/>
    </row>
    <row r="620" spans="1:49" s="192" customFormat="1" ht="1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112"/>
      <c r="L620" s="112"/>
      <c r="M620" s="342"/>
      <c r="N620" s="389"/>
      <c r="O620" s="335"/>
      <c r="P620" s="335"/>
      <c r="Q620" s="335"/>
      <c r="R620" s="335"/>
      <c r="S620" s="335"/>
      <c r="T620" s="335"/>
      <c r="U620" s="335"/>
      <c r="V620" s="335"/>
      <c r="W620" s="335"/>
      <c r="X620" s="335"/>
      <c r="Y620" s="335"/>
      <c r="Z620" s="335"/>
      <c r="AA620" s="335"/>
      <c r="AB620" s="335"/>
      <c r="AC620" s="335"/>
      <c r="AD620" s="335"/>
      <c r="AE620" s="335"/>
      <c r="AF620" s="335"/>
      <c r="AG620" s="335"/>
      <c r="AH620" s="335"/>
      <c r="AI620" s="335"/>
      <c r="AJ620" s="335"/>
      <c r="AK620" s="335"/>
      <c r="AL620" s="335"/>
      <c r="AM620" s="335"/>
      <c r="AN620" s="335"/>
      <c r="AO620" s="335"/>
      <c r="AP620" s="335"/>
      <c r="AQ620" s="335"/>
      <c r="AR620" s="335"/>
      <c r="AS620" s="335"/>
      <c r="AT620" s="335"/>
      <c r="AU620" s="335"/>
      <c r="AV620" s="335"/>
      <c r="AW620" s="335"/>
    </row>
    <row r="621" spans="1:49" s="192" customFormat="1" ht="15">
      <c r="A621" s="840"/>
      <c r="B621" s="50"/>
      <c r="C621" s="3"/>
      <c r="D621" s="3"/>
      <c r="E621" s="3"/>
      <c r="F621" s="3"/>
      <c r="G621" s="3"/>
      <c r="H621" s="3"/>
      <c r="I621" s="3"/>
      <c r="J621" s="3"/>
      <c r="K621" s="112"/>
      <c r="L621" s="112"/>
      <c r="M621" s="20"/>
      <c r="N621" s="389"/>
      <c r="O621" s="335"/>
      <c r="P621" s="335"/>
      <c r="Q621" s="335"/>
      <c r="R621" s="335"/>
      <c r="S621" s="335"/>
      <c r="T621" s="335"/>
      <c r="U621" s="335"/>
      <c r="V621" s="335"/>
      <c r="W621" s="335"/>
      <c r="X621" s="335"/>
      <c r="Y621" s="335"/>
      <c r="Z621" s="335"/>
      <c r="AA621" s="335"/>
      <c r="AB621" s="335"/>
      <c r="AC621" s="335"/>
      <c r="AD621" s="335"/>
      <c r="AE621" s="335"/>
      <c r="AF621" s="335"/>
      <c r="AG621" s="335"/>
      <c r="AH621" s="335"/>
      <c r="AI621" s="335"/>
      <c r="AJ621" s="335"/>
      <c r="AK621" s="335"/>
      <c r="AL621" s="335"/>
      <c r="AM621" s="335"/>
      <c r="AN621" s="335"/>
      <c r="AO621" s="335"/>
      <c r="AP621" s="335"/>
      <c r="AQ621" s="335"/>
      <c r="AR621" s="335"/>
      <c r="AS621" s="335"/>
      <c r="AT621" s="335"/>
      <c r="AU621" s="335"/>
      <c r="AV621" s="335"/>
      <c r="AW621" s="335"/>
    </row>
    <row r="622" spans="1:49" s="822" customFormat="1" ht="21.75" customHeight="1">
      <c r="A622" s="794" t="s">
        <v>43</v>
      </c>
      <c r="B622" s="819" t="s">
        <v>961</v>
      </c>
      <c r="C622" s="795" t="s">
        <v>884</v>
      </c>
      <c r="D622" s="796"/>
      <c r="E622" s="773" t="s">
        <v>911</v>
      </c>
      <c r="F622" s="766"/>
      <c r="G622" s="765" t="s">
        <v>912</v>
      </c>
      <c r="H622" s="766"/>
      <c r="I622" s="1280" t="s">
        <v>881</v>
      </c>
      <c r="J622" s="1281"/>
      <c r="K622" s="1280" t="s">
        <v>882</v>
      </c>
      <c r="L622" s="1281"/>
      <c r="M622" s="342"/>
      <c r="N622" s="389"/>
      <c r="O622" s="335"/>
      <c r="P622" s="335"/>
      <c r="Q622" s="335"/>
      <c r="R622" s="335"/>
      <c r="S622" s="335"/>
      <c r="T622" s="335"/>
      <c r="U622" s="335"/>
      <c r="V622" s="335"/>
      <c r="W622" s="335"/>
      <c r="X622" s="335"/>
      <c r="Y622" s="335"/>
      <c r="Z622" s="335"/>
      <c r="AA622" s="335"/>
      <c r="AB622" s="335"/>
      <c r="AC622" s="335"/>
      <c r="AD622" s="335"/>
      <c r="AE622" s="335"/>
      <c r="AF622" s="335"/>
      <c r="AG622" s="335"/>
      <c r="AH622" s="335"/>
      <c r="AI622" s="335"/>
      <c r="AJ622" s="335"/>
      <c r="AK622" s="335"/>
      <c r="AL622" s="335"/>
      <c r="AM622" s="335"/>
      <c r="AN622" s="335"/>
      <c r="AO622" s="335"/>
      <c r="AP622" s="335"/>
      <c r="AQ622" s="335"/>
      <c r="AR622" s="335"/>
      <c r="AS622" s="335"/>
      <c r="AT622" s="335"/>
      <c r="AU622" s="335"/>
      <c r="AV622" s="335"/>
      <c r="AW622" s="335"/>
    </row>
    <row r="623" spans="1:49" s="192" customFormat="1" ht="15">
      <c r="A623" s="162" t="s">
        <v>97</v>
      </c>
      <c r="B623" s="29" t="s">
        <v>51</v>
      </c>
      <c r="C623" s="1266">
        <f>CEILING(33*$Z$1,0.1)</f>
        <v>41.300000000000004</v>
      </c>
      <c r="D623" s="1267"/>
      <c r="E623" s="1266">
        <f>CEILING(36*$Z$1,0.1)</f>
        <v>45</v>
      </c>
      <c r="F623" s="1267"/>
      <c r="G623" s="1266">
        <f>CEILING(36*$Z$1,0.1)</f>
        <v>45</v>
      </c>
      <c r="H623" s="1267"/>
      <c r="I623" s="1266">
        <f>CEILING(36*$Z$1,0.1)</f>
        <v>45</v>
      </c>
      <c r="J623" s="1267"/>
      <c r="K623" s="1266">
        <f>CEILING(33*$Z$1,0.1)</f>
        <v>41.300000000000004</v>
      </c>
      <c r="L623" s="1267"/>
      <c r="M623" s="20"/>
      <c r="N623" s="389"/>
      <c r="O623" s="335"/>
      <c r="P623" s="335"/>
      <c r="Q623" s="335"/>
      <c r="R623" s="335"/>
      <c r="S623" s="335"/>
      <c r="T623" s="335"/>
      <c r="U623" s="335"/>
      <c r="V623" s="335"/>
      <c r="W623" s="335"/>
      <c r="X623" s="335"/>
      <c r="Y623" s="335"/>
      <c r="Z623" s="335"/>
      <c r="AA623" s="335"/>
      <c r="AB623" s="335"/>
      <c r="AC623" s="335"/>
      <c r="AD623" s="335"/>
      <c r="AE623" s="335"/>
      <c r="AF623" s="335"/>
      <c r="AG623" s="335"/>
      <c r="AH623" s="335"/>
      <c r="AI623" s="335"/>
      <c r="AJ623" s="335"/>
      <c r="AK623" s="335"/>
      <c r="AL623" s="335"/>
      <c r="AM623" s="335"/>
      <c r="AN623" s="335"/>
      <c r="AO623" s="335"/>
      <c r="AP623" s="335"/>
      <c r="AQ623" s="335"/>
      <c r="AR623" s="335"/>
      <c r="AS623" s="335"/>
      <c r="AT623" s="335"/>
      <c r="AU623" s="335"/>
      <c r="AV623" s="335"/>
      <c r="AW623" s="335"/>
    </row>
    <row r="624" spans="1:49" s="192" customFormat="1" ht="15">
      <c r="A624" s="81" t="s">
        <v>94</v>
      </c>
      <c r="B624" s="29" t="s">
        <v>52</v>
      </c>
      <c r="C624" s="1268">
        <f>CEILING(44*$Z$1,0.1)</f>
        <v>55</v>
      </c>
      <c r="D624" s="1270"/>
      <c r="E624" s="1268">
        <f>CEILING(47*$Z$1,0.1)</f>
        <v>58.800000000000004</v>
      </c>
      <c r="F624" s="1270"/>
      <c r="G624" s="1268">
        <f>CEILING(47*$Z$1,0.1)</f>
        <v>58.800000000000004</v>
      </c>
      <c r="H624" s="1270"/>
      <c r="I624" s="1268">
        <f>CEILING(47*$Z$1,0.1)</f>
        <v>58.800000000000004</v>
      </c>
      <c r="J624" s="1270"/>
      <c r="K624" s="1268">
        <f>CEILING(44*$Z$1,0.1)</f>
        <v>55</v>
      </c>
      <c r="L624" s="1270"/>
      <c r="M624" s="20"/>
      <c r="N624" s="389"/>
      <c r="O624" s="335"/>
      <c r="P624" s="335"/>
      <c r="Q624" s="335"/>
      <c r="R624" s="335"/>
      <c r="S624" s="335"/>
      <c r="T624" s="335"/>
      <c r="U624" s="335"/>
      <c r="V624" s="335"/>
      <c r="W624" s="335"/>
      <c r="X624" s="335"/>
      <c r="Y624" s="335"/>
      <c r="Z624" s="335"/>
      <c r="AA624" s="335"/>
      <c r="AB624" s="335"/>
      <c r="AC624" s="335"/>
      <c r="AD624" s="335"/>
      <c r="AE624" s="335"/>
      <c r="AF624" s="335"/>
      <c r="AG624" s="335"/>
      <c r="AH624" s="335"/>
      <c r="AI624" s="335"/>
      <c r="AJ624" s="335"/>
      <c r="AK624" s="335"/>
      <c r="AL624" s="335"/>
      <c r="AM624" s="335"/>
      <c r="AN624" s="335"/>
      <c r="AO624" s="335"/>
      <c r="AP624" s="335"/>
      <c r="AQ624" s="335"/>
      <c r="AR624" s="335"/>
      <c r="AS624" s="335"/>
      <c r="AT624" s="335"/>
      <c r="AU624" s="335"/>
      <c r="AV624" s="335"/>
      <c r="AW624" s="335"/>
    </row>
    <row r="625" spans="1:49" s="192" customFormat="1" ht="15">
      <c r="A625" s="81"/>
      <c r="B625" s="29" t="s">
        <v>1276</v>
      </c>
      <c r="C625" s="1323">
        <v>0</v>
      </c>
      <c r="D625" s="1324"/>
      <c r="E625" s="1323">
        <v>0</v>
      </c>
      <c r="F625" s="1324"/>
      <c r="G625" s="1323">
        <v>0</v>
      </c>
      <c r="H625" s="1324"/>
      <c r="I625" s="1323">
        <v>0</v>
      </c>
      <c r="J625" s="1324"/>
      <c r="K625" s="1323">
        <v>0</v>
      </c>
      <c r="L625" s="1324"/>
      <c r="M625" s="20"/>
      <c r="N625" s="389"/>
      <c r="O625" s="335"/>
      <c r="P625" s="335"/>
      <c r="Q625" s="335"/>
      <c r="R625" s="335"/>
      <c r="S625" s="335"/>
      <c r="T625" s="335"/>
      <c r="U625" s="335"/>
      <c r="V625" s="335"/>
      <c r="W625" s="335"/>
      <c r="X625" s="335"/>
      <c r="Y625" s="335"/>
      <c r="Z625" s="335"/>
      <c r="AA625" s="335"/>
      <c r="AB625" s="335"/>
      <c r="AC625" s="335"/>
      <c r="AD625" s="335"/>
      <c r="AE625" s="335"/>
      <c r="AF625" s="335"/>
      <c r="AG625" s="335"/>
      <c r="AH625" s="335"/>
      <c r="AI625" s="335"/>
      <c r="AJ625" s="335"/>
      <c r="AK625" s="335"/>
      <c r="AL625" s="335"/>
      <c r="AM625" s="335"/>
      <c r="AN625" s="335"/>
      <c r="AO625" s="335"/>
      <c r="AP625" s="335"/>
      <c r="AQ625" s="335"/>
      <c r="AR625" s="335"/>
      <c r="AS625" s="335"/>
      <c r="AT625" s="335"/>
      <c r="AU625" s="335"/>
      <c r="AV625" s="335"/>
      <c r="AW625" s="335"/>
    </row>
    <row r="626" spans="1:49" s="192" customFormat="1" ht="15">
      <c r="A626" s="81"/>
      <c r="B626" s="11" t="s">
        <v>967</v>
      </c>
      <c r="C626" s="1268">
        <f>CEILING((C623*0.7),0.1)</f>
        <v>29</v>
      </c>
      <c r="D626" s="1270"/>
      <c r="E626" s="1268">
        <f>CEILING((E623*0.7),0.1)</f>
        <v>31.5</v>
      </c>
      <c r="F626" s="1270"/>
      <c r="G626" s="1268">
        <f>CEILING((G623*0.7),0.1)</f>
        <v>31.5</v>
      </c>
      <c r="H626" s="1270"/>
      <c r="I626" s="1268">
        <f>CEILING((I623*0.7),0.1)</f>
        <v>31.5</v>
      </c>
      <c r="J626" s="1270"/>
      <c r="K626" s="1268">
        <f>CEILING((K623*0.7),0.1)</f>
        <v>29</v>
      </c>
      <c r="L626" s="1270"/>
      <c r="M626" s="20"/>
      <c r="N626" s="389"/>
      <c r="O626" s="335"/>
      <c r="P626" s="335"/>
      <c r="Q626" s="335"/>
      <c r="R626" s="335"/>
      <c r="S626" s="335"/>
      <c r="T626" s="335"/>
      <c r="U626" s="335"/>
      <c r="V626" s="335"/>
      <c r="W626" s="335"/>
      <c r="X626" s="335"/>
      <c r="Y626" s="335"/>
      <c r="Z626" s="335"/>
      <c r="AA626" s="335"/>
      <c r="AB626" s="335"/>
      <c r="AC626" s="335"/>
      <c r="AD626" s="335"/>
      <c r="AE626" s="335"/>
      <c r="AF626" s="335"/>
      <c r="AG626" s="335"/>
      <c r="AH626" s="335"/>
      <c r="AI626" s="335"/>
      <c r="AJ626" s="335"/>
      <c r="AK626" s="335"/>
      <c r="AL626" s="335"/>
      <c r="AM626" s="335"/>
      <c r="AN626" s="335"/>
      <c r="AO626" s="335"/>
      <c r="AP626" s="335"/>
      <c r="AQ626" s="335"/>
      <c r="AR626" s="335"/>
      <c r="AS626" s="335"/>
      <c r="AT626" s="335"/>
      <c r="AU626" s="335"/>
      <c r="AV626" s="335"/>
      <c r="AW626" s="335"/>
    </row>
    <row r="627" spans="1:49" s="192" customFormat="1" ht="15">
      <c r="A627" s="81"/>
      <c r="B627" s="21" t="s">
        <v>98</v>
      </c>
      <c r="C627" s="1268">
        <f>CEILING(68*$Z$1,0.1)</f>
        <v>85</v>
      </c>
      <c r="D627" s="1270"/>
      <c r="E627" s="1268">
        <f>CEILING(77*$Z$1,0.1)</f>
        <v>96.30000000000001</v>
      </c>
      <c r="F627" s="1270"/>
      <c r="G627" s="1268">
        <f>CEILING(77*$Z$1,0.1)</f>
        <v>96.30000000000001</v>
      </c>
      <c r="H627" s="1270"/>
      <c r="I627" s="1268">
        <f>CEILING(77*$Z$1,0.1)</f>
        <v>96.30000000000001</v>
      </c>
      <c r="J627" s="1270"/>
      <c r="K627" s="1268">
        <f>CEILING(68*$Z$1,0.1)</f>
        <v>85</v>
      </c>
      <c r="L627" s="1270"/>
      <c r="M627" s="20"/>
      <c r="N627" s="389"/>
      <c r="O627" s="335"/>
      <c r="P627" s="335"/>
      <c r="Q627" s="335"/>
      <c r="R627" s="335"/>
      <c r="S627" s="335"/>
      <c r="T627" s="335"/>
      <c r="U627" s="335"/>
      <c r="V627" s="335"/>
      <c r="W627" s="335"/>
      <c r="X627" s="335"/>
      <c r="Y627" s="335"/>
      <c r="Z627" s="335"/>
      <c r="AA627" s="335"/>
      <c r="AB627" s="335"/>
      <c r="AC627" s="335"/>
      <c r="AD627" s="335"/>
      <c r="AE627" s="335"/>
      <c r="AF627" s="335"/>
      <c r="AG627" s="335"/>
      <c r="AH627" s="335"/>
      <c r="AI627" s="335"/>
      <c r="AJ627" s="335"/>
      <c r="AK627" s="335"/>
      <c r="AL627" s="335"/>
      <c r="AM627" s="335"/>
      <c r="AN627" s="335"/>
      <c r="AO627" s="335"/>
      <c r="AP627" s="335"/>
      <c r="AQ627" s="335"/>
      <c r="AR627" s="335"/>
      <c r="AS627" s="335"/>
      <c r="AT627" s="335"/>
      <c r="AU627" s="335"/>
      <c r="AV627" s="335"/>
      <c r="AW627" s="335"/>
    </row>
    <row r="628" spans="1:49" s="667" customFormat="1" ht="15">
      <c r="A628" s="548" t="s">
        <v>442</v>
      </c>
      <c r="B628" s="841" t="s">
        <v>99</v>
      </c>
      <c r="C628" s="1284">
        <f>CEILING(121*$Z$1,0.1)</f>
        <v>151.3</v>
      </c>
      <c r="D628" s="1285"/>
      <c r="E628" s="1284">
        <f>CEILING(132*$Z$1,0.1)</f>
        <v>165</v>
      </c>
      <c r="F628" s="1285"/>
      <c r="G628" s="1284">
        <f>CEILING(132*$Z$1,0.1)</f>
        <v>165</v>
      </c>
      <c r="H628" s="1285"/>
      <c r="I628" s="1284">
        <f>CEILING(132*$Z$1,0.1)</f>
        <v>165</v>
      </c>
      <c r="J628" s="1285"/>
      <c r="K628" s="1284">
        <f>CEILING(121*$Z$1,0.1)</f>
        <v>151.3</v>
      </c>
      <c r="L628" s="1285"/>
      <c r="M628" s="20"/>
      <c r="N628" s="389"/>
      <c r="O628" s="335"/>
      <c r="P628" s="335"/>
      <c r="Q628" s="335"/>
      <c r="R628" s="335"/>
      <c r="S628" s="335"/>
      <c r="T628" s="335"/>
      <c r="U628" s="335"/>
      <c r="V628" s="335"/>
      <c r="W628" s="335"/>
      <c r="X628" s="335"/>
      <c r="Y628" s="335"/>
      <c r="Z628" s="335"/>
      <c r="AA628" s="335"/>
      <c r="AB628" s="335"/>
      <c r="AC628" s="335"/>
      <c r="AD628" s="335"/>
      <c r="AE628" s="335"/>
      <c r="AF628" s="335"/>
      <c r="AG628" s="335"/>
      <c r="AH628" s="335"/>
      <c r="AI628" s="335"/>
      <c r="AJ628" s="335"/>
      <c r="AK628" s="335"/>
      <c r="AL628" s="335"/>
      <c r="AM628" s="335"/>
      <c r="AN628" s="335"/>
      <c r="AO628" s="335"/>
      <c r="AP628" s="335"/>
      <c r="AQ628" s="335"/>
      <c r="AR628" s="335"/>
      <c r="AS628" s="335"/>
      <c r="AT628" s="335"/>
      <c r="AU628" s="335"/>
      <c r="AV628" s="335"/>
      <c r="AW628" s="335"/>
    </row>
    <row r="629" spans="1:25" s="192" customFormat="1" ht="19.5" customHeight="1">
      <c r="A629" s="107" t="s">
        <v>980</v>
      </c>
      <c r="B629" s="107"/>
      <c r="C629" s="107"/>
      <c r="D629" s="107"/>
      <c r="E629" s="107"/>
      <c r="F629" s="107"/>
      <c r="G629" s="107"/>
      <c r="H629" s="107"/>
      <c r="I629" s="107"/>
      <c r="J629" s="107"/>
      <c r="K629" s="354"/>
      <c r="L629" s="354"/>
      <c r="M629" s="20"/>
      <c r="N629" s="20"/>
      <c r="O629" s="481"/>
      <c r="P629" s="481"/>
      <c r="Q629" s="481"/>
      <c r="R629" s="481"/>
      <c r="S629" s="481"/>
      <c r="T629" s="481"/>
      <c r="U629" s="481"/>
      <c r="V629" s="481"/>
      <c r="W629" s="481"/>
      <c r="X629" s="481"/>
      <c r="Y629" s="481"/>
    </row>
    <row r="630" spans="1:37" s="776" customFormat="1" ht="15">
      <c r="A630" s="1306"/>
      <c r="B630" s="1306"/>
      <c r="C630" s="1306"/>
      <c r="D630" s="1306"/>
      <c r="E630" s="1306"/>
      <c r="F630" s="1306"/>
      <c r="G630" s="1306"/>
      <c r="H630" s="1306"/>
      <c r="I630" s="1306"/>
      <c r="J630" s="1306"/>
      <c r="K630" s="775"/>
      <c r="L630" s="775"/>
      <c r="M630" s="335"/>
      <c r="N630" s="335"/>
      <c r="O630" s="335"/>
      <c r="P630" s="335"/>
      <c r="Q630" s="335"/>
      <c r="R630" s="335"/>
      <c r="S630" s="335"/>
      <c r="T630" s="335"/>
      <c r="U630" s="335"/>
      <c r="V630" s="335"/>
      <c r="W630" s="335"/>
      <c r="X630" s="335"/>
      <c r="Y630" s="335"/>
      <c r="Z630" s="335"/>
      <c r="AA630" s="335"/>
      <c r="AB630" s="335"/>
      <c r="AC630" s="335"/>
      <c r="AD630" s="335"/>
      <c r="AE630" s="335"/>
      <c r="AF630" s="335"/>
      <c r="AG630" s="335"/>
      <c r="AH630" s="335"/>
      <c r="AI630" s="335"/>
      <c r="AJ630" s="335"/>
      <c r="AK630" s="335"/>
    </row>
    <row r="631" spans="1:49" s="192" customFormat="1" ht="1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112"/>
      <c r="L631" s="112"/>
      <c r="M631" s="20"/>
      <c r="N631" s="389"/>
      <c r="O631" s="335"/>
      <c r="P631" s="335"/>
      <c r="Q631" s="335"/>
      <c r="R631" s="335"/>
      <c r="S631" s="335"/>
      <c r="T631" s="335"/>
      <c r="U631" s="335"/>
      <c r="V631" s="335"/>
      <c r="W631" s="335"/>
      <c r="X631" s="335"/>
      <c r="Y631" s="335"/>
      <c r="Z631" s="335"/>
      <c r="AA631" s="335"/>
      <c r="AB631" s="335"/>
      <c r="AC631" s="335"/>
      <c r="AD631" s="335"/>
      <c r="AE631" s="335"/>
      <c r="AF631" s="335"/>
      <c r="AG631" s="335"/>
      <c r="AH631" s="335"/>
      <c r="AI631" s="335"/>
      <c r="AJ631" s="335"/>
      <c r="AK631" s="335"/>
      <c r="AL631" s="335"/>
      <c r="AM631" s="335"/>
      <c r="AN631" s="335"/>
      <c r="AO631" s="335"/>
      <c r="AP631" s="335"/>
      <c r="AQ631" s="335"/>
      <c r="AR631" s="335"/>
      <c r="AS631" s="335"/>
      <c r="AT631" s="335"/>
      <c r="AU631" s="335"/>
      <c r="AV631" s="335"/>
      <c r="AW631" s="335"/>
    </row>
    <row r="632" spans="1:49" ht="15">
      <c r="A632" s="43"/>
      <c r="B632" s="87"/>
      <c r="C632" s="3"/>
      <c r="D632" s="3"/>
      <c r="E632" s="3"/>
      <c r="F632" s="3"/>
      <c r="G632" s="3"/>
      <c r="H632" s="3"/>
      <c r="I632" s="3"/>
      <c r="J632" s="3"/>
      <c r="K632" s="94"/>
      <c r="L632" s="313"/>
      <c r="M632" s="61"/>
      <c r="N632" s="423"/>
      <c r="O632" s="335"/>
      <c r="P632" s="335"/>
      <c r="Q632" s="335"/>
      <c r="R632" s="335"/>
      <c r="S632" s="335"/>
      <c r="T632" s="335"/>
      <c r="U632" s="335"/>
      <c r="V632" s="335"/>
      <c r="W632" s="335"/>
      <c r="X632" s="335"/>
      <c r="Y632" s="335"/>
      <c r="Z632" s="335"/>
      <c r="AA632" s="335"/>
      <c r="AB632" s="335"/>
      <c r="AC632" s="335"/>
      <c r="AD632" s="335"/>
      <c r="AE632" s="335"/>
      <c r="AF632" s="335"/>
      <c r="AG632" s="335"/>
      <c r="AH632" s="335"/>
      <c r="AI632" s="335"/>
      <c r="AJ632" s="335"/>
      <c r="AK632" s="335"/>
      <c r="AL632" s="335"/>
      <c r="AM632" s="335"/>
      <c r="AN632" s="335"/>
      <c r="AO632" s="335"/>
      <c r="AP632" s="335"/>
      <c r="AQ632" s="335"/>
      <c r="AR632" s="335"/>
      <c r="AS632" s="335"/>
      <c r="AT632" s="335"/>
      <c r="AU632" s="335"/>
      <c r="AV632" s="335"/>
      <c r="AW632" s="335"/>
    </row>
    <row r="633" spans="1:49" ht="21" customHeight="1">
      <c r="A633" s="1374" t="s">
        <v>102</v>
      </c>
      <c r="B633" s="1374"/>
      <c r="C633" s="1374"/>
      <c r="D633" s="1374"/>
      <c r="E633" s="1374"/>
      <c r="F633" s="1374"/>
      <c r="G633" s="1374"/>
      <c r="H633" s="1374"/>
      <c r="I633" s="1374"/>
      <c r="J633" s="1374"/>
      <c r="K633" s="94"/>
      <c r="L633" s="313"/>
      <c r="M633" s="16"/>
      <c r="N633" s="389"/>
      <c r="O633" s="335"/>
      <c r="P633" s="335"/>
      <c r="Q633" s="335"/>
      <c r="R633" s="335"/>
      <c r="S633" s="335"/>
      <c r="T633" s="335"/>
      <c r="U633" s="335"/>
      <c r="V633" s="335"/>
      <c r="W633" s="335"/>
      <c r="X633" s="335"/>
      <c r="Y633" s="335"/>
      <c r="Z633" s="335"/>
      <c r="AA633" s="335"/>
      <c r="AB633" s="335"/>
      <c r="AC633" s="335"/>
      <c r="AD633" s="335"/>
      <c r="AE633" s="335"/>
      <c r="AF633" s="335"/>
      <c r="AG633" s="335"/>
      <c r="AH633" s="335"/>
      <c r="AI633" s="335"/>
      <c r="AJ633" s="335"/>
      <c r="AK633" s="335"/>
      <c r="AL633" s="335"/>
      <c r="AM633" s="335"/>
      <c r="AN633" s="335"/>
      <c r="AO633" s="335"/>
      <c r="AP633" s="335"/>
      <c r="AQ633" s="335"/>
      <c r="AR633" s="335"/>
      <c r="AS633" s="335"/>
      <c r="AT633" s="335"/>
      <c r="AU633" s="335"/>
      <c r="AV633" s="335"/>
      <c r="AW633" s="335"/>
    </row>
    <row r="634" spans="1:14" ht="19.5" customHeight="1" thickBot="1">
      <c r="A634" s="1504"/>
      <c r="B634" s="1504"/>
      <c r="C634" s="1437"/>
      <c r="D634" s="1437"/>
      <c r="E634" s="1437"/>
      <c r="F634" s="1437"/>
      <c r="G634" s="1437"/>
      <c r="H634" s="1437"/>
      <c r="I634" s="88"/>
      <c r="J634" s="89"/>
      <c r="K634" s="313"/>
      <c r="L634" s="313"/>
      <c r="M634" s="16"/>
      <c r="N634" s="158"/>
    </row>
    <row r="635" spans="1:25" s="479" customFormat="1" ht="30.75" customHeight="1" thickTop="1">
      <c r="A635" s="746" t="s">
        <v>43</v>
      </c>
      <c r="B635" s="814" t="s">
        <v>1204</v>
      </c>
      <c r="C635" s="787" t="s">
        <v>884</v>
      </c>
      <c r="D635" s="788"/>
      <c r="E635" s="789" t="s">
        <v>911</v>
      </c>
      <c r="F635" s="790"/>
      <c r="G635" s="759" t="s">
        <v>912</v>
      </c>
      <c r="H635" s="760"/>
      <c r="I635" s="1286" t="s">
        <v>881</v>
      </c>
      <c r="J635" s="1287"/>
      <c r="K635" s="1280" t="s">
        <v>882</v>
      </c>
      <c r="L635" s="1281"/>
      <c r="M635" s="481"/>
      <c r="N635" s="480"/>
      <c r="O635" s="480"/>
      <c r="P635" s="480"/>
      <c r="Q635" s="480"/>
      <c r="R635" s="480"/>
      <c r="S635" s="480"/>
      <c r="T635" s="480"/>
      <c r="U635" s="480"/>
      <c r="V635" s="480"/>
      <c r="W635" s="480"/>
      <c r="X635" s="480"/>
      <c r="Y635" s="480"/>
    </row>
    <row r="636" spans="1:14" ht="17.25" customHeight="1">
      <c r="A636" s="350" t="s">
        <v>104</v>
      </c>
      <c r="B636" s="469" t="s">
        <v>51</v>
      </c>
      <c r="C636" s="681">
        <f>CEILING(110*$Z$1,0.1)</f>
        <v>137.5</v>
      </c>
      <c r="D636" s="809"/>
      <c r="E636" s="681">
        <f>CEILING(180*$Z$1,0.1)</f>
        <v>225</v>
      </c>
      <c r="F636" s="809"/>
      <c r="G636" s="681">
        <f>CEILING(150*$Z$1,0.1)</f>
        <v>187.5</v>
      </c>
      <c r="H636" s="809"/>
      <c r="I636" s="681">
        <f>CEILING(150*$Z$1,0.1)</f>
        <v>187.5</v>
      </c>
      <c r="J636" s="809"/>
      <c r="K636" s="681">
        <f>CEILING(135*$Z$1,0.1)</f>
        <v>168.8</v>
      </c>
      <c r="L636" s="810"/>
      <c r="M636" s="16"/>
      <c r="N636" s="158"/>
    </row>
    <row r="637" spans="1:14" ht="15.75" customHeight="1">
      <c r="A637" s="227" t="s">
        <v>45</v>
      </c>
      <c r="B637" s="29" t="s">
        <v>52</v>
      </c>
      <c r="C637" s="683">
        <f>CEILING((C636+48.4*$Z$1),0.1)</f>
        <v>198</v>
      </c>
      <c r="D637" s="279"/>
      <c r="E637" s="683">
        <f>CEILING((E636+79.2*$Z$1),0.1)</f>
        <v>324</v>
      </c>
      <c r="F637" s="279"/>
      <c r="G637" s="683">
        <f>CEILING((G636+66*$Z$1),0.1)</f>
        <v>270</v>
      </c>
      <c r="H637" s="279"/>
      <c r="I637" s="683">
        <f>CEILING((I636+66*$Z$1),0.1)</f>
        <v>270</v>
      </c>
      <c r="J637" s="279"/>
      <c r="K637" s="683">
        <f>CEILING((K636+59.4*$Z$1),0.1)</f>
        <v>243.10000000000002</v>
      </c>
      <c r="L637" s="812"/>
      <c r="M637" s="16"/>
      <c r="N637" s="158"/>
    </row>
    <row r="638" spans="1:14" ht="15.75" customHeight="1">
      <c r="A638" s="151"/>
      <c r="B638" s="127" t="s">
        <v>665</v>
      </c>
      <c r="C638" s="683">
        <f>CEILING(118*$Z$1,0.1)</f>
        <v>147.5</v>
      </c>
      <c r="D638" s="279"/>
      <c r="E638" s="683">
        <f>CEILING(193*$Z$1,0.1)</f>
        <v>241.3</v>
      </c>
      <c r="F638" s="279"/>
      <c r="G638" s="683">
        <f>CEILING(161*$Z$1,0.1)</f>
        <v>201.3</v>
      </c>
      <c r="H638" s="279"/>
      <c r="I638" s="683">
        <f>CEILING(161*$Z$1,0.1)</f>
        <v>201.3</v>
      </c>
      <c r="J638" s="279"/>
      <c r="K638" s="683">
        <f>CEILING(144*$Z$1,0.1)</f>
        <v>180</v>
      </c>
      <c r="L638" s="812"/>
      <c r="M638" s="16"/>
      <c r="N638" s="158"/>
    </row>
    <row r="639" spans="1:14" ht="15.75" customHeight="1">
      <c r="A639" s="596" t="s">
        <v>947</v>
      </c>
      <c r="B639" s="29" t="s">
        <v>666</v>
      </c>
      <c r="C639" s="683">
        <f>CEILING((C638+51.9*$Z$1),0.1)</f>
        <v>212.4</v>
      </c>
      <c r="D639" s="279"/>
      <c r="E639" s="683">
        <f>CEILING((E638+84.8*$Z$1),0.1)</f>
        <v>347.3</v>
      </c>
      <c r="F639" s="279"/>
      <c r="G639" s="683">
        <f>CEILING((G638+71*$Z$1),0.1)</f>
        <v>290.1</v>
      </c>
      <c r="H639" s="279"/>
      <c r="I639" s="683">
        <f>CEILING((I638+71*$Z$1),0.1)</f>
        <v>290.1</v>
      </c>
      <c r="J639" s="279"/>
      <c r="K639" s="683">
        <f>CEILING((K638+63.2*$Z$1),0.1)</f>
        <v>259</v>
      </c>
      <c r="L639" s="812"/>
      <c r="M639" s="16"/>
      <c r="N639" s="158"/>
    </row>
    <row r="640" spans="1:14" ht="16.5" customHeight="1">
      <c r="A640" s="181"/>
      <c r="B640" s="11" t="s">
        <v>44</v>
      </c>
      <c r="C640" s="683">
        <f>CEILING(121*$Z$1,0.1)</f>
        <v>151.3</v>
      </c>
      <c r="D640" s="279"/>
      <c r="E640" s="683">
        <f>CEILING(198*$Z$1,0.1)</f>
        <v>247.5</v>
      </c>
      <c r="F640" s="279"/>
      <c r="G640" s="683">
        <f>CEILING(165*$Z$1,0.1)</f>
        <v>206.3</v>
      </c>
      <c r="H640" s="279"/>
      <c r="I640" s="683">
        <f>CEILING(165*$Z$1,0.1)</f>
        <v>206.3</v>
      </c>
      <c r="J640" s="279"/>
      <c r="K640" s="683">
        <f>CEILING(149*$Z$1,0.1)</f>
        <v>186.3</v>
      </c>
      <c r="L640" s="812"/>
      <c r="M640" s="16"/>
      <c r="N640" s="158"/>
    </row>
    <row r="641" spans="1:53" ht="18" customHeight="1" thickBot="1">
      <c r="A641" s="79" t="s">
        <v>441</v>
      </c>
      <c r="B641" s="115" t="s">
        <v>46</v>
      </c>
      <c r="C641" s="544">
        <f>CEILING((C640+53.3*$Z$1),0.1)</f>
        <v>218</v>
      </c>
      <c r="D641" s="813"/>
      <c r="E641" s="544">
        <f>CEILING((E640+87*$Z$1),0.1)</f>
        <v>356.3</v>
      </c>
      <c r="F641" s="813"/>
      <c r="G641" s="544">
        <f>CEILING((G640+72.8*$Z$1),0.1)</f>
        <v>297.3</v>
      </c>
      <c r="H641" s="813"/>
      <c r="I641" s="544">
        <f>CEILING((I640+72.8*$Z$1),0.1)</f>
        <v>297.3</v>
      </c>
      <c r="J641" s="813"/>
      <c r="K641" s="544">
        <f>CEILING((K640+65.4*$Z$1),0.1)</f>
        <v>268.1</v>
      </c>
      <c r="L641" s="719"/>
      <c r="M641" s="673"/>
      <c r="N641" s="674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  <c r="AX641" s="331"/>
      <c r="AY641" s="331"/>
      <c r="AZ641" s="331"/>
      <c r="BA641" s="331"/>
    </row>
    <row r="642" spans="1:53" s="849" customFormat="1" ht="18" customHeight="1" thickTop="1">
      <c r="A642" s="843" t="s">
        <v>948</v>
      </c>
      <c r="B642" s="844"/>
      <c r="C642" s="845"/>
      <c r="D642" s="846"/>
      <c r="E642" s="845"/>
      <c r="F642" s="846"/>
      <c r="G642" s="845"/>
      <c r="H642" s="846"/>
      <c r="I642" s="845"/>
      <c r="J642" s="846"/>
      <c r="K642" s="847"/>
      <c r="L642" s="848"/>
      <c r="M642" s="1092"/>
      <c r="N642" s="1093"/>
      <c r="O642" s="1090"/>
      <c r="P642" s="1090"/>
      <c r="Q642" s="1090"/>
      <c r="R642" s="1090"/>
      <c r="S642" s="1090"/>
      <c r="T642" s="1090"/>
      <c r="U642" s="1090"/>
      <c r="V642" s="1090"/>
      <c r="W642" s="1090"/>
      <c r="X642" s="1090"/>
      <c r="Y642" s="1090"/>
      <c r="Z642" s="1090"/>
      <c r="AA642" s="1090"/>
      <c r="AB642" s="1090"/>
      <c r="AC642" s="1090"/>
      <c r="AD642" s="1090"/>
      <c r="AE642" s="1090"/>
      <c r="AF642" s="1090"/>
      <c r="AG642" s="1090"/>
      <c r="AH642" s="1090"/>
      <c r="AI642" s="1090"/>
      <c r="AJ642" s="1090"/>
      <c r="AK642" s="1090"/>
      <c r="AL642" s="1090"/>
      <c r="AM642" s="1090"/>
      <c r="AN642" s="1090"/>
      <c r="AO642" s="1090"/>
      <c r="AP642" s="1090"/>
      <c r="AQ642" s="1090"/>
      <c r="AR642" s="1090"/>
      <c r="AS642" s="1090"/>
      <c r="AT642" s="1090"/>
      <c r="AU642" s="1090"/>
      <c r="AV642" s="1090"/>
      <c r="AW642" s="1090"/>
      <c r="AX642" s="1090"/>
      <c r="AY642" s="1090"/>
      <c r="AZ642" s="1090"/>
      <c r="BA642" s="1090"/>
    </row>
    <row r="643" spans="1:25" s="479" customFormat="1" ht="18" customHeight="1">
      <c r="A643" s="75" t="s">
        <v>949</v>
      </c>
      <c r="B643" s="44"/>
      <c r="C643" s="783"/>
      <c r="D643" s="3"/>
      <c r="E643" s="783"/>
      <c r="F643" s="3"/>
      <c r="G643" s="783"/>
      <c r="H643" s="3"/>
      <c r="I643" s="783"/>
      <c r="J643" s="3"/>
      <c r="K643" s="94"/>
      <c r="L643" s="313"/>
      <c r="M643" s="16"/>
      <c r="N643" s="158"/>
      <c r="O643" s="480"/>
      <c r="P643" s="480"/>
      <c r="Q643" s="480"/>
      <c r="R643" s="480"/>
      <c r="S643" s="480"/>
      <c r="T643" s="480"/>
      <c r="U643" s="480"/>
      <c r="V643" s="480"/>
      <c r="W643" s="480"/>
      <c r="X643" s="480"/>
      <c r="Y643" s="480"/>
    </row>
    <row r="644" spans="1:25" s="479" customFormat="1" ht="17.25" customHeight="1">
      <c r="A644" s="172"/>
      <c r="B644" s="50"/>
      <c r="C644" s="549"/>
      <c r="D644" s="549"/>
      <c r="E644" s="549"/>
      <c r="F644" s="549"/>
      <c r="G644" s="549"/>
      <c r="H644" s="549"/>
      <c r="I644" s="549"/>
      <c r="J644" s="549"/>
      <c r="K644" s="314"/>
      <c r="L644" s="314"/>
      <c r="M644" s="16"/>
      <c r="N644" s="158"/>
      <c r="O644" s="480"/>
      <c r="P644" s="480"/>
      <c r="Q644" s="480"/>
      <c r="R644" s="480"/>
      <c r="S644" s="480"/>
      <c r="T644" s="480"/>
      <c r="U644" s="480"/>
      <c r="V644" s="480"/>
      <c r="W644" s="480"/>
      <c r="X644" s="480"/>
      <c r="Y644" s="480"/>
    </row>
    <row r="645" spans="1:25" s="479" customFormat="1" ht="30.75" customHeight="1">
      <c r="A645" s="794" t="s">
        <v>43</v>
      </c>
      <c r="B645" s="819" t="s">
        <v>961</v>
      </c>
      <c r="C645" s="798" t="s">
        <v>884</v>
      </c>
      <c r="D645" s="799"/>
      <c r="E645" s="789" t="s">
        <v>911</v>
      </c>
      <c r="F645" s="790"/>
      <c r="G645" s="816" t="s">
        <v>912</v>
      </c>
      <c r="H645" s="790"/>
      <c r="I645" s="1335" t="s">
        <v>881</v>
      </c>
      <c r="J645" s="1336"/>
      <c r="K645" s="1335" t="s">
        <v>882</v>
      </c>
      <c r="L645" s="1336"/>
      <c r="M645" s="481"/>
      <c r="N645" s="480"/>
      <c r="O645" s="480"/>
      <c r="P645" s="480"/>
      <c r="Q645" s="480"/>
      <c r="R645" s="480"/>
      <c r="S645" s="480"/>
      <c r="T645" s="480"/>
      <c r="U645" s="480"/>
      <c r="V645" s="480"/>
      <c r="W645" s="480"/>
      <c r="X645" s="480"/>
      <c r="Y645" s="480"/>
    </row>
    <row r="646" spans="1:256" s="479" customFormat="1" ht="17.25" customHeight="1">
      <c r="A646" s="78" t="s">
        <v>660</v>
      </c>
      <c r="B646" s="127" t="s">
        <v>662</v>
      </c>
      <c r="C646" s="1266">
        <f>CEILING(70*$Z$1,0.1)</f>
        <v>87.5</v>
      </c>
      <c r="D646" s="1267"/>
      <c r="E646" s="1266">
        <f>CEILING(90*$Z$1,0.1)</f>
        <v>112.5</v>
      </c>
      <c r="F646" s="1267"/>
      <c r="G646" s="1266">
        <f>CEILING(70*$Z$1,0.1)</f>
        <v>87.5</v>
      </c>
      <c r="H646" s="1267"/>
      <c r="I646" s="1266">
        <f>CEILING(70*$Z$1,0.1)</f>
        <v>87.5</v>
      </c>
      <c r="J646" s="1267"/>
      <c r="K646" s="1266">
        <f>CEILING(65*$Z$1,0.1)</f>
        <v>81.30000000000001</v>
      </c>
      <c r="L646" s="1267"/>
      <c r="M646" s="16"/>
      <c r="N646" s="158"/>
      <c r="O646" s="169"/>
      <c r="P646" s="169"/>
      <c r="Q646" s="169"/>
      <c r="R646" s="169"/>
      <c r="S646" s="169"/>
      <c r="T646" s="169"/>
      <c r="U646" s="169"/>
      <c r="V646" s="169"/>
      <c r="W646" s="169"/>
      <c r="X646" s="169"/>
      <c r="Y646" s="169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1:14" ht="15">
      <c r="A647" s="63"/>
      <c r="B647" s="29" t="s">
        <v>663</v>
      </c>
      <c r="C647" s="1268">
        <f>CEILING((C646+25*$Z$1),0.1)</f>
        <v>118.80000000000001</v>
      </c>
      <c r="D647" s="1270"/>
      <c r="E647" s="1268">
        <f>CEILING((E646+25*$Z$1),0.1)</f>
        <v>143.8</v>
      </c>
      <c r="F647" s="1270"/>
      <c r="G647" s="1268">
        <f>CEILING((G646+25*$Z$1),0.1)</f>
        <v>118.80000000000001</v>
      </c>
      <c r="H647" s="1270"/>
      <c r="I647" s="1268">
        <f>CEILING((I646+25*$Z$1),0.1)</f>
        <v>118.80000000000001</v>
      </c>
      <c r="J647" s="1270"/>
      <c r="K647" s="1268">
        <f>CEILING((K646+25*$Z$1),0.1)</f>
        <v>112.60000000000001</v>
      </c>
      <c r="L647" s="1270"/>
      <c r="M647" s="61"/>
      <c r="N647" s="61"/>
    </row>
    <row r="648" spans="1:14" ht="17.25" customHeight="1">
      <c r="A648" s="28" t="s">
        <v>59</v>
      </c>
      <c r="B648" s="36" t="s">
        <v>47</v>
      </c>
      <c r="C648" s="1268">
        <f>CEILING((C646*0.85),0.1)</f>
        <v>74.4</v>
      </c>
      <c r="D648" s="1270"/>
      <c r="E648" s="1268">
        <f>CEILING((E646*0.85),0.1)</f>
        <v>95.7</v>
      </c>
      <c r="F648" s="1270"/>
      <c r="G648" s="1268">
        <f>CEILING((G646*0.85),0.1)</f>
        <v>74.4</v>
      </c>
      <c r="H648" s="1270"/>
      <c r="I648" s="1268">
        <f>CEILING((I646*0.85),0.1)</f>
        <v>74.4</v>
      </c>
      <c r="J648" s="1270"/>
      <c r="K648" s="1268">
        <f>CEILING((K646*0.85),0.1)</f>
        <v>69.2</v>
      </c>
      <c r="L648" s="1270"/>
      <c r="M648" s="16"/>
      <c r="N648" s="158"/>
    </row>
    <row r="649" spans="1:14" ht="16.5" customHeight="1">
      <c r="A649" s="35"/>
      <c r="B649" s="127" t="s">
        <v>664</v>
      </c>
      <c r="C649" s="1268">
        <f>CEILING((C646*0.5),0.1)</f>
        <v>43.800000000000004</v>
      </c>
      <c r="D649" s="1270"/>
      <c r="E649" s="1268">
        <f>CEILING((E646*0.5),0.1)</f>
        <v>56.300000000000004</v>
      </c>
      <c r="F649" s="1270"/>
      <c r="G649" s="1268">
        <f>CEILING((G646*0.5),0.1)</f>
        <v>43.800000000000004</v>
      </c>
      <c r="H649" s="1270"/>
      <c r="I649" s="1268">
        <f>CEILING((I646*0.5),0.1)</f>
        <v>43.800000000000004</v>
      </c>
      <c r="J649" s="1270"/>
      <c r="K649" s="1268">
        <f>CEILING((K646*0.5),0.1)</f>
        <v>40.7</v>
      </c>
      <c r="L649" s="1270"/>
      <c r="M649" s="16"/>
      <c r="N649" s="158"/>
    </row>
    <row r="650" spans="1:14" ht="17.25" customHeight="1">
      <c r="A650" s="28"/>
      <c r="B650" s="29" t="s">
        <v>69</v>
      </c>
      <c r="C650" s="1268">
        <f>CEILING(110*$Z$1,0.1)</f>
        <v>137.5</v>
      </c>
      <c r="D650" s="1270"/>
      <c r="E650" s="1268">
        <f>CEILING(110*$Z$1,0.1)</f>
        <v>137.5</v>
      </c>
      <c r="F650" s="1270"/>
      <c r="G650" s="1268">
        <f>CEILING(110*$Z$1,0.1)</f>
        <v>137.5</v>
      </c>
      <c r="H650" s="1270"/>
      <c r="I650" s="1268">
        <f>CEILING(110*$Z$1,0.1)</f>
        <v>137.5</v>
      </c>
      <c r="J650" s="1270"/>
      <c r="K650" s="1268">
        <f>CEILING(105*$Z$1,0.1)</f>
        <v>131.3</v>
      </c>
      <c r="L650" s="1270"/>
      <c r="M650" s="16"/>
      <c r="N650" s="158"/>
    </row>
    <row r="651" spans="1:14" ht="15.75" thickBot="1">
      <c r="A651" s="80" t="s">
        <v>661</v>
      </c>
      <c r="B651" s="184" t="s">
        <v>70</v>
      </c>
      <c r="C651" s="1284">
        <f>CEILING((C650+40*$Z$1),0.1)</f>
        <v>187.5</v>
      </c>
      <c r="D651" s="1285"/>
      <c r="E651" s="1284">
        <f>CEILING((E650+40*$Z$1),0.1)</f>
        <v>187.5</v>
      </c>
      <c r="F651" s="1285"/>
      <c r="G651" s="1284">
        <f>CEILING((G650+40*$Z$1),0.1)</f>
        <v>187.5</v>
      </c>
      <c r="H651" s="1285"/>
      <c r="I651" s="1284">
        <f>CEILING((I650+40*$Z$1),0.1)</f>
        <v>187.5</v>
      </c>
      <c r="J651" s="1285"/>
      <c r="K651" s="1284">
        <f>CEILING((K650+40*$Z$1),0.1)</f>
        <v>181.3</v>
      </c>
      <c r="L651" s="1285"/>
      <c r="M651" s="16"/>
      <c r="N651" s="158"/>
    </row>
    <row r="652" spans="1:25" s="479" customFormat="1" ht="17.25" customHeight="1" thickTop="1">
      <c r="A652" s="107" t="s">
        <v>962</v>
      </c>
      <c r="B652" s="50"/>
      <c r="C652" s="549"/>
      <c r="D652" s="549"/>
      <c r="E652" s="549"/>
      <c r="F652" s="549"/>
      <c r="G652" s="549"/>
      <c r="H652" s="549"/>
      <c r="I652" s="549"/>
      <c r="J652" s="549"/>
      <c r="K652" s="314"/>
      <c r="L652" s="314"/>
      <c r="M652" s="16"/>
      <c r="N652" s="158"/>
      <c r="O652" s="480"/>
      <c r="P652" s="480"/>
      <c r="Q652" s="480"/>
      <c r="R652" s="480"/>
      <c r="S652" s="480"/>
      <c r="T652" s="480"/>
      <c r="U652" s="480"/>
      <c r="V652" s="480"/>
      <c r="W652" s="480"/>
      <c r="X652" s="480"/>
      <c r="Y652" s="480"/>
    </row>
    <row r="653" spans="1:25" s="479" customFormat="1" ht="17.25" customHeight="1">
      <c r="A653" s="172"/>
      <c r="B653" s="50"/>
      <c r="C653" s="783"/>
      <c r="D653" s="783"/>
      <c r="E653" s="783"/>
      <c r="F653" s="783"/>
      <c r="G653" s="783"/>
      <c r="H653" s="783"/>
      <c r="I653" s="783"/>
      <c r="J653" s="783"/>
      <c r="K653" s="314"/>
      <c r="L653" s="314"/>
      <c r="M653" s="16"/>
      <c r="N653" s="158"/>
      <c r="O653" s="480"/>
      <c r="P653" s="480"/>
      <c r="Q653" s="480"/>
      <c r="R653" s="480"/>
      <c r="S653" s="480"/>
      <c r="T653" s="480"/>
      <c r="U653" s="480"/>
      <c r="V653" s="480"/>
      <c r="W653" s="480"/>
      <c r="X653" s="480"/>
      <c r="Y653" s="480"/>
    </row>
    <row r="654" spans="1:61" ht="23.25" customHeight="1" thickBot="1">
      <c r="A654" s="70"/>
      <c r="B654" s="57"/>
      <c r="C654" s="57"/>
      <c r="D654" s="57"/>
      <c r="E654" s="57"/>
      <c r="F654" s="57"/>
      <c r="G654" s="374"/>
      <c r="H654" s="374"/>
      <c r="I654" s="374"/>
      <c r="J654" s="374"/>
      <c r="K654" s="313"/>
      <c r="L654" s="313"/>
      <c r="M654" s="16"/>
      <c r="N654" s="234"/>
      <c r="O654" s="481"/>
      <c r="P654" s="481"/>
      <c r="Q654" s="481"/>
      <c r="R654" s="481"/>
      <c r="S654" s="481"/>
      <c r="T654" s="481"/>
      <c r="U654" s="481"/>
      <c r="V654" s="481"/>
      <c r="W654" s="481"/>
      <c r="X654" s="481"/>
      <c r="Y654" s="481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  <c r="AK654" s="192"/>
      <c r="AL654" s="192"/>
      <c r="AM654" s="192"/>
      <c r="AN654" s="192"/>
      <c r="AO654" s="192"/>
      <c r="AP654" s="192"/>
      <c r="AQ654" s="192"/>
      <c r="AR654" s="192"/>
      <c r="AS654" s="192"/>
      <c r="AT654" s="192"/>
      <c r="AU654" s="192"/>
      <c r="AV654" s="192"/>
      <c r="AW654" s="192"/>
      <c r="AX654" s="192"/>
      <c r="AY654" s="192"/>
      <c r="AZ654" s="192"/>
      <c r="BA654" s="192"/>
      <c r="BB654" s="192"/>
      <c r="BC654" s="192"/>
      <c r="BD654" s="192"/>
      <c r="BE654" s="192"/>
      <c r="BF654" s="192"/>
      <c r="BG654" s="192"/>
      <c r="BH654" s="192"/>
      <c r="BI654" s="192"/>
    </row>
    <row r="655" spans="1:63" s="192" customFormat="1" ht="30.75" customHeight="1" thickTop="1">
      <c r="A655" s="794" t="s">
        <v>43</v>
      </c>
      <c r="B655" s="819" t="s">
        <v>961</v>
      </c>
      <c r="C655" s="798" t="s">
        <v>884</v>
      </c>
      <c r="D655" s="799"/>
      <c r="E655" s="789" t="s">
        <v>911</v>
      </c>
      <c r="F655" s="790"/>
      <c r="G655" s="816" t="s">
        <v>912</v>
      </c>
      <c r="H655" s="790"/>
      <c r="I655" s="1280" t="s">
        <v>881</v>
      </c>
      <c r="J655" s="1281"/>
      <c r="K655" s="1335" t="s">
        <v>882</v>
      </c>
      <c r="L655" s="1336"/>
      <c r="M655" s="481"/>
      <c r="N655" s="335"/>
      <c r="O655" s="335"/>
      <c r="P655" s="335"/>
      <c r="Q655" s="335"/>
      <c r="R655" s="335"/>
      <c r="S655" s="335"/>
      <c r="T655" s="335"/>
      <c r="U655" s="335"/>
      <c r="V655" s="335"/>
      <c r="W655" s="335"/>
      <c r="X655" s="335"/>
      <c r="Y655" s="335"/>
      <c r="Z655" s="335"/>
      <c r="AA655" s="335"/>
      <c r="AB655" s="335"/>
      <c r="AC655" s="335"/>
      <c r="AD655" s="335"/>
      <c r="AE655" s="335"/>
      <c r="AF655" s="335"/>
      <c r="AG655" s="335"/>
      <c r="AH655" s="335"/>
      <c r="AI655" s="335"/>
      <c r="AJ655" s="335"/>
      <c r="AK655" s="335"/>
      <c r="AL655" s="335"/>
      <c r="AM655" s="335"/>
      <c r="AN655" s="335"/>
      <c r="AO655" s="335"/>
      <c r="AP655" s="335"/>
      <c r="AQ655" s="335"/>
      <c r="AR655" s="335"/>
      <c r="AS655" s="335"/>
      <c r="AT655" s="335"/>
      <c r="AU655" s="335"/>
      <c r="AV655" s="335"/>
      <c r="AW655" s="335"/>
      <c r="AX655" s="335"/>
      <c r="AY655" s="335"/>
      <c r="AZ655" s="335"/>
      <c r="BA655" s="335"/>
      <c r="BB655" s="335"/>
      <c r="BC655" s="335"/>
      <c r="BD655" s="335"/>
      <c r="BE655" s="335"/>
      <c r="BF655" s="335"/>
      <c r="BG655" s="335"/>
      <c r="BH655" s="335"/>
      <c r="BI655" s="335"/>
      <c r="BJ655" s="335"/>
      <c r="BK655" s="335"/>
    </row>
    <row r="656" spans="1:63" s="192" customFormat="1" ht="15">
      <c r="A656" s="175" t="s">
        <v>106</v>
      </c>
      <c r="B656" s="127" t="s">
        <v>93</v>
      </c>
      <c r="C656" s="1266">
        <f>CEILING(33*$Z$1,0.1)</f>
        <v>41.300000000000004</v>
      </c>
      <c r="D656" s="1267"/>
      <c r="E656" s="1266">
        <f>CEILING(39*$Z$1,0.1)</f>
        <v>48.800000000000004</v>
      </c>
      <c r="F656" s="1326"/>
      <c r="G656" s="1266">
        <f>CEILING(39*$Z$1,0.1)</f>
        <v>48.800000000000004</v>
      </c>
      <c r="H656" s="1326"/>
      <c r="I656" s="1266">
        <f>CEILING(39*$Z$1,0.1)</f>
        <v>48.800000000000004</v>
      </c>
      <c r="J656" s="1326"/>
      <c r="K656" s="1266">
        <f>CEILING(33*$Z$1,0.1)</f>
        <v>41.300000000000004</v>
      </c>
      <c r="L656" s="1267"/>
      <c r="M656" s="149"/>
      <c r="N656" s="851"/>
      <c r="O656" s="335"/>
      <c r="P656" s="335"/>
      <c r="Q656" s="335"/>
      <c r="R656" s="335"/>
      <c r="S656" s="335"/>
      <c r="T656" s="335"/>
      <c r="U656" s="335"/>
      <c r="V656" s="335"/>
      <c r="W656" s="335"/>
      <c r="X656" s="335"/>
      <c r="Y656" s="335"/>
      <c r="Z656" s="335"/>
      <c r="AA656" s="335"/>
      <c r="AB656" s="335"/>
      <c r="AC656" s="335"/>
      <c r="AD656" s="335"/>
      <c r="AE656" s="335"/>
      <c r="AF656" s="335"/>
      <c r="AG656" s="335"/>
      <c r="AH656" s="335"/>
      <c r="AI656" s="335"/>
      <c r="AJ656" s="335"/>
      <c r="AK656" s="335"/>
      <c r="AL656" s="335"/>
      <c r="AM656" s="335"/>
      <c r="AN656" s="335"/>
      <c r="AO656" s="335"/>
      <c r="AP656" s="335"/>
      <c r="AQ656" s="335"/>
      <c r="AR656" s="335"/>
      <c r="AS656" s="335"/>
      <c r="AT656" s="335"/>
      <c r="AU656" s="335"/>
      <c r="AV656" s="335"/>
      <c r="AW656" s="335"/>
      <c r="AX656" s="335"/>
      <c r="AY656" s="335"/>
      <c r="AZ656" s="335"/>
      <c r="BA656" s="335"/>
      <c r="BB656" s="335"/>
      <c r="BC656" s="335"/>
      <c r="BD656" s="335"/>
      <c r="BE656" s="335"/>
      <c r="BF656" s="335"/>
      <c r="BG656" s="335"/>
      <c r="BH656" s="335"/>
      <c r="BI656" s="335"/>
      <c r="BJ656" s="335"/>
      <c r="BK656" s="335"/>
    </row>
    <row r="657" spans="1:63" s="192" customFormat="1" ht="15.75" customHeight="1">
      <c r="A657" s="281"/>
      <c r="B657" s="29" t="s">
        <v>12</v>
      </c>
      <c r="C657" s="1268">
        <f>CEILING(41*$Z$1,0.1)</f>
        <v>51.300000000000004</v>
      </c>
      <c r="D657" s="1270"/>
      <c r="E657" s="1268">
        <f>CEILING(48*$Z$1,0.1)</f>
        <v>60</v>
      </c>
      <c r="F657" s="1269"/>
      <c r="G657" s="1268">
        <f>CEILING(48*$Z$1,0.1)</f>
        <v>60</v>
      </c>
      <c r="H657" s="1269"/>
      <c r="I657" s="1268">
        <f>CEILING(48*$Z$1,0.1)</f>
        <v>60</v>
      </c>
      <c r="J657" s="1269"/>
      <c r="K657" s="1268">
        <f>CEILING(41*$Z$1,0.1)</f>
        <v>51.300000000000004</v>
      </c>
      <c r="L657" s="1270"/>
      <c r="M657" s="149"/>
      <c r="N657" s="851"/>
      <c r="O657" s="335"/>
      <c r="P657" s="335"/>
      <c r="Q657" s="335"/>
      <c r="R657" s="335"/>
      <c r="S657" s="335"/>
      <c r="T657" s="335"/>
      <c r="U657" s="335"/>
      <c r="V657" s="335"/>
      <c r="W657" s="335"/>
      <c r="X657" s="335"/>
      <c r="Y657" s="335"/>
      <c r="Z657" s="335"/>
      <c r="AA657" s="335"/>
      <c r="AB657" s="335"/>
      <c r="AC657" s="335"/>
      <c r="AD657" s="335"/>
      <c r="AE657" s="335"/>
      <c r="AF657" s="335"/>
      <c r="AG657" s="335"/>
      <c r="AH657" s="335"/>
      <c r="AI657" s="335"/>
      <c r="AJ657" s="335"/>
      <c r="AK657" s="335"/>
      <c r="AL657" s="335"/>
      <c r="AM657" s="335"/>
      <c r="AN657" s="335"/>
      <c r="AO657" s="335"/>
      <c r="AP657" s="335"/>
      <c r="AQ657" s="335"/>
      <c r="AR657" s="335"/>
      <c r="AS657" s="335"/>
      <c r="AT657" s="335"/>
      <c r="AU657" s="335"/>
      <c r="AV657" s="335"/>
      <c r="AW657" s="335"/>
      <c r="AX657" s="335"/>
      <c r="AY657" s="335"/>
      <c r="AZ657" s="335"/>
      <c r="BA657" s="335"/>
      <c r="BB657" s="335"/>
      <c r="BC657" s="335"/>
      <c r="BD657" s="335"/>
      <c r="BE657" s="335"/>
      <c r="BF657" s="335"/>
      <c r="BG657" s="335"/>
      <c r="BH657" s="335"/>
      <c r="BI657" s="335"/>
      <c r="BJ657" s="335"/>
      <c r="BK657" s="335"/>
    </row>
    <row r="658" spans="1:63" s="192" customFormat="1" ht="15" customHeight="1">
      <c r="A658" s="28" t="s">
        <v>90</v>
      </c>
      <c r="B658" s="36" t="s">
        <v>47</v>
      </c>
      <c r="C658" s="1268">
        <f>CEILING(26*$Z$1,0.1)</f>
        <v>32.5</v>
      </c>
      <c r="D658" s="1270"/>
      <c r="E658" s="1268">
        <f>CEILING(31*$Z$1,0.1)</f>
        <v>38.800000000000004</v>
      </c>
      <c r="F658" s="1270"/>
      <c r="G658" s="1268">
        <f>CEILING(31*$Z$1,0.1)</f>
        <v>38.800000000000004</v>
      </c>
      <c r="H658" s="1270"/>
      <c r="I658" s="1268">
        <f>CEILING(31*$Z$1,0.1)</f>
        <v>38.800000000000004</v>
      </c>
      <c r="J658" s="1270"/>
      <c r="K658" s="1268">
        <f>CEILING(26*$Z$1,0.1)</f>
        <v>32.5</v>
      </c>
      <c r="L658" s="1270"/>
      <c r="M658" s="149"/>
      <c r="N658" s="851"/>
      <c r="O658" s="335"/>
      <c r="P658" s="335"/>
      <c r="Q658" s="335"/>
      <c r="R658" s="335"/>
      <c r="S658" s="335"/>
      <c r="T658" s="335"/>
      <c r="U658" s="335"/>
      <c r="V658" s="335"/>
      <c r="W658" s="335"/>
      <c r="X658" s="335"/>
      <c r="Y658" s="335"/>
      <c r="Z658" s="335"/>
      <c r="AA658" s="335"/>
      <c r="AB658" s="335"/>
      <c r="AC658" s="335"/>
      <c r="AD658" s="335"/>
      <c r="AE658" s="335"/>
      <c r="AF658" s="335"/>
      <c r="AG658" s="335"/>
      <c r="AH658" s="335"/>
      <c r="AI658" s="335"/>
      <c r="AJ658" s="335"/>
      <c r="AK658" s="335"/>
      <c r="AL658" s="335"/>
      <c r="AM658" s="335"/>
      <c r="AN658" s="335"/>
      <c r="AO658" s="335"/>
      <c r="AP658" s="335"/>
      <c r="AQ658" s="335"/>
      <c r="AR658" s="335"/>
      <c r="AS658" s="335"/>
      <c r="AT658" s="335"/>
      <c r="AU658" s="335"/>
      <c r="AV658" s="335"/>
      <c r="AW658" s="335"/>
      <c r="AX658" s="335"/>
      <c r="AY658" s="335"/>
      <c r="AZ658" s="335"/>
      <c r="BA658" s="335"/>
      <c r="BB658" s="335"/>
      <c r="BC658" s="335"/>
      <c r="BD658" s="335"/>
      <c r="BE658" s="335"/>
      <c r="BF658" s="335"/>
      <c r="BG658" s="335"/>
      <c r="BH658" s="335"/>
      <c r="BI658" s="335"/>
      <c r="BJ658" s="335"/>
      <c r="BK658" s="335"/>
    </row>
    <row r="659" spans="1:63" s="192" customFormat="1" ht="15.75" customHeight="1">
      <c r="A659" s="28"/>
      <c r="B659" s="12" t="s">
        <v>909</v>
      </c>
      <c r="C659" s="1505">
        <v>0</v>
      </c>
      <c r="D659" s="1506"/>
      <c r="E659" s="1323">
        <v>0</v>
      </c>
      <c r="F659" s="1324"/>
      <c r="G659" s="1323">
        <v>0</v>
      </c>
      <c r="H659" s="1324"/>
      <c r="I659" s="1323">
        <v>0</v>
      </c>
      <c r="J659" s="1324"/>
      <c r="K659" s="1323">
        <v>0</v>
      </c>
      <c r="L659" s="1324"/>
      <c r="M659" s="149"/>
      <c r="N659" s="851"/>
      <c r="O659" s="335"/>
      <c r="P659" s="335"/>
      <c r="Q659" s="335"/>
      <c r="R659" s="335"/>
      <c r="S659" s="335"/>
      <c r="T659" s="335"/>
      <c r="U659" s="335"/>
      <c r="V659" s="335"/>
      <c r="W659" s="335"/>
      <c r="X659" s="335"/>
      <c r="Y659" s="335"/>
      <c r="Z659" s="335"/>
      <c r="AA659" s="335"/>
      <c r="AB659" s="335"/>
      <c r="AC659" s="335"/>
      <c r="AD659" s="335"/>
      <c r="AE659" s="335"/>
      <c r="AF659" s="335"/>
      <c r="AG659" s="335"/>
      <c r="AH659" s="335"/>
      <c r="AI659" s="335"/>
      <c r="AJ659" s="335"/>
      <c r="AK659" s="335"/>
      <c r="AL659" s="335"/>
      <c r="AM659" s="335"/>
      <c r="AN659" s="335"/>
      <c r="AO659" s="335"/>
      <c r="AP659" s="335"/>
      <c r="AQ659" s="335"/>
      <c r="AR659" s="335"/>
      <c r="AS659" s="335"/>
      <c r="AT659" s="335"/>
      <c r="AU659" s="335"/>
      <c r="AV659" s="335"/>
      <c r="AW659" s="335"/>
      <c r="AX659" s="335"/>
      <c r="AY659" s="335"/>
      <c r="AZ659" s="335"/>
      <c r="BA659" s="335"/>
      <c r="BB659" s="335"/>
      <c r="BC659" s="335"/>
      <c r="BD659" s="335"/>
      <c r="BE659" s="335"/>
      <c r="BF659" s="335"/>
      <c r="BG659" s="335"/>
      <c r="BH659" s="335"/>
      <c r="BI659" s="335"/>
      <c r="BJ659" s="335"/>
      <c r="BK659" s="335"/>
    </row>
    <row r="660" spans="1:63" s="192" customFormat="1" ht="15.75" customHeight="1">
      <c r="A660" s="28"/>
      <c r="B660" s="127" t="s">
        <v>44</v>
      </c>
      <c r="C660" s="1266">
        <f>CEILING(43*$Z$1,0.1)</f>
        <v>53.800000000000004</v>
      </c>
      <c r="D660" s="1267"/>
      <c r="E660" s="1266">
        <f>CEILING(49*$Z$1,0.1)</f>
        <v>61.300000000000004</v>
      </c>
      <c r="F660" s="1326"/>
      <c r="G660" s="1266">
        <f>CEILING(49*$Z$1,0.1)</f>
        <v>61.300000000000004</v>
      </c>
      <c r="H660" s="1326"/>
      <c r="I660" s="1266">
        <f>CEILING(49*$Z$1,0.1)</f>
        <v>61.300000000000004</v>
      </c>
      <c r="J660" s="1326"/>
      <c r="K660" s="1266">
        <f>CEILING(43*$Z$1,0.1)</f>
        <v>53.800000000000004</v>
      </c>
      <c r="L660" s="1267"/>
      <c r="M660" s="149"/>
      <c r="N660" s="851"/>
      <c r="O660" s="335"/>
      <c r="P660" s="335"/>
      <c r="Q660" s="335"/>
      <c r="R660" s="335"/>
      <c r="S660" s="335"/>
      <c r="T660" s="335"/>
      <c r="U660" s="335"/>
      <c r="V660" s="335"/>
      <c r="W660" s="335"/>
      <c r="X660" s="335"/>
      <c r="Y660" s="335"/>
      <c r="Z660" s="335"/>
      <c r="AA660" s="335"/>
      <c r="AB660" s="335"/>
      <c r="AC660" s="335"/>
      <c r="AD660" s="335"/>
      <c r="AE660" s="335"/>
      <c r="AF660" s="335"/>
      <c r="AG660" s="335"/>
      <c r="AH660" s="335"/>
      <c r="AI660" s="335"/>
      <c r="AJ660" s="335"/>
      <c r="AK660" s="335"/>
      <c r="AL660" s="335"/>
      <c r="AM660" s="335"/>
      <c r="AN660" s="335"/>
      <c r="AO660" s="335"/>
      <c r="AP660" s="335"/>
      <c r="AQ660" s="335"/>
      <c r="AR660" s="335"/>
      <c r="AS660" s="335"/>
      <c r="AT660" s="335"/>
      <c r="AU660" s="335"/>
      <c r="AV660" s="335"/>
      <c r="AW660" s="335"/>
      <c r="AX660" s="335"/>
      <c r="AY660" s="335"/>
      <c r="AZ660" s="335"/>
      <c r="BA660" s="335"/>
      <c r="BB660" s="335"/>
      <c r="BC660" s="335"/>
      <c r="BD660" s="335"/>
      <c r="BE660" s="335"/>
      <c r="BF660" s="335"/>
      <c r="BG660" s="335"/>
      <c r="BH660" s="335"/>
      <c r="BI660" s="335"/>
      <c r="BJ660" s="335"/>
      <c r="BK660" s="335"/>
    </row>
    <row r="661" spans="1:63" s="667" customFormat="1" ht="15.75" customHeight="1">
      <c r="A661" s="850" t="s">
        <v>834</v>
      </c>
      <c r="B661" s="418" t="s">
        <v>46</v>
      </c>
      <c r="C661" s="1284">
        <f>CEILING(51*$Z$1,0.1)</f>
        <v>63.800000000000004</v>
      </c>
      <c r="D661" s="1285"/>
      <c r="E661" s="1284">
        <f>CEILING(58*$Z$1,0.1)</f>
        <v>72.5</v>
      </c>
      <c r="F661" s="1372"/>
      <c r="G661" s="1284">
        <f>CEILING(58*$Z$1,0.1)</f>
        <v>72.5</v>
      </c>
      <c r="H661" s="1372"/>
      <c r="I661" s="1284">
        <f>CEILING(58*$Z$1,0.1)</f>
        <v>72.5</v>
      </c>
      <c r="J661" s="1372"/>
      <c r="K661" s="1284">
        <f>CEILING(51*$Z$1,0.1)</f>
        <v>63.800000000000004</v>
      </c>
      <c r="L661" s="1285"/>
      <c r="M661" s="149"/>
      <c r="N661" s="851"/>
      <c r="O661" s="335"/>
      <c r="P661" s="335"/>
      <c r="Q661" s="335"/>
      <c r="R661" s="335"/>
      <c r="S661" s="335"/>
      <c r="T661" s="335"/>
      <c r="U661" s="335"/>
      <c r="V661" s="335"/>
      <c r="W661" s="335"/>
      <c r="X661" s="335"/>
      <c r="Y661" s="335"/>
      <c r="Z661" s="335"/>
      <c r="AA661" s="335"/>
      <c r="AB661" s="335"/>
      <c r="AC661" s="335"/>
      <c r="AD661" s="335"/>
      <c r="AE661" s="335"/>
      <c r="AF661" s="335"/>
      <c r="AG661" s="335"/>
      <c r="AH661" s="335"/>
      <c r="AI661" s="335"/>
      <c r="AJ661" s="335"/>
      <c r="AK661" s="335"/>
      <c r="AL661" s="335"/>
      <c r="AM661" s="335"/>
      <c r="AN661" s="335"/>
      <c r="AO661" s="335"/>
      <c r="AP661" s="335"/>
      <c r="AQ661" s="335"/>
      <c r="AR661" s="335"/>
      <c r="AS661" s="335"/>
      <c r="AT661" s="335"/>
      <c r="AU661" s="335"/>
      <c r="AV661" s="335"/>
      <c r="AW661" s="335"/>
      <c r="AX661" s="335"/>
      <c r="AY661" s="335"/>
      <c r="AZ661" s="335"/>
      <c r="BA661" s="335"/>
      <c r="BB661" s="335"/>
      <c r="BC661" s="335"/>
      <c r="BD661" s="335"/>
      <c r="BE661" s="335"/>
      <c r="BF661" s="335"/>
      <c r="BG661" s="335"/>
      <c r="BH661" s="335"/>
      <c r="BI661" s="335"/>
      <c r="BJ661" s="852"/>
      <c r="BK661" s="852"/>
    </row>
    <row r="662" spans="1:63" s="776" customFormat="1" ht="15">
      <c r="A662" s="1306"/>
      <c r="B662" s="1306"/>
      <c r="C662" s="1306"/>
      <c r="D662" s="1306"/>
      <c r="E662" s="1306"/>
      <c r="F662" s="1306"/>
      <c r="G662" s="1306"/>
      <c r="H662" s="1306"/>
      <c r="I662" s="1306"/>
      <c r="J662" s="1306"/>
      <c r="K662" s="775"/>
      <c r="L662" s="775"/>
      <c r="M662" s="335"/>
      <c r="N662" s="335"/>
      <c r="O662" s="335"/>
      <c r="P662" s="335"/>
      <c r="Q662" s="335"/>
      <c r="R662" s="335"/>
      <c r="S662" s="335"/>
      <c r="T662" s="335"/>
      <c r="U662" s="335"/>
      <c r="V662" s="335"/>
      <c r="W662" s="335"/>
      <c r="X662" s="335"/>
      <c r="Y662" s="335"/>
      <c r="Z662" s="335"/>
      <c r="AA662" s="335"/>
      <c r="AB662" s="335"/>
      <c r="AC662" s="335"/>
      <c r="AD662" s="335"/>
      <c r="AE662" s="335"/>
      <c r="AF662" s="335"/>
      <c r="AG662" s="335"/>
      <c r="AH662" s="335"/>
      <c r="AI662" s="335"/>
      <c r="AJ662" s="335"/>
      <c r="AK662" s="335"/>
      <c r="AL662" s="335"/>
      <c r="AM662" s="335"/>
      <c r="AN662" s="335"/>
      <c r="AO662" s="335"/>
      <c r="AP662" s="335"/>
      <c r="AQ662" s="335"/>
      <c r="AR662" s="335"/>
      <c r="AS662" s="335"/>
      <c r="AT662" s="335"/>
      <c r="AU662" s="335"/>
      <c r="AV662" s="335"/>
      <c r="AW662" s="335"/>
      <c r="AX662" s="335"/>
      <c r="AY662" s="335"/>
      <c r="AZ662" s="335"/>
      <c r="BA662" s="335"/>
      <c r="BB662" s="335"/>
      <c r="BC662" s="335"/>
      <c r="BD662" s="335"/>
      <c r="BE662" s="335"/>
      <c r="BF662" s="335"/>
      <c r="BG662" s="335"/>
      <c r="BH662" s="335"/>
      <c r="BI662" s="335"/>
      <c r="BJ662" s="335"/>
      <c r="BK662" s="335"/>
    </row>
    <row r="663" spans="1:61" s="479" customFormat="1" ht="15">
      <c r="A663" s="370"/>
      <c r="B663" s="44"/>
      <c r="C663" s="802"/>
      <c r="D663" s="802"/>
      <c r="E663" s="802"/>
      <c r="F663" s="802"/>
      <c r="G663" s="802"/>
      <c r="H663" s="802"/>
      <c r="I663" s="802"/>
      <c r="J663" s="802"/>
      <c r="K663" s="313"/>
      <c r="L663" s="313"/>
      <c r="M663" s="20"/>
      <c r="N663" s="234"/>
      <c r="O663" s="481"/>
      <c r="P663" s="481"/>
      <c r="Q663" s="481"/>
      <c r="R663" s="481"/>
      <c r="S663" s="481"/>
      <c r="T663" s="481"/>
      <c r="U663" s="481"/>
      <c r="V663" s="481"/>
      <c r="W663" s="481"/>
      <c r="X663" s="481"/>
      <c r="Y663" s="481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  <c r="AK663" s="192"/>
      <c r="AL663" s="192"/>
      <c r="AM663" s="192"/>
      <c r="AN663" s="192"/>
      <c r="AO663" s="192"/>
      <c r="AP663" s="192"/>
      <c r="AQ663" s="192"/>
      <c r="AR663" s="192"/>
      <c r="AS663" s="192"/>
      <c r="AT663" s="192"/>
      <c r="AU663" s="192"/>
      <c r="AV663" s="192"/>
      <c r="AW663" s="192"/>
      <c r="AX663" s="192"/>
      <c r="AY663" s="192"/>
      <c r="AZ663" s="192"/>
      <c r="BA663" s="192"/>
      <c r="BB663" s="192"/>
      <c r="BC663" s="192"/>
      <c r="BD663" s="192"/>
      <c r="BE663" s="192"/>
      <c r="BF663" s="192"/>
      <c r="BG663" s="192"/>
      <c r="BH663" s="192"/>
      <c r="BI663" s="192"/>
    </row>
    <row r="664" spans="1:14" ht="15.75" customHeight="1" thickBot="1">
      <c r="A664" s="373"/>
      <c r="B664" s="373"/>
      <c r="C664" s="373"/>
      <c r="D664" s="373"/>
      <c r="E664" s="373"/>
      <c r="F664" s="373"/>
      <c r="G664" s="377"/>
      <c r="H664" s="377"/>
      <c r="I664" s="377"/>
      <c r="J664" s="377"/>
      <c r="K664" s="313"/>
      <c r="L664" s="313"/>
      <c r="M664" s="16"/>
      <c r="N664" s="158"/>
    </row>
    <row r="665" spans="1:63" s="479" customFormat="1" ht="30.75" customHeight="1" thickTop="1">
      <c r="A665" s="794" t="s">
        <v>43</v>
      </c>
      <c r="B665" s="819" t="s">
        <v>977</v>
      </c>
      <c r="C665" s="798" t="s">
        <v>884</v>
      </c>
      <c r="D665" s="799"/>
      <c r="E665" s="789" t="s">
        <v>911</v>
      </c>
      <c r="F665" s="790"/>
      <c r="G665" s="816" t="s">
        <v>912</v>
      </c>
      <c r="H665" s="790"/>
      <c r="I665" s="1280" t="s">
        <v>881</v>
      </c>
      <c r="J665" s="1281"/>
      <c r="K665" s="1335" t="s">
        <v>882</v>
      </c>
      <c r="L665" s="1336"/>
      <c r="M665" s="481"/>
      <c r="N665" s="335"/>
      <c r="O665" s="335"/>
      <c r="P665" s="335"/>
      <c r="Q665" s="335"/>
      <c r="R665" s="335"/>
      <c r="S665" s="335"/>
      <c r="T665" s="335"/>
      <c r="U665" s="335"/>
      <c r="V665" s="335"/>
      <c r="W665" s="335"/>
      <c r="X665" s="335"/>
      <c r="Y665" s="335"/>
      <c r="Z665" s="335"/>
      <c r="AA665" s="335"/>
      <c r="AB665" s="335"/>
      <c r="AC665" s="335"/>
      <c r="AD665" s="335"/>
      <c r="AE665" s="335"/>
      <c r="AF665" s="335"/>
      <c r="AG665" s="335"/>
      <c r="AH665" s="335"/>
      <c r="AI665" s="335"/>
      <c r="AJ665" s="335"/>
      <c r="AK665" s="335"/>
      <c r="AL665" s="335"/>
      <c r="AM665" s="335"/>
      <c r="AN665" s="335"/>
      <c r="AO665" s="335"/>
      <c r="AP665" s="335"/>
      <c r="AQ665" s="335"/>
      <c r="AR665" s="335"/>
      <c r="AS665" s="335"/>
      <c r="AT665" s="335"/>
      <c r="AU665" s="335"/>
      <c r="AV665" s="335"/>
      <c r="AW665" s="335"/>
      <c r="AX665" s="335"/>
      <c r="AY665" s="335"/>
      <c r="AZ665" s="335"/>
      <c r="BA665" s="335"/>
      <c r="BB665" s="335"/>
      <c r="BC665" s="335"/>
      <c r="BD665" s="335"/>
      <c r="BE665" s="335"/>
      <c r="BF665" s="335"/>
      <c r="BG665" s="335"/>
      <c r="BH665" s="335"/>
      <c r="BI665" s="335"/>
      <c r="BJ665" s="335"/>
      <c r="BK665" s="335"/>
    </row>
    <row r="666" spans="1:14" ht="15.75" customHeight="1">
      <c r="A666" s="78" t="s">
        <v>988</v>
      </c>
      <c r="B666" s="127" t="s">
        <v>51</v>
      </c>
      <c r="C666" s="1266">
        <f>CEILING(53*$Z$1,0.1)</f>
        <v>66.3</v>
      </c>
      <c r="D666" s="1267"/>
      <c r="E666" s="1266">
        <f>CEILING(58*$Z$1,0.1)</f>
        <v>72.5</v>
      </c>
      <c r="F666" s="1326"/>
      <c r="G666" s="1266">
        <f>CEILING(58*$Z$1,0.1)</f>
        <v>72.5</v>
      </c>
      <c r="H666" s="1326"/>
      <c r="I666" s="1266">
        <f>CEILING(58*$Z$1,0.1)</f>
        <v>72.5</v>
      </c>
      <c r="J666" s="1326"/>
      <c r="K666" s="1266">
        <f>CEILING(53*$Z$1,0.1)</f>
        <v>66.3</v>
      </c>
      <c r="L666" s="1267"/>
      <c r="M666" s="149"/>
      <c r="N666" s="146"/>
    </row>
    <row r="667" spans="1:14" ht="15">
      <c r="A667" s="645" t="s">
        <v>835</v>
      </c>
      <c r="B667" s="29" t="s">
        <v>52</v>
      </c>
      <c r="C667" s="1268">
        <f>CEILING(66*$Z$1,0.1)</f>
        <v>82.5</v>
      </c>
      <c r="D667" s="1270"/>
      <c r="E667" s="1268">
        <f>CEILING(73*$Z$1,0.1)</f>
        <v>91.30000000000001</v>
      </c>
      <c r="F667" s="1269"/>
      <c r="G667" s="1268">
        <f>CEILING(73*$Z$1,0.1)</f>
        <v>91.30000000000001</v>
      </c>
      <c r="H667" s="1269"/>
      <c r="I667" s="1268">
        <f>CEILING(73*$Z$1,0.1)</f>
        <v>91.30000000000001</v>
      </c>
      <c r="J667" s="1269"/>
      <c r="K667" s="1268">
        <f>CEILING(66*$Z$1,0.1)</f>
        <v>82.5</v>
      </c>
      <c r="L667" s="1270"/>
      <c r="M667" s="149"/>
      <c r="N667" s="146"/>
    </row>
    <row r="668" spans="1:14" ht="15">
      <c r="A668" s="28" t="s">
        <v>59</v>
      </c>
      <c r="B668" s="12" t="s">
        <v>84</v>
      </c>
      <c r="C668" s="1323">
        <v>0</v>
      </c>
      <c r="D668" s="1324"/>
      <c r="E668" s="1323">
        <v>0</v>
      </c>
      <c r="F668" s="1324"/>
      <c r="G668" s="1323">
        <v>0</v>
      </c>
      <c r="H668" s="1324"/>
      <c r="I668" s="1323">
        <v>0</v>
      </c>
      <c r="J668" s="1324"/>
      <c r="K668" s="1323">
        <v>0</v>
      </c>
      <c r="L668" s="1324"/>
      <c r="M668" s="149"/>
      <c r="N668" s="146"/>
    </row>
    <row r="669" spans="1:14" ht="18" customHeight="1" thickBot="1">
      <c r="A669" s="80" t="s">
        <v>834</v>
      </c>
      <c r="B669" s="418" t="s">
        <v>987</v>
      </c>
      <c r="C669" s="1284">
        <f>CEILING((C666*0.5),0.1)</f>
        <v>33.2</v>
      </c>
      <c r="D669" s="1285"/>
      <c r="E669" s="1284">
        <f>CEILING((E666*0.5),0.1)</f>
        <v>36.300000000000004</v>
      </c>
      <c r="F669" s="1285"/>
      <c r="G669" s="1284">
        <f>CEILING((G666*0.5),0.1)</f>
        <v>36.300000000000004</v>
      </c>
      <c r="H669" s="1285"/>
      <c r="I669" s="1284">
        <f>CEILING((I666*0.5),0.1)</f>
        <v>36.300000000000004</v>
      </c>
      <c r="J669" s="1285"/>
      <c r="K669" s="1284">
        <f>CEILING((K666*0.5),0.1)</f>
        <v>33.2</v>
      </c>
      <c r="L669" s="1285"/>
      <c r="M669" s="149"/>
      <c r="N669" s="146"/>
    </row>
    <row r="670" spans="1:63" s="479" customFormat="1" ht="15.75" thickTop="1">
      <c r="A670" s="514" t="s">
        <v>981</v>
      </c>
      <c r="B670" s="50"/>
      <c r="C670" s="802"/>
      <c r="D670" s="802"/>
      <c r="E670" s="802"/>
      <c r="F670" s="802"/>
      <c r="G670" s="802"/>
      <c r="H670" s="802"/>
      <c r="I670" s="802"/>
      <c r="J670" s="802"/>
      <c r="K670" s="315"/>
      <c r="L670" s="315"/>
      <c r="M670" s="16"/>
      <c r="N670" s="389"/>
      <c r="O670" s="335"/>
      <c r="P670" s="335"/>
      <c r="Q670" s="335"/>
      <c r="R670" s="335"/>
      <c r="S670" s="335"/>
      <c r="T670" s="335"/>
      <c r="U670" s="335"/>
      <c r="V670" s="335"/>
      <c r="W670" s="335"/>
      <c r="X670" s="335"/>
      <c r="Y670" s="335"/>
      <c r="Z670" s="335"/>
      <c r="AA670" s="335"/>
      <c r="AB670" s="335"/>
      <c r="AC670" s="335"/>
      <c r="AD670" s="335"/>
      <c r="AE670" s="335"/>
      <c r="AF670" s="335"/>
      <c r="AG670" s="335"/>
      <c r="AH670" s="335"/>
      <c r="AI670" s="335"/>
      <c r="AJ670" s="335"/>
      <c r="AK670" s="335"/>
      <c r="AL670" s="335"/>
      <c r="AM670" s="335"/>
      <c r="AN670" s="335"/>
      <c r="AO670" s="335"/>
      <c r="AP670" s="335"/>
      <c r="AQ670" s="335"/>
      <c r="AR670" s="335"/>
      <c r="AS670" s="335"/>
      <c r="AT670" s="335"/>
      <c r="AU670" s="335"/>
      <c r="AV670" s="335"/>
      <c r="AW670" s="335"/>
      <c r="AX670" s="335"/>
      <c r="AY670" s="335"/>
      <c r="AZ670" s="335"/>
      <c r="BA670" s="335"/>
      <c r="BB670" s="335"/>
      <c r="BC670" s="335"/>
      <c r="BD670" s="335"/>
      <c r="BE670" s="335"/>
      <c r="BF670" s="335"/>
      <c r="BG670" s="335"/>
      <c r="BH670" s="335"/>
      <c r="BI670" s="335"/>
      <c r="BJ670" s="335"/>
      <c r="BK670" s="335"/>
    </row>
    <row r="671" spans="1:63" s="776" customFormat="1" ht="15">
      <c r="A671" s="1306"/>
      <c r="B671" s="1306"/>
      <c r="C671" s="1306"/>
      <c r="D671" s="1306"/>
      <c r="E671" s="1306"/>
      <c r="F671" s="1306"/>
      <c r="G671" s="1306"/>
      <c r="H671" s="1306"/>
      <c r="I671" s="1306"/>
      <c r="J671" s="1306"/>
      <c r="K671" s="775"/>
      <c r="L671" s="775"/>
      <c r="M671" s="335"/>
      <c r="N671" s="335"/>
      <c r="O671" s="335"/>
      <c r="P671" s="335"/>
      <c r="Q671" s="335"/>
      <c r="R671" s="335"/>
      <c r="S671" s="335"/>
      <c r="T671" s="335"/>
      <c r="U671" s="335"/>
      <c r="V671" s="335"/>
      <c r="W671" s="335"/>
      <c r="X671" s="335"/>
      <c r="Y671" s="335"/>
      <c r="Z671" s="335"/>
      <c r="AA671" s="335"/>
      <c r="AB671" s="335"/>
      <c r="AC671" s="335"/>
      <c r="AD671" s="335"/>
      <c r="AE671" s="335"/>
      <c r="AF671" s="335"/>
      <c r="AG671" s="335"/>
      <c r="AH671" s="335"/>
      <c r="AI671" s="335"/>
      <c r="AJ671" s="335"/>
      <c r="AK671" s="335"/>
      <c r="AL671" s="335"/>
      <c r="AM671" s="335"/>
      <c r="AN671" s="335"/>
      <c r="AO671" s="335"/>
      <c r="AP671" s="335"/>
      <c r="AQ671" s="335"/>
      <c r="AR671" s="335"/>
      <c r="AS671" s="335"/>
      <c r="AT671" s="335"/>
      <c r="AU671" s="335"/>
      <c r="AV671" s="335"/>
      <c r="AW671" s="335"/>
      <c r="AX671" s="335"/>
      <c r="AY671" s="335"/>
      <c r="AZ671" s="335"/>
      <c r="BA671" s="335"/>
      <c r="BB671" s="335"/>
      <c r="BC671" s="335"/>
      <c r="BD671" s="335"/>
      <c r="BE671" s="335"/>
      <c r="BF671" s="335"/>
      <c r="BG671" s="335"/>
      <c r="BH671" s="335"/>
      <c r="BI671" s="335"/>
      <c r="BJ671" s="335"/>
      <c r="BK671" s="335"/>
    </row>
    <row r="672" spans="1:14" ht="15.75" thickBot="1">
      <c r="A672" s="72"/>
      <c r="B672" s="69"/>
      <c r="C672" s="91"/>
      <c r="D672" s="91"/>
      <c r="E672" s="91"/>
      <c r="F672" s="91"/>
      <c r="G672" s="375"/>
      <c r="H672" s="375"/>
      <c r="I672" s="376"/>
      <c r="J672" s="376"/>
      <c r="K672" s="94"/>
      <c r="L672" s="313"/>
      <c r="M672" s="149"/>
      <c r="N672" s="146"/>
    </row>
    <row r="673" spans="1:63" s="479" customFormat="1" ht="30.75" customHeight="1" thickTop="1">
      <c r="A673" s="794" t="s">
        <v>43</v>
      </c>
      <c r="B673" s="819" t="s">
        <v>977</v>
      </c>
      <c r="C673" s="798" t="s">
        <v>884</v>
      </c>
      <c r="D673" s="799"/>
      <c r="E673" s="789" t="s">
        <v>911</v>
      </c>
      <c r="F673" s="817"/>
      <c r="G673" s="816" t="s">
        <v>912</v>
      </c>
      <c r="H673" s="790"/>
      <c r="I673" s="1280" t="s">
        <v>881</v>
      </c>
      <c r="J673" s="1281"/>
      <c r="K673" s="1335" t="s">
        <v>882</v>
      </c>
      <c r="L673" s="1336"/>
      <c r="M673" s="481"/>
      <c r="N673" s="335"/>
      <c r="O673" s="335"/>
      <c r="P673" s="335"/>
      <c r="Q673" s="335"/>
      <c r="R673" s="335"/>
      <c r="S673" s="335"/>
      <c r="T673" s="335"/>
      <c r="U673" s="335"/>
      <c r="V673" s="335"/>
      <c r="W673" s="335"/>
      <c r="X673" s="335"/>
      <c r="Y673" s="335"/>
      <c r="Z673" s="335"/>
      <c r="AA673" s="335"/>
      <c r="AB673" s="335"/>
      <c r="AC673" s="335"/>
      <c r="AD673" s="335"/>
      <c r="AE673" s="335"/>
      <c r="AF673" s="335"/>
      <c r="AG673" s="335"/>
      <c r="AH673" s="335"/>
      <c r="AI673" s="335"/>
      <c r="AJ673" s="335"/>
      <c r="AK673" s="335"/>
      <c r="AL673" s="335"/>
      <c r="AM673" s="335"/>
      <c r="AN673" s="335"/>
      <c r="AO673" s="335"/>
      <c r="AP673" s="335"/>
      <c r="AQ673" s="335"/>
      <c r="AR673" s="335"/>
      <c r="AS673" s="335"/>
      <c r="AT673" s="335"/>
      <c r="AU673" s="335"/>
      <c r="AV673" s="335"/>
      <c r="AW673" s="335"/>
      <c r="AX673" s="335"/>
      <c r="AY673" s="335"/>
      <c r="AZ673" s="335"/>
      <c r="BA673" s="335"/>
      <c r="BB673" s="335"/>
      <c r="BC673" s="335"/>
      <c r="BD673" s="335"/>
      <c r="BE673" s="335"/>
      <c r="BF673" s="335"/>
      <c r="BG673" s="335"/>
      <c r="BH673" s="335"/>
      <c r="BI673" s="335"/>
      <c r="BJ673" s="335"/>
      <c r="BK673" s="335"/>
    </row>
    <row r="674" spans="1:63" ht="15">
      <c r="A674" s="175" t="s">
        <v>349</v>
      </c>
      <c r="B674" s="127" t="s">
        <v>375</v>
      </c>
      <c r="C674" s="1266">
        <f>CEILING(41*$Z$1,0.1)</f>
        <v>51.300000000000004</v>
      </c>
      <c r="D674" s="1267"/>
      <c r="E674" s="1266">
        <f>CEILING(45*$Z$1,0.1)</f>
        <v>56.300000000000004</v>
      </c>
      <c r="F674" s="1326"/>
      <c r="G674" s="1266">
        <f>CEILING(45*$Z$1,0.1)</f>
        <v>56.300000000000004</v>
      </c>
      <c r="H674" s="1326"/>
      <c r="I674" s="1266">
        <f>CEILING(45*$Z$1,0.1)</f>
        <v>56.300000000000004</v>
      </c>
      <c r="J674" s="1326"/>
      <c r="K674" s="1266">
        <f>CEILING(41*$Z$1,0.1)</f>
        <v>51.300000000000004</v>
      </c>
      <c r="L674" s="1267"/>
      <c r="M674" s="149"/>
      <c r="N674" s="851"/>
      <c r="O674" s="335"/>
      <c r="P674" s="335"/>
      <c r="Q674" s="335"/>
      <c r="R674" s="335"/>
      <c r="S674" s="335"/>
      <c r="T674" s="335"/>
      <c r="U674" s="335"/>
      <c r="V674" s="335"/>
      <c r="W674" s="335"/>
      <c r="X674" s="335"/>
      <c r="Y674" s="335"/>
      <c r="Z674" s="335"/>
      <c r="AA674" s="335"/>
      <c r="AB674" s="335"/>
      <c r="AC674" s="335"/>
      <c r="AD674" s="335"/>
      <c r="AE674" s="335"/>
      <c r="AF674" s="335"/>
      <c r="AG674" s="335"/>
      <c r="AH674" s="335"/>
      <c r="AI674" s="335"/>
      <c r="AJ674" s="335"/>
      <c r="AK674" s="335"/>
      <c r="AL674" s="335"/>
      <c r="AM674" s="335"/>
      <c r="AN674" s="335"/>
      <c r="AO674" s="335"/>
      <c r="AP674" s="335"/>
      <c r="AQ674" s="335"/>
      <c r="AR674" s="335"/>
      <c r="AS674" s="335"/>
      <c r="AT674" s="335"/>
      <c r="AU674" s="335"/>
      <c r="AV674" s="335"/>
      <c r="AW674" s="335"/>
      <c r="AX674" s="335"/>
      <c r="AY674" s="335"/>
      <c r="AZ674" s="335"/>
      <c r="BA674" s="335"/>
      <c r="BB674" s="335"/>
      <c r="BC674" s="335"/>
      <c r="BD674" s="335"/>
      <c r="BE674" s="335"/>
      <c r="BF674" s="335"/>
      <c r="BG674" s="335"/>
      <c r="BH674" s="335"/>
      <c r="BI674" s="335"/>
      <c r="BJ674" s="335"/>
      <c r="BK674" s="335"/>
    </row>
    <row r="675" spans="1:63" ht="15.75" customHeight="1">
      <c r="A675" s="281"/>
      <c r="B675" s="29" t="s">
        <v>376</v>
      </c>
      <c r="C675" s="1268">
        <f>CEILING(51*$Z$1,0.1)</f>
        <v>63.800000000000004</v>
      </c>
      <c r="D675" s="1270"/>
      <c r="E675" s="1268">
        <f>CEILING(56*$Z$1,0.1)</f>
        <v>70</v>
      </c>
      <c r="F675" s="1269"/>
      <c r="G675" s="1268">
        <f>CEILING(56*$Z$1,0.1)</f>
        <v>70</v>
      </c>
      <c r="H675" s="1269"/>
      <c r="I675" s="1268">
        <f>CEILING(56*$Z$1,0.1)</f>
        <v>70</v>
      </c>
      <c r="J675" s="1269"/>
      <c r="K675" s="1268">
        <f>CEILING(51*$Z$1,0.1)</f>
        <v>63.800000000000004</v>
      </c>
      <c r="L675" s="1270"/>
      <c r="M675" s="149"/>
      <c r="N675" s="851"/>
      <c r="O675" s="335"/>
      <c r="P675" s="335"/>
      <c r="Q675" s="335"/>
      <c r="R675" s="335"/>
      <c r="S675" s="335"/>
      <c r="T675" s="335"/>
      <c r="U675" s="335"/>
      <c r="V675" s="335"/>
      <c r="W675" s="335"/>
      <c r="X675" s="335"/>
      <c r="Y675" s="335"/>
      <c r="Z675" s="335"/>
      <c r="AA675" s="335"/>
      <c r="AB675" s="335"/>
      <c r="AC675" s="335"/>
      <c r="AD675" s="335"/>
      <c r="AE675" s="335"/>
      <c r="AF675" s="335"/>
      <c r="AG675" s="335"/>
      <c r="AH675" s="335"/>
      <c r="AI675" s="335"/>
      <c r="AJ675" s="335"/>
      <c r="AK675" s="335"/>
      <c r="AL675" s="335"/>
      <c r="AM675" s="335"/>
      <c r="AN675" s="335"/>
      <c r="AO675" s="335"/>
      <c r="AP675" s="335"/>
      <c r="AQ675" s="335"/>
      <c r="AR675" s="335"/>
      <c r="AS675" s="335"/>
      <c r="AT675" s="335"/>
      <c r="AU675" s="335"/>
      <c r="AV675" s="335"/>
      <c r="AW675" s="335"/>
      <c r="AX675" s="335"/>
      <c r="AY675" s="335"/>
      <c r="AZ675" s="335"/>
      <c r="BA675" s="335"/>
      <c r="BB675" s="335"/>
      <c r="BC675" s="335"/>
      <c r="BD675" s="335"/>
      <c r="BE675" s="335"/>
      <c r="BF675" s="335"/>
      <c r="BG675" s="335"/>
      <c r="BH675" s="335"/>
      <c r="BI675" s="335"/>
      <c r="BJ675" s="335"/>
      <c r="BK675" s="335"/>
    </row>
    <row r="676" spans="1:63" ht="15" customHeight="1">
      <c r="A676" s="28" t="s">
        <v>90</v>
      </c>
      <c r="B676" s="36" t="s">
        <v>47</v>
      </c>
      <c r="C676" s="1268">
        <f>CEILING(33*$Z$1,0.1)</f>
        <v>41.300000000000004</v>
      </c>
      <c r="D676" s="1270"/>
      <c r="E676" s="1268">
        <f>CEILING(37*$Z$1,0.1)</f>
        <v>46.300000000000004</v>
      </c>
      <c r="F676" s="1270"/>
      <c r="G676" s="1268">
        <f>CEILING(37*$Z$1,0.1)</f>
        <v>46.300000000000004</v>
      </c>
      <c r="H676" s="1270"/>
      <c r="I676" s="1268">
        <f>CEILING(37*$Z$1,0.1)</f>
        <v>46.300000000000004</v>
      </c>
      <c r="J676" s="1270"/>
      <c r="K676" s="1268">
        <f>CEILING(33*$Z$1,0.1)</f>
        <v>41.300000000000004</v>
      </c>
      <c r="L676" s="1270"/>
      <c r="M676" s="149"/>
      <c r="N676" s="851"/>
      <c r="O676" s="335"/>
      <c r="P676" s="335"/>
      <c r="Q676" s="335"/>
      <c r="R676" s="335"/>
      <c r="S676" s="335"/>
      <c r="T676" s="335"/>
      <c r="U676" s="335"/>
      <c r="V676" s="335"/>
      <c r="W676" s="335"/>
      <c r="X676" s="335"/>
      <c r="Y676" s="335"/>
      <c r="Z676" s="335"/>
      <c r="AA676" s="335"/>
      <c r="AB676" s="335"/>
      <c r="AC676" s="335"/>
      <c r="AD676" s="335"/>
      <c r="AE676" s="335"/>
      <c r="AF676" s="335"/>
      <c r="AG676" s="335"/>
      <c r="AH676" s="335"/>
      <c r="AI676" s="335"/>
      <c r="AJ676" s="335"/>
      <c r="AK676" s="335"/>
      <c r="AL676" s="335"/>
      <c r="AM676" s="335"/>
      <c r="AN676" s="335"/>
      <c r="AO676" s="335"/>
      <c r="AP676" s="335"/>
      <c r="AQ676" s="335"/>
      <c r="AR676" s="335"/>
      <c r="AS676" s="335"/>
      <c r="AT676" s="335"/>
      <c r="AU676" s="335"/>
      <c r="AV676" s="335"/>
      <c r="AW676" s="335"/>
      <c r="AX676" s="335"/>
      <c r="AY676" s="335"/>
      <c r="AZ676" s="335"/>
      <c r="BA676" s="335"/>
      <c r="BB676" s="335"/>
      <c r="BC676" s="335"/>
      <c r="BD676" s="335"/>
      <c r="BE676" s="335"/>
      <c r="BF676" s="335"/>
      <c r="BG676" s="335"/>
      <c r="BH676" s="335"/>
      <c r="BI676" s="335"/>
      <c r="BJ676" s="335"/>
      <c r="BK676" s="335"/>
    </row>
    <row r="677" spans="1:63" ht="15.75" customHeight="1">
      <c r="A677" s="28"/>
      <c r="B677" s="12" t="s">
        <v>84</v>
      </c>
      <c r="C677" s="1323">
        <v>0</v>
      </c>
      <c r="D677" s="1324"/>
      <c r="E677" s="1323">
        <v>0</v>
      </c>
      <c r="F677" s="1324"/>
      <c r="G677" s="1323">
        <v>0</v>
      </c>
      <c r="H677" s="1324"/>
      <c r="I677" s="1323">
        <v>0</v>
      </c>
      <c r="J677" s="1324"/>
      <c r="K677" s="1323">
        <v>0</v>
      </c>
      <c r="L677" s="1324"/>
      <c r="M677" s="149"/>
      <c r="N677" s="851"/>
      <c r="O677" s="335"/>
      <c r="P677" s="335"/>
      <c r="Q677" s="335"/>
      <c r="R677" s="335"/>
      <c r="S677" s="335"/>
      <c r="T677" s="335"/>
      <c r="U677" s="335"/>
      <c r="V677" s="335"/>
      <c r="W677" s="335"/>
      <c r="X677" s="335"/>
      <c r="Y677" s="335"/>
      <c r="Z677" s="335"/>
      <c r="AA677" s="335"/>
      <c r="AB677" s="335"/>
      <c r="AC677" s="335"/>
      <c r="AD677" s="335"/>
      <c r="AE677" s="335"/>
      <c r="AF677" s="335"/>
      <c r="AG677" s="335"/>
      <c r="AH677" s="335"/>
      <c r="AI677" s="335"/>
      <c r="AJ677" s="335"/>
      <c r="AK677" s="335"/>
      <c r="AL677" s="335"/>
      <c r="AM677" s="335"/>
      <c r="AN677" s="335"/>
      <c r="AO677" s="335"/>
      <c r="AP677" s="335"/>
      <c r="AQ677" s="335"/>
      <c r="AR677" s="335"/>
      <c r="AS677" s="335"/>
      <c r="AT677" s="335"/>
      <c r="AU677" s="335"/>
      <c r="AV677" s="335"/>
      <c r="AW677" s="335"/>
      <c r="AX677" s="335"/>
      <c r="AY677" s="335"/>
      <c r="AZ677" s="335"/>
      <c r="BA677" s="335"/>
      <c r="BB677" s="335"/>
      <c r="BC677" s="335"/>
      <c r="BD677" s="335"/>
      <c r="BE677" s="335"/>
      <c r="BF677" s="335"/>
      <c r="BG677" s="335"/>
      <c r="BH677" s="335"/>
      <c r="BI677" s="335"/>
      <c r="BJ677" s="335"/>
      <c r="BK677" s="335"/>
    </row>
    <row r="678" spans="1:63" s="404" customFormat="1" ht="15.75" customHeight="1">
      <c r="A678" s="28"/>
      <c r="B678" s="418" t="s">
        <v>987</v>
      </c>
      <c r="C678" s="1284">
        <f>CEILING((C674*0.5),0.1)</f>
        <v>25.700000000000003</v>
      </c>
      <c r="D678" s="1285"/>
      <c r="E678" s="1284">
        <f>CEILING((E674*0.5),0.1)</f>
        <v>28.200000000000003</v>
      </c>
      <c r="F678" s="1285"/>
      <c r="G678" s="1284">
        <f>CEILING((G674*0.5),0.1)</f>
        <v>28.200000000000003</v>
      </c>
      <c r="H678" s="1285"/>
      <c r="I678" s="1284">
        <f>CEILING((I674*0.5),0.1)</f>
        <v>28.200000000000003</v>
      </c>
      <c r="J678" s="1285"/>
      <c r="K678" s="1284">
        <f>CEILING((K674*0.5),0.1)</f>
        <v>25.700000000000003</v>
      </c>
      <c r="L678" s="1285"/>
      <c r="M678" s="149"/>
      <c r="N678" s="851"/>
      <c r="O678" s="335"/>
      <c r="P678" s="335"/>
      <c r="Q678" s="335"/>
      <c r="R678" s="335"/>
      <c r="S678" s="335"/>
      <c r="T678" s="335"/>
      <c r="U678" s="335"/>
      <c r="V678" s="335"/>
      <c r="W678" s="335"/>
      <c r="X678" s="335"/>
      <c r="Y678" s="335"/>
      <c r="Z678" s="335"/>
      <c r="AA678" s="335"/>
      <c r="AB678" s="335"/>
      <c r="AC678" s="335"/>
      <c r="AD678" s="335"/>
      <c r="AE678" s="335"/>
      <c r="AF678" s="335"/>
      <c r="AG678" s="335"/>
      <c r="AH678" s="335"/>
      <c r="AI678" s="335"/>
      <c r="AJ678" s="335"/>
      <c r="AK678" s="335"/>
      <c r="AL678" s="335"/>
      <c r="AM678" s="335"/>
      <c r="AN678" s="335"/>
      <c r="AO678" s="335"/>
      <c r="AP678" s="335"/>
      <c r="AQ678" s="335"/>
      <c r="AR678" s="335"/>
      <c r="AS678" s="335"/>
      <c r="AT678" s="335"/>
      <c r="AU678" s="335"/>
      <c r="AV678" s="335"/>
      <c r="AW678" s="335"/>
      <c r="AX678" s="335"/>
      <c r="AY678" s="335"/>
      <c r="AZ678" s="335"/>
      <c r="BA678" s="335"/>
      <c r="BB678" s="335"/>
      <c r="BC678" s="335"/>
      <c r="BD678" s="335"/>
      <c r="BE678" s="335"/>
      <c r="BF678" s="335"/>
      <c r="BG678" s="335"/>
      <c r="BH678" s="335"/>
      <c r="BI678" s="335"/>
      <c r="BJ678" s="335"/>
      <c r="BK678" s="335"/>
    </row>
    <row r="679" spans="1:63" s="404" customFormat="1" ht="15.75" customHeight="1">
      <c r="A679" s="28"/>
      <c r="B679" s="127" t="s">
        <v>44</v>
      </c>
      <c r="C679" s="1266">
        <f>CEILING(56*$Z$1,0.1)</f>
        <v>70</v>
      </c>
      <c r="D679" s="1267"/>
      <c r="E679" s="1266">
        <f>CEILING(60*$Z$1,0.1)</f>
        <v>75</v>
      </c>
      <c r="F679" s="1326"/>
      <c r="G679" s="1266">
        <f>CEILING(60*$Z$1,0.1)</f>
        <v>75</v>
      </c>
      <c r="H679" s="1326"/>
      <c r="I679" s="1266">
        <f>CEILING(60*$Z$1,0.1)</f>
        <v>75</v>
      </c>
      <c r="J679" s="1326"/>
      <c r="K679" s="1266">
        <f>CEILING(56*$Z$1,0.1)</f>
        <v>70</v>
      </c>
      <c r="L679" s="1267"/>
      <c r="M679" s="149"/>
      <c r="N679" s="851"/>
      <c r="O679" s="335"/>
      <c r="P679" s="335"/>
      <c r="Q679" s="335"/>
      <c r="R679" s="335"/>
      <c r="S679" s="335"/>
      <c r="T679" s="335"/>
      <c r="U679" s="335"/>
      <c r="V679" s="335"/>
      <c r="W679" s="335"/>
      <c r="X679" s="335"/>
      <c r="Y679" s="335"/>
      <c r="Z679" s="335"/>
      <c r="AA679" s="335"/>
      <c r="AB679" s="335"/>
      <c r="AC679" s="335"/>
      <c r="AD679" s="335"/>
      <c r="AE679" s="335"/>
      <c r="AF679" s="335"/>
      <c r="AG679" s="335"/>
      <c r="AH679" s="335"/>
      <c r="AI679" s="335"/>
      <c r="AJ679" s="335"/>
      <c r="AK679" s="335"/>
      <c r="AL679" s="335"/>
      <c r="AM679" s="335"/>
      <c r="AN679" s="335"/>
      <c r="AO679" s="335"/>
      <c r="AP679" s="335"/>
      <c r="AQ679" s="335"/>
      <c r="AR679" s="335"/>
      <c r="AS679" s="335"/>
      <c r="AT679" s="335"/>
      <c r="AU679" s="335"/>
      <c r="AV679" s="335"/>
      <c r="AW679" s="335"/>
      <c r="AX679" s="335"/>
      <c r="AY679" s="335"/>
      <c r="AZ679" s="335"/>
      <c r="BA679" s="335"/>
      <c r="BB679" s="335"/>
      <c r="BC679" s="335"/>
      <c r="BD679" s="335"/>
      <c r="BE679" s="335"/>
      <c r="BF679" s="335"/>
      <c r="BG679" s="335"/>
      <c r="BH679" s="335"/>
      <c r="BI679" s="335"/>
      <c r="BJ679" s="335"/>
      <c r="BK679" s="335"/>
    </row>
    <row r="680" spans="1:63" s="404" customFormat="1" ht="15.75" customHeight="1">
      <c r="A680" s="28"/>
      <c r="B680" s="29" t="s">
        <v>46</v>
      </c>
      <c r="C680" s="1268">
        <f>CEILING(66*$Z$1,0.1)</f>
        <v>82.5</v>
      </c>
      <c r="D680" s="1270"/>
      <c r="E680" s="1268">
        <f>CEILING(71*$Z$1,0.1)</f>
        <v>88.80000000000001</v>
      </c>
      <c r="F680" s="1269"/>
      <c r="G680" s="1268">
        <f>CEILING(71*$Z$1,0.1)</f>
        <v>88.80000000000001</v>
      </c>
      <c r="H680" s="1269"/>
      <c r="I680" s="1268">
        <f>CEILING(71*$Z$1,0.1)</f>
        <v>88.80000000000001</v>
      </c>
      <c r="J680" s="1269"/>
      <c r="K680" s="1268">
        <f>CEILING(66*$Z$1,0.1)</f>
        <v>82.5</v>
      </c>
      <c r="L680" s="1270"/>
      <c r="M680" s="149"/>
      <c r="N680" s="851"/>
      <c r="O680" s="335"/>
      <c r="P680" s="335"/>
      <c r="Q680" s="335"/>
      <c r="R680" s="335"/>
      <c r="S680" s="335"/>
      <c r="T680" s="335"/>
      <c r="U680" s="335"/>
      <c r="V680" s="335"/>
      <c r="W680" s="335"/>
      <c r="X680" s="335"/>
      <c r="Y680" s="335"/>
      <c r="Z680" s="335"/>
      <c r="AA680" s="335"/>
      <c r="AB680" s="335"/>
      <c r="AC680" s="335"/>
      <c r="AD680" s="335"/>
      <c r="AE680" s="335"/>
      <c r="AF680" s="335"/>
      <c r="AG680" s="335"/>
      <c r="AH680" s="335"/>
      <c r="AI680" s="335"/>
      <c r="AJ680" s="335"/>
      <c r="AK680" s="335"/>
      <c r="AL680" s="335"/>
      <c r="AM680" s="335"/>
      <c r="AN680" s="335"/>
      <c r="AO680" s="335"/>
      <c r="AP680" s="335"/>
      <c r="AQ680" s="335"/>
      <c r="AR680" s="335"/>
      <c r="AS680" s="335"/>
      <c r="AT680" s="335"/>
      <c r="AU680" s="335"/>
      <c r="AV680" s="335"/>
      <c r="AW680" s="335"/>
      <c r="AX680" s="335"/>
      <c r="AY680" s="335"/>
      <c r="AZ680" s="335"/>
      <c r="BA680" s="335"/>
      <c r="BB680" s="335"/>
      <c r="BC680" s="335"/>
      <c r="BD680" s="335"/>
      <c r="BE680" s="335"/>
      <c r="BF680" s="335"/>
      <c r="BG680" s="335"/>
      <c r="BH680" s="335"/>
      <c r="BI680" s="335"/>
      <c r="BJ680" s="335"/>
      <c r="BK680" s="335"/>
    </row>
    <row r="681" spans="1:63" s="404" customFormat="1" ht="15.75" customHeight="1">
      <c r="A681" s="28"/>
      <c r="B681" s="36" t="s">
        <v>47</v>
      </c>
      <c r="C681" s="1268">
        <f>CEILING(48*$Z$1,0.1)</f>
        <v>60</v>
      </c>
      <c r="D681" s="1270"/>
      <c r="E681" s="1268">
        <f>CEILING(52*$Z$1,0.1)</f>
        <v>65</v>
      </c>
      <c r="F681" s="1270"/>
      <c r="G681" s="1268">
        <f>CEILING(52*$Z$1,0.1)</f>
        <v>65</v>
      </c>
      <c r="H681" s="1270"/>
      <c r="I681" s="1268">
        <f>CEILING(52*$Z$1,0.1)</f>
        <v>65</v>
      </c>
      <c r="J681" s="1270"/>
      <c r="K681" s="1268">
        <f>CEILING(48*$Z$1,0.1)</f>
        <v>60</v>
      </c>
      <c r="L681" s="1270"/>
      <c r="M681" s="149"/>
      <c r="N681" s="851"/>
      <c r="O681" s="335"/>
      <c r="P681" s="335"/>
      <c r="Q681" s="335"/>
      <c r="R681" s="335"/>
      <c r="S681" s="335"/>
      <c r="T681" s="335"/>
      <c r="U681" s="335"/>
      <c r="V681" s="335"/>
      <c r="W681" s="335"/>
      <c r="X681" s="335"/>
      <c r="Y681" s="335"/>
      <c r="Z681" s="335"/>
      <c r="AA681" s="335"/>
      <c r="AB681" s="335"/>
      <c r="AC681" s="335"/>
      <c r="AD681" s="335"/>
      <c r="AE681" s="335"/>
      <c r="AF681" s="335"/>
      <c r="AG681" s="335"/>
      <c r="AH681" s="335"/>
      <c r="AI681" s="335"/>
      <c r="AJ681" s="335"/>
      <c r="AK681" s="335"/>
      <c r="AL681" s="335"/>
      <c r="AM681" s="335"/>
      <c r="AN681" s="335"/>
      <c r="AO681" s="335"/>
      <c r="AP681" s="335"/>
      <c r="AQ681" s="335"/>
      <c r="AR681" s="335"/>
      <c r="AS681" s="335"/>
      <c r="AT681" s="335"/>
      <c r="AU681" s="335"/>
      <c r="AV681" s="335"/>
      <c r="AW681" s="335"/>
      <c r="AX681" s="335"/>
      <c r="AY681" s="335"/>
      <c r="AZ681" s="335"/>
      <c r="BA681" s="335"/>
      <c r="BB681" s="335"/>
      <c r="BC681" s="335"/>
      <c r="BD681" s="335"/>
      <c r="BE681" s="335"/>
      <c r="BF681" s="335"/>
      <c r="BG681" s="335"/>
      <c r="BH681" s="335"/>
      <c r="BI681" s="335"/>
      <c r="BJ681" s="335"/>
      <c r="BK681" s="335"/>
    </row>
    <row r="682" spans="1:63" s="404" customFormat="1" ht="15.75" customHeight="1">
      <c r="A682" s="28"/>
      <c r="B682" s="12" t="s">
        <v>84</v>
      </c>
      <c r="C682" s="1323">
        <v>0</v>
      </c>
      <c r="D682" s="1324"/>
      <c r="E682" s="1323">
        <v>0</v>
      </c>
      <c r="F682" s="1324"/>
      <c r="G682" s="1323">
        <v>0</v>
      </c>
      <c r="H682" s="1324"/>
      <c r="I682" s="1323">
        <v>0</v>
      </c>
      <c r="J682" s="1324"/>
      <c r="K682" s="1323">
        <v>0</v>
      </c>
      <c r="L682" s="1324"/>
      <c r="M682" s="149"/>
      <c r="N682" s="851"/>
      <c r="O682" s="335"/>
      <c r="P682" s="335"/>
      <c r="Q682" s="335"/>
      <c r="R682" s="335"/>
      <c r="S682" s="335"/>
      <c r="T682" s="335"/>
      <c r="U682" s="335"/>
      <c r="V682" s="335"/>
      <c r="W682" s="335"/>
      <c r="X682" s="335"/>
      <c r="Y682" s="335"/>
      <c r="Z682" s="335"/>
      <c r="AA682" s="335"/>
      <c r="AB682" s="335"/>
      <c r="AC682" s="335"/>
      <c r="AD682" s="335"/>
      <c r="AE682" s="335"/>
      <c r="AF682" s="335"/>
      <c r="AG682" s="335"/>
      <c r="AH682" s="335"/>
      <c r="AI682" s="335"/>
      <c r="AJ682" s="335"/>
      <c r="AK682" s="335"/>
      <c r="AL682" s="335"/>
      <c r="AM682" s="335"/>
      <c r="AN682" s="335"/>
      <c r="AO682" s="335"/>
      <c r="AP682" s="335"/>
      <c r="AQ682" s="335"/>
      <c r="AR682" s="335"/>
      <c r="AS682" s="335"/>
      <c r="AT682" s="335"/>
      <c r="AU682" s="335"/>
      <c r="AV682" s="335"/>
      <c r="AW682" s="335"/>
      <c r="AX682" s="335"/>
      <c r="AY682" s="335"/>
      <c r="AZ682" s="335"/>
      <c r="BA682" s="335"/>
      <c r="BB682" s="335"/>
      <c r="BC682" s="335"/>
      <c r="BD682" s="335"/>
      <c r="BE682" s="335"/>
      <c r="BF682" s="335"/>
      <c r="BG682" s="335"/>
      <c r="BH682" s="335"/>
      <c r="BI682" s="335"/>
      <c r="BJ682" s="335"/>
      <c r="BK682" s="335"/>
    </row>
    <row r="683" spans="1:63" ht="15.75" thickBot="1">
      <c r="A683" s="80" t="s">
        <v>406</v>
      </c>
      <c r="B683" s="13" t="s">
        <v>987</v>
      </c>
      <c r="C683" s="1275">
        <f>CEILING((C679*0.5),0.1)</f>
        <v>35</v>
      </c>
      <c r="D683" s="1277"/>
      <c r="E683" s="1275">
        <f>CEILING((E679*0.5),0.1)</f>
        <v>37.5</v>
      </c>
      <c r="F683" s="1277"/>
      <c r="G683" s="1275">
        <f>CEILING((G679*0.5),0.1)</f>
        <v>37.5</v>
      </c>
      <c r="H683" s="1277"/>
      <c r="I683" s="1275">
        <f>CEILING((I679*0.5),0.1)</f>
        <v>37.5</v>
      </c>
      <c r="J683" s="1277"/>
      <c r="K683" s="1275">
        <f>CEILING((K679*0.5),0.1)</f>
        <v>35</v>
      </c>
      <c r="L683" s="1277"/>
      <c r="M683" s="149"/>
      <c r="N683" s="851"/>
      <c r="O683" s="335"/>
      <c r="P683" s="335"/>
      <c r="Q683" s="335"/>
      <c r="R683" s="335"/>
      <c r="S683" s="335"/>
      <c r="T683" s="335"/>
      <c r="U683" s="335"/>
      <c r="V683" s="335"/>
      <c r="W683" s="335"/>
      <c r="X683" s="335"/>
      <c r="Y683" s="335"/>
      <c r="Z683" s="335"/>
      <c r="AA683" s="335"/>
      <c r="AB683" s="335"/>
      <c r="AC683" s="335"/>
      <c r="AD683" s="335"/>
      <c r="AE683" s="335"/>
      <c r="AF683" s="335"/>
      <c r="AG683" s="335"/>
      <c r="AH683" s="335"/>
      <c r="AI683" s="335"/>
      <c r="AJ683" s="335"/>
      <c r="AK683" s="335"/>
      <c r="AL683" s="335"/>
      <c r="AM683" s="335"/>
      <c r="AN683" s="335"/>
      <c r="AO683" s="335"/>
      <c r="AP683" s="335"/>
      <c r="AQ683" s="335"/>
      <c r="AR683" s="335"/>
      <c r="AS683" s="335"/>
      <c r="AT683" s="335"/>
      <c r="AU683" s="335"/>
      <c r="AV683" s="335"/>
      <c r="AW683" s="335"/>
      <c r="AX683" s="335"/>
      <c r="AY683" s="335"/>
      <c r="AZ683" s="335"/>
      <c r="BA683" s="335"/>
      <c r="BB683" s="335"/>
      <c r="BC683" s="335"/>
      <c r="BD683" s="335"/>
      <c r="BE683" s="335"/>
      <c r="BF683" s="335"/>
      <c r="BG683" s="335"/>
      <c r="BH683" s="335"/>
      <c r="BI683" s="335"/>
      <c r="BJ683" s="335"/>
      <c r="BK683" s="335"/>
    </row>
    <row r="684" spans="1:63" ht="15.75" thickTop="1">
      <c r="A684" s="514" t="s">
        <v>981</v>
      </c>
      <c r="B684" s="50"/>
      <c r="C684" s="372"/>
      <c r="D684" s="372"/>
      <c r="E684" s="372"/>
      <c r="F684" s="372"/>
      <c r="G684" s="372"/>
      <c r="H684" s="372"/>
      <c r="I684" s="372"/>
      <c r="J684" s="372"/>
      <c r="K684" s="315"/>
      <c r="L684" s="315"/>
      <c r="M684" s="16"/>
      <c r="N684" s="389"/>
      <c r="O684" s="335"/>
      <c r="P684" s="335"/>
      <c r="Q684" s="335"/>
      <c r="R684" s="335"/>
      <c r="S684" s="335"/>
      <c r="T684" s="335"/>
      <c r="U684" s="335"/>
      <c r="V684" s="335"/>
      <c r="W684" s="335"/>
      <c r="X684" s="335"/>
      <c r="Y684" s="335"/>
      <c r="Z684" s="335"/>
      <c r="AA684" s="335"/>
      <c r="AB684" s="335"/>
      <c r="AC684" s="335"/>
      <c r="AD684" s="335"/>
      <c r="AE684" s="335"/>
      <c r="AF684" s="335"/>
      <c r="AG684" s="335"/>
      <c r="AH684" s="335"/>
      <c r="AI684" s="335"/>
      <c r="AJ684" s="335"/>
      <c r="AK684" s="335"/>
      <c r="AL684" s="335"/>
      <c r="AM684" s="335"/>
      <c r="AN684" s="335"/>
      <c r="AO684" s="335"/>
      <c r="AP684" s="335"/>
      <c r="AQ684" s="335"/>
      <c r="AR684" s="335"/>
      <c r="AS684" s="335"/>
      <c r="AT684" s="335"/>
      <c r="AU684" s="335"/>
      <c r="AV684" s="335"/>
      <c r="AW684" s="335"/>
      <c r="AX684" s="335"/>
      <c r="AY684" s="335"/>
      <c r="AZ684" s="335"/>
      <c r="BA684" s="335"/>
      <c r="BB684" s="335"/>
      <c r="BC684" s="335"/>
      <c r="BD684" s="335"/>
      <c r="BE684" s="335"/>
      <c r="BF684" s="335"/>
      <c r="BG684" s="335"/>
      <c r="BH684" s="335"/>
      <c r="BI684" s="335"/>
      <c r="BJ684" s="335"/>
      <c r="BK684" s="335"/>
    </row>
    <row r="685" spans="1:45" s="1112" customFormat="1" ht="15">
      <c r="A685" s="1012"/>
      <c r="B685" s="1012"/>
      <c r="C685" s="1012"/>
      <c r="D685" s="1012"/>
      <c r="E685" s="1012"/>
      <c r="F685" s="1012"/>
      <c r="G685" s="1012"/>
      <c r="H685" s="1012"/>
      <c r="I685" s="1012"/>
      <c r="J685" s="1012"/>
      <c r="K685" s="1111"/>
      <c r="L685" s="1111"/>
      <c r="M685" s="335"/>
      <c r="N685" s="335"/>
      <c r="O685" s="335"/>
      <c r="P685" s="335"/>
      <c r="Q685" s="335"/>
      <c r="R685" s="335"/>
      <c r="S685" s="335"/>
      <c r="T685" s="335"/>
      <c r="U685" s="335"/>
      <c r="V685" s="335"/>
      <c r="W685" s="335"/>
      <c r="X685" s="335"/>
      <c r="Y685" s="335"/>
      <c r="Z685" s="335"/>
      <c r="AA685" s="335"/>
      <c r="AB685" s="335"/>
      <c r="AC685" s="335"/>
      <c r="AD685" s="335"/>
      <c r="AE685" s="335"/>
      <c r="AF685" s="335"/>
      <c r="AG685" s="335"/>
      <c r="AH685" s="335"/>
      <c r="AI685" s="335"/>
      <c r="AJ685" s="335"/>
      <c r="AK685" s="335"/>
      <c r="AL685" s="335"/>
      <c r="AM685" s="335"/>
      <c r="AN685" s="335"/>
      <c r="AO685" s="335"/>
      <c r="AP685" s="335"/>
      <c r="AQ685" s="335"/>
      <c r="AR685" s="335"/>
      <c r="AS685" s="335"/>
    </row>
    <row r="686" spans="1:63" s="479" customFormat="1" ht="15.75" thickBot="1">
      <c r="A686" s="397"/>
      <c r="B686" s="52"/>
      <c r="C686" s="508"/>
      <c r="D686" s="508"/>
      <c r="E686" s="508"/>
      <c r="F686" s="508"/>
      <c r="G686" s="508"/>
      <c r="H686" s="508"/>
      <c r="I686" s="508"/>
      <c r="J686" s="508"/>
      <c r="K686" s="315"/>
      <c r="L686" s="315"/>
      <c r="M686" s="16"/>
      <c r="N686" s="389"/>
      <c r="O686" s="335"/>
      <c r="P686" s="335"/>
      <c r="Q686" s="335"/>
      <c r="R686" s="335"/>
      <c r="S686" s="335"/>
      <c r="T686" s="335"/>
      <c r="U686" s="335"/>
      <c r="V686" s="335"/>
      <c r="W686" s="335"/>
      <c r="X686" s="335"/>
      <c r="Y686" s="335"/>
      <c r="Z686" s="335"/>
      <c r="AA686" s="335"/>
      <c r="AB686" s="335"/>
      <c r="AC686" s="335"/>
      <c r="AD686" s="335"/>
      <c r="AE686" s="335"/>
      <c r="AF686" s="335"/>
      <c r="AG686" s="335"/>
      <c r="AH686" s="335"/>
      <c r="AI686" s="335"/>
      <c r="AJ686" s="335"/>
      <c r="AK686" s="335"/>
      <c r="AL686" s="335"/>
      <c r="AM686" s="335"/>
      <c r="AN686" s="335"/>
      <c r="AO686" s="335"/>
      <c r="AP686" s="335"/>
      <c r="AQ686" s="335"/>
      <c r="AR686" s="335"/>
      <c r="AS686" s="335"/>
      <c r="AT686" s="335"/>
      <c r="AU686" s="335"/>
      <c r="AV686" s="335"/>
      <c r="AW686" s="335"/>
      <c r="AX686" s="335"/>
      <c r="AY686" s="335"/>
      <c r="AZ686" s="335"/>
      <c r="BA686" s="335"/>
      <c r="BB686" s="335"/>
      <c r="BC686" s="335"/>
      <c r="BD686" s="335"/>
      <c r="BE686" s="335"/>
      <c r="BF686" s="335"/>
      <c r="BG686" s="335"/>
      <c r="BH686" s="335"/>
      <c r="BI686" s="335"/>
      <c r="BJ686" s="335"/>
      <c r="BK686" s="335"/>
    </row>
    <row r="687" spans="1:63" s="479" customFormat="1" ht="30.75" customHeight="1" thickTop="1">
      <c r="A687" s="746" t="s">
        <v>43</v>
      </c>
      <c r="B687" s="819" t="s">
        <v>977</v>
      </c>
      <c r="C687" s="798" t="s">
        <v>884</v>
      </c>
      <c r="D687" s="799"/>
      <c r="E687" s="789" t="s">
        <v>911</v>
      </c>
      <c r="F687" s="790"/>
      <c r="G687" s="816" t="s">
        <v>912</v>
      </c>
      <c r="H687" s="790"/>
      <c r="I687" s="1280" t="s">
        <v>881</v>
      </c>
      <c r="J687" s="1281"/>
      <c r="K687" s="1335" t="s">
        <v>882</v>
      </c>
      <c r="L687" s="1336"/>
      <c r="M687" s="481"/>
      <c r="N687" s="335"/>
      <c r="O687" s="335"/>
      <c r="P687" s="335"/>
      <c r="Q687" s="335"/>
      <c r="R687" s="335"/>
      <c r="S687" s="335"/>
      <c r="T687" s="335"/>
      <c r="U687" s="335"/>
      <c r="V687" s="335"/>
      <c r="W687" s="335"/>
      <c r="X687" s="335"/>
      <c r="Y687" s="335"/>
      <c r="Z687" s="335"/>
      <c r="AA687" s="335"/>
      <c r="AB687" s="335"/>
      <c r="AC687" s="335"/>
      <c r="AD687" s="335"/>
      <c r="AE687" s="335"/>
      <c r="AF687" s="335"/>
      <c r="AG687" s="335"/>
      <c r="AH687" s="335"/>
      <c r="AI687" s="335"/>
      <c r="AJ687" s="335"/>
      <c r="AK687" s="335"/>
      <c r="AL687" s="335"/>
      <c r="AM687" s="335"/>
      <c r="AN687" s="335"/>
      <c r="AO687" s="335"/>
      <c r="AP687" s="335"/>
      <c r="AQ687" s="335"/>
      <c r="AR687" s="335"/>
      <c r="AS687" s="335"/>
      <c r="AT687" s="335"/>
      <c r="AU687" s="335"/>
      <c r="AV687" s="335"/>
      <c r="AW687" s="335"/>
      <c r="AX687" s="335"/>
      <c r="AY687" s="335"/>
      <c r="AZ687" s="335"/>
      <c r="BA687" s="335"/>
      <c r="BB687" s="335"/>
      <c r="BC687" s="335"/>
      <c r="BD687" s="335"/>
      <c r="BE687" s="335"/>
      <c r="BF687" s="335"/>
      <c r="BG687" s="335"/>
      <c r="BH687" s="335"/>
      <c r="BI687" s="335"/>
      <c r="BJ687" s="335"/>
      <c r="BK687" s="335"/>
    </row>
    <row r="688" spans="1:63" s="479" customFormat="1" ht="15">
      <c r="A688" s="175" t="s">
        <v>982</v>
      </c>
      <c r="B688" s="127" t="s">
        <v>93</v>
      </c>
      <c r="C688" s="1266">
        <f>CEILING(33*$Z$1,0.1)</f>
        <v>41.300000000000004</v>
      </c>
      <c r="D688" s="1267"/>
      <c r="E688" s="1266">
        <f>CEILING(38*$Z$1,0.1)</f>
        <v>47.5</v>
      </c>
      <c r="F688" s="1326"/>
      <c r="G688" s="1266">
        <f>CEILING(38*$Z$1,0.1)</f>
        <v>47.5</v>
      </c>
      <c r="H688" s="1326"/>
      <c r="I688" s="1266">
        <f>CEILING(38*$Z$1,0.1)</f>
        <v>47.5</v>
      </c>
      <c r="J688" s="1326"/>
      <c r="K688" s="1266">
        <f>CEILING(38*$Z$1,0.1)</f>
        <v>47.5</v>
      </c>
      <c r="L688" s="1267"/>
      <c r="M688" s="149"/>
      <c r="N688" s="851"/>
      <c r="O688" s="335"/>
      <c r="P688" s="335"/>
      <c r="Q688" s="335"/>
      <c r="R688" s="335"/>
      <c r="S688" s="335"/>
      <c r="T688" s="335"/>
      <c r="U688" s="335"/>
      <c r="V688" s="335"/>
      <c r="W688" s="335"/>
      <c r="X688" s="335"/>
      <c r="Y688" s="335"/>
      <c r="Z688" s="335"/>
      <c r="AA688" s="335"/>
      <c r="AB688" s="335"/>
      <c r="AC688" s="335"/>
      <c r="AD688" s="335"/>
      <c r="AE688" s="335"/>
      <c r="AF688" s="335"/>
      <c r="AG688" s="335"/>
      <c r="AH688" s="335"/>
      <c r="AI688" s="335"/>
      <c r="AJ688" s="335"/>
      <c r="AK688" s="335"/>
      <c r="AL688" s="335"/>
      <c r="AM688" s="335"/>
      <c r="AN688" s="335"/>
      <c r="AO688" s="335"/>
      <c r="AP688" s="335"/>
      <c r="AQ688" s="335"/>
      <c r="AR688" s="335"/>
      <c r="AS688" s="335"/>
      <c r="AT688" s="335"/>
      <c r="AU688" s="335"/>
      <c r="AV688" s="335"/>
      <c r="AW688" s="335"/>
      <c r="AX688" s="335"/>
      <c r="AY688" s="335"/>
      <c r="AZ688" s="335"/>
      <c r="BA688" s="335"/>
      <c r="BB688" s="335"/>
      <c r="BC688" s="335"/>
      <c r="BD688" s="335"/>
      <c r="BE688" s="335"/>
      <c r="BF688" s="335"/>
      <c r="BG688" s="335"/>
      <c r="BH688" s="335"/>
      <c r="BI688" s="335"/>
      <c r="BJ688" s="335"/>
      <c r="BK688" s="335"/>
    </row>
    <row r="689" spans="1:63" s="479" customFormat="1" ht="15.75" customHeight="1">
      <c r="A689" s="281"/>
      <c r="B689" s="29" t="s">
        <v>12</v>
      </c>
      <c r="C689" s="1268">
        <f>CEILING(41*$Z$1,0.1)</f>
        <v>51.300000000000004</v>
      </c>
      <c r="D689" s="1270"/>
      <c r="E689" s="1268">
        <f>CEILING(47*$Z$1,0.1)</f>
        <v>58.800000000000004</v>
      </c>
      <c r="F689" s="1269"/>
      <c r="G689" s="1268">
        <f>CEILING(47*$Z$1,0.1)</f>
        <v>58.800000000000004</v>
      </c>
      <c r="H689" s="1269"/>
      <c r="I689" s="1268">
        <f>CEILING(47*$Z$1,0.1)</f>
        <v>58.800000000000004</v>
      </c>
      <c r="J689" s="1269"/>
      <c r="K689" s="1268">
        <f>CEILING(47*$Z$1,0.1)</f>
        <v>58.800000000000004</v>
      </c>
      <c r="L689" s="1270"/>
      <c r="M689" s="149"/>
      <c r="N689" s="851"/>
      <c r="O689" s="335"/>
      <c r="P689" s="335"/>
      <c r="Q689" s="335"/>
      <c r="R689" s="335"/>
      <c r="S689" s="335"/>
      <c r="T689" s="335"/>
      <c r="U689" s="335"/>
      <c r="V689" s="335"/>
      <c r="W689" s="335"/>
      <c r="X689" s="335"/>
      <c r="Y689" s="335"/>
      <c r="Z689" s="335"/>
      <c r="AA689" s="335"/>
      <c r="AB689" s="335"/>
      <c r="AC689" s="335"/>
      <c r="AD689" s="335"/>
      <c r="AE689" s="335"/>
      <c r="AF689" s="335"/>
      <c r="AG689" s="335"/>
      <c r="AH689" s="335"/>
      <c r="AI689" s="335"/>
      <c r="AJ689" s="335"/>
      <c r="AK689" s="335"/>
      <c r="AL689" s="335"/>
      <c r="AM689" s="335"/>
      <c r="AN689" s="335"/>
      <c r="AO689" s="335"/>
      <c r="AP689" s="335"/>
      <c r="AQ689" s="335"/>
      <c r="AR689" s="335"/>
      <c r="AS689" s="335"/>
      <c r="AT689" s="335"/>
      <c r="AU689" s="335"/>
      <c r="AV689" s="335"/>
      <c r="AW689" s="335"/>
      <c r="AX689" s="335"/>
      <c r="AY689" s="335"/>
      <c r="AZ689" s="335"/>
      <c r="BA689" s="335"/>
      <c r="BB689" s="335"/>
      <c r="BC689" s="335"/>
      <c r="BD689" s="335"/>
      <c r="BE689" s="335"/>
      <c r="BF689" s="335"/>
      <c r="BG689" s="335"/>
      <c r="BH689" s="335"/>
      <c r="BI689" s="335"/>
      <c r="BJ689" s="335"/>
      <c r="BK689" s="335"/>
    </row>
    <row r="690" spans="1:63" s="479" customFormat="1" ht="15.75" customHeight="1">
      <c r="A690" s="28"/>
      <c r="B690" s="12" t="s">
        <v>84</v>
      </c>
      <c r="C690" s="1323">
        <v>0</v>
      </c>
      <c r="D690" s="1324"/>
      <c r="E690" s="1323">
        <v>0</v>
      </c>
      <c r="F690" s="1324"/>
      <c r="G690" s="1323">
        <v>0</v>
      </c>
      <c r="H690" s="1324"/>
      <c r="I690" s="1323">
        <v>0</v>
      </c>
      <c r="J690" s="1324"/>
      <c r="K690" s="1323">
        <v>0</v>
      </c>
      <c r="L690" s="1324"/>
      <c r="M690" s="149"/>
      <c r="N690" s="851"/>
      <c r="O690" s="335"/>
      <c r="P690" s="335"/>
      <c r="Q690" s="335"/>
      <c r="R690" s="335"/>
      <c r="S690" s="335"/>
      <c r="T690" s="335"/>
      <c r="U690" s="335"/>
      <c r="V690" s="335"/>
      <c r="W690" s="335"/>
      <c r="X690" s="335"/>
      <c r="Y690" s="335"/>
      <c r="Z690" s="335"/>
      <c r="AA690" s="335"/>
      <c r="AB690" s="335"/>
      <c r="AC690" s="335"/>
      <c r="AD690" s="335"/>
      <c r="AE690" s="335"/>
      <c r="AF690" s="335"/>
      <c r="AG690" s="335"/>
      <c r="AH690" s="335"/>
      <c r="AI690" s="335"/>
      <c r="AJ690" s="335"/>
      <c r="AK690" s="335"/>
      <c r="AL690" s="335"/>
      <c r="AM690" s="335"/>
      <c r="AN690" s="335"/>
      <c r="AO690" s="335"/>
      <c r="AP690" s="335"/>
      <c r="AQ690" s="335"/>
      <c r="AR690" s="335"/>
      <c r="AS690" s="335"/>
      <c r="AT690" s="335"/>
      <c r="AU690" s="335"/>
      <c r="AV690" s="335"/>
      <c r="AW690" s="335"/>
      <c r="AX690" s="335"/>
      <c r="AY690" s="335"/>
      <c r="AZ690" s="335"/>
      <c r="BA690" s="335"/>
      <c r="BB690" s="335"/>
      <c r="BC690" s="335"/>
      <c r="BD690" s="335"/>
      <c r="BE690" s="335"/>
      <c r="BF690" s="335"/>
      <c r="BG690" s="335"/>
      <c r="BH690" s="335"/>
      <c r="BI690" s="335"/>
      <c r="BJ690" s="335"/>
      <c r="BK690" s="335"/>
    </row>
    <row r="691" spans="1:63" s="479" customFormat="1" ht="15.75" customHeight="1" thickBot="1">
      <c r="A691" s="850" t="s">
        <v>834</v>
      </c>
      <c r="B691" s="418" t="s">
        <v>85</v>
      </c>
      <c r="C691" s="1284">
        <f>CEILING((C688*0.5),0.1)</f>
        <v>20.700000000000003</v>
      </c>
      <c r="D691" s="1285"/>
      <c r="E691" s="1284">
        <f>CEILING((E688*0.5),0.1)</f>
        <v>23.8</v>
      </c>
      <c r="F691" s="1285"/>
      <c r="G691" s="1284">
        <f>CEILING((G688*0.5),0.1)</f>
        <v>23.8</v>
      </c>
      <c r="H691" s="1285"/>
      <c r="I691" s="1284">
        <f>CEILING((I688*0.5),0.1)</f>
        <v>23.8</v>
      </c>
      <c r="J691" s="1285"/>
      <c r="K691" s="1284">
        <f>CEILING((K688*0.5),0.1)</f>
        <v>23.8</v>
      </c>
      <c r="L691" s="1285"/>
      <c r="M691" s="149"/>
      <c r="N691" s="851"/>
      <c r="O691" s="335"/>
      <c r="P691" s="335"/>
      <c r="Q691" s="335"/>
      <c r="R691" s="335"/>
      <c r="S691" s="335"/>
      <c r="T691" s="335"/>
      <c r="U691" s="335"/>
      <c r="V691" s="335"/>
      <c r="W691" s="335"/>
      <c r="X691" s="335"/>
      <c r="Y691" s="335"/>
      <c r="Z691" s="335"/>
      <c r="AA691" s="335"/>
      <c r="AB691" s="335"/>
      <c r="AC691" s="335"/>
      <c r="AD691" s="335"/>
      <c r="AE691" s="335"/>
      <c r="AF691" s="335"/>
      <c r="AG691" s="335"/>
      <c r="AH691" s="335"/>
      <c r="AI691" s="335"/>
      <c r="AJ691" s="335"/>
      <c r="AK691" s="335"/>
      <c r="AL691" s="335"/>
      <c r="AM691" s="335"/>
      <c r="AN691" s="335"/>
      <c r="AO691" s="335"/>
      <c r="AP691" s="335"/>
      <c r="AQ691" s="335"/>
      <c r="AR691" s="335"/>
      <c r="AS691" s="335"/>
      <c r="AT691" s="335"/>
      <c r="AU691" s="335"/>
      <c r="AV691" s="335"/>
      <c r="AW691" s="335"/>
      <c r="AX691" s="335"/>
      <c r="AY691" s="335"/>
      <c r="AZ691" s="335"/>
      <c r="BA691" s="335"/>
      <c r="BB691" s="335"/>
      <c r="BC691" s="335"/>
      <c r="BD691" s="335"/>
      <c r="BE691" s="335"/>
      <c r="BF691" s="335"/>
      <c r="BG691" s="335"/>
      <c r="BH691" s="335"/>
      <c r="BI691" s="335"/>
      <c r="BJ691" s="335"/>
      <c r="BK691" s="335"/>
    </row>
    <row r="692" spans="1:63" s="479" customFormat="1" ht="15.75" thickTop="1">
      <c r="A692" s="514" t="s">
        <v>981</v>
      </c>
      <c r="B692" s="50"/>
      <c r="C692" s="802"/>
      <c r="D692" s="802"/>
      <c r="E692" s="802"/>
      <c r="F692" s="802"/>
      <c r="G692" s="802"/>
      <c r="H692" s="802"/>
      <c r="I692" s="802"/>
      <c r="J692" s="802"/>
      <c r="K692" s="315"/>
      <c r="L692" s="315"/>
      <c r="M692" s="16"/>
      <c r="N692" s="389"/>
      <c r="O692" s="335"/>
      <c r="P692" s="335"/>
      <c r="Q692" s="335"/>
      <c r="R692" s="335"/>
      <c r="S692" s="335"/>
      <c r="T692" s="335"/>
      <c r="U692" s="335"/>
      <c r="V692" s="335"/>
      <c r="W692" s="335"/>
      <c r="X692" s="335"/>
      <c r="Y692" s="335"/>
      <c r="Z692" s="335"/>
      <c r="AA692" s="335"/>
      <c r="AB692" s="335"/>
      <c r="AC692" s="335"/>
      <c r="AD692" s="335"/>
      <c r="AE692" s="335"/>
      <c r="AF692" s="335"/>
      <c r="AG692" s="335"/>
      <c r="AH692" s="335"/>
      <c r="AI692" s="335"/>
      <c r="AJ692" s="335"/>
      <c r="AK692" s="335"/>
      <c r="AL692" s="335"/>
      <c r="AM692" s="335"/>
      <c r="AN692" s="335"/>
      <c r="AO692" s="335"/>
      <c r="AP692" s="335"/>
      <c r="AQ692" s="335"/>
      <c r="AR692" s="335"/>
      <c r="AS692" s="335"/>
      <c r="AT692" s="335"/>
      <c r="AU692" s="335"/>
      <c r="AV692" s="335"/>
      <c r="AW692" s="335"/>
      <c r="AX692" s="335"/>
      <c r="AY692" s="335"/>
      <c r="AZ692" s="335"/>
      <c r="BA692" s="335"/>
      <c r="BB692" s="335"/>
      <c r="BC692" s="335"/>
      <c r="BD692" s="335"/>
      <c r="BE692" s="335"/>
      <c r="BF692" s="335"/>
      <c r="BG692" s="335"/>
      <c r="BH692" s="335"/>
      <c r="BI692" s="335"/>
      <c r="BJ692" s="335"/>
      <c r="BK692" s="335"/>
    </row>
    <row r="693" spans="1:45" s="1112" customFormat="1" ht="15">
      <c r="A693" s="1012"/>
      <c r="B693" s="1012"/>
      <c r="C693" s="1012"/>
      <c r="D693" s="1012"/>
      <c r="E693" s="1012"/>
      <c r="F693" s="1012"/>
      <c r="G693" s="1012"/>
      <c r="H693" s="1012"/>
      <c r="I693" s="1012"/>
      <c r="J693" s="1012"/>
      <c r="K693" s="1111"/>
      <c r="L693" s="1111"/>
      <c r="M693" s="335"/>
      <c r="N693" s="335"/>
      <c r="O693" s="335"/>
      <c r="P693" s="335"/>
      <c r="Q693" s="335"/>
      <c r="R693" s="335"/>
      <c r="S693" s="335"/>
      <c r="T693" s="335"/>
      <c r="U693" s="335"/>
      <c r="V693" s="335"/>
      <c r="W693" s="335"/>
      <c r="X693" s="335"/>
      <c r="Y693" s="335"/>
      <c r="Z693" s="335"/>
      <c r="AA693" s="335"/>
      <c r="AB693" s="335"/>
      <c r="AC693" s="335"/>
      <c r="AD693" s="335"/>
      <c r="AE693" s="335"/>
      <c r="AF693" s="335"/>
      <c r="AG693" s="335"/>
      <c r="AH693" s="335"/>
      <c r="AI693" s="335"/>
      <c r="AJ693" s="335"/>
      <c r="AK693" s="335"/>
      <c r="AL693" s="335"/>
      <c r="AM693" s="335"/>
      <c r="AN693" s="335"/>
      <c r="AO693" s="335"/>
      <c r="AP693" s="335"/>
      <c r="AQ693" s="335"/>
      <c r="AR693" s="335"/>
      <c r="AS693" s="335"/>
    </row>
    <row r="694" spans="1:63" s="479" customFormat="1" ht="15.75" thickBot="1">
      <c r="A694" s="397"/>
      <c r="B694" s="52"/>
      <c r="C694" s="510"/>
      <c r="D694" s="510"/>
      <c r="E694" s="510"/>
      <c r="F694" s="508"/>
      <c r="G694" s="508"/>
      <c r="H694" s="508"/>
      <c r="I694" s="508"/>
      <c r="J694" s="508"/>
      <c r="K694" s="315"/>
      <c r="L694" s="315"/>
      <c r="M694" s="16"/>
      <c r="N694" s="389"/>
      <c r="O694" s="335"/>
      <c r="P694" s="335"/>
      <c r="Q694" s="335"/>
      <c r="R694" s="335"/>
      <c r="S694" s="335"/>
      <c r="T694" s="335"/>
      <c r="U694" s="335"/>
      <c r="V694" s="335"/>
      <c r="W694" s="335"/>
      <c r="X694" s="335"/>
      <c r="Y694" s="335"/>
      <c r="Z694" s="335"/>
      <c r="AA694" s="335"/>
      <c r="AB694" s="335"/>
      <c r="AC694" s="335"/>
      <c r="AD694" s="335"/>
      <c r="AE694" s="335"/>
      <c r="AF694" s="335"/>
      <c r="AG694" s="335"/>
      <c r="AH694" s="335"/>
      <c r="AI694" s="335"/>
      <c r="AJ694" s="335"/>
      <c r="AK694" s="335"/>
      <c r="AL694" s="335"/>
      <c r="AM694" s="335"/>
      <c r="AN694" s="335"/>
      <c r="AO694" s="335"/>
      <c r="AP694" s="335"/>
      <c r="AQ694" s="335"/>
      <c r="AR694" s="335"/>
      <c r="AS694" s="335"/>
      <c r="AT694" s="335"/>
      <c r="AU694" s="335"/>
      <c r="AV694" s="335"/>
      <c r="AW694" s="335"/>
      <c r="AX694" s="335"/>
      <c r="AY694" s="335"/>
      <c r="AZ694" s="335"/>
      <c r="BA694" s="335"/>
      <c r="BB694" s="335"/>
      <c r="BC694" s="335"/>
      <c r="BD694" s="335"/>
      <c r="BE694" s="335"/>
      <c r="BF694" s="335"/>
      <c r="BG694" s="335"/>
      <c r="BH694" s="335"/>
      <c r="BI694" s="335"/>
      <c r="BJ694" s="335"/>
      <c r="BK694" s="335"/>
    </row>
    <row r="695" spans="1:63" s="192" customFormat="1" ht="30.75" customHeight="1" thickTop="1">
      <c r="A695" s="794" t="s">
        <v>43</v>
      </c>
      <c r="B695" s="819" t="s">
        <v>977</v>
      </c>
      <c r="C695" s="798" t="s">
        <v>884</v>
      </c>
      <c r="D695" s="799"/>
      <c r="E695" s="789" t="s">
        <v>911</v>
      </c>
      <c r="F695" s="790"/>
      <c r="G695" s="816" t="s">
        <v>912</v>
      </c>
      <c r="H695" s="790"/>
      <c r="I695" s="1280" t="s">
        <v>881</v>
      </c>
      <c r="J695" s="1281"/>
      <c r="K695" s="1335" t="s">
        <v>882</v>
      </c>
      <c r="L695" s="1336"/>
      <c r="M695" s="481"/>
      <c r="N695" s="335"/>
      <c r="O695" s="335"/>
      <c r="P695" s="335"/>
      <c r="Q695" s="335"/>
      <c r="R695" s="335"/>
      <c r="S695" s="335"/>
      <c r="T695" s="335"/>
      <c r="U695" s="335"/>
      <c r="V695" s="335"/>
      <c r="W695" s="335"/>
      <c r="X695" s="335"/>
      <c r="Y695" s="335"/>
      <c r="Z695" s="335"/>
      <c r="AA695" s="335"/>
      <c r="AB695" s="335"/>
      <c r="AC695" s="335"/>
      <c r="AD695" s="335"/>
      <c r="AE695" s="335"/>
      <c r="AF695" s="335"/>
      <c r="AG695" s="335"/>
      <c r="AH695" s="335"/>
      <c r="AI695" s="335"/>
      <c r="AJ695" s="335"/>
      <c r="AK695" s="335"/>
      <c r="AL695" s="335"/>
      <c r="AM695" s="335"/>
      <c r="AN695" s="335"/>
      <c r="AO695" s="335"/>
      <c r="AP695" s="335"/>
      <c r="AQ695" s="335"/>
      <c r="AR695" s="335"/>
      <c r="AS695" s="335"/>
      <c r="AT695" s="335"/>
      <c r="AU695" s="335"/>
      <c r="AV695" s="335"/>
      <c r="AW695" s="335"/>
      <c r="AX695" s="335"/>
      <c r="AY695" s="335"/>
      <c r="AZ695" s="335"/>
      <c r="BA695" s="335"/>
      <c r="BB695" s="335"/>
      <c r="BC695" s="335"/>
      <c r="BD695" s="335"/>
      <c r="BE695" s="335"/>
      <c r="BF695" s="335"/>
      <c r="BG695" s="335"/>
      <c r="BH695" s="335"/>
      <c r="BI695" s="335"/>
      <c r="BJ695" s="335"/>
      <c r="BK695" s="335"/>
    </row>
    <row r="696" spans="1:63" s="192" customFormat="1" ht="15">
      <c r="A696" s="175" t="s">
        <v>983</v>
      </c>
      <c r="B696" s="127" t="s">
        <v>375</v>
      </c>
      <c r="C696" s="1266">
        <f>CEILING(33*$Z$1,0.1)</f>
        <v>41.300000000000004</v>
      </c>
      <c r="D696" s="1267"/>
      <c r="E696" s="1266">
        <f>CEILING(36*$Z$1,0.1)</f>
        <v>45</v>
      </c>
      <c r="F696" s="1326"/>
      <c r="G696" s="1266">
        <f>CEILING(36*$Z$1,0.1)</f>
        <v>45</v>
      </c>
      <c r="H696" s="1326"/>
      <c r="I696" s="1266">
        <f>CEILING(36*$Z$1,0.1)</f>
        <v>45</v>
      </c>
      <c r="J696" s="1326"/>
      <c r="K696" s="1266">
        <f>CEILING(33*$Z$1,0.1)</f>
        <v>41.300000000000004</v>
      </c>
      <c r="L696" s="1267"/>
      <c r="M696" s="149"/>
      <c r="N696" s="851"/>
      <c r="O696" s="335"/>
      <c r="P696" s="335"/>
      <c r="Q696" s="335"/>
      <c r="R696" s="335"/>
      <c r="S696" s="335"/>
      <c r="T696" s="335"/>
      <c r="U696" s="335"/>
      <c r="V696" s="335"/>
      <c r="W696" s="335"/>
      <c r="X696" s="335"/>
      <c r="Y696" s="335"/>
      <c r="Z696" s="335"/>
      <c r="AA696" s="335"/>
      <c r="AB696" s="335"/>
      <c r="AC696" s="335"/>
      <c r="AD696" s="335"/>
      <c r="AE696" s="335"/>
      <c r="AF696" s="335"/>
      <c r="AG696" s="335"/>
      <c r="AH696" s="335"/>
      <c r="AI696" s="335"/>
      <c r="AJ696" s="335"/>
      <c r="AK696" s="335"/>
      <c r="AL696" s="335"/>
      <c r="AM696" s="335"/>
      <c r="AN696" s="335"/>
      <c r="AO696" s="335"/>
      <c r="AP696" s="335"/>
      <c r="AQ696" s="335"/>
      <c r="AR696" s="335"/>
      <c r="AS696" s="335"/>
      <c r="AT696" s="335"/>
      <c r="AU696" s="335"/>
      <c r="AV696" s="335"/>
      <c r="AW696" s="335"/>
      <c r="AX696" s="335"/>
      <c r="AY696" s="335"/>
      <c r="AZ696" s="335"/>
      <c r="BA696" s="335"/>
      <c r="BB696" s="335"/>
      <c r="BC696" s="335"/>
      <c r="BD696" s="335"/>
      <c r="BE696" s="335"/>
      <c r="BF696" s="335"/>
      <c r="BG696" s="335"/>
      <c r="BH696" s="335"/>
      <c r="BI696" s="335"/>
      <c r="BJ696" s="335"/>
      <c r="BK696" s="335"/>
    </row>
    <row r="697" spans="1:63" s="192" customFormat="1" ht="15.75" customHeight="1">
      <c r="A697" s="281"/>
      <c r="B697" s="29" t="s">
        <v>376</v>
      </c>
      <c r="C697" s="1268">
        <f>CEILING(40*$Z$1,0.1)</f>
        <v>50</v>
      </c>
      <c r="D697" s="1270"/>
      <c r="E697" s="1268">
        <f>CEILING(44*$Z$1,0.1)</f>
        <v>55</v>
      </c>
      <c r="F697" s="1269"/>
      <c r="G697" s="1268">
        <f>CEILING(44*$Z$1,0.1)</f>
        <v>55</v>
      </c>
      <c r="H697" s="1269"/>
      <c r="I697" s="1268">
        <f>CEILING(44*$Z$1,0.1)</f>
        <v>55</v>
      </c>
      <c r="J697" s="1269"/>
      <c r="K697" s="1268">
        <f>CEILING(40*$Z$1,0.1)</f>
        <v>50</v>
      </c>
      <c r="L697" s="1270"/>
      <c r="M697" s="149"/>
      <c r="N697" s="851"/>
      <c r="O697" s="335"/>
      <c r="P697" s="335"/>
      <c r="Q697" s="335"/>
      <c r="R697" s="335"/>
      <c r="S697" s="335"/>
      <c r="T697" s="335"/>
      <c r="U697" s="335"/>
      <c r="V697" s="335"/>
      <c r="W697" s="335"/>
      <c r="X697" s="335"/>
      <c r="Y697" s="335"/>
      <c r="Z697" s="335"/>
      <c r="AA697" s="335"/>
      <c r="AB697" s="335"/>
      <c r="AC697" s="335"/>
      <c r="AD697" s="335"/>
      <c r="AE697" s="335"/>
      <c r="AF697" s="335"/>
      <c r="AG697" s="335"/>
      <c r="AH697" s="335"/>
      <c r="AI697" s="335"/>
      <c r="AJ697" s="335"/>
      <c r="AK697" s="335"/>
      <c r="AL697" s="335"/>
      <c r="AM697" s="335"/>
      <c r="AN697" s="335"/>
      <c r="AO697" s="335"/>
      <c r="AP697" s="335"/>
      <c r="AQ697" s="335"/>
      <c r="AR697" s="335"/>
      <c r="AS697" s="335"/>
      <c r="AT697" s="335"/>
      <c r="AU697" s="335"/>
      <c r="AV697" s="335"/>
      <c r="AW697" s="335"/>
      <c r="AX697" s="335"/>
      <c r="AY697" s="335"/>
      <c r="AZ697" s="335"/>
      <c r="BA697" s="335"/>
      <c r="BB697" s="335"/>
      <c r="BC697" s="335"/>
      <c r="BD697" s="335"/>
      <c r="BE697" s="335"/>
      <c r="BF697" s="335"/>
      <c r="BG697" s="335"/>
      <c r="BH697" s="335"/>
      <c r="BI697" s="335"/>
      <c r="BJ697" s="335"/>
      <c r="BK697" s="335"/>
    </row>
    <row r="698" spans="1:63" s="192" customFormat="1" ht="15.75" customHeight="1">
      <c r="A698" s="28"/>
      <c r="B698" s="12" t="s">
        <v>84</v>
      </c>
      <c r="C698" s="1323">
        <v>0</v>
      </c>
      <c r="D698" s="1324"/>
      <c r="E698" s="1323">
        <v>0</v>
      </c>
      <c r="F698" s="1324"/>
      <c r="G698" s="1323">
        <v>0</v>
      </c>
      <c r="H698" s="1324"/>
      <c r="I698" s="1323">
        <v>0</v>
      </c>
      <c r="J698" s="1324"/>
      <c r="K698" s="1323">
        <v>0</v>
      </c>
      <c r="L698" s="1324"/>
      <c r="M698" s="149"/>
      <c r="N698" s="851"/>
      <c r="O698" s="335"/>
      <c r="P698" s="335"/>
      <c r="Q698" s="335"/>
      <c r="R698" s="335"/>
      <c r="S698" s="335"/>
      <c r="T698" s="335"/>
      <c r="U698" s="335"/>
      <c r="V698" s="335"/>
      <c r="W698" s="335"/>
      <c r="X698" s="335"/>
      <c r="Y698" s="335"/>
      <c r="Z698" s="335"/>
      <c r="AA698" s="335"/>
      <c r="AB698" s="335"/>
      <c r="AC698" s="335"/>
      <c r="AD698" s="335"/>
      <c r="AE698" s="335"/>
      <c r="AF698" s="335"/>
      <c r="AG698" s="335"/>
      <c r="AH698" s="335"/>
      <c r="AI698" s="335"/>
      <c r="AJ698" s="335"/>
      <c r="AK698" s="335"/>
      <c r="AL698" s="335"/>
      <c r="AM698" s="335"/>
      <c r="AN698" s="335"/>
      <c r="AO698" s="335"/>
      <c r="AP698" s="335"/>
      <c r="AQ698" s="335"/>
      <c r="AR698" s="335"/>
      <c r="AS698" s="335"/>
      <c r="AT698" s="335"/>
      <c r="AU698" s="335"/>
      <c r="AV698" s="335"/>
      <c r="AW698" s="335"/>
      <c r="AX698" s="335"/>
      <c r="AY698" s="335"/>
      <c r="AZ698" s="335"/>
      <c r="BA698" s="335"/>
      <c r="BB698" s="335"/>
      <c r="BC698" s="335"/>
      <c r="BD698" s="335"/>
      <c r="BE698" s="335"/>
      <c r="BF698" s="335"/>
      <c r="BG698" s="335"/>
      <c r="BH698" s="335"/>
      <c r="BI698" s="335"/>
      <c r="BJ698" s="335"/>
      <c r="BK698" s="335"/>
    </row>
    <row r="699" spans="1:63" s="192" customFormat="1" ht="15.75" customHeight="1">
      <c r="A699" s="28"/>
      <c r="B699" s="418" t="s">
        <v>987</v>
      </c>
      <c r="C699" s="1284">
        <f>CEILING((C696*0.5),0.1)</f>
        <v>20.700000000000003</v>
      </c>
      <c r="D699" s="1285"/>
      <c r="E699" s="1284">
        <f>CEILING((E696*0.5),0.1)</f>
        <v>22.5</v>
      </c>
      <c r="F699" s="1285"/>
      <c r="G699" s="1284">
        <f>CEILING((G696*0.5),0.1)</f>
        <v>22.5</v>
      </c>
      <c r="H699" s="1285"/>
      <c r="I699" s="1284">
        <f>CEILING((I696*0.5),0.1)</f>
        <v>22.5</v>
      </c>
      <c r="J699" s="1285"/>
      <c r="K699" s="1284">
        <f>CEILING((K696*0.5),0.1)</f>
        <v>20.700000000000003</v>
      </c>
      <c r="L699" s="1285"/>
      <c r="M699" s="149"/>
      <c r="N699" s="851"/>
      <c r="O699" s="335"/>
      <c r="P699" s="335"/>
      <c r="Q699" s="335"/>
      <c r="R699" s="335"/>
      <c r="S699" s="335"/>
      <c r="T699" s="335"/>
      <c r="U699" s="335"/>
      <c r="V699" s="335"/>
      <c r="W699" s="335"/>
      <c r="X699" s="335"/>
      <c r="Y699" s="335"/>
      <c r="Z699" s="335"/>
      <c r="AA699" s="335"/>
      <c r="AB699" s="335"/>
      <c r="AC699" s="335"/>
      <c r="AD699" s="335"/>
      <c r="AE699" s="335"/>
      <c r="AF699" s="335"/>
      <c r="AG699" s="335"/>
      <c r="AH699" s="335"/>
      <c r="AI699" s="335"/>
      <c r="AJ699" s="335"/>
      <c r="AK699" s="335"/>
      <c r="AL699" s="335"/>
      <c r="AM699" s="335"/>
      <c r="AN699" s="335"/>
      <c r="AO699" s="335"/>
      <c r="AP699" s="335"/>
      <c r="AQ699" s="335"/>
      <c r="AR699" s="335"/>
      <c r="AS699" s="335"/>
      <c r="AT699" s="335"/>
      <c r="AU699" s="335"/>
      <c r="AV699" s="335"/>
      <c r="AW699" s="335"/>
      <c r="AX699" s="335"/>
      <c r="AY699" s="335"/>
      <c r="AZ699" s="335"/>
      <c r="BA699" s="335"/>
      <c r="BB699" s="335"/>
      <c r="BC699" s="335"/>
      <c r="BD699" s="335"/>
      <c r="BE699" s="335"/>
      <c r="BF699" s="335"/>
      <c r="BG699" s="335"/>
      <c r="BH699" s="335"/>
      <c r="BI699" s="335"/>
      <c r="BJ699" s="335"/>
      <c r="BK699" s="335"/>
    </row>
    <row r="700" spans="1:63" s="192" customFormat="1" ht="15.75" customHeight="1">
      <c r="A700" s="28"/>
      <c r="B700" s="127" t="s">
        <v>984</v>
      </c>
      <c r="C700" s="1266">
        <f>CEILING(38*$Z$1,0.1)</f>
        <v>47.5</v>
      </c>
      <c r="D700" s="1267"/>
      <c r="E700" s="1266">
        <f>CEILING(41*$Z$1,0.1)</f>
        <v>51.300000000000004</v>
      </c>
      <c r="F700" s="1326"/>
      <c r="G700" s="1266">
        <f>CEILING(41*$Z$1,0.1)</f>
        <v>51.300000000000004</v>
      </c>
      <c r="H700" s="1326"/>
      <c r="I700" s="1266">
        <f>CEILING(41*$Z$1,0.1)</f>
        <v>51.300000000000004</v>
      </c>
      <c r="J700" s="1326"/>
      <c r="K700" s="1266">
        <f>CEILING(38*$Z$1,0.1)</f>
        <v>47.5</v>
      </c>
      <c r="L700" s="1267"/>
      <c r="M700" s="149"/>
      <c r="N700" s="851"/>
      <c r="O700" s="335"/>
      <c r="P700" s="335"/>
      <c r="Q700" s="335"/>
      <c r="R700" s="335"/>
      <c r="S700" s="335"/>
      <c r="T700" s="335"/>
      <c r="U700" s="335"/>
      <c r="V700" s="335"/>
      <c r="W700" s="335"/>
      <c r="X700" s="335"/>
      <c r="Y700" s="335"/>
      <c r="Z700" s="335"/>
      <c r="AA700" s="335"/>
      <c r="AB700" s="335"/>
      <c r="AC700" s="335"/>
      <c r="AD700" s="335"/>
      <c r="AE700" s="335"/>
      <c r="AF700" s="335"/>
      <c r="AG700" s="335"/>
      <c r="AH700" s="335"/>
      <c r="AI700" s="335"/>
      <c r="AJ700" s="335"/>
      <c r="AK700" s="335"/>
      <c r="AL700" s="335"/>
      <c r="AM700" s="335"/>
      <c r="AN700" s="335"/>
      <c r="AO700" s="335"/>
      <c r="AP700" s="335"/>
      <c r="AQ700" s="335"/>
      <c r="AR700" s="335"/>
      <c r="AS700" s="335"/>
      <c r="AT700" s="335"/>
      <c r="AU700" s="335"/>
      <c r="AV700" s="335"/>
      <c r="AW700" s="335"/>
      <c r="AX700" s="335"/>
      <c r="AY700" s="335"/>
      <c r="AZ700" s="335"/>
      <c r="BA700" s="335"/>
      <c r="BB700" s="335"/>
      <c r="BC700" s="335"/>
      <c r="BD700" s="335"/>
      <c r="BE700" s="335"/>
      <c r="BF700" s="335"/>
      <c r="BG700" s="335"/>
      <c r="BH700" s="335"/>
      <c r="BI700" s="335"/>
      <c r="BJ700" s="335"/>
      <c r="BK700" s="335"/>
    </row>
    <row r="701" spans="1:63" s="667" customFormat="1" ht="15.75" customHeight="1" thickBot="1">
      <c r="A701" s="850" t="s">
        <v>834</v>
      </c>
      <c r="B701" s="418" t="s">
        <v>985</v>
      </c>
      <c r="C701" s="1284">
        <f>CEILING(45*$Z$1,0.1)</f>
        <v>56.300000000000004</v>
      </c>
      <c r="D701" s="1285"/>
      <c r="E701" s="1284">
        <f>CEILING(49*$Z$1,0.1)</f>
        <v>61.300000000000004</v>
      </c>
      <c r="F701" s="1372"/>
      <c r="G701" s="1284">
        <f>CEILING(49*$Z$1,0.1)</f>
        <v>61.300000000000004</v>
      </c>
      <c r="H701" s="1372"/>
      <c r="I701" s="1284">
        <f>CEILING(49*$Z$1,0.1)</f>
        <v>61.300000000000004</v>
      </c>
      <c r="J701" s="1372"/>
      <c r="K701" s="1284">
        <f>CEILING(45*$Z$1,0.1)</f>
        <v>56.300000000000004</v>
      </c>
      <c r="L701" s="1285"/>
      <c r="M701" s="149"/>
      <c r="N701" s="851"/>
      <c r="O701" s="335"/>
      <c r="P701" s="335"/>
      <c r="Q701" s="335"/>
      <c r="R701" s="335"/>
      <c r="S701" s="335"/>
      <c r="T701" s="335"/>
      <c r="U701" s="335"/>
      <c r="V701" s="335"/>
      <c r="W701" s="335"/>
      <c r="X701" s="335"/>
      <c r="Y701" s="335"/>
      <c r="Z701" s="335"/>
      <c r="AA701" s="335"/>
      <c r="AB701" s="335"/>
      <c r="AC701" s="335"/>
      <c r="AD701" s="335"/>
      <c r="AE701" s="335"/>
      <c r="AF701" s="335"/>
      <c r="AG701" s="335"/>
      <c r="AH701" s="335"/>
      <c r="AI701" s="335"/>
      <c r="AJ701" s="335"/>
      <c r="AK701" s="335"/>
      <c r="AL701" s="335"/>
      <c r="AM701" s="335"/>
      <c r="AN701" s="335"/>
      <c r="AO701" s="335"/>
      <c r="AP701" s="335"/>
      <c r="AQ701" s="335"/>
      <c r="AR701" s="335"/>
      <c r="AS701" s="335"/>
      <c r="AT701" s="335"/>
      <c r="AU701" s="335"/>
      <c r="AV701" s="335"/>
      <c r="AW701" s="335"/>
      <c r="AX701" s="335"/>
      <c r="AY701" s="335"/>
      <c r="AZ701" s="335"/>
      <c r="BA701" s="335"/>
      <c r="BB701" s="335"/>
      <c r="BC701" s="335"/>
      <c r="BD701" s="335"/>
      <c r="BE701" s="335"/>
      <c r="BF701" s="335"/>
      <c r="BG701" s="335"/>
      <c r="BH701" s="335"/>
      <c r="BI701" s="335"/>
      <c r="BJ701" s="335"/>
      <c r="BK701" s="335"/>
    </row>
    <row r="702" spans="1:63" s="479" customFormat="1" ht="15.75" thickTop="1">
      <c r="A702" s="514" t="s">
        <v>986</v>
      </c>
      <c r="B702" s="50"/>
      <c r="C702" s="802"/>
      <c r="D702" s="802"/>
      <c r="E702" s="802"/>
      <c r="F702" s="802"/>
      <c r="G702" s="802"/>
      <c r="H702" s="802"/>
      <c r="I702" s="802"/>
      <c r="J702" s="802"/>
      <c r="K702" s="315"/>
      <c r="L702" s="315"/>
      <c r="M702" s="16"/>
      <c r="N702" s="389"/>
      <c r="O702" s="335"/>
      <c r="P702" s="335"/>
      <c r="Q702" s="335"/>
      <c r="R702" s="335"/>
      <c r="S702" s="335"/>
      <c r="T702" s="335"/>
      <c r="U702" s="335"/>
      <c r="V702" s="335"/>
      <c r="W702" s="335"/>
      <c r="X702" s="335"/>
      <c r="Y702" s="335"/>
      <c r="Z702" s="335"/>
      <c r="AA702" s="335"/>
      <c r="AB702" s="335"/>
      <c r="AC702" s="335"/>
      <c r="AD702" s="335"/>
      <c r="AE702" s="335"/>
      <c r="AF702" s="335"/>
      <c r="AG702" s="335"/>
      <c r="AH702" s="335"/>
      <c r="AI702" s="335"/>
      <c r="AJ702" s="335"/>
      <c r="AK702" s="335"/>
      <c r="AL702" s="335"/>
      <c r="AM702" s="335"/>
      <c r="AN702" s="335"/>
      <c r="AO702" s="335"/>
      <c r="AP702" s="335"/>
      <c r="AQ702" s="335"/>
      <c r="AR702" s="335"/>
      <c r="AS702" s="335"/>
      <c r="AT702" s="335"/>
      <c r="AU702" s="335"/>
      <c r="AV702" s="335"/>
      <c r="AW702" s="335"/>
      <c r="AX702" s="335"/>
      <c r="AY702" s="335"/>
      <c r="AZ702" s="335"/>
      <c r="BA702" s="335"/>
      <c r="BB702" s="335"/>
      <c r="BC702" s="335"/>
      <c r="BD702" s="335"/>
      <c r="BE702" s="335"/>
      <c r="BF702" s="335"/>
      <c r="BG702" s="335"/>
      <c r="BH702" s="335"/>
      <c r="BI702" s="335"/>
      <c r="BJ702" s="335"/>
      <c r="BK702" s="335"/>
    </row>
    <row r="703" spans="1:45" s="1112" customFormat="1" ht="15">
      <c r="A703" s="1012"/>
      <c r="B703" s="1012"/>
      <c r="C703" s="1012"/>
      <c r="D703" s="1012"/>
      <c r="E703" s="1012"/>
      <c r="F703" s="1012"/>
      <c r="G703" s="1012"/>
      <c r="H703" s="1012"/>
      <c r="I703" s="1012"/>
      <c r="J703" s="1012"/>
      <c r="K703" s="1111"/>
      <c r="L703" s="1111"/>
      <c r="M703" s="335"/>
      <c r="N703" s="335"/>
      <c r="O703" s="335"/>
      <c r="P703" s="335"/>
      <c r="Q703" s="335"/>
      <c r="R703" s="335"/>
      <c r="S703" s="335"/>
      <c r="T703" s="335"/>
      <c r="U703" s="335"/>
      <c r="V703" s="335"/>
      <c r="W703" s="335"/>
      <c r="X703" s="335"/>
      <c r="Y703" s="335"/>
      <c r="Z703" s="335"/>
      <c r="AA703" s="335"/>
      <c r="AB703" s="335"/>
      <c r="AC703" s="335"/>
      <c r="AD703" s="335"/>
      <c r="AE703" s="335"/>
      <c r="AF703" s="335"/>
      <c r="AG703" s="335"/>
      <c r="AH703" s="335"/>
      <c r="AI703" s="335"/>
      <c r="AJ703" s="335"/>
      <c r="AK703" s="335"/>
      <c r="AL703" s="335"/>
      <c r="AM703" s="335"/>
      <c r="AN703" s="335"/>
      <c r="AO703" s="335"/>
      <c r="AP703" s="335"/>
      <c r="AQ703" s="335"/>
      <c r="AR703" s="335"/>
      <c r="AS703" s="335"/>
    </row>
    <row r="704" spans="1:16" ht="16.5" customHeight="1">
      <c r="A704" s="1423"/>
      <c r="B704" s="1423"/>
      <c r="C704" s="1423"/>
      <c r="D704" s="1423"/>
      <c r="E704" s="1423"/>
      <c r="F704" s="1423"/>
      <c r="G704" s="1423"/>
      <c r="H704" s="1423"/>
      <c r="I704" s="3"/>
      <c r="J704" s="3"/>
      <c r="K704" s="315"/>
      <c r="L704" s="315"/>
      <c r="M704" s="169"/>
      <c r="N704" s="3"/>
      <c r="O704" s="3"/>
      <c r="P704" s="3"/>
    </row>
    <row r="705" spans="1:14" ht="15">
      <c r="A705" s="1380" t="s">
        <v>452</v>
      </c>
      <c r="B705" s="1380"/>
      <c r="C705" s="1380"/>
      <c r="D705" s="1380"/>
      <c r="E705" s="1380"/>
      <c r="F705" s="1380"/>
      <c r="G705" s="1356"/>
      <c r="H705" s="1356"/>
      <c r="I705" s="149"/>
      <c r="J705" s="149"/>
      <c r="K705" s="313"/>
      <c r="L705" s="313"/>
      <c r="M705" s="169"/>
      <c r="N705" s="3"/>
    </row>
    <row r="706" spans="1:14" ht="18.75" customHeight="1">
      <c r="A706" s="1380" t="s">
        <v>453</v>
      </c>
      <c r="B706" s="1380"/>
      <c r="C706" s="1380"/>
      <c r="D706" s="1380"/>
      <c r="E706" s="1380"/>
      <c r="F706" s="1380"/>
      <c r="G706" s="1356"/>
      <c r="H706" s="1356"/>
      <c r="I706" s="149"/>
      <c r="J706" s="149"/>
      <c r="K706" s="313"/>
      <c r="L706" s="313"/>
      <c r="M706" s="3"/>
      <c r="N706" s="3"/>
    </row>
    <row r="707" spans="1:14" ht="19.5" customHeight="1">
      <c r="A707" s="1380" t="s">
        <v>454</v>
      </c>
      <c r="B707" s="1356"/>
      <c r="C707" s="1356"/>
      <c r="D707" s="1356"/>
      <c r="E707" s="1356"/>
      <c r="F707" s="1356"/>
      <c r="G707" s="1356"/>
      <c r="H707" s="1356"/>
      <c r="I707" s="149"/>
      <c r="J707" s="149"/>
      <c r="K707" s="166"/>
      <c r="L707" s="166"/>
      <c r="M707" s="3"/>
      <c r="N707" s="3"/>
    </row>
    <row r="708" spans="1:14" ht="17.25" customHeight="1">
      <c r="A708" s="1380" t="s">
        <v>455</v>
      </c>
      <c r="B708" s="1380"/>
      <c r="C708" s="1380"/>
      <c r="D708" s="1380"/>
      <c r="E708" s="1380"/>
      <c r="F708" s="1380"/>
      <c r="G708" s="1356"/>
      <c r="H708" s="1356"/>
      <c r="I708" s="149"/>
      <c r="J708" s="149"/>
      <c r="K708" s="166"/>
      <c r="L708" s="166"/>
      <c r="M708" s="278"/>
      <c r="N708" s="278"/>
    </row>
    <row r="709" spans="1:17" ht="15">
      <c r="A709" s="152"/>
      <c r="B709" s="152"/>
      <c r="C709" s="152"/>
      <c r="D709" s="152"/>
      <c r="E709" s="152"/>
      <c r="F709" s="152"/>
      <c r="G709" s="153"/>
      <c r="H709" s="153"/>
      <c r="I709" s="149"/>
      <c r="J709" s="149"/>
      <c r="K709" s="166"/>
      <c r="L709" s="166"/>
      <c r="M709" s="15"/>
      <c r="N709" s="15"/>
      <c r="P709" s="278"/>
      <c r="Q709" s="278"/>
    </row>
    <row r="710" spans="1:17" ht="15">
      <c r="A710" s="1374" t="s">
        <v>268</v>
      </c>
      <c r="B710" s="1374"/>
      <c r="C710" s="1374"/>
      <c r="D710" s="1374"/>
      <c r="E710" s="1374"/>
      <c r="F710" s="1374"/>
      <c r="G710" s="1374"/>
      <c r="H710" s="1374"/>
      <c r="I710" s="30"/>
      <c r="J710" s="30"/>
      <c r="K710" s="166"/>
      <c r="L710" s="166"/>
      <c r="M710" s="3"/>
      <c r="N710" s="3"/>
      <c r="P710" s="3"/>
      <c r="Q710" s="3"/>
    </row>
    <row r="711" spans="1:25" s="479" customFormat="1" ht="15.75" thickBot="1">
      <c r="A711" s="497"/>
      <c r="B711" s="497"/>
      <c r="C711" s="487"/>
      <c r="D711" s="487"/>
      <c r="E711" s="487"/>
      <c r="F711" s="487"/>
      <c r="G711" s="487"/>
      <c r="H711" s="487"/>
      <c r="I711" s="30"/>
      <c r="J711" s="30"/>
      <c r="K711" s="166"/>
      <c r="L711" s="166"/>
      <c r="M711" s="3"/>
      <c r="N711" s="3"/>
      <c r="O711" s="480"/>
      <c r="P711" s="3"/>
      <c r="Q711" s="3"/>
      <c r="R711" s="480"/>
      <c r="S711" s="480"/>
      <c r="T711" s="480"/>
      <c r="U711" s="480"/>
      <c r="V711" s="480"/>
      <c r="W711" s="480"/>
      <c r="X711" s="480"/>
      <c r="Y711" s="480"/>
    </row>
    <row r="712" spans="1:63" s="479" customFormat="1" ht="30.75" customHeight="1" thickTop="1">
      <c r="A712" s="746" t="s">
        <v>43</v>
      </c>
      <c r="B712" s="819" t="s">
        <v>977</v>
      </c>
      <c r="C712" s="1376" t="s">
        <v>884</v>
      </c>
      <c r="D712" s="1377"/>
      <c r="E712" s="1273" t="s">
        <v>883</v>
      </c>
      <c r="F712" s="1274"/>
      <c r="G712" s="1286" t="s">
        <v>880</v>
      </c>
      <c r="H712" s="1287"/>
      <c r="I712" s="765" t="s">
        <v>881</v>
      </c>
      <c r="J712" s="766"/>
      <c r="K712" s="816" t="s">
        <v>882</v>
      </c>
      <c r="L712" s="790"/>
      <c r="M712" s="481"/>
      <c r="N712" s="335"/>
      <c r="O712" s="335"/>
      <c r="P712" s="335"/>
      <c r="Q712" s="335"/>
      <c r="R712" s="335"/>
      <c r="S712" s="335"/>
      <c r="T712" s="335"/>
      <c r="U712" s="335"/>
      <c r="V712" s="335"/>
      <c r="W712" s="335"/>
      <c r="X712" s="335"/>
      <c r="Y712" s="335"/>
      <c r="Z712" s="335"/>
      <c r="AA712" s="335"/>
      <c r="AB712" s="335"/>
      <c r="AC712" s="335"/>
      <c r="AD712" s="335"/>
      <c r="AE712" s="335"/>
      <c r="AF712" s="335"/>
      <c r="AG712" s="335"/>
      <c r="AH712" s="335"/>
      <c r="AI712" s="335"/>
      <c r="AJ712" s="335"/>
      <c r="AK712" s="335"/>
      <c r="AL712" s="335"/>
      <c r="AM712" s="335"/>
      <c r="AN712" s="335"/>
      <c r="AO712" s="335"/>
      <c r="AP712" s="335"/>
      <c r="AQ712" s="335"/>
      <c r="AR712" s="335"/>
      <c r="AS712" s="335"/>
      <c r="AT712" s="335"/>
      <c r="AU712" s="335"/>
      <c r="AV712" s="335"/>
      <c r="AW712" s="335"/>
      <c r="AX712" s="335"/>
      <c r="AY712" s="335"/>
      <c r="AZ712" s="335"/>
      <c r="BA712" s="335"/>
      <c r="BB712" s="335"/>
      <c r="BC712" s="335"/>
      <c r="BD712" s="335"/>
      <c r="BE712" s="335"/>
      <c r="BF712" s="335"/>
      <c r="BG712" s="335"/>
      <c r="BH712" s="335"/>
      <c r="BI712" s="335"/>
      <c r="BJ712" s="335"/>
      <c r="BK712" s="335"/>
    </row>
    <row r="713" spans="1:25" s="479" customFormat="1" ht="15">
      <c r="A713" s="78" t="s">
        <v>548</v>
      </c>
      <c r="B713" s="77" t="s">
        <v>293</v>
      </c>
      <c r="C713" s="823">
        <f>CEILING(65*$Z$1,0.1)</f>
        <v>81.30000000000001</v>
      </c>
      <c r="D713" s="824"/>
      <c r="E713" s="1208">
        <f>CEILING(72*$Z$1,0.1)</f>
        <v>90</v>
      </c>
      <c r="F713" s="1210"/>
      <c r="G713" s="1208">
        <f>CEILING(64*$Z$1,0.1)</f>
        <v>80</v>
      </c>
      <c r="H713" s="1210"/>
      <c r="I713" s="1208">
        <f>CEILING(64*$Z$1,0.1)</f>
        <v>80</v>
      </c>
      <c r="J713" s="1210"/>
      <c r="K713" s="1208">
        <f>CEILING(42*$Z$1,0.1)</f>
        <v>52.5</v>
      </c>
      <c r="L713" s="1210"/>
      <c r="M713" s="3"/>
      <c r="N713" s="3"/>
      <c r="O713" s="480"/>
      <c r="P713" s="3"/>
      <c r="Q713" s="3"/>
      <c r="R713" s="480"/>
      <c r="S713" s="480"/>
      <c r="T713" s="480"/>
      <c r="U713" s="480"/>
      <c r="V713" s="480"/>
      <c r="W713" s="480"/>
      <c r="X713" s="480"/>
      <c r="Y713" s="480"/>
    </row>
    <row r="714" spans="1:25" s="479" customFormat="1" ht="15">
      <c r="A714" s="227" t="s">
        <v>59</v>
      </c>
      <c r="B714" s="29" t="s">
        <v>294</v>
      </c>
      <c r="C714" s="825">
        <f>CEILING((C713+50*$Z$1),0.1)</f>
        <v>143.8</v>
      </c>
      <c r="D714" s="854"/>
      <c r="E714" s="1206">
        <f>CEILING((E713+50*$Z$1),0.1)</f>
        <v>152.5</v>
      </c>
      <c r="F714" s="1207"/>
      <c r="G714" s="1206">
        <f>CEILING((G713+50*$Z$1),0.1)</f>
        <v>142.5</v>
      </c>
      <c r="H714" s="1207"/>
      <c r="I714" s="1206">
        <f>CEILING((I713+50*$Z$1),0.1)</f>
        <v>142.5</v>
      </c>
      <c r="J714" s="1207"/>
      <c r="K714" s="1206">
        <f>CEILING((K713+50*$Z$1),0.1)</f>
        <v>115</v>
      </c>
      <c r="L714" s="1207"/>
      <c r="M714" s="3"/>
      <c r="N714" s="3"/>
      <c r="O714" s="480"/>
      <c r="P714" s="3"/>
      <c r="Q714" s="3"/>
      <c r="R714" s="480"/>
      <c r="S714" s="480"/>
      <c r="T714" s="480"/>
      <c r="U714" s="480"/>
      <c r="V714" s="480"/>
      <c r="W714" s="480"/>
      <c r="X714" s="480"/>
      <c r="Y714" s="480"/>
    </row>
    <row r="715" spans="1:25" s="479" customFormat="1" ht="15">
      <c r="A715" s="491" t="s">
        <v>1312</v>
      </c>
      <c r="B715" s="29" t="s">
        <v>549</v>
      </c>
      <c r="C715" s="825">
        <f>CEILING(75*$Z$1,0.1)</f>
        <v>93.80000000000001</v>
      </c>
      <c r="D715" s="826"/>
      <c r="E715" s="1206">
        <f>CEILING(79*$Z$1,0.1)</f>
        <v>98.80000000000001</v>
      </c>
      <c r="F715" s="1207"/>
      <c r="G715" s="1206">
        <f>CEILING(72*$Z$1,0.1)</f>
        <v>90</v>
      </c>
      <c r="H715" s="1207"/>
      <c r="I715" s="1206">
        <f>CEILING(72*$Z$1,0.1)</f>
        <v>90</v>
      </c>
      <c r="J715" s="1207"/>
      <c r="K715" s="1206">
        <f>CEILING(49*$Z$1,0.1)</f>
        <v>61.300000000000004</v>
      </c>
      <c r="L715" s="1207"/>
      <c r="M715" s="3"/>
      <c r="N715" s="3"/>
      <c r="O715" s="480"/>
      <c r="P715" s="3"/>
      <c r="Q715" s="3"/>
      <c r="R715" s="480"/>
      <c r="S715" s="480"/>
      <c r="T715" s="480"/>
      <c r="U715" s="480"/>
      <c r="V715" s="480"/>
      <c r="W715" s="480"/>
      <c r="X715" s="480"/>
      <c r="Y715" s="480"/>
    </row>
    <row r="716" spans="1:25" s="479" customFormat="1" ht="16.5" thickBot="1">
      <c r="A716" s="254" t="s">
        <v>424</v>
      </c>
      <c r="B716" s="184" t="s">
        <v>511</v>
      </c>
      <c r="C716" s="831">
        <v>0.15</v>
      </c>
      <c r="D716" s="830"/>
      <c r="E716" s="1240">
        <v>0.15</v>
      </c>
      <c r="F716" s="1209"/>
      <c r="G716" s="1240">
        <v>0.15</v>
      </c>
      <c r="H716" s="1209"/>
      <c r="I716" s="1240">
        <v>0.15</v>
      </c>
      <c r="J716" s="1209"/>
      <c r="K716" s="1240">
        <v>0.15</v>
      </c>
      <c r="L716" s="1209"/>
      <c r="M716" s="3"/>
      <c r="N716" s="3"/>
      <c r="O716" s="480"/>
      <c r="P716" s="3"/>
      <c r="Q716" s="3"/>
      <c r="R716" s="480"/>
      <c r="S716" s="480"/>
      <c r="T716" s="480"/>
      <c r="U716" s="480"/>
      <c r="V716" s="480"/>
      <c r="W716" s="480"/>
      <c r="X716" s="480"/>
      <c r="Y716" s="480"/>
    </row>
    <row r="717" spans="1:25" s="479" customFormat="1" ht="15.75" thickTop="1">
      <c r="A717" s="172" t="s">
        <v>550</v>
      </c>
      <c r="B717" s="50"/>
      <c r="C717" s="496"/>
      <c r="D717" s="489"/>
      <c r="E717" s="496"/>
      <c r="F717" s="489"/>
      <c r="G717" s="496"/>
      <c r="H717" s="489"/>
      <c r="I717" s="496"/>
      <c r="J717" s="489"/>
      <c r="K717" s="496"/>
      <c r="L717" s="489"/>
      <c r="M717" s="3"/>
      <c r="N717" s="3"/>
      <c r="O717" s="480"/>
      <c r="P717" s="3"/>
      <c r="Q717" s="3"/>
      <c r="R717" s="480"/>
      <c r="S717" s="480"/>
      <c r="T717" s="480"/>
      <c r="U717" s="480"/>
      <c r="V717" s="480"/>
      <c r="W717" s="480"/>
      <c r="X717" s="480"/>
      <c r="Y717" s="480"/>
    </row>
    <row r="718" spans="1:25" s="495" customFormat="1" ht="15">
      <c r="A718" s="361" t="s">
        <v>551</v>
      </c>
      <c r="B718" s="50"/>
      <c r="C718" s="498"/>
      <c r="D718" s="489"/>
      <c r="E718" s="498"/>
      <c r="F718" s="489"/>
      <c r="G718" s="498"/>
      <c r="H718" s="489"/>
      <c r="I718" s="498"/>
      <c r="J718" s="489"/>
      <c r="K718" s="498"/>
      <c r="L718" s="489"/>
      <c r="M718" s="3"/>
      <c r="N718" s="3"/>
      <c r="O718" s="494"/>
      <c r="P718" s="3"/>
      <c r="Q718" s="3"/>
      <c r="R718" s="494"/>
      <c r="S718" s="494"/>
      <c r="T718" s="494"/>
      <c r="U718" s="494"/>
      <c r="V718" s="494"/>
      <c r="W718" s="494"/>
      <c r="X718" s="494"/>
      <c r="Y718" s="494"/>
    </row>
    <row r="719" spans="1:25" s="866" customFormat="1" ht="15">
      <c r="A719" s="107" t="s">
        <v>989</v>
      </c>
      <c r="B719" s="860"/>
      <c r="C719" s="104"/>
      <c r="D719" s="104"/>
      <c r="E719" s="104"/>
      <c r="F719" s="104"/>
      <c r="G719" s="104"/>
      <c r="H719" s="104"/>
      <c r="I719" s="104"/>
      <c r="J719" s="104"/>
      <c r="K719" s="861"/>
      <c r="L719" s="861"/>
      <c r="M719" s="862"/>
      <c r="N719" s="863"/>
      <c r="O719" s="864"/>
      <c r="P719" s="865"/>
      <c r="Q719" s="865"/>
      <c r="R719" s="864"/>
      <c r="S719" s="864"/>
      <c r="T719" s="864"/>
      <c r="U719" s="864"/>
      <c r="V719" s="864"/>
      <c r="W719" s="864"/>
      <c r="X719" s="864"/>
      <c r="Y719" s="864"/>
    </row>
    <row r="720" spans="1:17" ht="16.5" customHeight="1" thickBot="1">
      <c r="A720" s="1437"/>
      <c r="B720" s="1437"/>
      <c r="C720" s="1437"/>
      <c r="D720" s="1437"/>
      <c r="E720" s="1437"/>
      <c r="F720" s="1437"/>
      <c r="G720" s="1437"/>
      <c r="H720" s="1437"/>
      <c r="I720" s="30"/>
      <c r="J720" s="30"/>
      <c r="K720" s="326"/>
      <c r="L720" s="326"/>
      <c r="M720" s="3"/>
      <c r="N720" s="3"/>
      <c r="P720" s="3"/>
      <c r="Q720" s="3"/>
    </row>
    <row r="721" spans="1:63" s="479" customFormat="1" ht="30.75" customHeight="1" thickTop="1">
      <c r="A721" s="746" t="s">
        <v>43</v>
      </c>
      <c r="B721" s="819" t="s">
        <v>977</v>
      </c>
      <c r="C721" s="1376" t="s">
        <v>884</v>
      </c>
      <c r="D721" s="1377"/>
      <c r="E721" s="1273" t="s">
        <v>883</v>
      </c>
      <c r="F721" s="1274"/>
      <c r="G721" s="1286" t="s">
        <v>880</v>
      </c>
      <c r="H721" s="1287"/>
      <c r="I721" s="765" t="s">
        <v>881</v>
      </c>
      <c r="J721" s="766"/>
      <c r="K721" s="816" t="s">
        <v>882</v>
      </c>
      <c r="L721" s="790"/>
      <c r="M721" s="481"/>
      <c r="N721" s="335"/>
      <c r="O721" s="335"/>
      <c r="P721" s="335"/>
      <c r="Q721" s="335"/>
      <c r="R721" s="335"/>
      <c r="S721" s="335"/>
      <c r="T721" s="335"/>
      <c r="U721" s="335"/>
      <c r="V721" s="335"/>
      <c r="W721" s="335"/>
      <c r="X721" s="335"/>
      <c r="Y721" s="335"/>
      <c r="Z721" s="335"/>
      <c r="AA721" s="335"/>
      <c r="AB721" s="335"/>
      <c r="AC721" s="335"/>
      <c r="AD721" s="335"/>
      <c r="AE721" s="335"/>
      <c r="AF721" s="335"/>
      <c r="AG721" s="335"/>
      <c r="AH721" s="335"/>
      <c r="AI721" s="335"/>
      <c r="AJ721" s="335"/>
      <c r="AK721" s="335"/>
      <c r="AL721" s="335"/>
      <c r="AM721" s="335"/>
      <c r="AN721" s="335"/>
      <c r="AO721" s="335"/>
      <c r="AP721" s="335"/>
      <c r="AQ721" s="335"/>
      <c r="AR721" s="335"/>
      <c r="AS721" s="335"/>
      <c r="AT721" s="335"/>
      <c r="AU721" s="335"/>
      <c r="AV721" s="335"/>
      <c r="AW721" s="335"/>
      <c r="AX721" s="335"/>
      <c r="AY721" s="335"/>
      <c r="AZ721" s="335"/>
      <c r="BA721" s="335"/>
      <c r="BB721" s="335"/>
      <c r="BC721" s="335"/>
      <c r="BD721" s="335"/>
      <c r="BE721" s="335"/>
      <c r="BF721" s="335"/>
      <c r="BG721" s="335"/>
      <c r="BH721" s="335"/>
      <c r="BI721" s="335"/>
      <c r="BJ721" s="335"/>
      <c r="BK721" s="335"/>
    </row>
    <row r="722" spans="1:17" ht="15">
      <c r="A722" s="78" t="s">
        <v>758</v>
      </c>
      <c r="B722" s="77" t="s">
        <v>51</v>
      </c>
      <c r="C722" s="823">
        <f>CEILING(50*$Z$1,0.1)</f>
        <v>62.5</v>
      </c>
      <c r="D722" s="832"/>
      <c r="E722" s="823">
        <f>CEILING(80*$Z$1,0.1)</f>
        <v>100</v>
      </c>
      <c r="F722" s="832"/>
      <c r="G722" s="823">
        <f>CEILING(70*$Z$1,0.1)</f>
        <v>87.5</v>
      </c>
      <c r="H722" s="824"/>
      <c r="I722" s="823">
        <f>CEILING(70*$Z$1,0.1)</f>
        <v>87.5</v>
      </c>
      <c r="J722" s="824"/>
      <c r="K722" s="823">
        <f>CEILING(40*$Z$1,0.1)</f>
        <v>50</v>
      </c>
      <c r="L722" s="824"/>
      <c r="M722" s="21"/>
      <c r="N722" s="158"/>
      <c r="P722" s="1408"/>
      <c r="Q722" s="1408"/>
    </row>
    <row r="723" spans="1:17" ht="17.25" customHeight="1">
      <c r="A723" s="227" t="s">
        <v>59</v>
      </c>
      <c r="B723" s="29" t="s">
        <v>52</v>
      </c>
      <c r="C723" s="825">
        <f>CEILING((C722+45*$Z$1),0.1)</f>
        <v>118.80000000000001</v>
      </c>
      <c r="D723" s="853"/>
      <c r="E723" s="825">
        <f>CEILING((E722+45*$Z$1),0.1)</f>
        <v>156.3</v>
      </c>
      <c r="F723" s="853"/>
      <c r="G723" s="825">
        <f>CEILING((G722+45*$Z$1),0.1)</f>
        <v>143.8</v>
      </c>
      <c r="H723" s="854"/>
      <c r="I723" s="825">
        <f>CEILING((I722+45*$Z$1),0.1)</f>
        <v>143.8</v>
      </c>
      <c r="J723" s="854"/>
      <c r="K723" s="825">
        <f>CEILING((K722+45*$Z$1),0.1)</f>
        <v>106.30000000000001</v>
      </c>
      <c r="L723" s="854"/>
      <c r="M723" s="21"/>
      <c r="N723" s="158"/>
      <c r="P723" s="1328"/>
      <c r="Q723" s="1328"/>
    </row>
    <row r="724" spans="1:25" s="479" customFormat="1" ht="15" customHeight="1">
      <c r="A724" s="491"/>
      <c r="B724" s="29" t="s">
        <v>909</v>
      </c>
      <c r="C724" s="825">
        <f>CEILING((C722*0.5),0.1)</f>
        <v>31.3</v>
      </c>
      <c r="D724" s="828"/>
      <c r="E724" s="825">
        <f>CEILING((E722*0.5),0.1)</f>
        <v>50</v>
      </c>
      <c r="F724" s="828"/>
      <c r="G724" s="825">
        <f>CEILING((G722*0.5),0.1)</f>
        <v>43.800000000000004</v>
      </c>
      <c r="H724" s="826"/>
      <c r="I724" s="825">
        <f>CEILING((I722*0.5),0.1)</f>
        <v>43.800000000000004</v>
      </c>
      <c r="J724" s="826"/>
      <c r="K724" s="825">
        <f>CEILING((K722*0.5),0.1)</f>
        <v>25</v>
      </c>
      <c r="L724" s="826"/>
      <c r="M724" s="21"/>
      <c r="N724" s="158"/>
      <c r="O724" s="480"/>
      <c r="P724" s="486"/>
      <c r="Q724" s="486"/>
      <c r="R724" s="480"/>
      <c r="S724" s="480"/>
      <c r="T724" s="480"/>
      <c r="U724" s="480"/>
      <c r="V724" s="480"/>
      <c r="W724" s="480"/>
      <c r="X724" s="480"/>
      <c r="Y724" s="480"/>
    </row>
    <row r="725" spans="1:25" s="479" customFormat="1" ht="15" customHeight="1">
      <c r="A725" s="491"/>
      <c r="B725" s="418" t="s">
        <v>511</v>
      </c>
      <c r="C725" s="831">
        <v>0.15</v>
      </c>
      <c r="D725" s="833"/>
      <c r="E725" s="831">
        <v>0.15</v>
      </c>
      <c r="F725" s="833"/>
      <c r="G725" s="831">
        <v>0.15</v>
      </c>
      <c r="H725" s="830"/>
      <c r="I725" s="831">
        <v>0.15</v>
      </c>
      <c r="J725" s="830"/>
      <c r="K725" s="831">
        <v>0.15</v>
      </c>
      <c r="L725" s="830"/>
      <c r="M725" s="21"/>
      <c r="N725" s="158"/>
      <c r="O725" s="480"/>
      <c r="P725" s="486"/>
      <c r="Q725" s="486"/>
      <c r="R725" s="480"/>
      <c r="S725" s="480"/>
      <c r="T725" s="480"/>
      <c r="U725" s="480"/>
      <c r="V725" s="480"/>
      <c r="W725" s="480"/>
      <c r="X725" s="480"/>
      <c r="Y725" s="480"/>
    </row>
    <row r="726" spans="1:25" s="479" customFormat="1" ht="15" customHeight="1">
      <c r="A726" s="491"/>
      <c r="B726" s="29" t="s">
        <v>541</v>
      </c>
      <c r="C726" s="825">
        <f>CEILING(60*$Z$1,0.1)</f>
        <v>75</v>
      </c>
      <c r="D726" s="828"/>
      <c r="E726" s="823">
        <f>CEILING(90*$Z$1,0.1)</f>
        <v>112.5</v>
      </c>
      <c r="F726" s="832"/>
      <c r="G726" s="823">
        <f>CEILING(80*$Z$1,0.1)</f>
        <v>100</v>
      </c>
      <c r="H726" s="824"/>
      <c r="I726" s="823">
        <f>CEILING(80*$Z$1,0.1)</f>
        <v>100</v>
      </c>
      <c r="J726" s="824"/>
      <c r="K726" s="823">
        <f>CEILING(50*$Z$1,0.1)</f>
        <v>62.5</v>
      </c>
      <c r="L726" s="824"/>
      <c r="M726" s="21"/>
      <c r="N726" s="158"/>
      <c r="O726" s="480"/>
      <c r="P726" s="486"/>
      <c r="Q726" s="486"/>
      <c r="R726" s="480"/>
      <c r="S726" s="480"/>
      <c r="T726" s="480"/>
      <c r="U726" s="480"/>
      <c r="V726" s="480"/>
      <c r="W726" s="480"/>
      <c r="X726" s="480"/>
      <c r="Y726" s="480"/>
    </row>
    <row r="727" spans="1:25" s="479" customFormat="1" ht="15" customHeight="1">
      <c r="A727" s="491"/>
      <c r="B727" s="29" t="s">
        <v>542</v>
      </c>
      <c r="C727" s="825">
        <f>CEILING(65*$Z$1,0.1)</f>
        <v>81.30000000000001</v>
      </c>
      <c r="D727" s="828"/>
      <c r="E727" s="825">
        <f>CEILING(95*$Z$1,0.1)</f>
        <v>118.80000000000001</v>
      </c>
      <c r="F727" s="828"/>
      <c r="G727" s="825">
        <f>CEILING(85*$Z$1,0.1)</f>
        <v>106.30000000000001</v>
      </c>
      <c r="H727" s="826"/>
      <c r="I727" s="825">
        <f>CEILING(85*$Z$1,0.1)</f>
        <v>106.30000000000001</v>
      </c>
      <c r="J727" s="826"/>
      <c r="K727" s="825">
        <f>CEILING(55*$Z$1,0.1)</f>
        <v>68.8</v>
      </c>
      <c r="L727" s="826"/>
      <c r="M727" s="21"/>
      <c r="N727" s="158"/>
      <c r="O727" s="480"/>
      <c r="P727" s="486"/>
      <c r="Q727" s="486"/>
      <c r="R727" s="480"/>
      <c r="S727" s="480"/>
      <c r="T727" s="480"/>
      <c r="U727" s="480"/>
      <c r="V727" s="480"/>
      <c r="W727" s="480"/>
      <c r="X727" s="480"/>
      <c r="Y727" s="480"/>
    </row>
    <row r="728" spans="1:25" s="479" customFormat="1" ht="15" customHeight="1">
      <c r="A728" s="491"/>
      <c r="B728" s="29" t="s">
        <v>543</v>
      </c>
      <c r="C728" s="825">
        <f>CEILING(65*$Z$1,0.1)</f>
        <v>81.30000000000001</v>
      </c>
      <c r="D728" s="828"/>
      <c r="E728" s="825">
        <f>CEILING(95*$Z$1,0.1)</f>
        <v>118.80000000000001</v>
      </c>
      <c r="F728" s="828"/>
      <c r="G728" s="825">
        <f>CEILING(85*$Z$1,0.1)</f>
        <v>106.30000000000001</v>
      </c>
      <c r="H728" s="826"/>
      <c r="I728" s="825">
        <f>CEILING(85*$Z$1,0.1)</f>
        <v>106.30000000000001</v>
      </c>
      <c r="J728" s="826"/>
      <c r="K728" s="825">
        <f>CEILING(55*$Z$1,0.1)</f>
        <v>68.8</v>
      </c>
      <c r="L728" s="826"/>
      <c r="M728" s="21"/>
      <c r="N728" s="158"/>
      <c r="O728" s="480"/>
      <c r="P728" s="486"/>
      <c r="Q728" s="486"/>
      <c r="R728" s="480"/>
      <c r="S728" s="480"/>
      <c r="T728" s="480"/>
      <c r="U728" s="480"/>
      <c r="V728" s="480"/>
      <c r="W728" s="480"/>
      <c r="X728" s="480"/>
      <c r="Y728" s="480"/>
    </row>
    <row r="729" spans="1:17" ht="16.5" thickBot="1">
      <c r="A729" s="254" t="s">
        <v>424</v>
      </c>
      <c r="B729" s="504" t="s">
        <v>544</v>
      </c>
      <c r="C729" s="829">
        <f>CEILING(80*$Z$1,0.1)</f>
        <v>100</v>
      </c>
      <c r="D729" s="833"/>
      <c r="E729" s="829">
        <f>CEILING(110*$Z$1,0.1)</f>
        <v>137.5</v>
      </c>
      <c r="F729" s="833"/>
      <c r="G729" s="829">
        <f>CEILING(100*$Z$1,0.1)</f>
        <v>125</v>
      </c>
      <c r="H729" s="830"/>
      <c r="I729" s="829">
        <f>CEILING(100*$Z$1,0.1)</f>
        <v>125</v>
      </c>
      <c r="J729" s="830"/>
      <c r="K729" s="829">
        <f>CEILING(70*$Z$1,0.1)</f>
        <v>87.5</v>
      </c>
      <c r="L729" s="830"/>
      <c r="M729" s="21"/>
      <c r="N729" s="158"/>
      <c r="P729" s="1328"/>
      <c r="Q729" s="1328"/>
    </row>
    <row r="730" spans="1:17" ht="15.75" thickTop="1">
      <c r="A730" s="172" t="s">
        <v>545</v>
      </c>
      <c r="B730" s="50"/>
      <c r="C730" s="3"/>
      <c r="D730" s="3"/>
      <c r="E730" s="3"/>
      <c r="F730" s="3"/>
      <c r="G730" s="3"/>
      <c r="H730" s="3"/>
      <c r="I730" s="3"/>
      <c r="J730" s="3"/>
      <c r="K730" s="166"/>
      <c r="L730" s="166"/>
      <c r="M730" s="16"/>
      <c r="N730" s="158"/>
      <c r="P730" s="1328"/>
      <c r="Q730" s="1328"/>
    </row>
    <row r="731" spans="1:25" s="495" customFormat="1" ht="15">
      <c r="A731" s="361" t="s">
        <v>546</v>
      </c>
      <c r="B731" s="50"/>
      <c r="C731" s="3"/>
      <c r="D731" s="3"/>
      <c r="E731" s="3"/>
      <c r="F731" s="3"/>
      <c r="G731" s="3"/>
      <c r="H731" s="3"/>
      <c r="I731" s="3"/>
      <c r="J731" s="3"/>
      <c r="K731" s="493"/>
      <c r="L731" s="493"/>
      <c r="M731" s="16"/>
      <c r="N731" s="492"/>
      <c r="O731" s="494"/>
      <c r="P731" s="486"/>
      <c r="Q731" s="486"/>
      <c r="R731" s="494"/>
      <c r="S731" s="494"/>
      <c r="T731" s="494"/>
      <c r="U731" s="494"/>
      <c r="V731" s="494"/>
      <c r="W731" s="494"/>
      <c r="X731" s="494"/>
      <c r="Y731" s="494"/>
    </row>
    <row r="732" spans="1:25" s="866" customFormat="1" ht="15">
      <c r="A732" s="107" t="s">
        <v>989</v>
      </c>
      <c r="B732" s="860"/>
      <c r="C732" s="104"/>
      <c r="D732" s="104"/>
      <c r="E732" s="104"/>
      <c r="F732" s="104"/>
      <c r="G732" s="104"/>
      <c r="H732" s="104"/>
      <c r="I732" s="104"/>
      <c r="J732" s="104"/>
      <c r="K732" s="861"/>
      <c r="L732" s="861"/>
      <c r="M732" s="862"/>
      <c r="N732" s="863"/>
      <c r="O732" s="864"/>
      <c r="P732" s="865"/>
      <c r="Q732" s="865"/>
      <c r="R732" s="864"/>
      <c r="S732" s="864"/>
      <c r="T732" s="864"/>
      <c r="U732" s="864"/>
      <c r="V732" s="864"/>
      <c r="W732" s="864"/>
      <c r="X732" s="864"/>
      <c r="Y732" s="864"/>
    </row>
    <row r="733" spans="1:17" ht="15.75" thickBot="1">
      <c r="A733" s="1378"/>
      <c r="B733" s="1378"/>
      <c r="C733" s="1378"/>
      <c r="D733" s="1378"/>
      <c r="E733" s="1378"/>
      <c r="F733" s="1378"/>
      <c r="G733" s="1378"/>
      <c r="H733" s="1378"/>
      <c r="I733" s="1379"/>
      <c r="J733" s="1379"/>
      <c r="K733" s="326"/>
      <c r="L733" s="326"/>
      <c r="M733" s="16"/>
      <c r="N733" s="158"/>
      <c r="P733" s="189"/>
      <c r="Q733" s="189"/>
    </row>
    <row r="734" spans="1:63" s="479" customFormat="1" ht="30.75" customHeight="1" thickTop="1">
      <c r="A734" s="746" t="s">
        <v>43</v>
      </c>
      <c r="B734" s="819" t="s">
        <v>977</v>
      </c>
      <c r="C734" s="1376" t="s">
        <v>884</v>
      </c>
      <c r="D734" s="1377"/>
      <c r="E734" s="1273" t="s">
        <v>883</v>
      </c>
      <c r="F734" s="1274"/>
      <c r="G734" s="1286" t="s">
        <v>880</v>
      </c>
      <c r="H734" s="1287"/>
      <c r="I734" s="765" t="s">
        <v>881</v>
      </c>
      <c r="J734" s="766"/>
      <c r="K734" s="816" t="s">
        <v>882</v>
      </c>
      <c r="L734" s="790"/>
      <c r="M734" s="481"/>
      <c r="N734" s="335"/>
      <c r="O734" s="335"/>
      <c r="P734" s="335"/>
      <c r="Q734" s="335"/>
      <c r="R734" s="335"/>
      <c r="S734" s="335"/>
      <c r="T734" s="335"/>
      <c r="U734" s="335"/>
      <c r="V734" s="335"/>
      <c r="W734" s="335"/>
      <c r="X734" s="335"/>
      <c r="Y734" s="335"/>
      <c r="Z734" s="335"/>
      <c r="AA734" s="335"/>
      <c r="AB734" s="335"/>
      <c r="AC734" s="335"/>
      <c r="AD734" s="335"/>
      <c r="AE734" s="335"/>
      <c r="AF734" s="335"/>
      <c r="AG734" s="335"/>
      <c r="AH734" s="335"/>
      <c r="AI734" s="335"/>
      <c r="AJ734" s="335"/>
      <c r="AK734" s="335"/>
      <c r="AL734" s="335"/>
      <c r="AM734" s="335"/>
      <c r="AN734" s="335"/>
      <c r="AO734" s="335"/>
      <c r="AP734" s="335"/>
      <c r="AQ734" s="335"/>
      <c r="AR734" s="335"/>
      <c r="AS734" s="335"/>
      <c r="AT734" s="335"/>
      <c r="AU734" s="335"/>
      <c r="AV734" s="335"/>
      <c r="AW734" s="335"/>
      <c r="AX734" s="335"/>
      <c r="AY734" s="335"/>
      <c r="AZ734" s="335"/>
      <c r="BA734" s="335"/>
      <c r="BB734" s="335"/>
      <c r="BC734" s="335"/>
      <c r="BD734" s="335"/>
      <c r="BE734" s="335"/>
      <c r="BF734" s="335"/>
      <c r="BG734" s="335"/>
      <c r="BH734" s="335"/>
      <c r="BI734" s="335"/>
      <c r="BJ734" s="335"/>
      <c r="BK734" s="335"/>
    </row>
    <row r="735" spans="1:15" ht="15">
      <c r="A735" s="78" t="s">
        <v>759</v>
      </c>
      <c r="B735" s="77" t="s">
        <v>293</v>
      </c>
      <c r="C735" s="823">
        <f>CEILING(60*$Z$1,0.1)</f>
        <v>75</v>
      </c>
      <c r="D735" s="824"/>
      <c r="E735" s="823">
        <f>CEILING(90*$Z$1,0.1)</f>
        <v>112.5</v>
      </c>
      <c r="F735" s="824"/>
      <c r="G735" s="1264">
        <f>CEILING(60*$Z$1,0.1)</f>
        <v>75</v>
      </c>
      <c r="H735" s="1265"/>
      <c r="I735" s="823">
        <f>CEILING(60*$Z$1,0.1)</f>
        <v>75</v>
      </c>
      <c r="J735" s="824"/>
      <c r="K735" s="823">
        <f>CEILING(38*$Z$1,0.1)</f>
        <v>47.5</v>
      </c>
      <c r="L735" s="824"/>
      <c r="M735" s="363"/>
      <c r="N735" s="15"/>
      <c r="O735" s="15"/>
    </row>
    <row r="736" spans="1:25" ht="14.25" customHeight="1">
      <c r="A736" s="227" t="s">
        <v>59</v>
      </c>
      <c r="B736" s="29" t="s">
        <v>294</v>
      </c>
      <c r="C736" s="825">
        <f>CEILING((C735+45*$Z$1),0.1)</f>
        <v>131.3</v>
      </c>
      <c r="D736" s="854"/>
      <c r="E736" s="825">
        <f>CEILING((E735+45*$Z$1),0.1)</f>
        <v>168.8</v>
      </c>
      <c r="F736" s="854"/>
      <c r="G736" s="1257">
        <f>CEILING((G735+45*$Z$1),0.1)</f>
        <v>131.3</v>
      </c>
      <c r="H736" s="1258"/>
      <c r="I736" s="825">
        <f>CEILING((I735+45*$Z$1),0.1)</f>
        <v>131.3</v>
      </c>
      <c r="J736" s="854"/>
      <c r="K736" s="825">
        <f>CEILING((K735+45*$Z$1),0.1)</f>
        <v>103.80000000000001</v>
      </c>
      <c r="L736" s="854"/>
      <c r="M736" s="363"/>
      <c r="N736" s="273"/>
      <c r="O736" s="273"/>
      <c r="R736"/>
      <c r="S736"/>
      <c r="T736"/>
      <c r="U736"/>
      <c r="V736"/>
      <c r="W736"/>
      <c r="X736"/>
      <c r="Y736"/>
    </row>
    <row r="737" spans="1:25" ht="15">
      <c r="A737" s="181"/>
      <c r="B737" s="29" t="s">
        <v>47</v>
      </c>
      <c r="C737" s="825">
        <f>CEILING((C735*0.85),0.1)</f>
        <v>63.800000000000004</v>
      </c>
      <c r="D737" s="854"/>
      <c r="E737" s="825">
        <f>CEILING((E735*0.85),0.1)</f>
        <v>95.7</v>
      </c>
      <c r="F737" s="854"/>
      <c r="G737" s="1257">
        <f>CEILING((G735*0.85),0.1)</f>
        <v>63.800000000000004</v>
      </c>
      <c r="H737" s="1258"/>
      <c r="I737" s="825">
        <f>CEILING((I735*0.85),0.1)</f>
        <v>63.800000000000004</v>
      </c>
      <c r="J737" s="854"/>
      <c r="K737" s="825">
        <f>CEILING((K735*0.85),0.1)</f>
        <v>40.400000000000006</v>
      </c>
      <c r="L737" s="854"/>
      <c r="M737" s="363"/>
      <c r="N737" s="273"/>
      <c r="O737" s="273"/>
      <c r="R737"/>
      <c r="S737"/>
      <c r="T737"/>
      <c r="U737"/>
      <c r="V737"/>
      <c r="W737"/>
      <c r="X737"/>
      <c r="Y737"/>
    </row>
    <row r="738" spans="1:17" s="479" customFormat="1" ht="15">
      <c r="A738" s="491" t="s">
        <v>1332</v>
      </c>
      <c r="B738" s="29" t="s">
        <v>909</v>
      </c>
      <c r="C738" s="825">
        <f>CEILING((C735*0.5),0.1)</f>
        <v>37.5</v>
      </c>
      <c r="D738" s="826"/>
      <c r="E738" s="825">
        <f>CEILING((E735*0.5),0.1)</f>
        <v>56.300000000000004</v>
      </c>
      <c r="F738" s="826"/>
      <c r="G738" s="1257">
        <f>CEILING((G735*0.5),0.1)</f>
        <v>37.5</v>
      </c>
      <c r="H738" s="1258"/>
      <c r="I738" s="825">
        <f>CEILING((I735*0.5),0.1)</f>
        <v>37.5</v>
      </c>
      <c r="J738" s="826"/>
      <c r="K738" s="825">
        <f>CEILING((K735*0.5),0.1)</f>
        <v>23.8</v>
      </c>
      <c r="L738" s="826"/>
      <c r="M738" s="363"/>
      <c r="N738" s="273"/>
      <c r="O738" s="273"/>
      <c r="P738" s="480"/>
      <c r="Q738" s="480"/>
    </row>
    <row r="739" spans="1:17" s="479" customFormat="1" ht="15">
      <c r="A739" s="491"/>
      <c r="B739" s="29" t="s">
        <v>44</v>
      </c>
      <c r="C739" s="825">
        <f>CEILING(75*$Z$1,0.1)</f>
        <v>93.80000000000001</v>
      </c>
      <c r="D739" s="826"/>
      <c r="E739" s="825">
        <f>CEILING(105*$Z$1,0.1)</f>
        <v>131.3</v>
      </c>
      <c r="F739" s="826"/>
      <c r="G739" s="1257">
        <f>CEILING(72*$Z$1,0.1)</f>
        <v>90</v>
      </c>
      <c r="H739" s="1258"/>
      <c r="I739" s="825">
        <f>CEILING(72*$Z$1,0.1)</f>
        <v>90</v>
      </c>
      <c r="J739" s="826"/>
      <c r="K739" s="825">
        <f>CEILING(49*$Z$1,0.1)</f>
        <v>61.300000000000004</v>
      </c>
      <c r="L739" s="826"/>
      <c r="M739" s="363"/>
      <c r="N739" s="273"/>
      <c r="O739" s="273"/>
      <c r="P739" s="480"/>
      <c r="Q739" s="480"/>
    </row>
    <row r="740" spans="1:25" ht="15.75" customHeight="1" thickBot="1">
      <c r="A740" s="254" t="s">
        <v>424</v>
      </c>
      <c r="B740" s="184" t="s">
        <v>511</v>
      </c>
      <c r="C740" s="831">
        <v>0.15</v>
      </c>
      <c r="D740" s="830"/>
      <c r="E740" s="831">
        <v>0.15</v>
      </c>
      <c r="F740" s="830"/>
      <c r="G740" s="831">
        <v>0.15</v>
      </c>
      <c r="H740" s="830"/>
      <c r="I740" s="831">
        <v>0.15</v>
      </c>
      <c r="J740" s="830"/>
      <c r="K740" s="831">
        <v>0.15</v>
      </c>
      <c r="L740" s="830"/>
      <c r="M740" s="363"/>
      <c r="N740" s="273"/>
      <c r="O740" s="273"/>
      <c r="R740"/>
      <c r="S740"/>
      <c r="T740"/>
      <c r="U740"/>
      <c r="V740"/>
      <c r="W740"/>
      <c r="X740"/>
      <c r="Y740"/>
    </row>
    <row r="741" spans="1:17" s="479" customFormat="1" ht="15.75" customHeight="1" thickTop="1">
      <c r="A741" s="172" t="s">
        <v>547</v>
      </c>
      <c r="B741" s="50"/>
      <c r="C741" s="496"/>
      <c r="D741" s="489"/>
      <c r="E741" s="496"/>
      <c r="F741" s="489"/>
      <c r="G741" s="496"/>
      <c r="H741" s="489"/>
      <c r="I741" s="496"/>
      <c r="J741" s="489"/>
      <c r="K741" s="496"/>
      <c r="L741" s="489"/>
      <c r="M741" s="481"/>
      <c r="N741" s="273"/>
      <c r="O741" s="273"/>
      <c r="P741" s="480"/>
      <c r="Q741" s="480"/>
    </row>
    <row r="742" spans="1:25" s="866" customFormat="1" ht="15">
      <c r="A742" s="107" t="s">
        <v>989</v>
      </c>
      <c r="B742" s="860"/>
      <c r="C742" s="104"/>
      <c r="D742" s="104"/>
      <c r="E742" s="104"/>
      <c r="F742" s="104"/>
      <c r="G742" s="104"/>
      <c r="H742" s="104"/>
      <c r="I742" s="104"/>
      <c r="J742" s="104"/>
      <c r="K742" s="861"/>
      <c r="L742" s="861"/>
      <c r="M742" s="862"/>
      <c r="N742" s="863"/>
      <c r="O742" s="864"/>
      <c r="P742" s="865"/>
      <c r="Q742" s="865"/>
      <c r="R742" s="864"/>
      <c r="S742" s="864"/>
      <c r="T742" s="864"/>
      <c r="U742" s="864"/>
      <c r="V742" s="864"/>
      <c r="W742" s="864"/>
      <c r="X742" s="864"/>
      <c r="Y742" s="864"/>
    </row>
    <row r="743" spans="1:25" ht="21.75" customHeight="1" thickBot="1">
      <c r="A743" s="1448"/>
      <c r="B743" s="1448"/>
      <c r="C743" s="1448"/>
      <c r="D743" s="1448"/>
      <c r="E743" s="1448"/>
      <c r="F743" s="1448"/>
      <c r="G743" s="1448"/>
      <c r="H743" s="1448"/>
      <c r="I743" s="3"/>
      <c r="J743" s="159"/>
      <c r="K743" s="313"/>
      <c r="L743" s="313"/>
      <c r="M743" s="189"/>
      <c r="N743" s="273"/>
      <c r="O743" s="273"/>
      <c r="R743"/>
      <c r="S743"/>
      <c r="T743"/>
      <c r="U743"/>
      <c r="V743"/>
      <c r="W743"/>
      <c r="X743"/>
      <c r="Y743"/>
    </row>
    <row r="744" spans="1:63" s="479" customFormat="1" ht="30.75" customHeight="1" thickTop="1">
      <c r="A744" s="746" t="s">
        <v>43</v>
      </c>
      <c r="B744" s="819" t="s">
        <v>961</v>
      </c>
      <c r="C744" s="1376" t="s">
        <v>884</v>
      </c>
      <c r="D744" s="1377"/>
      <c r="E744" s="1273" t="s">
        <v>990</v>
      </c>
      <c r="F744" s="1274"/>
      <c r="G744" s="1273" t="s">
        <v>883</v>
      </c>
      <c r="H744" s="1274"/>
      <c r="I744" s="765" t="s">
        <v>881</v>
      </c>
      <c r="J744" s="766"/>
      <c r="K744" s="816" t="s">
        <v>882</v>
      </c>
      <c r="L744" s="790"/>
      <c r="M744" s="481"/>
      <c r="N744" s="335"/>
      <c r="O744" s="335"/>
      <c r="P744" s="335"/>
      <c r="Q744" s="335"/>
      <c r="R744" s="335"/>
      <c r="S744" s="335"/>
      <c r="T744" s="335"/>
      <c r="U744" s="335"/>
      <c r="V744" s="335"/>
      <c r="W744" s="335"/>
      <c r="X744" s="335"/>
      <c r="Y744" s="335"/>
      <c r="Z744" s="335"/>
      <c r="AA744" s="335"/>
      <c r="AB744" s="335"/>
      <c r="AC744" s="335"/>
      <c r="AD744" s="335"/>
      <c r="AE744" s="335"/>
      <c r="AF744" s="335"/>
      <c r="AG744" s="335"/>
      <c r="AH744" s="335"/>
      <c r="AI744" s="335"/>
      <c r="AJ744" s="335"/>
      <c r="AK744" s="335"/>
      <c r="AL744" s="335"/>
      <c r="AM744" s="335"/>
      <c r="AN744" s="335"/>
      <c r="AO744" s="335"/>
      <c r="AP744" s="335"/>
      <c r="AQ744" s="335"/>
      <c r="AR744" s="335"/>
      <c r="AS744" s="335"/>
      <c r="AT744" s="335"/>
      <c r="AU744" s="335"/>
      <c r="AV744" s="335"/>
      <c r="AW744" s="335"/>
      <c r="AX744" s="335"/>
      <c r="AY744" s="335"/>
      <c r="AZ744" s="335"/>
      <c r="BA744" s="335"/>
      <c r="BB744" s="335"/>
      <c r="BC744" s="335"/>
      <c r="BD744" s="335"/>
      <c r="BE744" s="335"/>
      <c r="BF744" s="335"/>
      <c r="BG744" s="335"/>
      <c r="BH744" s="335"/>
      <c r="BI744" s="335"/>
      <c r="BJ744" s="335"/>
      <c r="BK744" s="335"/>
    </row>
    <row r="745" spans="1:14" ht="15">
      <c r="A745" s="78" t="s">
        <v>108</v>
      </c>
      <c r="B745" s="127" t="s">
        <v>51</v>
      </c>
      <c r="C745" s="1222">
        <f>CEILING(30*$Z$1,0.1)</f>
        <v>37.5</v>
      </c>
      <c r="D745" s="1223"/>
      <c r="E745" s="1222">
        <f>CEILING(30*$Z$1,0.1)</f>
        <v>37.5</v>
      </c>
      <c r="F745" s="1223"/>
      <c r="G745" s="1222">
        <f>CEILING(30*$Z$1,0.1)</f>
        <v>37.5</v>
      </c>
      <c r="H745" s="1223"/>
      <c r="I745" s="1222">
        <f>CEILING(30*$Z$1,0.1)</f>
        <v>37.5</v>
      </c>
      <c r="J745" s="1223"/>
      <c r="K745" s="1222">
        <f>CEILING(30*$Z$1,0.1)</f>
        <v>37.5</v>
      </c>
      <c r="L745" s="1223"/>
      <c r="M745" s="16"/>
      <c r="N745" s="158"/>
    </row>
    <row r="746" spans="1:14" ht="15.75" customHeight="1">
      <c r="A746" s="645" t="s">
        <v>1314</v>
      </c>
      <c r="B746" s="29" t="s">
        <v>52</v>
      </c>
      <c r="C746" s="1218">
        <f>CEILING((C745+5*$Z$1),0.1)</f>
        <v>43.800000000000004</v>
      </c>
      <c r="D746" s="1219"/>
      <c r="E746" s="1218">
        <f>CEILING((E745+5*$Z$1),0.1)</f>
        <v>43.800000000000004</v>
      </c>
      <c r="F746" s="1219"/>
      <c r="G746" s="1218">
        <f>CEILING((G745+5*$Z$1),0.1)</f>
        <v>43.800000000000004</v>
      </c>
      <c r="H746" s="1219"/>
      <c r="I746" s="1218">
        <f>CEILING((I745+5*$Z$1),0.1)</f>
        <v>43.800000000000004</v>
      </c>
      <c r="J746" s="1219"/>
      <c r="K746" s="1218">
        <f>CEILING((K745+5*$Z$1),0.1)</f>
        <v>43.800000000000004</v>
      </c>
      <c r="L746" s="1219"/>
      <c r="M746" s="16"/>
      <c r="N746" s="158"/>
    </row>
    <row r="747" spans="1:14" ht="16.5" customHeight="1">
      <c r="A747" s="28" t="s">
        <v>90</v>
      </c>
      <c r="B747" s="36" t="s">
        <v>47</v>
      </c>
      <c r="C747" s="1218">
        <f>CEILING((C745*0.85),0.1)</f>
        <v>31.900000000000002</v>
      </c>
      <c r="D747" s="1219"/>
      <c r="E747" s="1218">
        <f>CEILING((E745*0.85),0.1)</f>
        <v>31.900000000000002</v>
      </c>
      <c r="F747" s="1219"/>
      <c r="G747" s="1218">
        <f>CEILING((G745*0.85),0.1)</f>
        <v>31.900000000000002</v>
      </c>
      <c r="H747" s="1219"/>
      <c r="I747" s="1218">
        <f>CEILING((I745*0.85),0.1)</f>
        <v>31.900000000000002</v>
      </c>
      <c r="J747" s="1219"/>
      <c r="K747" s="1218">
        <f>CEILING((K745*0.85),0.1)</f>
        <v>31.900000000000002</v>
      </c>
      <c r="L747" s="1219"/>
      <c r="M747" s="25"/>
      <c r="N747" s="25"/>
    </row>
    <row r="748" spans="1:14" ht="17.25" customHeight="1" thickBot="1">
      <c r="A748" s="236" t="s">
        <v>440</v>
      </c>
      <c r="B748" s="38" t="s">
        <v>71</v>
      </c>
      <c r="C748" s="1224">
        <f>CEILING((C745*0),0.1)</f>
        <v>0</v>
      </c>
      <c r="D748" s="1225"/>
      <c r="E748" s="1224">
        <f>CEILING((E745*0),0.1)</f>
        <v>0</v>
      </c>
      <c r="F748" s="1225"/>
      <c r="G748" s="1224">
        <f>CEILING((G745*0),0.1)</f>
        <v>0</v>
      </c>
      <c r="H748" s="1225"/>
      <c r="I748" s="1224">
        <f>CEILING((I745*0),0.1)</f>
        <v>0</v>
      </c>
      <c r="J748" s="1225"/>
      <c r="K748" s="1224">
        <f>CEILING((K745*0),0.1)</f>
        <v>0</v>
      </c>
      <c r="L748" s="1225"/>
      <c r="M748" s="20"/>
      <c r="N748" s="20"/>
    </row>
    <row r="749" spans="1:37" s="776" customFormat="1" ht="15.75" thickTop="1">
      <c r="A749" s="1306"/>
      <c r="B749" s="1306"/>
      <c r="C749" s="1306"/>
      <c r="D749" s="1306"/>
      <c r="E749" s="1306"/>
      <c r="F749" s="1306"/>
      <c r="G749" s="1306"/>
      <c r="H749" s="1306"/>
      <c r="I749" s="1306"/>
      <c r="J749" s="1306"/>
      <c r="K749" s="775"/>
      <c r="L749" s="775"/>
      <c r="M749" s="335"/>
      <c r="N749" s="335"/>
      <c r="O749" s="335"/>
      <c r="P749" s="335"/>
      <c r="Q749" s="335"/>
      <c r="R749" s="335"/>
      <c r="S749" s="335"/>
      <c r="T749" s="335"/>
      <c r="U749" s="335"/>
      <c r="V749" s="335"/>
      <c r="W749" s="335"/>
      <c r="X749" s="335"/>
      <c r="Y749" s="335"/>
      <c r="Z749" s="335"/>
      <c r="AA749" s="335"/>
      <c r="AB749" s="335"/>
      <c r="AC749" s="335"/>
      <c r="AD749" s="335"/>
      <c r="AE749" s="335"/>
      <c r="AF749" s="335"/>
      <c r="AG749" s="335"/>
      <c r="AH749" s="335"/>
      <c r="AI749" s="335"/>
      <c r="AJ749" s="335"/>
      <c r="AK749" s="335"/>
    </row>
    <row r="750" spans="1:14" ht="23.25" customHeight="1" thickBot="1">
      <c r="A750" s="107"/>
      <c r="B750" s="129"/>
      <c r="C750" s="3"/>
      <c r="D750" s="3"/>
      <c r="E750" s="3"/>
      <c r="F750" s="3"/>
      <c r="G750" s="3"/>
      <c r="H750" s="3"/>
      <c r="I750" s="3"/>
      <c r="J750" s="3"/>
      <c r="K750" s="326"/>
      <c r="L750" s="326"/>
      <c r="M750" s="20"/>
      <c r="N750" s="20"/>
    </row>
    <row r="751" spans="1:63" s="479" customFormat="1" ht="30.75" customHeight="1" thickTop="1">
      <c r="A751" s="746" t="s">
        <v>43</v>
      </c>
      <c r="B751" s="819" t="s">
        <v>977</v>
      </c>
      <c r="C751" s="1376" t="s">
        <v>884</v>
      </c>
      <c r="D751" s="1377"/>
      <c r="E751" s="1273" t="s">
        <v>990</v>
      </c>
      <c r="F751" s="1274"/>
      <c r="G751" s="1273" t="s">
        <v>883</v>
      </c>
      <c r="H751" s="1274"/>
      <c r="I751" s="765" t="s">
        <v>881</v>
      </c>
      <c r="J751" s="766"/>
      <c r="K751" s="816" t="s">
        <v>882</v>
      </c>
      <c r="L751" s="790"/>
      <c r="M751" s="481"/>
      <c r="N751" s="335"/>
      <c r="O751" s="335"/>
      <c r="P751" s="335"/>
      <c r="Q751" s="335"/>
      <c r="R751" s="335"/>
      <c r="S751" s="335"/>
      <c r="T751" s="335"/>
      <c r="U751" s="335"/>
      <c r="V751" s="335"/>
      <c r="W751" s="335"/>
      <c r="X751" s="335"/>
      <c r="Y751" s="335"/>
      <c r="Z751" s="335"/>
      <c r="AA751" s="335"/>
      <c r="AB751" s="335"/>
      <c r="AC751" s="335"/>
      <c r="AD751" s="335"/>
      <c r="AE751" s="335"/>
      <c r="AF751" s="335"/>
      <c r="AG751" s="335"/>
      <c r="AH751" s="335"/>
      <c r="AI751" s="335"/>
      <c r="AJ751" s="335"/>
      <c r="AK751" s="335"/>
      <c r="AL751" s="335"/>
      <c r="AM751" s="335"/>
      <c r="AN751" s="335"/>
      <c r="AO751" s="335"/>
      <c r="AP751" s="335"/>
      <c r="AQ751" s="335"/>
      <c r="AR751" s="335"/>
      <c r="AS751" s="335"/>
      <c r="AT751" s="335"/>
      <c r="AU751" s="335"/>
      <c r="AV751" s="335"/>
      <c r="AW751" s="335"/>
      <c r="AX751" s="335"/>
      <c r="AY751" s="335"/>
      <c r="AZ751" s="335"/>
      <c r="BA751" s="335"/>
      <c r="BB751" s="335"/>
      <c r="BC751" s="335"/>
      <c r="BD751" s="335"/>
      <c r="BE751" s="335"/>
      <c r="BF751" s="335"/>
      <c r="BG751" s="335"/>
      <c r="BH751" s="335"/>
      <c r="BI751" s="335"/>
      <c r="BJ751" s="335"/>
      <c r="BK751" s="335"/>
    </row>
    <row r="752" spans="1:20" ht="18" customHeight="1">
      <c r="A752" s="78" t="s">
        <v>109</v>
      </c>
      <c r="B752" s="127" t="s">
        <v>51</v>
      </c>
      <c r="C752" s="1222">
        <f>CEILING(19*$Z$1,0.1)</f>
        <v>23.8</v>
      </c>
      <c r="D752" s="1223"/>
      <c r="E752" s="1222">
        <f>CEILING(19*$Z$1,0.1)</f>
        <v>23.8</v>
      </c>
      <c r="F752" s="1223"/>
      <c r="G752" s="1222">
        <f>CEILING(19*$Z$1,0.1)</f>
        <v>23.8</v>
      </c>
      <c r="H752" s="1223"/>
      <c r="I752" s="1222">
        <f>CEILING(19*$Z$1,0.1)</f>
        <v>23.8</v>
      </c>
      <c r="J752" s="1223"/>
      <c r="K752" s="1222">
        <f>CEILING(19*$Z$1,0.1)</f>
        <v>23.8</v>
      </c>
      <c r="L752" s="1223"/>
      <c r="M752" s="331"/>
      <c r="Q752" s="1403"/>
      <c r="R752" s="1403"/>
      <c r="S752" s="1403"/>
      <c r="T752" s="1403"/>
    </row>
    <row r="753" spans="1:20" ht="17.25" customHeight="1">
      <c r="A753" s="645" t="s">
        <v>1314</v>
      </c>
      <c r="B753" s="29" t="s">
        <v>52</v>
      </c>
      <c r="C753" s="1218">
        <f>CEILING((C752+7*$Z$1),0.1)</f>
        <v>32.6</v>
      </c>
      <c r="D753" s="1219"/>
      <c r="E753" s="1218">
        <f>CEILING((E752+7*$Z$1),0.1)</f>
        <v>32.6</v>
      </c>
      <c r="F753" s="1219"/>
      <c r="G753" s="1218">
        <f>CEILING((G752+7*$Z$1),0.1)</f>
        <v>32.6</v>
      </c>
      <c r="H753" s="1219"/>
      <c r="I753" s="1218">
        <f>CEILING((I752+7*$Z$1),0.1)</f>
        <v>32.6</v>
      </c>
      <c r="J753" s="1219"/>
      <c r="K753" s="1218">
        <f>CEILING((K752+7*$Z$1),0.1)</f>
        <v>32.6</v>
      </c>
      <c r="L753" s="1219"/>
      <c r="M753" s="331"/>
      <c r="Q753" s="1328"/>
      <c r="R753" s="1328"/>
      <c r="S753" s="1328"/>
      <c r="T753" s="1328"/>
    </row>
    <row r="754" spans="1:20" ht="15" customHeight="1">
      <c r="A754" s="28" t="s">
        <v>90</v>
      </c>
      <c r="B754" s="127" t="s">
        <v>47</v>
      </c>
      <c r="C754" s="1218">
        <f>CEILING((C752*0.85),0.1)</f>
        <v>20.3</v>
      </c>
      <c r="D754" s="1219"/>
      <c r="E754" s="1218">
        <f>CEILING((E752*0.85),0.1)</f>
        <v>20.3</v>
      </c>
      <c r="F754" s="1219"/>
      <c r="G754" s="1218">
        <f>CEILING((G752*0.85),0.1)</f>
        <v>20.3</v>
      </c>
      <c r="H754" s="1219"/>
      <c r="I754" s="1218">
        <f>CEILING((I752*0.85),0.1)</f>
        <v>20.3</v>
      </c>
      <c r="J754" s="1219"/>
      <c r="K754" s="1218">
        <f>CEILING((K752*0.85),0.1)</f>
        <v>20.3</v>
      </c>
      <c r="L754" s="1219"/>
      <c r="M754" s="335"/>
      <c r="N754" s="189"/>
      <c r="Q754" s="1328"/>
      <c r="R754" s="1328"/>
      <c r="S754" s="1328"/>
      <c r="T754" s="1328"/>
    </row>
    <row r="755" spans="1:20" ht="15.75" thickBot="1">
      <c r="A755" s="236" t="s">
        <v>439</v>
      </c>
      <c r="B755" s="504" t="s">
        <v>71</v>
      </c>
      <c r="C755" s="1220">
        <f>CEILING((C770*0),0.1)</f>
        <v>0</v>
      </c>
      <c r="D755" s="1221"/>
      <c r="E755" s="1220">
        <f>CEILING((E770*0),0.1)</f>
        <v>0</v>
      </c>
      <c r="F755" s="1221"/>
      <c r="G755" s="1220">
        <f>CEILING((G770*0),0.1)</f>
        <v>0</v>
      </c>
      <c r="H755" s="1221"/>
      <c r="I755" s="1220">
        <f>CEILING((I770*0),0.1)</f>
        <v>0</v>
      </c>
      <c r="J755" s="1221"/>
      <c r="K755" s="1220">
        <f>CEILING((K770*0),0.1)</f>
        <v>0</v>
      </c>
      <c r="L755" s="1221"/>
      <c r="M755" s="335"/>
      <c r="N755" s="189"/>
      <c r="Q755" s="1328"/>
      <c r="R755" s="1328"/>
      <c r="S755" s="1328"/>
      <c r="T755" s="1328"/>
    </row>
    <row r="756" spans="1:45" s="1112" customFormat="1" ht="16.5" customHeight="1" thickTop="1">
      <c r="A756" s="1012"/>
      <c r="B756" s="1012"/>
      <c r="C756" s="1012"/>
      <c r="D756" s="1012"/>
      <c r="E756" s="1012"/>
      <c r="F756" s="1012"/>
      <c r="G756" s="1012"/>
      <c r="H756" s="1012"/>
      <c r="I756" s="1012"/>
      <c r="J756" s="1012"/>
      <c r="K756" s="1111"/>
      <c r="L756" s="1111"/>
      <c r="M756" s="335"/>
      <c r="N756" s="335"/>
      <c r="O756" s="335"/>
      <c r="P756" s="335"/>
      <c r="Q756" s="335"/>
      <c r="R756" s="335"/>
      <c r="S756" s="335"/>
      <c r="T756" s="335"/>
      <c r="U756" s="335"/>
      <c r="V756" s="335"/>
      <c r="W756" s="335"/>
      <c r="X756" s="335"/>
      <c r="Y756" s="335"/>
      <c r="Z756" s="335"/>
      <c r="AA756" s="335"/>
      <c r="AB756" s="335"/>
      <c r="AC756" s="335"/>
      <c r="AD756" s="335"/>
      <c r="AE756" s="335"/>
      <c r="AF756" s="335"/>
      <c r="AG756" s="335"/>
      <c r="AH756" s="335"/>
      <c r="AI756" s="335"/>
      <c r="AJ756" s="335"/>
      <c r="AK756" s="335"/>
      <c r="AL756" s="335"/>
      <c r="AM756" s="335"/>
      <c r="AN756" s="335"/>
      <c r="AO756" s="335"/>
      <c r="AP756" s="335"/>
      <c r="AQ756" s="335"/>
      <c r="AR756" s="335"/>
      <c r="AS756" s="335"/>
    </row>
    <row r="757" spans="1:25" s="479" customFormat="1" ht="15">
      <c r="A757" s="107"/>
      <c r="B757" s="129"/>
      <c r="C757" s="3"/>
      <c r="D757" s="22"/>
      <c r="E757" s="22"/>
      <c r="F757" s="22"/>
      <c r="G757" s="22"/>
      <c r="H757" s="22"/>
      <c r="I757" s="3"/>
      <c r="J757" s="3"/>
      <c r="K757" s="94"/>
      <c r="L757" s="94"/>
      <c r="M757" s="335"/>
      <c r="N757" s="481"/>
      <c r="O757" s="480"/>
      <c r="P757" s="480"/>
      <c r="Q757" s="564"/>
      <c r="R757" s="564"/>
      <c r="S757" s="564"/>
      <c r="T757" s="564"/>
      <c r="U757" s="480"/>
      <c r="V757" s="480"/>
      <c r="W757" s="480"/>
      <c r="X757" s="480"/>
      <c r="Y757" s="480"/>
    </row>
    <row r="758" spans="1:20" ht="15">
      <c r="A758" s="1380" t="s">
        <v>457</v>
      </c>
      <c r="B758" s="1380"/>
      <c r="C758" s="1380"/>
      <c r="D758" s="1380"/>
      <c r="E758" s="1380"/>
      <c r="F758" s="1380"/>
      <c r="G758" s="1380"/>
      <c r="H758" s="1380"/>
      <c r="I758" s="392"/>
      <c r="J758" s="3"/>
      <c r="K758" s="94"/>
      <c r="L758" s="94"/>
      <c r="M758" s="335"/>
      <c r="N758" s="189"/>
      <c r="Q758" s="1328"/>
      <c r="R758" s="1328"/>
      <c r="S758" s="1328"/>
      <c r="T758" s="1328"/>
    </row>
    <row r="759" spans="1:20" ht="17.25" customHeight="1">
      <c r="A759" s="1380" t="s">
        <v>456</v>
      </c>
      <c r="B759" s="1380"/>
      <c r="C759" s="1380"/>
      <c r="D759" s="1380"/>
      <c r="E759" s="1380"/>
      <c r="F759" s="1380"/>
      <c r="G759" s="1380"/>
      <c r="H759" s="1380"/>
      <c r="I759" s="392"/>
      <c r="J759" s="3"/>
      <c r="K759" s="313"/>
      <c r="L759" s="94"/>
      <c r="M759" s="335"/>
      <c r="N759" s="189"/>
      <c r="Q759" s="1328"/>
      <c r="R759" s="1328"/>
      <c r="S759" s="1328"/>
      <c r="T759" s="1328"/>
    </row>
    <row r="760" spans="1:20" ht="16.5" customHeight="1">
      <c r="A760" s="1380" t="s">
        <v>605</v>
      </c>
      <c r="B760" s="1380"/>
      <c r="C760" s="1380"/>
      <c r="D760" s="1380"/>
      <c r="E760" s="1380"/>
      <c r="F760" s="1380"/>
      <c r="G760" s="1380"/>
      <c r="H760" s="1380"/>
      <c r="I760" s="1301"/>
      <c r="J760" s="3"/>
      <c r="K760" s="313"/>
      <c r="L760" s="94"/>
      <c r="M760" s="335"/>
      <c r="N760" s="189"/>
      <c r="Q760" s="1328"/>
      <c r="R760" s="1328"/>
      <c r="S760" s="1328"/>
      <c r="T760" s="1328"/>
    </row>
    <row r="761" spans="1:20" ht="11.25" customHeight="1">
      <c r="A761" s="1380"/>
      <c r="B761" s="1380"/>
      <c r="C761" s="1380"/>
      <c r="D761" s="1380"/>
      <c r="E761" s="1380"/>
      <c r="F761" s="1380"/>
      <c r="G761" s="1380"/>
      <c r="H761" s="1380"/>
      <c r="I761" s="392"/>
      <c r="J761" s="3"/>
      <c r="K761" s="94"/>
      <c r="L761" s="94"/>
      <c r="M761" s="335"/>
      <c r="N761" s="189"/>
      <c r="Q761" s="1328"/>
      <c r="R761" s="1328"/>
      <c r="S761" s="1328"/>
      <c r="T761" s="1328"/>
    </row>
    <row r="762" spans="1:14" ht="15">
      <c r="A762" s="93"/>
      <c r="B762" s="30"/>
      <c r="C762" s="30"/>
      <c r="D762" s="30"/>
      <c r="E762" s="30"/>
      <c r="F762" s="30"/>
      <c r="G762" s="30"/>
      <c r="H762" s="30"/>
      <c r="I762" s="30"/>
      <c r="J762" s="30"/>
      <c r="K762" s="94"/>
      <c r="L762" s="94"/>
      <c r="M762" s="335"/>
      <c r="N762" s="189"/>
    </row>
    <row r="763" spans="1:14" ht="20.25">
      <c r="A763" s="1567" t="s">
        <v>110</v>
      </c>
      <c r="B763" s="1567"/>
      <c r="C763" s="1567"/>
      <c r="D763" s="1567"/>
      <c r="E763" s="1567"/>
      <c r="F763" s="1567"/>
      <c r="G763" s="1567"/>
      <c r="H763" s="1567"/>
      <c r="I763" s="1567"/>
      <c r="J763" s="1567"/>
      <c r="K763" s="1567"/>
      <c r="L763" s="1567"/>
      <c r="M763" s="1567"/>
      <c r="N763" s="1567"/>
    </row>
    <row r="764" spans="1:19" ht="23.25" customHeight="1">
      <c r="A764" s="1375" t="s">
        <v>111</v>
      </c>
      <c r="B764" s="1375"/>
      <c r="C764" s="1375"/>
      <c r="D764" s="1375"/>
      <c r="E764" s="1375"/>
      <c r="F764" s="1375"/>
      <c r="G764" s="1375"/>
      <c r="H764" s="1375"/>
      <c r="I764" s="94"/>
      <c r="J764" s="94"/>
      <c r="K764" s="94"/>
      <c r="L764" s="94"/>
      <c r="M764" s="1403"/>
      <c r="N764" s="1403"/>
      <c r="P764" s="1403"/>
      <c r="Q764" s="1403"/>
      <c r="R764" s="1403"/>
      <c r="S764" s="1403"/>
    </row>
    <row r="765" spans="1:19" ht="15" customHeight="1" thickBot="1">
      <c r="A765" s="295"/>
      <c r="B765" s="295"/>
      <c r="C765" s="295"/>
      <c r="D765" s="295"/>
      <c r="E765" s="295"/>
      <c r="F765" s="295"/>
      <c r="G765" s="295"/>
      <c r="H765" s="295"/>
      <c r="I765" s="296"/>
      <c r="J765" s="296"/>
      <c r="K765" s="303"/>
      <c r="L765" s="303"/>
      <c r="M765" s="1403"/>
      <c r="N765" s="1403"/>
      <c r="P765" s="1328"/>
      <c r="Q765" s="1328"/>
      <c r="R765" s="1328"/>
      <c r="S765" s="1328"/>
    </row>
    <row r="766" spans="1:63" s="479" customFormat="1" ht="30.75" customHeight="1" thickTop="1">
      <c r="A766" s="746" t="s">
        <v>43</v>
      </c>
      <c r="B766" s="819" t="s">
        <v>961</v>
      </c>
      <c r="C766" s="1376" t="s">
        <v>884</v>
      </c>
      <c r="D766" s="1377"/>
      <c r="E766" s="1273" t="s">
        <v>883</v>
      </c>
      <c r="F766" s="1274"/>
      <c r="G766" s="1273" t="s">
        <v>880</v>
      </c>
      <c r="H766" s="1274"/>
      <c r="I766" s="765" t="s">
        <v>881</v>
      </c>
      <c r="J766" s="766"/>
      <c r="K766" s="816" t="s">
        <v>882</v>
      </c>
      <c r="L766" s="790"/>
      <c r="M766" s="481"/>
      <c r="N766" s="335"/>
      <c r="O766" s="335"/>
      <c r="P766" s="335"/>
      <c r="Q766" s="335"/>
      <c r="R766" s="335"/>
      <c r="S766" s="335"/>
      <c r="T766" s="335"/>
      <c r="U766" s="335"/>
      <c r="V766" s="335"/>
      <c r="W766" s="335"/>
      <c r="X766" s="335"/>
      <c r="Y766" s="335"/>
      <c r="Z766" s="335"/>
      <c r="AA766" s="335"/>
      <c r="AB766" s="335"/>
      <c r="AC766" s="335"/>
      <c r="AD766" s="335"/>
      <c r="AE766" s="335"/>
      <c r="AF766" s="335"/>
      <c r="AG766" s="335"/>
      <c r="AH766" s="335"/>
      <c r="AI766" s="335"/>
      <c r="AJ766" s="335"/>
      <c r="AK766" s="335"/>
      <c r="AL766" s="335"/>
      <c r="AM766" s="335"/>
      <c r="AN766" s="335"/>
      <c r="AO766" s="335"/>
      <c r="AP766" s="335"/>
      <c r="AQ766" s="335"/>
      <c r="AR766" s="335"/>
      <c r="AS766" s="335"/>
      <c r="AT766" s="335"/>
      <c r="AU766" s="335"/>
      <c r="AV766" s="335"/>
      <c r="AW766" s="335"/>
      <c r="AX766" s="335"/>
      <c r="AY766" s="335"/>
      <c r="AZ766" s="335"/>
      <c r="BA766" s="335"/>
      <c r="BB766" s="335"/>
      <c r="BC766" s="335"/>
      <c r="BD766" s="335"/>
      <c r="BE766" s="335"/>
      <c r="BF766" s="335"/>
      <c r="BG766" s="335"/>
      <c r="BH766" s="335"/>
      <c r="BI766" s="335"/>
      <c r="BJ766" s="335"/>
      <c r="BK766" s="335"/>
    </row>
    <row r="767" spans="1:19" ht="15">
      <c r="A767" s="223" t="s">
        <v>112</v>
      </c>
      <c r="B767" s="40" t="s">
        <v>51</v>
      </c>
      <c r="C767" s="681">
        <f>CEILING(60*$Z$1,0.1)</f>
        <v>75</v>
      </c>
      <c r="D767" s="682"/>
      <c r="E767" s="681">
        <f>CEILING(80*$Z$1,0.1)</f>
        <v>100</v>
      </c>
      <c r="F767" s="682"/>
      <c r="G767" s="1268">
        <f>CEILING(75*$Z$1,0.1)</f>
        <v>93.80000000000001</v>
      </c>
      <c r="H767" s="1269"/>
      <c r="I767" s="1268">
        <f>CEILING(75*$Z$1,0.1)</f>
        <v>93.80000000000001</v>
      </c>
      <c r="J767" s="1269"/>
      <c r="K767" s="1268">
        <f>CEILING(60*$Z$1,0.1)</f>
        <v>75</v>
      </c>
      <c r="L767" s="1269"/>
      <c r="M767" s="1268"/>
      <c r="N767" s="1269"/>
      <c r="O767" s="481"/>
      <c r="P767" s="1328"/>
      <c r="Q767" s="1328"/>
      <c r="R767" s="1328"/>
      <c r="S767" s="1328"/>
    </row>
    <row r="768" spans="1:19" ht="15">
      <c r="A768" s="182" t="s">
        <v>59</v>
      </c>
      <c r="B768" s="12" t="s">
        <v>52</v>
      </c>
      <c r="C768" s="683">
        <f>CEILING((C767+45*$Z$1),0.1)</f>
        <v>131.3</v>
      </c>
      <c r="D768" s="684"/>
      <c r="E768" s="683">
        <f>CEILING((E767+45*$Z$1),0.1)</f>
        <v>156.3</v>
      </c>
      <c r="F768" s="684"/>
      <c r="G768" s="1268">
        <f>CEILING((G767+45*$Z$1),0.1)</f>
        <v>150.1</v>
      </c>
      <c r="H768" s="1270"/>
      <c r="I768" s="1268">
        <f>CEILING((I767+45*$Z$1),0.1)</f>
        <v>150.1</v>
      </c>
      <c r="J768" s="1270"/>
      <c r="K768" s="1268">
        <f>CEILING((K767+45*$Z$1),0.1)</f>
        <v>131.3</v>
      </c>
      <c r="L768" s="1270"/>
      <c r="M768" s="1268"/>
      <c r="N768" s="1269"/>
      <c r="O768" s="481"/>
      <c r="P768" s="1328"/>
      <c r="Q768" s="1328"/>
      <c r="R768" s="1328"/>
      <c r="S768" s="1328"/>
    </row>
    <row r="769" spans="1:19" ht="15">
      <c r="A769" s="182"/>
      <c r="B769" s="12" t="s">
        <v>47</v>
      </c>
      <c r="C769" s="683">
        <f>CEILING((C767*0.85),0.1)</f>
        <v>63.800000000000004</v>
      </c>
      <c r="D769" s="684"/>
      <c r="E769" s="683">
        <f>CEILING((E767*0.85),0.1)</f>
        <v>85</v>
      </c>
      <c r="F769" s="684"/>
      <c r="G769" s="1268">
        <f>CEILING((G767*0.85),0.1)</f>
        <v>79.80000000000001</v>
      </c>
      <c r="H769" s="1270"/>
      <c r="I769" s="1268">
        <f>CEILING((I767*0.85),0.1)</f>
        <v>79.80000000000001</v>
      </c>
      <c r="J769" s="1270"/>
      <c r="K769" s="1268">
        <f>CEILING((K767*0.85),0.1)</f>
        <v>63.800000000000004</v>
      </c>
      <c r="L769" s="1270"/>
      <c r="M769" s="1268"/>
      <c r="N769" s="1269"/>
      <c r="O769" s="481"/>
      <c r="P769" s="1328"/>
      <c r="Q769" s="1328"/>
      <c r="R769" s="1328"/>
      <c r="S769" s="1328"/>
    </row>
    <row r="770" spans="1:19" ht="15">
      <c r="A770" s="182"/>
      <c r="B770" s="37" t="s">
        <v>909</v>
      </c>
      <c r="C770" s="683">
        <f>CEILING((C767*0.5),0.1)</f>
        <v>37.5</v>
      </c>
      <c r="D770" s="684"/>
      <c r="E770" s="683">
        <f>CEILING((E767*0.5),0.1)</f>
        <v>50</v>
      </c>
      <c r="F770" s="684"/>
      <c r="G770" s="1268">
        <f>CEILING((G767*0.5),0.1)</f>
        <v>46.900000000000006</v>
      </c>
      <c r="H770" s="1270"/>
      <c r="I770" s="1268">
        <f>CEILING((I767*0.5),0.1)</f>
        <v>46.900000000000006</v>
      </c>
      <c r="J770" s="1270"/>
      <c r="K770" s="1268">
        <f>CEILING((K767*0.5),0.1)</f>
        <v>37.5</v>
      </c>
      <c r="L770" s="1270"/>
      <c r="M770" s="1268"/>
      <c r="N770" s="1269"/>
      <c r="O770" s="481"/>
      <c r="P770" s="1328"/>
      <c r="Q770" s="1328"/>
      <c r="R770" s="1328"/>
      <c r="S770" s="1328"/>
    </row>
    <row r="771" spans="1:19" ht="15.75" customHeight="1">
      <c r="A771" s="182"/>
      <c r="B771" s="10" t="s">
        <v>257</v>
      </c>
      <c r="C771" s="683">
        <f>CEILING(100*$Z$1,0.1)</f>
        <v>125</v>
      </c>
      <c r="D771" s="684"/>
      <c r="E771" s="683">
        <f>CEILING(120*$Z$1,0.1)</f>
        <v>150</v>
      </c>
      <c r="F771" s="684"/>
      <c r="G771" s="1268">
        <f>CEILING(115*$Z$1,0.1)</f>
        <v>143.8</v>
      </c>
      <c r="H771" s="1270"/>
      <c r="I771" s="1268">
        <f>CEILING(115*$Z$1,0.1)</f>
        <v>143.8</v>
      </c>
      <c r="J771" s="1270"/>
      <c r="K771" s="1268">
        <f>CEILING(100*$Z$1,0.1)</f>
        <v>125</v>
      </c>
      <c r="L771" s="1270"/>
      <c r="M771" s="1268"/>
      <c r="N771" s="1269"/>
      <c r="P771" s="1328"/>
      <c r="Q771" s="1328"/>
      <c r="R771" s="1328"/>
      <c r="S771" s="1328"/>
    </row>
    <row r="772" spans="1:19" ht="17.25" customHeight="1">
      <c r="A772" s="182"/>
      <c r="B772" s="10" t="s">
        <v>258</v>
      </c>
      <c r="C772" s="683">
        <f>CEILING((C771+45*$Z$1),0.1)</f>
        <v>181.3</v>
      </c>
      <c r="D772" s="684"/>
      <c r="E772" s="683">
        <f>CEILING((E771+45*$Z$1),0.1)</f>
        <v>206.3</v>
      </c>
      <c r="F772" s="684"/>
      <c r="G772" s="1268">
        <f>CEILING((G771+45*$Z$1),0.1)</f>
        <v>200.10000000000002</v>
      </c>
      <c r="H772" s="1270"/>
      <c r="I772" s="1268">
        <f>CEILING((I771+45*$Z$1),0.1)</f>
        <v>200.10000000000002</v>
      </c>
      <c r="J772" s="1270"/>
      <c r="K772" s="1268">
        <f>CEILING((K771+45*$Z$1),0.1)</f>
        <v>181.3</v>
      </c>
      <c r="L772" s="1270"/>
      <c r="M772" s="1268"/>
      <c r="N772" s="1269"/>
      <c r="P772" s="1328"/>
      <c r="Q772" s="1328"/>
      <c r="R772" s="1328"/>
      <c r="S772" s="1328"/>
    </row>
    <row r="773" spans="1:19" ht="15">
      <c r="A773" s="21"/>
      <c r="B773" s="29" t="s">
        <v>69</v>
      </c>
      <c r="C773" s="683">
        <f>CEILING(110*$Z$1,0.1)</f>
        <v>137.5</v>
      </c>
      <c r="D773" s="684"/>
      <c r="E773" s="683">
        <f>CEILING(130*$Z$1,0.1)</f>
        <v>162.5</v>
      </c>
      <c r="F773" s="684"/>
      <c r="G773" s="1268">
        <f>CEILING(125*$Z$1,0.1)</f>
        <v>156.3</v>
      </c>
      <c r="H773" s="1270"/>
      <c r="I773" s="1268">
        <f>CEILING(125*$Z$1,0.1)</f>
        <v>156.3</v>
      </c>
      <c r="J773" s="1270"/>
      <c r="K773" s="1268">
        <f>CEILING(110*$Z$1,0.1)</f>
        <v>137.5</v>
      </c>
      <c r="L773" s="1270"/>
      <c r="M773" s="1268"/>
      <c r="N773" s="1269"/>
      <c r="P773" s="1328"/>
      <c r="Q773" s="1328"/>
      <c r="R773" s="1328"/>
      <c r="S773" s="1328"/>
    </row>
    <row r="774" spans="1:19" ht="16.5" thickBot="1">
      <c r="A774" s="254" t="s">
        <v>424</v>
      </c>
      <c r="B774" s="38" t="s">
        <v>511</v>
      </c>
      <c r="C774" s="873">
        <v>0.15</v>
      </c>
      <c r="D774" s="874"/>
      <c r="E774" s="873">
        <v>0.15</v>
      </c>
      <c r="F774" s="874"/>
      <c r="G774" s="1278">
        <v>0.15</v>
      </c>
      <c r="H774" s="1279"/>
      <c r="I774" s="1278">
        <v>0.15</v>
      </c>
      <c r="J774" s="1279"/>
      <c r="K774" s="1278">
        <v>0.15</v>
      </c>
      <c r="L774" s="1279"/>
      <c r="M774" s="1268"/>
      <c r="N774" s="1269"/>
      <c r="P774" s="1328"/>
      <c r="Q774" s="1328"/>
      <c r="R774" s="1328"/>
      <c r="S774" s="1328"/>
    </row>
    <row r="775" spans="1:14" ht="15.75" thickTop="1">
      <c r="A775" s="1318" t="s">
        <v>521</v>
      </c>
      <c r="B775" s="1318"/>
      <c r="C775" s="1318"/>
      <c r="D775" s="1318"/>
      <c r="E775" s="1318"/>
      <c r="F775" s="1318"/>
      <c r="G775" s="1318"/>
      <c r="H775" s="1318"/>
      <c r="I775" s="1318"/>
      <c r="J775" s="1318"/>
      <c r="K775" s="313"/>
      <c r="L775" s="313"/>
      <c r="M775" s="16"/>
      <c r="N775" s="158"/>
    </row>
    <row r="776" spans="1:25" s="404" customFormat="1" ht="15">
      <c r="A776" s="172" t="s">
        <v>522</v>
      </c>
      <c r="B776" s="409"/>
      <c r="C776" s="409"/>
      <c r="D776" s="409"/>
      <c r="E776" s="409"/>
      <c r="F776" s="409"/>
      <c r="G776" s="409"/>
      <c r="H776" s="409"/>
      <c r="I776" s="409"/>
      <c r="J776" s="409"/>
      <c r="K776" s="313"/>
      <c r="L776" s="313"/>
      <c r="M776" s="16"/>
      <c r="N776" s="158"/>
      <c r="O776" s="169"/>
      <c r="P776" s="169"/>
      <c r="Q776" s="169"/>
      <c r="R776" s="169"/>
      <c r="S776" s="169"/>
      <c r="T776" s="169"/>
      <c r="U776" s="169"/>
      <c r="V776" s="169"/>
      <c r="W776" s="169"/>
      <c r="X776" s="169"/>
      <c r="Y776" s="169"/>
    </row>
    <row r="777" spans="1:25" ht="13.5" customHeight="1" thickBot="1">
      <c r="A777" s="95"/>
      <c r="B777" s="96"/>
      <c r="C777" s="96"/>
      <c r="D777" s="97"/>
      <c r="E777" s="97"/>
      <c r="F777" s="97"/>
      <c r="G777" s="97"/>
      <c r="H777" s="97"/>
      <c r="I777" s="97"/>
      <c r="J777" s="97"/>
      <c r="K777" s="303"/>
      <c r="L777" s="303"/>
      <c r="M777" s="169"/>
      <c r="X777"/>
      <c r="Y777"/>
    </row>
    <row r="778" spans="1:63" s="479" customFormat="1" ht="30.75" customHeight="1" thickTop="1">
      <c r="A778" s="746" t="s">
        <v>43</v>
      </c>
      <c r="B778" s="819" t="s">
        <v>961</v>
      </c>
      <c r="C778" s="1376" t="s">
        <v>884</v>
      </c>
      <c r="D778" s="1377"/>
      <c r="E778" s="1273" t="s">
        <v>990</v>
      </c>
      <c r="F778" s="1274"/>
      <c r="G778" s="1273" t="s">
        <v>883</v>
      </c>
      <c r="H778" s="1274"/>
      <c r="I778" s="765" t="s">
        <v>881</v>
      </c>
      <c r="J778" s="766"/>
      <c r="K778" s="765" t="s">
        <v>882</v>
      </c>
      <c r="L778" s="766"/>
      <c r="M778" s="481"/>
      <c r="N778" s="335"/>
      <c r="O778" s="335"/>
      <c r="P778" s="335"/>
      <c r="Q778" s="335"/>
      <c r="R778" s="335"/>
      <c r="S778" s="335"/>
      <c r="T778" s="335"/>
      <c r="U778" s="335"/>
      <c r="V778" s="335"/>
      <c r="W778" s="335"/>
      <c r="X778" s="335"/>
      <c r="Y778" s="335"/>
      <c r="Z778" s="335"/>
      <c r="AA778" s="335"/>
      <c r="AB778" s="335"/>
      <c r="AC778" s="335"/>
      <c r="AD778" s="335"/>
      <c r="AE778" s="335"/>
      <c r="AF778" s="335"/>
      <c r="AG778" s="335"/>
      <c r="AH778" s="335"/>
      <c r="AI778" s="335"/>
      <c r="AJ778" s="335"/>
      <c r="AK778" s="335"/>
      <c r="AL778" s="335"/>
      <c r="AM778" s="335"/>
      <c r="AN778" s="335"/>
      <c r="AO778" s="335"/>
      <c r="AP778" s="335"/>
      <c r="AQ778" s="335"/>
      <c r="AR778" s="335"/>
      <c r="AS778" s="335"/>
      <c r="AT778" s="335"/>
      <c r="AU778" s="335"/>
      <c r="AV778" s="335"/>
      <c r="AW778" s="335"/>
      <c r="AX778" s="335"/>
      <c r="AY778" s="335"/>
      <c r="AZ778" s="335"/>
      <c r="BA778" s="335"/>
      <c r="BB778" s="335"/>
      <c r="BC778" s="335"/>
      <c r="BD778" s="335"/>
      <c r="BE778" s="335"/>
      <c r="BF778" s="335"/>
      <c r="BG778" s="335"/>
      <c r="BH778" s="335"/>
      <c r="BI778" s="335"/>
      <c r="BJ778" s="335"/>
      <c r="BK778" s="335"/>
    </row>
    <row r="779" spans="1:14" ht="15" customHeight="1">
      <c r="A779" s="98" t="s">
        <v>524</v>
      </c>
      <c r="B779" s="237" t="s">
        <v>65</v>
      </c>
      <c r="C779" s="1266">
        <f>CEILING(50*$Z$1,0.1)</f>
        <v>62.5</v>
      </c>
      <c r="D779" s="1267"/>
      <c r="E779" s="1268">
        <f>CEILING(75*$Z$1,0.1)</f>
        <v>93.80000000000001</v>
      </c>
      <c r="F779" s="1269"/>
      <c r="G779" s="1268">
        <f>CEILING(65*$Z$1,0.1)</f>
        <v>81.30000000000001</v>
      </c>
      <c r="H779" s="1269"/>
      <c r="I779" s="1268">
        <f>CEILING(65*$Z$1,0.1)</f>
        <v>81.30000000000001</v>
      </c>
      <c r="J779" s="1269"/>
      <c r="K779" s="1268">
        <f>CEILING(45*$Z$1,0.1)</f>
        <v>56.300000000000004</v>
      </c>
      <c r="L779" s="1270"/>
      <c r="M779" s="16"/>
      <c r="N779" s="158"/>
    </row>
    <row r="780" spans="1:14" ht="17.25" customHeight="1">
      <c r="A780" s="28" t="s">
        <v>59</v>
      </c>
      <c r="B780" s="238" t="s">
        <v>52</v>
      </c>
      <c r="C780" s="1268">
        <f>CEILING((C779+15*$Z$1),0.1)</f>
        <v>81.30000000000001</v>
      </c>
      <c r="D780" s="1270"/>
      <c r="E780" s="1268">
        <f>CEILING((E779+15*$Z$1),0.1)</f>
        <v>112.60000000000001</v>
      </c>
      <c r="F780" s="1270"/>
      <c r="G780" s="1268">
        <f>CEILING((G779+15*$Z$1),0.1)</f>
        <v>100.10000000000001</v>
      </c>
      <c r="H780" s="1270"/>
      <c r="I780" s="1268">
        <f>CEILING((I779+15*$Z$1),0.1)</f>
        <v>100.10000000000001</v>
      </c>
      <c r="J780" s="1270"/>
      <c r="K780" s="1268">
        <f>CEILING((K779+15*$Z$1),0.1)</f>
        <v>75.10000000000001</v>
      </c>
      <c r="L780" s="1270"/>
      <c r="M780" s="16"/>
      <c r="N780" s="158"/>
    </row>
    <row r="781" spans="1:14" ht="17.25" customHeight="1">
      <c r="A781" s="66"/>
      <c r="B781" s="238" t="s">
        <v>242</v>
      </c>
      <c r="C781" s="1268">
        <f>CEILING((C779*0.85),0.1)</f>
        <v>53.2</v>
      </c>
      <c r="D781" s="1270"/>
      <c r="E781" s="1268">
        <f>CEILING((E779*0.85),0.1)</f>
        <v>79.80000000000001</v>
      </c>
      <c r="F781" s="1270"/>
      <c r="G781" s="1268">
        <f>CEILING((G779*0.85),0.1)</f>
        <v>69.2</v>
      </c>
      <c r="H781" s="1270"/>
      <c r="I781" s="1268">
        <f>CEILING((I779*0.85),0.1)</f>
        <v>69.2</v>
      </c>
      <c r="J781" s="1270"/>
      <c r="K781" s="1268">
        <f>CEILING((K779*0.85),0.1)</f>
        <v>47.900000000000006</v>
      </c>
      <c r="L781" s="1270"/>
      <c r="M781" s="16"/>
      <c r="N781" s="158"/>
    </row>
    <row r="782" spans="1:14" ht="15" customHeight="1">
      <c r="A782" s="66" t="s">
        <v>523</v>
      </c>
      <c r="B782" s="37" t="s">
        <v>1170</v>
      </c>
      <c r="C782" s="1323">
        <v>0</v>
      </c>
      <c r="D782" s="1324"/>
      <c r="E782" s="1323">
        <v>0</v>
      </c>
      <c r="F782" s="1324"/>
      <c r="G782" s="1323">
        <v>0</v>
      </c>
      <c r="H782" s="1324"/>
      <c r="I782" s="1323">
        <v>0</v>
      </c>
      <c r="J782" s="1324"/>
      <c r="K782" s="1323">
        <v>0</v>
      </c>
      <c r="L782" s="1324"/>
      <c r="M782" s="16"/>
      <c r="N782" s="158"/>
    </row>
    <row r="783" spans="1:13" ht="15.75" customHeight="1">
      <c r="A783" s="66"/>
      <c r="B783" s="239" t="s">
        <v>53</v>
      </c>
      <c r="C783" s="1268">
        <f>CEILING(60*$Z$1,0.1)</f>
        <v>75</v>
      </c>
      <c r="D783" s="1270"/>
      <c r="E783" s="1268">
        <f>CEILING(85*$Z$1,0.1)</f>
        <v>106.30000000000001</v>
      </c>
      <c r="F783" s="1269"/>
      <c r="G783" s="1268">
        <f>CEILING(75*$Z$1,0.1)</f>
        <v>93.80000000000001</v>
      </c>
      <c r="H783" s="1269"/>
      <c r="I783" s="1268">
        <f>CEILING(75*$Z$1,0.1)</f>
        <v>93.80000000000001</v>
      </c>
      <c r="J783" s="1269"/>
      <c r="K783" s="1268">
        <f>CEILING(55*$Z$1,0.1)</f>
        <v>68.8</v>
      </c>
      <c r="L783" s="1270"/>
      <c r="M783" s="169"/>
    </row>
    <row r="784" spans="1:13" ht="15">
      <c r="A784" s="66"/>
      <c r="B784" s="239" t="s">
        <v>54</v>
      </c>
      <c r="C784" s="1268">
        <f>CEILING((C783+15*$Z$1),0.1)</f>
        <v>93.80000000000001</v>
      </c>
      <c r="D784" s="1270"/>
      <c r="E784" s="1268">
        <f>CEILING((E783+15*$Z$1),0.1)</f>
        <v>125.10000000000001</v>
      </c>
      <c r="F784" s="1269"/>
      <c r="G784" s="1268">
        <f>CEILING((G783+15*$Z$1),0.1)</f>
        <v>112.60000000000001</v>
      </c>
      <c r="H784" s="1269"/>
      <c r="I784" s="1268">
        <f>CEILING((I783+15*$Z$1),0.1)</f>
        <v>112.60000000000001</v>
      </c>
      <c r="J784" s="1269"/>
      <c r="K784" s="1268">
        <f>CEILING((K783+15*$Z$1),0.1)</f>
        <v>87.60000000000001</v>
      </c>
      <c r="L784" s="1270"/>
      <c r="M784" s="169"/>
    </row>
    <row r="785" spans="1:13" ht="15">
      <c r="A785" s="646"/>
      <c r="B785" s="238" t="s">
        <v>62</v>
      </c>
      <c r="C785" s="1268">
        <f>CEILING(65*$Z$1,0.1)</f>
        <v>81.30000000000001</v>
      </c>
      <c r="D785" s="1270"/>
      <c r="E785" s="1268">
        <f>CEILING(90*$Z$1,0.1)</f>
        <v>112.5</v>
      </c>
      <c r="F785" s="1269"/>
      <c r="G785" s="1268">
        <f>CEILING(85*$Z$1,0.1)</f>
        <v>106.30000000000001</v>
      </c>
      <c r="H785" s="1269"/>
      <c r="I785" s="1268">
        <f>CEILING(85*$Z$1,0.1)</f>
        <v>106.30000000000001</v>
      </c>
      <c r="J785" s="1269"/>
      <c r="K785" s="1268">
        <f>CEILING(60*$Z$1,0.1)</f>
        <v>75</v>
      </c>
      <c r="L785" s="1270"/>
      <c r="M785" s="169"/>
    </row>
    <row r="786" spans="1:13" ht="15.75" thickBot="1">
      <c r="A786" s="646"/>
      <c r="B786" s="240" t="s">
        <v>63</v>
      </c>
      <c r="C786" s="1275">
        <f>CEILING((C785+15*$Z$1),0.1)</f>
        <v>100.10000000000001</v>
      </c>
      <c r="D786" s="1277"/>
      <c r="E786" s="1275">
        <f>CEILING((E785+15*$Z$1),0.1)</f>
        <v>131.3</v>
      </c>
      <c r="F786" s="1277"/>
      <c r="G786" s="1275">
        <f>CEILING((G785+15*$Z$1),0.1)</f>
        <v>125.10000000000001</v>
      </c>
      <c r="H786" s="1277"/>
      <c r="I786" s="1275">
        <f>CEILING((I785+15*$Z$1),0.1)</f>
        <v>125.10000000000001</v>
      </c>
      <c r="J786" s="1277"/>
      <c r="K786" s="1275">
        <f>CEILING((K785+15*$Z$1),0.1)</f>
        <v>93.80000000000001</v>
      </c>
      <c r="L786" s="1277"/>
      <c r="M786" s="169"/>
    </row>
    <row r="787" spans="1:13" ht="15.75" thickTop="1">
      <c r="A787" s="66"/>
      <c r="B787" s="271" t="s">
        <v>191</v>
      </c>
      <c r="C787" s="1332">
        <f>CEILING(50*$Z$1,0.1)</f>
        <v>62.5</v>
      </c>
      <c r="D787" s="1333"/>
      <c r="E787" s="1332">
        <f>CEILING(75*$Z$1,0.1)</f>
        <v>93.80000000000001</v>
      </c>
      <c r="F787" s="1333"/>
      <c r="G787" s="1332">
        <f>CEILING(65*$Z$1,0.1)</f>
        <v>81.30000000000001</v>
      </c>
      <c r="H787" s="1333"/>
      <c r="I787" s="1332">
        <f>CEILING(65*$Z$1,0.1)</f>
        <v>81.30000000000001</v>
      </c>
      <c r="J787" s="1333"/>
      <c r="K787" s="1332">
        <f>CEILING(45*$Z$1,0.1)</f>
        <v>56.300000000000004</v>
      </c>
      <c r="L787" s="1333"/>
      <c r="M787" s="169"/>
    </row>
    <row r="788" spans="1:13" ht="15">
      <c r="A788" s="66"/>
      <c r="B788" s="271" t="s">
        <v>192</v>
      </c>
      <c r="C788" s="1268">
        <f>CEILING((C787+15*$Z$1),0.1)</f>
        <v>81.30000000000001</v>
      </c>
      <c r="D788" s="1270"/>
      <c r="E788" s="1268">
        <f>CEILING((E787+15*$Z$1),0.1)</f>
        <v>112.60000000000001</v>
      </c>
      <c r="F788" s="1270"/>
      <c r="G788" s="1268">
        <f>CEILING((G787+15*$Z$1),0.1)</f>
        <v>100.10000000000001</v>
      </c>
      <c r="H788" s="1270"/>
      <c r="I788" s="1268">
        <f>CEILING((I787+15*$Z$1),0.1)</f>
        <v>100.10000000000001</v>
      </c>
      <c r="J788" s="1270"/>
      <c r="K788" s="1268">
        <f>CEILING((K787+15*$Z$1),0.1)</f>
        <v>75.10000000000001</v>
      </c>
      <c r="L788" s="1270"/>
      <c r="M788" s="169"/>
    </row>
    <row r="789" spans="1:13" ht="15">
      <c r="A789" s="66"/>
      <c r="B789" s="271" t="s">
        <v>312</v>
      </c>
      <c r="C789" s="1268">
        <f>CEILING(60*$Z$1,0.1)</f>
        <v>75</v>
      </c>
      <c r="D789" s="1270"/>
      <c r="E789" s="1268">
        <f>CEILING(85*$Z$1,0.1)</f>
        <v>106.30000000000001</v>
      </c>
      <c r="F789" s="1270"/>
      <c r="G789" s="1268">
        <f>CEILING(75*$Z$1,0.1)</f>
        <v>93.80000000000001</v>
      </c>
      <c r="H789" s="1270"/>
      <c r="I789" s="1268">
        <f>CEILING(75*$Z$1,0.1)</f>
        <v>93.80000000000001</v>
      </c>
      <c r="J789" s="1270"/>
      <c r="K789" s="1268">
        <f>CEILING(55*$Z$1,0.1)</f>
        <v>68.8</v>
      </c>
      <c r="L789" s="1270"/>
      <c r="M789" s="169"/>
    </row>
    <row r="790" spans="1:13" ht="15.75" thickBot="1">
      <c r="A790" s="236" t="s">
        <v>525</v>
      </c>
      <c r="B790" s="272" t="s">
        <v>313</v>
      </c>
      <c r="C790" s="1275">
        <f>CEILING((C789+15*$Z$1),0.1)</f>
        <v>93.80000000000001</v>
      </c>
      <c r="D790" s="1277"/>
      <c r="E790" s="1275">
        <f>CEILING((E789+15*$Z$1),0.1)</f>
        <v>125.10000000000001</v>
      </c>
      <c r="F790" s="1277"/>
      <c r="G790" s="1275">
        <f>CEILING((G789+15*$Z$1),0.1)</f>
        <v>112.60000000000001</v>
      </c>
      <c r="H790" s="1277"/>
      <c r="I790" s="1275">
        <f>CEILING((I789+15*$Z$1),0.1)</f>
        <v>112.60000000000001</v>
      </c>
      <c r="J790" s="1277"/>
      <c r="K790" s="1275">
        <f>CEILING((K789+15*$Z$1),0.1)</f>
        <v>87.60000000000001</v>
      </c>
      <c r="L790" s="1277"/>
      <c r="M790" s="169"/>
    </row>
    <row r="791" spans="1:13" ht="15.75" customHeight="1" thickTop="1">
      <c r="A791" s="53" t="s">
        <v>526</v>
      </c>
      <c r="B791" s="53"/>
      <c r="C791" s="53"/>
      <c r="D791" s="53"/>
      <c r="E791" s="53"/>
      <c r="F791" s="53"/>
      <c r="G791" s="53"/>
      <c r="H791" s="53"/>
      <c r="I791" s="99"/>
      <c r="J791" s="99"/>
      <c r="K791" s="318"/>
      <c r="L791" s="318"/>
      <c r="M791" s="169"/>
    </row>
    <row r="792" spans="1:37" s="776" customFormat="1" ht="15">
      <c r="A792" s="1306"/>
      <c r="B792" s="1306"/>
      <c r="C792" s="1306"/>
      <c r="D792" s="1306"/>
      <c r="E792" s="1306"/>
      <c r="F792" s="1306"/>
      <c r="G792" s="1306"/>
      <c r="H792" s="1306"/>
      <c r="I792" s="1306"/>
      <c r="J792" s="1306"/>
      <c r="K792" s="775"/>
      <c r="L792" s="775"/>
      <c r="M792" s="335"/>
      <c r="N792" s="335"/>
      <c r="O792" s="335"/>
      <c r="P792" s="335"/>
      <c r="Q792" s="335"/>
      <c r="R792" s="335"/>
      <c r="S792" s="335"/>
      <c r="T792" s="335"/>
      <c r="U792" s="335"/>
      <c r="V792" s="335"/>
      <c r="W792" s="335"/>
      <c r="X792" s="335"/>
      <c r="Y792" s="335"/>
      <c r="Z792" s="335"/>
      <c r="AA792" s="335"/>
      <c r="AB792" s="335"/>
      <c r="AC792" s="335"/>
      <c r="AD792" s="335"/>
      <c r="AE792" s="335"/>
      <c r="AF792" s="335"/>
      <c r="AG792" s="335"/>
      <c r="AH792" s="335"/>
      <c r="AI792" s="335"/>
      <c r="AJ792" s="335"/>
      <c r="AK792" s="335"/>
    </row>
    <row r="793" spans="1:37" s="479" customFormat="1" ht="18" customHeight="1">
      <c r="A793" s="172" t="s">
        <v>991</v>
      </c>
      <c r="B793" s="838"/>
      <c r="C793" s="22"/>
      <c r="D793" s="22"/>
      <c r="E793" s="22"/>
      <c r="F793" s="22"/>
      <c r="G793" s="22"/>
      <c r="H793" s="22"/>
      <c r="I793" s="22"/>
      <c r="J793" s="22"/>
      <c r="K793" s="166"/>
      <c r="L793" s="166"/>
      <c r="M793" s="827"/>
      <c r="N793" s="827"/>
      <c r="O793" s="331"/>
      <c r="P793" s="331"/>
      <c r="Q793" s="331"/>
      <c r="R793" s="331"/>
      <c r="S793" s="331"/>
      <c r="T793" s="331"/>
      <c r="U793" s="331"/>
      <c r="V793" s="331"/>
      <c r="W793" s="331"/>
      <c r="X793" s="331"/>
      <c r="Y793" s="331"/>
      <c r="Z793" s="331"/>
      <c r="AA793" s="331"/>
      <c r="AB793" s="331"/>
      <c r="AC793" s="331"/>
      <c r="AD793" s="331"/>
      <c r="AE793" s="331"/>
      <c r="AF793" s="331"/>
      <c r="AG793" s="331"/>
      <c r="AH793" s="331"/>
      <c r="AI793" s="331"/>
      <c r="AJ793" s="331"/>
      <c r="AK793" s="331"/>
    </row>
    <row r="794" spans="1:37" s="479" customFormat="1" ht="18" customHeight="1">
      <c r="A794" s="172" t="s">
        <v>937</v>
      </c>
      <c r="B794" s="838"/>
      <c r="C794" s="22"/>
      <c r="D794" s="22"/>
      <c r="E794" s="22"/>
      <c r="F794" s="22"/>
      <c r="G794" s="22"/>
      <c r="H794" s="22"/>
      <c r="I794" s="22"/>
      <c r="J794" s="22"/>
      <c r="K794" s="166"/>
      <c r="L794" s="166"/>
      <c r="M794" s="827"/>
      <c r="N794" s="827"/>
      <c r="O794" s="331"/>
      <c r="P794" s="331"/>
      <c r="Q794" s="331"/>
      <c r="R794" s="331"/>
      <c r="S794" s="331"/>
      <c r="T794" s="331"/>
      <c r="U794" s="331"/>
      <c r="V794" s="331"/>
      <c r="W794" s="331"/>
      <c r="X794" s="331"/>
      <c r="Y794" s="331"/>
      <c r="Z794" s="331"/>
      <c r="AA794" s="331"/>
      <c r="AB794" s="331"/>
      <c r="AC794" s="331"/>
      <c r="AD794" s="331"/>
      <c r="AE794" s="331"/>
      <c r="AF794" s="331"/>
      <c r="AG794" s="331"/>
      <c r="AH794" s="331"/>
      <c r="AI794" s="331"/>
      <c r="AJ794" s="331"/>
      <c r="AK794" s="331"/>
    </row>
    <row r="795" spans="1:25" s="479" customFormat="1" ht="15.75" thickBot="1">
      <c r="A795" s="97"/>
      <c r="B795" s="97"/>
      <c r="C795" s="53"/>
      <c r="D795" s="53"/>
      <c r="E795" s="53"/>
      <c r="F795" s="53"/>
      <c r="G795" s="53"/>
      <c r="H795" s="53"/>
      <c r="I795" s="99"/>
      <c r="J795" s="99"/>
      <c r="K795" s="318"/>
      <c r="L795" s="318"/>
      <c r="M795" s="480"/>
      <c r="N795" s="480"/>
      <c r="O795" s="480"/>
      <c r="P795" s="480"/>
      <c r="Q795" s="480"/>
      <c r="R795" s="480"/>
      <c r="S795" s="480"/>
      <c r="T795" s="480"/>
      <c r="U795" s="480"/>
      <c r="V795" s="480"/>
      <c r="W795" s="480"/>
      <c r="X795" s="480"/>
      <c r="Y795" s="480"/>
    </row>
    <row r="796" spans="1:25" s="479" customFormat="1" ht="21.75" customHeight="1" thickTop="1">
      <c r="A796" s="746" t="s">
        <v>43</v>
      </c>
      <c r="B796" s="819" t="s">
        <v>961</v>
      </c>
      <c r="C796" s="1376" t="s">
        <v>884</v>
      </c>
      <c r="D796" s="1377"/>
      <c r="E796" s="1273" t="s">
        <v>990</v>
      </c>
      <c r="F796" s="1274"/>
      <c r="G796" s="1273" t="s">
        <v>883</v>
      </c>
      <c r="H796" s="1274"/>
      <c r="I796" s="765" t="s">
        <v>881</v>
      </c>
      <c r="J796" s="766"/>
      <c r="K796" s="765" t="s">
        <v>882</v>
      </c>
      <c r="L796" s="766"/>
      <c r="M796" s="480"/>
      <c r="N796" s="480"/>
      <c r="O796" s="480"/>
      <c r="P796" s="480"/>
      <c r="Q796" s="480"/>
      <c r="R796" s="480"/>
      <c r="S796" s="480"/>
      <c r="T796" s="480"/>
      <c r="U796" s="480"/>
      <c r="V796" s="480"/>
      <c r="W796" s="480"/>
      <c r="X796" s="480"/>
      <c r="Y796" s="480"/>
    </row>
    <row r="797" spans="1:25" s="479" customFormat="1" ht="15">
      <c r="A797" s="98" t="s">
        <v>527</v>
      </c>
      <c r="B797" s="237" t="s">
        <v>992</v>
      </c>
      <c r="C797" s="1266">
        <f>CEILING(55*$Z$1,0.1)</f>
        <v>68.8</v>
      </c>
      <c r="D797" s="1267"/>
      <c r="E797" s="1266">
        <f>CEILING(81*$Z$1,0.1)</f>
        <v>101.30000000000001</v>
      </c>
      <c r="F797" s="1267"/>
      <c r="G797" s="1266">
        <f>CEILING(70*$Z$1,0.1)</f>
        <v>87.5</v>
      </c>
      <c r="H797" s="1267"/>
      <c r="I797" s="1266">
        <f>CEILING(70*$Z$1,0.1)</f>
        <v>87.5</v>
      </c>
      <c r="J797" s="1267"/>
      <c r="K797" s="1266">
        <f>CEILING(50*$Z$1,0.1)</f>
        <v>62.5</v>
      </c>
      <c r="L797" s="1267"/>
      <c r="M797" s="480"/>
      <c r="N797" s="480"/>
      <c r="O797" s="480"/>
      <c r="P797" s="480"/>
      <c r="Q797" s="480"/>
      <c r="R797" s="480"/>
      <c r="S797" s="480"/>
      <c r="T797" s="480"/>
      <c r="U797" s="480"/>
      <c r="V797" s="480"/>
      <c r="W797" s="480"/>
      <c r="X797" s="480"/>
      <c r="Y797" s="480"/>
    </row>
    <row r="798" spans="1:25" s="479" customFormat="1" ht="17.25" customHeight="1">
      <c r="A798" s="28" t="s">
        <v>59</v>
      </c>
      <c r="B798" s="238" t="s">
        <v>985</v>
      </c>
      <c r="C798" s="1268">
        <f>CEILING((C797+25*$Z$1),0.1)</f>
        <v>100.10000000000001</v>
      </c>
      <c r="D798" s="1270"/>
      <c r="E798" s="1268">
        <f>CEILING((E797+25*$Z$1),0.1)</f>
        <v>132.6</v>
      </c>
      <c r="F798" s="1270"/>
      <c r="G798" s="1268">
        <f>CEILING((G797+25*$Z$1),0.1)</f>
        <v>118.80000000000001</v>
      </c>
      <c r="H798" s="1270"/>
      <c r="I798" s="1268">
        <f>CEILING((I797+25*$Z$1),0.1)</f>
        <v>118.80000000000001</v>
      </c>
      <c r="J798" s="1270"/>
      <c r="K798" s="1268">
        <f>CEILING((K797+25*$Z$1),0.1)</f>
        <v>93.80000000000001</v>
      </c>
      <c r="L798" s="1270"/>
      <c r="M798" s="480"/>
      <c r="N798" s="480"/>
      <c r="O798" s="480"/>
      <c r="P798" s="480"/>
      <c r="Q798" s="480"/>
      <c r="R798" s="480"/>
      <c r="S798" s="480"/>
      <c r="T798" s="480"/>
      <c r="U798" s="480"/>
      <c r="V798" s="480"/>
      <c r="W798" s="480"/>
      <c r="X798" s="480"/>
      <c r="Y798" s="480"/>
    </row>
    <row r="799" spans="1:25" s="479" customFormat="1" ht="16.5" customHeight="1">
      <c r="A799" s="66"/>
      <c r="B799" s="238" t="s">
        <v>242</v>
      </c>
      <c r="C799" s="1268">
        <f>CEILING((C797*0.85),0.1)</f>
        <v>58.5</v>
      </c>
      <c r="D799" s="1270"/>
      <c r="E799" s="1268">
        <f>CEILING((E797*0.85),0.1)</f>
        <v>86.2</v>
      </c>
      <c r="F799" s="1270"/>
      <c r="G799" s="1268">
        <f>CEILING((G797*0.85),0.1)</f>
        <v>74.4</v>
      </c>
      <c r="H799" s="1270"/>
      <c r="I799" s="1268">
        <f>CEILING((I797*0.85),0.1)</f>
        <v>74.4</v>
      </c>
      <c r="J799" s="1270"/>
      <c r="K799" s="1268">
        <f>CEILING((K797*0.85),0.1)</f>
        <v>53.2</v>
      </c>
      <c r="L799" s="1270"/>
      <c r="M799" s="480"/>
      <c r="N799" s="480"/>
      <c r="O799" s="480"/>
      <c r="P799" s="480"/>
      <c r="Q799" s="480"/>
      <c r="R799" s="480"/>
      <c r="S799" s="480"/>
      <c r="T799" s="480"/>
      <c r="U799" s="480"/>
      <c r="V799" s="480"/>
      <c r="W799" s="480"/>
      <c r="X799" s="480"/>
      <c r="Y799" s="480"/>
    </row>
    <row r="800" spans="1:25" s="479" customFormat="1" ht="15.75" thickBot="1">
      <c r="A800" s="485"/>
      <c r="B800" s="38" t="s">
        <v>1170</v>
      </c>
      <c r="C800" s="1330">
        <v>0</v>
      </c>
      <c r="D800" s="1331"/>
      <c r="E800" s="1330">
        <v>0</v>
      </c>
      <c r="F800" s="1331"/>
      <c r="G800" s="1330">
        <v>0</v>
      </c>
      <c r="H800" s="1331"/>
      <c r="I800" s="1330">
        <v>0</v>
      </c>
      <c r="J800" s="1331"/>
      <c r="K800" s="1330">
        <v>0</v>
      </c>
      <c r="L800" s="1331"/>
      <c r="M800" s="480"/>
      <c r="N800" s="480"/>
      <c r="O800" s="480"/>
      <c r="P800" s="480"/>
      <c r="Q800" s="480"/>
      <c r="R800" s="480"/>
      <c r="S800" s="480"/>
      <c r="T800" s="480"/>
      <c r="U800" s="480"/>
      <c r="V800" s="480"/>
      <c r="W800" s="480"/>
      <c r="X800" s="480"/>
      <c r="Y800" s="480"/>
    </row>
    <row r="801" spans="1:25" s="479" customFormat="1" ht="15.75" thickTop="1">
      <c r="A801" s="53" t="s">
        <v>993</v>
      </c>
      <c r="B801" s="53"/>
      <c r="C801" s="53"/>
      <c r="D801" s="53"/>
      <c r="E801" s="53"/>
      <c r="F801" s="53"/>
      <c r="G801" s="53"/>
      <c r="H801" s="53"/>
      <c r="I801" s="99"/>
      <c r="J801" s="99"/>
      <c r="K801" s="318"/>
      <c r="L801" s="318"/>
      <c r="M801" s="480"/>
      <c r="N801" s="480"/>
      <c r="O801" s="480"/>
      <c r="P801" s="480"/>
      <c r="Q801" s="480"/>
      <c r="R801" s="480"/>
      <c r="S801" s="480"/>
      <c r="T801" s="480"/>
      <c r="U801" s="480"/>
      <c r="V801" s="480"/>
      <c r="W801" s="480"/>
      <c r="X801" s="480"/>
      <c r="Y801" s="480"/>
    </row>
    <row r="802" spans="1:25" s="479" customFormat="1" ht="15">
      <c r="A802" s="1389" t="s">
        <v>528</v>
      </c>
      <c r="B802" s="1301"/>
      <c r="C802" s="1301"/>
      <c r="D802" s="1301"/>
      <c r="E802" s="1301"/>
      <c r="F802" s="1301"/>
      <c r="G802" s="1301"/>
      <c r="H802" s="1301"/>
      <c r="I802" s="1301"/>
      <c r="J802" s="1301"/>
      <c r="K802" s="318"/>
      <c r="L802" s="318"/>
      <c r="M802" s="480"/>
      <c r="N802" s="480"/>
      <c r="O802" s="480"/>
      <c r="P802" s="480"/>
      <c r="Q802" s="480"/>
      <c r="R802" s="480"/>
      <c r="S802" s="480"/>
      <c r="T802" s="480"/>
      <c r="U802" s="480"/>
      <c r="V802" s="480"/>
      <c r="W802" s="480"/>
      <c r="X802" s="480"/>
      <c r="Y802" s="480"/>
    </row>
    <row r="803" spans="1:37" s="776" customFormat="1" ht="15">
      <c r="A803" s="1306"/>
      <c r="B803" s="1306"/>
      <c r="C803" s="1306"/>
      <c r="D803" s="1306"/>
      <c r="E803" s="1306"/>
      <c r="F803" s="1306"/>
      <c r="G803" s="1306"/>
      <c r="H803" s="1306"/>
      <c r="I803" s="1306"/>
      <c r="J803" s="1306"/>
      <c r="K803" s="775"/>
      <c r="L803" s="775"/>
      <c r="M803" s="335"/>
      <c r="N803" s="335"/>
      <c r="O803" s="335"/>
      <c r="P803" s="335"/>
      <c r="Q803" s="335"/>
      <c r="R803" s="335"/>
      <c r="S803" s="335"/>
      <c r="T803" s="335"/>
      <c r="U803" s="335"/>
      <c r="V803" s="335"/>
      <c r="W803" s="335"/>
      <c r="X803" s="335"/>
      <c r="Y803" s="335"/>
      <c r="Z803" s="335"/>
      <c r="AA803" s="335"/>
      <c r="AB803" s="335"/>
      <c r="AC803" s="335"/>
      <c r="AD803" s="335"/>
      <c r="AE803" s="335"/>
      <c r="AF803" s="335"/>
      <c r="AG803" s="335"/>
      <c r="AH803" s="335"/>
      <c r="AI803" s="335"/>
      <c r="AJ803" s="335"/>
      <c r="AK803" s="335"/>
    </row>
    <row r="804" spans="1:37" s="479" customFormat="1" ht="18" customHeight="1">
      <c r="A804" s="172" t="s">
        <v>991</v>
      </c>
      <c r="B804" s="838"/>
      <c r="C804" s="22"/>
      <c r="D804" s="22"/>
      <c r="E804" s="22"/>
      <c r="F804" s="22"/>
      <c r="G804" s="22"/>
      <c r="H804" s="22"/>
      <c r="I804" s="22"/>
      <c r="J804" s="22"/>
      <c r="K804" s="166"/>
      <c r="L804" s="166"/>
      <c r="M804" s="827"/>
      <c r="N804" s="827"/>
      <c r="O804" s="331"/>
      <c r="P804" s="331"/>
      <c r="Q804" s="331"/>
      <c r="R804" s="331"/>
      <c r="S804" s="331"/>
      <c r="T804" s="331"/>
      <c r="U804" s="331"/>
      <c r="V804" s="331"/>
      <c r="W804" s="331"/>
      <c r="X804" s="331"/>
      <c r="Y804" s="331"/>
      <c r="Z804" s="331"/>
      <c r="AA804" s="331"/>
      <c r="AB804" s="331"/>
      <c r="AC804" s="331"/>
      <c r="AD804" s="331"/>
      <c r="AE804" s="331"/>
      <c r="AF804" s="331"/>
      <c r="AG804" s="331"/>
      <c r="AH804" s="331"/>
      <c r="AI804" s="331"/>
      <c r="AJ804" s="331"/>
      <c r="AK804" s="331"/>
    </row>
    <row r="805" spans="1:37" s="479" customFormat="1" ht="18" customHeight="1">
      <c r="A805" s="172" t="s">
        <v>937</v>
      </c>
      <c r="B805" s="838"/>
      <c r="C805" s="22"/>
      <c r="D805" s="22"/>
      <c r="E805" s="22"/>
      <c r="F805" s="22"/>
      <c r="G805" s="22"/>
      <c r="H805" s="22"/>
      <c r="I805" s="22"/>
      <c r="J805" s="22"/>
      <c r="K805" s="166"/>
      <c r="L805" s="166"/>
      <c r="M805" s="827"/>
      <c r="N805" s="827"/>
      <c r="O805" s="331"/>
      <c r="P805" s="331"/>
      <c r="Q805" s="331"/>
      <c r="R805" s="331"/>
      <c r="S805" s="331"/>
      <c r="T805" s="331"/>
      <c r="U805" s="331"/>
      <c r="V805" s="331"/>
      <c r="W805" s="331"/>
      <c r="X805" s="331"/>
      <c r="Y805" s="331"/>
      <c r="Z805" s="331"/>
      <c r="AA805" s="331"/>
      <c r="AB805" s="331"/>
      <c r="AC805" s="331"/>
      <c r="AD805" s="331"/>
      <c r="AE805" s="331"/>
      <c r="AF805" s="331"/>
      <c r="AG805" s="331"/>
      <c r="AH805" s="331"/>
      <c r="AI805" s="331"/>
      <c r="AJ805" s="331"/>
      <c r="AK805" s="331"/>
    </row>
    <row r="806" spans="1:13" ht="15.75" thickBot="1">
      <c r="A806" s="172"/>
      <c r="B806" s="50"/>
      <c r="C806" s="3"/>
      <c r="D806" s="97"/>
      <c r="E806" s="97"/>
      <c r="F806" s="97"/>
      <c r="G806" s="97"/>
      <c r="H806" s="97"/>
      <c r="I806" s="428"/>
      <c r="J806" s="428"/>
      <c r="K806" s="318"/>
      <c r="L806" s="318"/>
      <c r="M806" s="169"/>
    </row>
    <row r="807" spans="1:25" s="479" customFormat="1" ht="21.75" customHeight="1" thickTop="1">
      <c r="A807" s="746" t="s">
        <v>43</v>
      </c>
      <c r="B807" s="819" t="s">
        <v>961</v>
      </c>
      <c r="C807" s="1376" t="s">
        <v>884</v>
      </c>
      <c r="D807" s="1377"/>
      <c r="E807" s="1273" t="s">
        <v>990</v>
      </c>
      <c r="F807" s="1274"/>
      <c r="G807" s="1273" t="s">
        <v>883</v>
      </c>
      <c r="H807" s="1274"/>
      <c r="I807" s="765" t="s">
        <v>881</v>
      </c>
      <c r="J807" s="766"/>
      <c r="K807" s="765" t="s">
        <v>882</v>
      </c>
      <c r="L807" s="766"/>
      <c r="M807" s="480"/>
      <c r="N807" s="480"/>
      <c r="O807" s="480"/>
      <c r="P807" s="480"/>
      <c r="Q807" s="480"/>
      <c r="R807" s="480"/>
      <c r="S807" s="480"/>
      <c r="T807" s="480"/>
      <c r="U807" s="480"/>
      <c r="V807" s="480"/>
      <c r="W807" s="480"/>
      <c r="X807" s="480"/>
      <c r="Y807" s="480"/>
    </row>
    <row r="808" spans="1:25" ht="15">
      <c r="A808" s="697" t="s">
        <v>355</v>
      </c>
      <c r="B808" s="466" t="s">
        <v>51</v>
      </c>
      <c r="C808" s="1266">
        <f>CEILING(55*$Z$1,0.1)</f>
        <v>68.8</v>
      </c>
      <c r="D808" s="1267"/>
      <c r="E808" s="1266">
        <f>CEILING(81*$Z$1,0.1)</f>
        <v>101.30000000000001</v>
      </c>
      <c r="F808" s="1326"/>
      <c r="G808" s="1266">
        <f>CEILING(70*$Z$1,0.1)</f>
        <v>87.5</v>
      </c>
      <c r="H808" s="1326"/>
      <c r="I808" s="1266">
        <f>CEILING(70*$Z$1,0.1)</f>
        <v>87.5</v>
      </c>
      <c r="J808" s="1326"/>
      <c r="K808" s="1266">
        <f>CEILING(50*$Z$1,0.1)</f>
        <v>62.5</v>
      </c>
      <c r="L808" s="1267"/>
      <c r="M808" s="189"/>
      <c r="X808"/>
      <c r="Y808"/>
    </row>
    <row r="809" spans="1:25" ht="15">
      <c r="A809" s="698" t="s">
        <v>59</v>
      </c>
      <c r="B809" s="467" t="s">
        <v>52</v>
      </c>
      <c r="C809" s="1268">
        <f>CEILING((C808+20*$Z$1),0.1)</f>
        <v>93.80000000000001</v>
      </c>
      <c r="D809" s="1270"/>
      <c r="E809" s="1268">
        <f>CEILING((E808+20*$Z$1),0.1)</f>
        <v>126.30000000000001</v>
      </c>
      <c r="F809" s="1270"/>
      <c r="G809" s="1268">
        <f>CEILING((G808+20*$Z$1),0.1)</f>
        <v>112.5</v>
      </c>
      <c r="H809" s="1270"/>
      <c r="I809" s="1268">
        <f>CEILING((I808+20*$Z$1),0.1)</f>
        <v>112.5</v>
      </c>
      <c r="J809" s="1270"/>
      <c r="K809" s="1268">
        <f>CEILING((K808+20*$Z$1),0.1)</f>
        <v>87.5</v>
      </c>
      <c r="L809" s="1270"/>
      <c r="M809" s="189"/>
      <c r="X809"/>
      <c r="Y809"/>
    </row>
    <row r="810" spans="1:25" ht="15" customHeight="1">
      <c r="A810" s="698"/>
      <c r="B810" s="467" t="s">
        <v>47</v>
      </c>
      <c r="C810" s="1268">
        <f>CEILING((C808*0.85),0.1)</f>
        <v>58.5</v>
      </c>
      <c r="D810" s="1270"/>
      <c r="E810" s="1268">
        <f>CEILING((E808*0.85),0.1)</f>
        <v>86.2</v>
      </c>
      <c r="F810" s="1270"/>
      <c r="G810" s="1268">
        <f>CEILING((G808*0.85),0.1)</f>
        <v>74.4</v>
      </c>
      <c r="H810" s="1270"/>
      <c r="I810" s="1268">
        <f>CEILING((I808*0.85),0.1)</f>
        <v>74.4</v>
      </c>
      <c r="J810" s="1270"/>
      <c r="K810" s="1268">
        <f>CEILING((K808*0.85),0.1)</f>
        <v>53.2</v>
      </c>
      <c r="L810" s="1270"/>
      <c r="M810" s="189"/>
      <c r="X810"/>
      <c r="Y810"/>
    </row>
    <row r="811" spans="1:25" ht="15" customHeight="1">
      <c r="A811" s="401"/>
      <c r="B811" s="699" t="s">
        <v>1170</v>
      </c>
      <c r="C811" s="1337">
        <v>0</v>
      </c>
      <c r="D811" s="1338"/>
      <c r="E811" s="1337">
        <v>0</v>
      </c>
      <c r="F811" s="1338"/>
      <c r="G811" s="1337">
        <v>0</v>
      </c>
      <c r="H811" s="1338"/>
      <c r="I811" s="1337">
        <v>0</v>
      </c>
      <c r="J811" s="1338"/>
      <c r="K811" s="1337">
        <v>0</v>
      </c>
      <c r="L811" s="1338"/>
      <c r="M811" s="189"/>
      <c r="X811"/>
      <c r="Y811"/>
    </row>
    <row r="812" spans="1:25" ht="15.75" customHeight="1">
      <c r="A812" s="700"/>
      <c r="B812" s="701" t="s">
        <v>53</v>
      </c>
      <c r="C812" s="1268">
        <f>CEILING(65*$Z$1,0.1)</f>
        <v>81.30000000000001</v>
      </c>
      <c r="D812" s="1270"/>
      <c r="E812" s="1268">
        <f>CEILING(91*$Z$1,0.1)</f>
        <v>113.80000000000001</v>
      </c>
      <c r="F812" s="1269"/>
      <c r="G812" s="1268">
        <f>CEILING(80*$Z$1,0.1)</f>
        <v>100</v>
      </c>
      <c r="H812" s="1269"/>
      <c r="I812" s="1268">
        <f>CEILING(80*$Z$1,0.1)</f>
        <v>100</v>
      </c>
      <c r="J812" s="1269"/>
      <c r="K812" s="1268">
        <f>CEILING(60*$Z$1,0.1)</f>
        <v>75</v>
      </c>
      <c r="L812" s="1270"/>
      <c r="M812" s="189"/>
      <c r="X812"/>
      <c r="Y812"/>
    </row>
    <row r="813" spans="1:25" ht="15.75" customHeight="1">
      <c r="A813" s="698"/>
      <c r="B813" s="701" t="s">
        <v>54</v>
      </c>
      <c r="C813" s="1268">
        <f>CEILING((C812+20*$Z$1),0.1)</f>
        <v>106.30000000000001</v>
      </c>
      <c r="D813" s="1270"/>
      <c r="E813" s="1268">
        <f>CEILING((E812+20*$Z$1),0.1)</f>
        <v>138.8</v>
      </c>
      <c r="F813" s="1270"/>
      <c r="G813" s="1268">
        <f>CEILING((G812+20*$Z$1),0.1)</f>
        <v>125</v>
      </c>
      <c r="H813" s="1270"/>
      <c r="I813" s="1268">
        <f>CEILING((I812+20*$Z$1),0.1)</f>
        <v>125</v>
      </c>
      <c r="J813" s="1270"/>
      <c r="K813" s="1268">
        <f>CEILING((K812+20*$Z$1),0.1)</f>
        <v>100</v>
      </c>
      <c r="L813" s="1270"/>
      <c r="M813" s="189"/>
      <c r="X813"/>
      <c r="Y813"/>
    </row>
    <row r="814" spans="1:25" ht="15.75" customHeight="1">
      <c r="A814" s="698"/>
      <c r="B814" s="469" t="s">
        <v>44</v>
      </c>
      <c r="C814" s="1268">
        <f>CEILING(75*$Z$1,0.1)</f>
        <v>93.80000000000001</v>
      </c>
      <c r="D814" s="1270"/>
      <c r="E814" s="1268">
        <f>CEILING(101*$Z$1,0.1)</f>
        <v>126.30000000000001</v>
      </c>
      <c r="F814" s="1269"/>
      <c r="G814" s="1268">
        <f>CEILING(90*$Z$1,0.1)</f>
        <v>112.5</v>
      </c>
      <c r="H814" s="1269"/>
      <c r="I814" s="1268">
        <f>CEILING(90*$Z$1,0.1)</f>
        <v>112.5</v>
      </c>
      <c r="J814" s="1269"/>
      <c r="K814" s="1268">
        <f>CEILING(70*$Z$1,0.1)</f>
        <v>87.5</v>
      </c>
      <c r="L814" s="1270"/>
      <c r="M814" s="189"/>
      <c r="X814"/>
      <c r="Y814"/>
    </row>
    <row r="815" spans="1:25" ht="16.5" customHeight="1">
      <c r="A815" s="702" t="s">
        <v>407</v>
      </c>
      <c r="B815" s="703" t="s">
        <v>46</v>
      </c>
      <c r="C815" s="1284">
        <f>CEILING((C814+25*$Z$1),0.1)</f>
        <v>125.10000000000001</v>
      </c>
      <c r="D815" s="1285"/>
      <c r="E815" s="1284">
        <f>CEILING((E814+25*$Z$1),0.1)</f>
        <v>157.60000000000002</v>
      </c>
      <c r="F815" s="1285"/>
      <c r="G815" s="1284">
        <f>CEILING((G814+25*$Z$1),0.1)</f>
        <v>143.8</v>
      </c>
      <c r="H815" s="1285"/>
      <c r="I815" s="1284">
        <f>CEILING((I814+25*$Z$1),0.1)</f>
        <v>143.8</v>
      </c>
      <c r="J815" s="1285"/>
      <c r="K815" s="1284">
        <f>CEILING((K814+25*$Z$1),0.1)</f>
        <v>118.80000000000001</v>
      </c>
      <c r="L815" s="1285"/>
      <c r="M815" s="189"/>
      <c r="X815"/>
      <c r="Y815"/>
    </row>
    <row r="816" spans="1:37" s="776" customFormat="1" ht="15">
      <c r="A816" s="1306"/>
      <c r="B816" s="1306"/>
      <c r="C816" s="1306"/>
      <c r="D816" s="1306"/>
      <c r="E816" s="1306"/>
      <c r="F816" s="1306"/>
      <c r="G816" s="1306"/>
      <c r="H816" s="1306"/>
      <c r="I816" s="1306"/>
      <c r="J816" s="1306"/>
      <c r="K816" s="775"/>
      <c r="L816" s="775"/>
      <c r="M816" s="335"/>
      <c r="N816" s="335"/>
      <c r="O816" s="335"/>
      <c r="P816" s="335"/>
      <c r="Q816" s="335"/>
      <c r="R816" s="335"/>
      <c r="S816" s="335"/>
      <c r="T816" s="335"/>
      <c r="U816" s="335"/>
      <c r="V816" s="335"/>
      <c r="W816" s="335"/>
      <c r="X816" s="335"/>
      <c r="Y816" s="335"/>
      <c r="Z816" s="335"/>
      <c r="AA816" s="335"/>
      <c r="AB816" s="335"/>
      <c r="AC816" s="335"/>
      <c r="AD816" s="335"/>
      <c r="AE816" s="335"/>
      <c r="AF816" s="335"/>
      <c r="AG816" s="335"/>
      <c r="AH816" s="335"/>
      <c r="AI816" s="335"/>
      <c r="AJ816" s="335"/>
      <c r="AK816" s="335"/>
    </row>
    <row r="817" spans="1:37" s="479" customFormat="1" ht="18" customHeight="1">
      <c r="A817" s="172" t="s">
        <v>991</v>
      </c>
      <c r="B817" s="838"/>
      <c r="C817" s="22"/>
      <c r="D817" s="22"/>
      <c r="E817" s="22"/>
      <c r="F817" s="22"/>
      <c r="G817" s="22"/>
      <c r="H817" s="22"/>
      <c r="I817" s="22"/>
      <c r="J817" s="22"/>
      <c r="K817" s="166"/>
      <c r="L817" s="166"/>
      <c r="M817" s="827"/>
      <c r="N817" s="827"/>
      <c r="O817" s="331"/>
      <c r="P817" s="331"/>
      <c r="Q817" s="331"/>
      <c r="R817" s="331"/>
      <c r="S817" s="331"/>
      <c r="T817" s="331"/>
      <c r="U817" s="331"/>
      <c r="V817" s="331"/>
      <c r="W817" s="331"/>
      <c r="X817" s="331"/>
      <c r="Y817" s="331"/>
      <c r="Z817" s="331"/>
      <c r="AA817" s="331"/>
      <c r="AB817" s="331"/>
      <c r="AC817" s="331"/>
      <c r="AD817" s="331"/>
      <c r="AE817" s="331"/>
      <c r="AF817" s="331"/>
      <c r="AG817" s="331"/>
      <c r="AH817" s="331"/>
      <c r="AI817" s="331"/>
      <c r="AJ817" s="331"/>
      <c r="AK817" s="331"/>
    </row>
    <row r="818" spans="1:37" s="479" customFormat="1" ht="18" customHeight="1">
      <c r="A818" s="172" t="s">
        <v>937</v>
      </c>
      <c r="B818" s="838"/>
      <c r="C818" s="22"/>
      <c r="D818" s="22"/>
      <c r="E818" s="22"/>
      <c r="F818" s="22"/>
      <c r="G818" s="22"/>
      <c r="H818" s="22"/>
      <c r="I818" s="22"/>
      <c r="J818" s="22"/>
      <c r="K818" s="166"/>
      <c r="L818" s="166"/>
      <c r="M818" s="827"/>
      <c r="N818" s="827"/>
      <c r="O818" s="331"/>
      <c r="P818" s="331"/>
      <c r="Q818" s="331"/>
      <c r="R818" s="331"/>
      <c r="S818" s="331"/>
      <c r="T818" s="331"/>
      <c r="U818" s="331"/>
      <c r="V818" s="331"/>
      <c r="W818" s="331"/>
      <c r="X818" s="331"/>
      <c r="Y818" s="331"/>
      <c r="Z818" s="331"/>
      <c r="AA818" s="331"/>
      <c r="AB818" s="331"/>
      <c r="AC818" s="331"/>
      <c r="AD818" s="331"/>
      <c r="AE818" s="331"/>
      <c r="AF818" s="331"/>
      <c r="AG818" s="331"/>
      <c r="AH818" s="331"/>
      <c r="AI818" s="331"/>
      <c r="AJ818" s="331"/>
      <c r="AK818" s="331"/>
    </row>
    <row r="819" spans="1:25" s="479" customFormat="1" ht="15.75" thickBot="1">
      <c r="A819" s="172"/>
      <c r="B819" s="50"/>
      <c r="C819" s="3"/>
      <c r="D819" s="97"/>
      <c r="E819" s="97"/>
      <c r="F819" s="97"/>
      <c r="G819" s="97"/>
      <c r="H819" s="97"/>
      <c r="I819" s="428"/>
      <c r="J819" s="428"/>
      <c r="K819" s="318"/>
      <c r="L819" s="318"/>
      <c r="M819" s="480"/>
      <c r="N819" s="480"/>
      <c r="O819" s="480"/>
      <c r="P819" s="480"/>
      <c r="Q819" s="480"/>
      <c r="R819" s="480"/>
      <c r="S819" s="480"/>
      <c r="T819" s="480"/>
      <c r="U819" s="480"/>
      <c r="V819" s="480"/>
      <c r="W819" s="480"/>
      <c r="X819" s="480"/>
      <c r="Y819" s="480"/>
    </row>
    <row r="820" spans="1:25" s="192" customFormat="1" ht="21.75" customHeight="1" thickTop="1">
      <c r="A820" s="746" t="s">
        <v>43</v>
      </c>
      <c r="B820" s="819" t="s">
        <v>961</v>
      </c>
      <c r="C820" s="1376" t="s">
        <v>884</v>
      </c>
      <c r="D820" s="1377"/>
      <c r="E820" s="1273" t="s">
        <v>990</v>
      </c>
      <c r="F820" s="1274"/>
      <c r="G820" s="1273" t="s">
        <v>883</v>
      </c>
      <c r="H820" s="1274"/>
      <c r="I820" s="765" t="s">
        <v>881</v>
      </c>
      <c r="J820" s="766"/>
      <c r="K820" s="765" t="s">
        <v>882</v>
      </c>
      <c r="L820" s="766"/>
      <c r="M820" s="481"/>
      <c r="N820" s="481"/>
      <c r="O820" s="481"/>
      <c r="P820" s="481"/>
      <c r="Q820" s="481"/>
      <c r="R820" s="481"/>
      <c r="S820" s="481"/>
      <c r="T820" s="481"/>
      <c r="U820" s="481"/>
      <c r="V820" s="481"/>
      <c r="W820" s="481"/>
      <c r="X820" s="481"/>
      <c r="Y820" s="481"/>
    </row>
    <row r="821" spans="1:23" s="192" customFormat="1" ht="15">
      <c r="A821" s="98" t="s">
        <v>356</v>
      </c>
      <c r="B821" s="40" t="s">
        <v>51</v>
      </c>
      <c r="C821" s="1266">
        <f>CEILING(40*$Z$1,0.1)</f>
        <v>50</v>
      </c>
      <c r="D821" s="1267"/>
      <c r="E821" s="1268">
        <f>CEILING(63*$Z$1,0.1)</f>
        <v>78.80000000000001</v>
      </c>
      <c r="F821" s="1269"/>
      <c r="G821" s="1268">
        <f>CEILING(55*$Z$1,0.1)</f>
        <v>68.8</v>
      </c>
      <c r="H821" s="1269"/>
      <c r="I821" s="1268">
        <f>CEILING(55*$Z$1,0.1)</f>
        <v>68.8</v>
      </c>
      <c r="J821" s="1269"/>
      <c r="K821" s="1268">
        <f>CEILING(40*$Z$1,0.1)</f>
        <v>50</v>
      </c>
      <c r="L821" s="1269"/>
      <c r="M821" s="363"/>
      <c r="N821" s="481"/>
      <c r="O821" s="481"/>
      <c r="P821" s="481"/>
      <c r="Q821" s="481"/>
      <c r="R821" s="481"/>
      <c r="S821" s="481"/>
      <c r="T821" s="481"/>
      <c r="U821" s="481"/>
      <c r="V821" s="481"/>
      <c r="W821" s="481"/>
    </row>
    <row r="822" spans="1:23" s="192" customFormat="1" ht="15">
      <c r="A822" s="28" t="s">
        <v>90</v>
      </c>
      <c r="B822" s="12" t="s">
        <v>52</v>
      </c>
      <c r="C822" s="1268">
        <f>CEILING((C821+15*$Z$1),0.1)</f>
        <v>68.8</v>
      </c>
      <c r="D822" s="1270"/>
      <c r="E822" s="1268">
        <f>CEILING((E821+15*$Z$1),0.1)</f>
        <v>97.60000000000001</v>
      </c>
      <c r="F822" s="1270"/>
      <c r="G822" s="1268">
        <f>CEILING((G821+15*$Z$1),0.1)</f>
        <v>87.60000000000001</v>
      </c>
      <c r="H822" s="1270"/>
      <c r="I822" s="1268">
        <f>CEILING((I821+15*$Z$1),0.1)</f>
        <v>87.60000000000001</v>
      </c>
      <c r="J822" s="1270"/>
      <c r="K822" s="1268">
        <f>CEILING((K821+15*$Z$1),0.1)</f>
        <v>68.8</v>
      </c>
      <c r="L822" s="1270"/>
      <c r="M822" s="363"/>
      <c r="N822" s="481"/>
      <c r="O822" s="481"/>
      <c r="P822" s="481"/>
      <c r="Q822" s="481"/>
      <c r="R822" s="481"/>
      <c r="S822" s="481"/>
      <c r="T822" s="481"/>
      <c r="U822" s="481"/>
      <c r="V822" s="481"/>
      <c r="W822" s="481"/>
    </row>
    <row r="823" spans="1:23" s="192" customFormat="1" ht="15" customHeight="1">
      <c r="A823" s="28"/>
      <c r="B823" s="12" t="s">
        <v>47</v>
      </c>
      <c r="C823" s="1268">
        <f>CEILING((C821*0.85),0.1)</f>
        <v>42.5</v>
      </c>
      <c r="D823" s="1270"/>
      <c r="E823" s="1268">
        <f>CEILING((E821*0.85),0.1)</f>
        <v>67</v>
      </c>
      <c r="F823" s="1270"/>
      <c r="G823" s="1268">
        <f>CEILING((G821*0.85),0.1)</f>
        <v>58.5</v>
      </c>
      <c r="H823" s="1270"/>
      <c r="I823" s="1268">
        <f>CEILING((I821*0.85),0.1)</f>
        <v>58.5</v>
      </c>
      <c r="J823" s="1270"/>
      <c r="K823" s="1268">
        <f>CEILING((K821*0.85),0.1)</f>
        <v>42.5</v>
      </c>
      <c r="L823" s="1270"/>
      <c r="M823" s="363"/>
      <c r="N823" s="481"/>
      <c r="O823" s="481"/>
      <c r="P823" s="481"/>
      <c r="Q823" s="481"/>
      <c r="R823" s="481"/>
      <c r="S823" s="481"/>
      <c r="T823" s="481"/>
      <c r="U823" s="481"/>
      <c r="V823" s="481"/>
      <c r="W823" s="481"/>
    </row>
    <row r="824" spans="1:23" s="192" customFormat="1" ht="15.75" customHeight="1">
      <c r="A824" s="646"/>
      <c r="B824" s="10" t="s">
        <v>67</v>
      </c>
      <c r="C824" s="1268">
        <f>CEILING(45*$Z$1,0.1)</f>
        <v>56.300000000000004</v>
      </c>
      <c r="D824" s="1270"/>
      <c r="E824" s="1268">
        <f>CEILING(68*$Z$1,0.1)</f>
        <v>85</v>
      </c>
      <c r="F824" s="1269"/>
      <c r="G824" s="1268">
        <f>CEILING(60*$Z$1,0.1)</f>
        <v>75</v>
      </c>
      <c r="H824" s="1269"/>
      <c r="I824" s="1268">
        <f>CEILING(60*$Z$1,0.1)</f>
        <v>75</v>
      </c>
      <c r="J824" s="1269"/>
      <c r="K824" s="1268">
        <f>CEILING(45*$Z$1,0.1)</f>
        <v>56.300000000000004</v>
      </c>
      <c r="L824" s="1269"/>
      <c r="M824" s="363"/>
      <c r="N824" s="481"/>
      <c r="O824" s="481"/>
      <c r="P824" s="481"/>
      <c r="Q824" s="481"/>
      <c r="R824" s="481"/>
      <c r="S824" s="481"/>
      <c r="T824" s="481"/>
      <c r="U824" s="481"/>
      <c r="V824" s="481"/>
      <c r="W824" s="481"/>
    </row>
    <row r="825" spans="1:23" s="192" customFormat="1" ht="14.25" customHeight="1">
      <c r="A825" s="644"/>
      <c r="B825" s="10" t="s">
        <v>68</v>
      </c>
      <c r="C825" s="1268">
        <f>CEILING((C824+15*$Z$1),0.1)</f>
        <v>75.10000000000001</v>
      </c>
      <c r="D825" s="1270"/>
      <c r="E825" s="1268">
        <f>CEILING((E824+15*$Z$1),0.1)</f>
        <v>103.80000000000001</v>
      </c>
      <c r="F825" s="1270"/>
      <c r="G825" s="1268">
        <f>CEILING((G824+15*$Z$1),0.1)</f>
        <v>93.80000000000001</v>
      </c>
      <c r="H825" s="1270"/>
      <c r="I825" s="1268">
        <f>CEILING((I824+15*$Z$1),0.1)</f>
        <v>93.80000000000001</v>
      </c>
      <c r="J825" s="1270"/>
      <c r="K825" s="1268">
        <f>CEILING((K824+15*$Z$1),0.1)</f>
        <v>75.10000000000001</v>
      </c>
      <c r="L825" s="1270"/>
      <c r="M825" s="363"/>
      <c r="N825" s="481"/>
      <c r="O825" s="481"/>
      <c r="P825" s="481"/>
      <c r="Q825" s="481"/>
      <c r="R825" s="481"/>
      <c r="S825" s="481"/>
      <c r="T825" s="481"/>
      <c r="U825" s="481"/>
      <c r="V825" s="481"/>
      <c r="W825" s="481"/>
    </row>
    <row r="826" spans="1:23" s="192" customFormat="1" ht="15.75" customHeight="1">
      <c r="A826" s="28"/>
      <c r="B826" s="10" t="s">
        <v>191</v>
      </c>
      <c r="C826" s="1268">
        <f>CEILING(45*$Z$1,0.1)</f>
        <v>56.300000000000004</v>
      </c>
      <c r="D826" s="1270"/>
      <c r="E826" s="1268">
        <f>CEILING(68*$Z$1,0.1)</f>
        <v>85</v>
      </c>
      <c r="F826" s="1269"/>
      <c r="G826" s="1268">
        <f>CEILING(60*$Z$1,0.1)</f>
        <v>75</v>
      </c>
      <c r="H826" s="1269"/>
      <c r="I826" s="1268">
        <f>CEILING(60*$Z$1,0.1)</f>
        <v>75</v>
      </c>
      <c r="J826" s="1269"/>
      <c r="K826" s="1268">
        <f>CEILING(45*$Z$1,0.1)</f>
        <v>56.300000000000004</v>
      </c>
      <c r="L826" s="1269"/>
      <c r="M826" s="363"/>
      <c r="N826" s="481"/>
      <c r="O826" s="481"/>
      <c r="P826" s="481"/>
      <c r="Q826" s="481"/>
      <c r="R826" s="481"/>
      <c r="S826" s="481"/>
      <c r="T826" s="481"/>
      <c r="U826" s="481"/>
      <c r="V826" s="481"/>
      <c r="W826" s="481"/>
    </row>
    <row r="827" spans="1:23" s="192" customFormat="1" ht="15.75" customHeight="1">
      <c r="A827" s="28"/>
      <c r="B827" s="10" t="s">
        <v>192</v>
      </c>
      <c r="C827" s="1268">
        <f>CEILING((C826+50*$Z$1),0.1)</f>
        <v>118.80000000000001</v>
      </c>
      <c r="D827" s="1270"/>
      <c r="E827" s="1268">
        <f>CEILING((E826+15*$Z$1),0.1)</f>
        <v>103.80000000000001</v>
      </c>
      <c r="F827" s="1270"/>
      <c r="G827" s="1268">
        <f>CEILING((G826+15*$Z$1),0.1)</f>
        <v>93.80000000000001</v>
      </c>
      <c r="H827" s="1270"/>
      <c r="I827" s="1268">
        <f>CEILING((I826+15*$Z$1),0.1)</f>
        <v>93.80000000000001</v>
      </c>
      <c r="J827" s="1270"/>
      <c r="K827" s="1268">
        <f>CEILING((K826+15*$Z$1),0.1)</f>
        <v>75.10000000000001</v>
      </c>
      <c r="L827" s="1270"/>
      <c r="M827" s="363"/>
      <c r="N827" s="481"/>
      <c r="O827" s="481"/>
      <c r="P827" s="481"/>
      <c r="Q827" s="481"/>
      <c r="R827" s="481"/>
      <c r="S827" s="481"/>
      <c r="T827" s="481"/>
      <c r="U827" s="481"/>
      <c r="V827" s="481"/>
      <c r="W827" s="481"/>
    </row>
    <row r="828" spans="1:23" s="192" customFormat="1" ht="15.75" customHeight="1">
      <c r="A828" s="28"/>
      <c r="B828" s="29" t="s">
        <v>312</v>
      </c>
      <c r="C828" s="1268">
        <f>CEILING(50*$Z$1,0.1)</f>
        <v>62.5</v>
      </c>
      <c r="D828" s="1270"/>
      <c r="E828" s="1268">
        <f>CEILING(73*$Z$1,0.1)</f>
        <v>91.30000000000001</v>
      </c>
      <c r="F828" s="1269"/>
      <c r="G828" s="1268">
        <f>CEILING(65*$Z$1,0.1)</f>
        <v>81.30000000000001</v>
      </c>
      <c r="H828" s="1269"/>
      <c r="I828" s="1268">
        <f>CEILING(65*$Z$1,0.1)</f>
        <v>81.30000000000001</v>
      </c>
      <c r="J828" s="1269"/>
      <c r="K828" s="1268">
        <f>CEILING(54*$Z$1,0.1)</f>
        <v>67.5</v>
      </c>
      <c r="L828" s="1269"/>
      <c r="M828" s="363"/>
      <c r="N828" s="481"/>
      <c r="O828" s="481"/>
      <c r="P828" s="481"/>
      <c r="Q828" s="481"/>
      <c r="R828" s="481"/>
      <c r="S828" s="481"/>
      <c r="T828" s="481"/>
      <c r="U828" s="481"/>
      <c r="V828" s="481"/>
      <c r="W828" s="481"/>
    </row>
    <row r="829" spans="1:23" s="667" customFormat="1" ht="15.75" customHeight="1">
      <c r="A829" s="702" t="s">
        <v>438</v>
      </c>
      <c r="B829" s="418" t="s">
        <v>313</v>
      </c>
      <c r="C829" s="1284">
        <f>CEILING((C828+15*$Z$1),0.1)</f>
        <v>81.30000000000001</v>
      </c>
      <c r="D829" s="1285"/>
      <c r="E829" s="1284">
        <f>CEILING((E828+15*$Z$1),0.1)</f>
        <v>110.10000000000001</v>
      </c>
      <c r="F829" s="1285"/>
      <c r="G829" s="1284">
        <f>CEILING((G828+15*$Z$1),0.1)</f>
        <v>100.10000000000001</v>
      </c>
      <c r="H829" s="1285"/>
      <c r="I829" s="1284">
        <f>CEILING((I828+15*$Z$1),0.1)</f>
        <v>100.10000000000001</v>
      </c>
      <c r="J829" s="1285"/>
      <c r="K829" s="1284">
        <f>CEILING((K828+15*$Z$1),0.1)</f>
        <v>86.30000000000001</v>
      </c>
      <c r="L829" s="1285"/>
      <c r="M829" s="867"/>
      <c r="N829" s="666"/>
      <c r="O829" s="666"/>
      <c r="P829" s="666"/>
      <c r="Q829" s="666"/>
      <c r="R829" s="666"/>
      <c r="S829" s="666"/>
      <c r="T829" s="666"/>
      <c r="U829" s="666"/>
      <c r="V829" s="666"/>
      <c r="W829" s="666"/>
    </row>
    <row r="830" spans="1:23" s="192" customFormat="1" ht="15.75" customHeight="1">
      <c r="A830" s="1318" t="s">
        <v>1255</v>
      </c>
      <c r="B830" s="1318"/>
      <c r="C830" s="1318"/>
      <c r="D830" s="1318"/>
      <c r="E830" s="1318"/>
      <c r="F830" s="1318"/>
      <c r="G830" s="1318"/>
      <c r="H830" s="1318"/>
      <c r="I830" s="1318"/>
      <c r="J830" s="1318"/>
      <c r="K830" s="279"/>
      <c r="L830" s="279"/>
      <c r="M830" s="481"/>
      <c r="N830" s="481"/>
      <c r="O830" s="481"/>
      <c r="P830" s="481"/>
      <c r="Q830" s="481"/>
      <c r="R830" s="481"/>
      <c r="S830" s="481"/>
      <c r="T830" s="481"/>
      <c r="U830" s="481"/>
      <c r="V830" s="481"/>
      <c r="W830" s="481"/>
    </row>
    <row r="831" spans="1:37" s="776" customFormat="1" ht="15">
      <c r="A831" s="1306"/>
      <c r="B831" s="1306"/>
      <c r="C831" s="1306"/>
      <c r="D831" s="1306"/>
      <c r="E831" s="1306"/>
      <c r="F831" s="1306"/>
      <c r="G831" s="1306"/>
      <c r="H831" s="1306"/>
      <c r="I831" s="1306"/>
      <c r="J831" s="1306"/>
      <c r="K831" s="775"/>
      <c r="L831" s="775"/>
      <c r="M831" s="335"/>
      <c r="N831" s="335"/>
      <c r="O831" s="335"/>
      <c r="P831" s="335"/>
      <c r="Q831" s="335"/>
      <c r="R831" s="335"/>
      <c r="S831" s="335"/>
      <c r="T831" s="335"/>
      <c r="U831" s="335"/>
      <c r="V831" s="335"/>
      <c r="W831" s="335"/>
      <c r="X831" s="335"/>
      <c r="Y831" s="335"/>
      <c r="Z831" s="335"/>
      <c r="AA831" s="335"/>
      <c r="AB831" s="335"/>
      <c r="AC831" s="335"/>
      <c r="AD831" s="335"/>
      <c r="AE831" s="335"/>
      <c r="AF831" s="335"/>
      <c r="AG831" s="335"/>
      <c r="AH831" s="335"/>
      <c r="AI831" s="335"/>
      <c r="AJ831" s="335"/>
      <c r="AK831" s="335"/>
    </row>
    <row r="832" spans="1:37" s="479" customFormat="1" ht="18" customHeight="1">
      <c r="A832" s="172" t="s">
        <v>991</v>
      </c>
      <c r="B832" s="838"/>
      <c r="C832" s="22"/>
      <c r="D832" s="22"/>
      <c r="E832" s="22"/>
      <c r="F832" s="22"/>
      <c r="G832" s="22"/>
      <c r="H832" s="22"/>
      <c r="I832" s="22"/>
      <c r="J832" s="22"/>
      <c r="K832" s="166"/>
      <c r="L832" s="166"/>
      <c r="M832" s="827"/>
      <c r="N832" s="827"/>
      <c r="O832" s="331"/>
      <c r="P832" s="331"/>
      <c r="Q832" s="331"/>
      <c r="R832" s="331"/>
      <c r="S832" s="331"/>
      <c r="T832" s="331"/>
      <c r="U832" s="331"/>
      <c r="V832" s="331"/>
      <c r="W832" s="331"/>
      <c r="X832" s="331"/>
      <c r="Y832" s="331"/>
      <c r="Z832" s="331"/>
      <c r="AA832" s="331"/>
      <c r="AB832" s="331"/>
      <c r="AC832" s="331"/>
      <c r="AD832" s="331"/>
      <c r="AE832" s="331"/>
      <c r="AF832" s="331"/>
      <c r="AG832" s="331"/>
      <c r="AH832" s="331"/>
      <c r="AI832" s="331"/>
      <c r="AJ832" s="331"/>
      <c r="AK832" s="331"/>
    </row>
    <row r="833" spans="1:37" s="479" customFormat="1" ht="18" customHeight="1">
      <c r="A833" s="172" t="s">
        <v>937</v>
      </c>
      <c r="B833" s="838"/>
      <c r="C833" s="22"/>
      <c r="D833" s="22"/>
      <c r="E833" s="22"/>
      <c r="F833" s="22"/>
      <c r="G833" s="22"/>
      <c r="H833" s="22"/>
      <c r="I833" s="22"/>
      <c r="J833" s="22"/>
      <c r="K833" s="166"/>
      <c r="L833" s="166"/>
      <c r="M833" s="827"/>
      <c r="N833" s="827"/>
      <c r="O833" s="331"/>
      <c r="P833" s="331"/>
      <c r="Q833" s="331"/>
      <c r="R833" s="331"/>
      <c r="S833" s="331"/>
      <c r="T833" s="331"/>
      <c r="U833" s="331"/>
      <c r="V833" s="331"/>
      <c r="W833" s="331"/>
      <c r="X833" s="331"/>
      <c r="Y833" s="331"/>
      <c r="Z833" s="331"/>
      <c r="AA833" s="331"/>
      <c r="AB833" s="331"/>
      <c r="AC833" s="331"/>
      <c r="AD833" s="331"/>
      <c r="AE833" s="331"/>
      <c r="AF833" s="331"/>
      <c r="AG833" s="331"/>
      <c r="AH833" s="331"/>
      <c r="AI833" s="331"/>
      <c r="AJ833" s="331"/>
      <c r="AK833" s="331"/>
    </row>
    <row r="834" spans="1:25" s="479" customFormat="1" ht="15">
      <c r="A834" s="172"/>
      <c r="B834" s="50"/>
      <c r="C834" s="3"/>
      <c r="D834" s="648"/>
      <c r="E834" s="648"/>
      <c r="F834" s="648"/>
      <c r="G834" s="648"/>
      <c r="H834" s="648"/>
      <c r="I834" s="648"/>
      <c r="J834" s="648"/>
      <c r="K834" s="318"/>
      <c r="L834" s="318"/>
      <c r="M834" s="480"/>
      <c r="N834" s="480"/>
      <c r="O834" s="480"/>
      <c r="P834" s="480"/>
      <c r="Q834" s="480"/>
      <c r="R834" s="480"/>
      <c r="S834" s="480"/>
      <c r="T834" s="480"/>
      <c r="U834" s="480"/>
      <c r="V834" s="480"/>
      <c r="W834" s="480"/>
      <c r="X834" s="480"/>
      <c r="Y834" s="480"/>
    </row>
    <row r="835" spans="1:13" ht="18" customHeight="1">
      <c r="A835" s="356" t="s">
        <v>736</v>
      </c>
      <c r="B835" s="356"/>
      <c r="C835" s="356"/>
      <c r="D835" s="356"/>
      <c r="E835" s="356"/>
      <c r="F835" s="356"/>
      <c r="G835" s="356"/>
      <c r="H835" s="356"/>
      <c r="I835" s="146"/>
      <c r="J835" s="146"/>
      <c r="K835" s="313"/>
      <c r="L835" s="313"/>
      <c r="M835" s="169"/>
    </row>
    <row r="836" spans="1:14" ht="18" customHeight="1">
      <c r="A836" s="356" t="s">
        <v>737</v>
      </c>
      <c r="B836" s="356"/>
      <c r="C836" s="356"/>
      <c r="D836" s="356"/>
      <c r="E836" s="356"/>
      <c r="F836" s="356"/>
      <c r="G836" s="356"/>
      <c r="H836" s="356"/>
      <c r="I836" s="146"/>
      <c r="J836" s="146"/>
      <c r="K836" s="313"/>
      <c r="L836" s="313"/>
      <c r="M836" s="75"/>
      <c r="N836" s="75"/>
    </row>
    <row r="837" spans="1:14" ht="15">
      <c r="A837" s="101"/>
      <c r="B837" s="101"/>
      <c r="C837" s="101"/>
      <c r="D837" s="101"/>
      <c r="E837" s="101"/>
      <c r="F837" s="101"/>
      <c r="G837" s="101"/>
      <c r="H837" s="101"/>
      <c r="I837" s="100"/>
      <c r="J837" s="100"/>
      <c r="K837" s="94"/>
      <c r="L837" s="317"/>
      <c r="M837" s="75"/>
      <c r="N837" s="75"/>
    </row>
    <row r="838" spans="1:14" ht="15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94"/>
      <c r="L838" s="317"/>
      <c r="M838" s="16"/>
      <c r="N838" s="16"/>
    </row>
    <row r="839" spans="1:14" ht="15.75">
      <c r="A839" s="1503" t="s">
        <v>113</v>
      </c>
      <c r="B839" s="1503"/>
      <c r="C839" s="1503"/>
      <c r="D839" s="1503"/>
      <c r="E839" s="1503"/>
      <c r="F839" s="1503"/>
      <c r="G839" s="1503"/>
      <c r="H839" s="1503"/>
      <c r="I839" s="1503"/>
      <c r="J839" s="1503"/>
      <c r="K839" s="94"/>
      <c r="L839" s="317"/>
      <c r="M839" s="16"/>
      <c r="N839" s="16"/>
    </row>
    <row r="840" spans="1:14" ht="16.5" thickBo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94"/>
      <c r="L840" s="317"/>
      <c r="M840" s="16"/>
      <c r="N840" s="16"/>
    </row>
    <row r="841" spans="1:47" s="869" customFormat="1" ht="24.75" customHeight="1" thickTop="1">
      <c r="A841" s="746" t="s">
        <v>43</v>
      </c>
      <c r="B841" s="814" t="s">
        <v>961</v>
      </c>
      <c r="C841" s="747" t="s">
        <v>884</v>
      </c>
      <c r="D841" s="748"/>
      <c r="E841" s="773" t="s">
        <v>911</v>
      </c>
      <c r="F841" s="766"/>
      <c r="G841" s="749" t="s">
        <v>912</v>
      </c>
      <c r="H841" s="750"/>
      <c r="I841" s="1273" t="s">
        <v>881</v>
      </c>
      <c r="J841" s="1274"/>
      <c r="K841" s="1280" t="s">
        <v>882</v>
      </c>
      <c r="L841" s="1281"/>
      <c r="M841" s="871"/>
      <c r="N841" s="871"/>
      <c r="O841" s="871"/>
      <c r="P841" s="871"/>
      <c r="Q841" s="871"/>
      <c r="R841" s="871"/>
      <c r="S841" s="871"/>
      <c r="T841" s="871"/>
      <c r="U841" s="871"/>
      <c r="V841" s="871"/>
      <c r="W841" s="871"/>
      <c r="X841" s="871"/>
      <c r="Y841" s="871"/>
      <c r="Z841" s="871"/>
      <c r="AA841" s="871"/>
      <c r="AB841" s="871"/>
      <c r="AC841" s="871"/>
      <c r="AD841" s="871"/>
      <c r="AE841" s="871"/>
      <c r="AF841" s="871"/>
      <c r="AG841" s="871"/>
      <c r="AH841" s="871"/>
      <c r="AI841" s="871"/>
      <c r="AJ841" s="871"/>
      <c r="AK841" s="871"/>
      <c r="AL841" s="871"/>
      <c r="AM841" s="871"/>
      <c r="AN841" s="871"/>
      <c r="AO841" s="871"/>
      <c r="AP841" s="871"/>
      <c r="AQ841" s="871"/>
      <c r="AR841" s="871"/>
      <c r="AS841" s="871"/>
      <c r="AT841" s="871"/>
      <c r="AU841" s="871"/>
    </row>
    <row r="842" spans="1:47" s="192" customFormat="1" ht="15">
      <c r="A842" s="704" t="s">
        <v>114</v>
      </c>
      <c r="B842" s="705" t="s">
        <v>115</v>
      </c>
      <c r="C842" s="1266">
        <f>CEILING(85*$Z$1,0.1)</f>
        <v>106.30000000000001</v>
      </c>
      <c r="D842" s="1267"/>
      <c r="E842" s="1268">
        <f>CEILING(130*$Z$1,0.1)</f>
        <v>162.5</v>
      </c>
      <c r="F842" s="1269"/>
      <c r="G842" s="1268">
        <f>CEILING(115*$Z$1,0.1)</f>
        <v>143.8</v>
      </c>
      <c r="H842" s="1269"/>
      <c r="I842" s="1268">
        <f>CEILING(120*$Z$1,0.1)</f>
        <v>150</v>
      </c>
      <c r="J842" s="1269"/>
      <c r="K842" s="1268">
        <f>CEILING(90*$Z$1,0.1)</f>
        <v>112.5</v>
      </c>
      <c r="L842" s="1270"/>
      <c r="M842" s="851"/>
      <c r="N842" s="851"/>
      <c r="O842" s="335"/>
      <c r="P842" s="335"/>
      <c r="Q842" s="335"/>
      <c r="R842" s="335"/>
      <c r="S842" s="335"/>
      <c r="T842" s="335"/>
      <c r="U842" s="335"/>
      <c r="V842" s="335"/>
      <c r="W842" s="335"/>
      <c r="X842" s="335"/>
      <c r="Y842" s="335"/>
      <c r="Z842" s="335"/>
      <c r="AA842" s="335"/>
      <c r="AB842" s="335"/>
      <c r="AC842" s="335"/>
      <c r="AD842" s="335"/>
      <c r="AE842" s="335"/>
      <c r="AF842" s="335"/>
      <c r="AG842" s="335"/>
      <c r="AH842" s="335"/>
      <c r="AI842" s="335"/>
      <c r="AJ842" s="335"/>
      <c r="AK842" s="335"/>
      <c r="AL842" s="335"/>
      <c r="AM842" s="335"/>
      <c r="AN842" s="335"/>
      <c r="AO842" s="335"/>
      <c r="AP842" s="335"/>
      <c r="AQ842" s="335"/>
      <c r="AR842" s="335"/>
      <c r="AS842" s="335"/>
      <c r="AT842" s="335"/>
      <c r="AU842" s="335"/>
    </row>
    <row r="843" spans="1:47" s="192" customFormat="1" ht="16.5" customHeight="1">
      <c r="A843" s="706" t="s">
        <v>45</v>
      </c>
      <c r="B843" s="707" t="s">
        <v>116</v>
      </c>
      <c r="C843" s="1268">
        <f>CEILING((C842+34*$Z$1),0.1)</f>
        <v>148.8</v>
      </c>
      <c r="D843" s="1270"/>
      <c r="E843" s="1268">
        <f>CEILING((E842+52*$Z$1),0.1)</f>
        <v>227.5</v>
      </c>
      <c r="F843" s="1270"/>
      <c r="G843" s="1268">
        <f>CEILING((G842+46*$Z$1),0.1)</f>
        <v>201.3</v>
      </c>
      <c r="H843" s="1270"/>
      <c r="I843" s="1268">
        <f>CEILING((I842+48*$Z$1),0.1)</f>
        <v>210</v>
      </c>
      <c r="J843" s="1270"/>
      <c r="K843" s="1268">
        <f>CEILING((K842+36*$Z$1),0.1)</f>
        <v>157.5</v>
      </c>
      <c r="L843" s="1270"/>
      <c r="M843" s="851"/>
      <c r="N843" s="851"/>
      <c r="O843" s="335"/>
      <c r="P843" s="335"/>
      <c r="Q843" s="335"/>
      <c r="R843" s="335"/>
      <c r="S843" s="335"/>
      <c r="T843" s="335"/>
      <c r="U843" s="335"/>
      <c r="V843" s="335"/>
      <c r="W843" s="335"/>
      <c r="X843" s="335"/>
      <c r="Y843" s="335"/>
      <c r="Z843" s="335"/>
      <c r="AA843" s="335"/>
      <c r="AB843" s="335"/>
      <c r="AC843" s="335"/>
      <c r="AD843" s="335"/>
      <c r="AE843" s="335"/>
      <c r="AF843" s="335"/>
      <c r="AG843" s="335"/>
      <c r="AH843" s="335"/>
      <c r="AI843" s="335"/>
      <c r="AJ843" s="335"/>
      <c r="AK843" s="335"/>
      <c r="AL843" s="335"/>
      <c r="AM843" s="335"/>
      <c r="AN843" s="335"/>
      <c r="AO843" s="335"/>
      <c r="AP843" s="335"/>
      <c r="AQ843" s="335"/>
      <c r="AR843" s="335"/>
      <c r="AS843" s="335"/>
      <c r="AT843" s="335"/>
      <c r="AU843" s="335"/>
    </row>
    <row r="844" spans="1:47" s="192" customFormat="1" ht="18" customHeight="1">
      <c r="A844" s="706"/>
      <c r="B844" s="707" t="s">
        <v>47</v>
      </c>
      <c r="C844" s="1268">
        <f>CEILING((C842*0.75),0.1)</f>
        <v>79.80000000000001</v>
      </c>
      <c r="D844" s="1270"/>
      <c r="E844" s="1268">
        <f>CEILING((E842*0.75),0.1)</f>
        <v>121.9</v>
      </c>
      <c r="F844" s="1270"/>
      <c r="G844" s="1268">
        <f>CEILING((G842*0.75),0.1)</f>
        <v>107.9</v>
      </c>
      <c r="H844" s="1270"/>
      <c r="I844" s="1268">
        <f>CEILING((I842*0.75),0.1)</f>
        <v>112.5</v>
      </c>
      <c r="J844" s="1270"/>
      <c r="K844" s="1268">
        <f>CEILING((K842*0.75),0.1)</f>
        <v>84.4</v>
      </c>
      <c r="L844" s="1270"/>
      <c r="M844" s="872"/>
      <c r="N844" s="851"/>
      <c r="O844" s="335"/>
      <c r="P844" s="335"/>
      <c r="Q844" s="335"/>
      <c r="R844" s="335"/>
      <c r="S844" s="335"/>
      <c r="T844" s="335"/>
      <c r="U844" s="335"/>
      <c r="V844" s="335"/>
      <c r="W844" s="335"/>
      <c r="X844" s="335"/>
      <c r="Y844" s="335"/>
      <c r="Z844" s="335"/>
      <c r="AA844" s="335"/>
      <c r="AB844" s="335"/>
      <c r="AC844" s="335"/>
      <c r="AD844" s="335"/>
      <c r="AE844" s="335"/>
      <c r="AF844" s="335"/>
      <c r="AG844" s="335"/>
      <c r="AH844" s="335"/>
      <c r="AI844" s="335"/>
      <c r="AJ844" s="335"/>
      <c r="AK844" s="335"/>
      <c r="AL844" s="335"/>
      <c r="AM844" s="335"/>
      <c r="AN844" s="335"/>
      <c r="AO844" s="335"/>
      <c r="AP844" s="335"/>
      <c r="AQ844" s="335"/>
      <c r="AR844" s="335"/>
      <c r="AS844" s="335"/>
      <c r="AT844" s="335"/>
      <c r="AU844" s="335"/>
    </row>
    <row r="845" spans="1:47" s="192" customFormat="1" ht="16.5" customHeight="1">
      <c r="A845" s="401"/>
      <c r="B845" s="708" t="s">
        <v>994</v>
      </c>
      <c r="C845" s="1284">
        <v>0</v>
      </c>
      <c r="D845" s="1285"/>
      <c r="E845" s="1284">
        <f>CEILING((E842*0.5),0.1)</f>
        <v>81.30000000000001</v>
      </c>
      <c r="F845" s="1285"/>
      <c r="G845" s="1284">
        <f>CEILING((G842*0.5),0.1)</f>
        <v>71.9</v>
      </c>
      <c r="H845" s="1285"/>
      <c r="I845" s="1284">
        <f>CEILING((I842*0.5),0.1)</f>
        <v>75</v>
      </c>
      <c r="J845" s="1285"/>
      <c r="K845" s="1284">
        <v>0</v>
      </c>
      <c r="L845" s="1285"/>
      <c r="M845" s="342"/>
      <c r="N845" s="342"/>
      <c r="O845" s="335"/>
      <c r="P845" s="335"/>
      <c r="Q845" s="335"/>
      <c r="R845" s="335"/>
      <c r="S845" s="335"/>
      <c r="T845" s="335"/>
      <c r="U845" s="335"/>
      <c r="V845" s="335"/>
      <c r="W845" s="335"/>
      <c r="X845" s="335"/>
      <c r="Y845" s="335"/>
      <c r="Z845" s="335"/>
      <c r="AA845" s="335"/>
      <c r="AB845" s="335"/>
      <c r="AC845" s="335"/>
      <c r="AD845" s="335"/>
      <c r="AE845" s="335"/>
      <c r="AF845" s="335"/>
      <c r="AG845" s="335"/>
      <c r="AH845" s="335"/>
      <c r="AI845" s="335"/>
      <c r="AJ845" s="335"/>
      <c r="AK845" s="335"/>
      <c r="AL845" s="335"/>
      <c r="AM845" s="335"/>
      <c r="AN845" s="335"/>
      <c r="AO845" s="335"/>
      <c r="AP845" s="335"/>
      <c r="AQ845" s="335"/>
      <c r="AR845" s="335"/>
      <c r="AS845" s="335"/>
      <c r="AT845" s="335"/>
      <c r="AU845" s="335"/>
    </row>
    <row r="846" spans="1:47" s="192" customFormat="1" ht="15">
      <c r="A846" s="709"/>
      <c r="B846" s="707" t="s">
        <v>117</v>
      </c>
      <c r="C846" s="1266">
        <f>CEILING(89*$Z$1,0.1)</f>
        <v>111.30000000000001</v>
      </c>
      <c r="D846" s="1267"/>
      <c r="E846" s="1268">
        <f>CEILING(137*$Z$1,0.1)</f>
        <v>171.3</v>
      </c>
      <c r="F846" s="1269"/>
      <c r="G846" s="1268">
        <f>CEILING(121*$Z$1,0.1)</f>
        <v>151.3</v>
      </c>
      <c r="H846" s="1269"/>
      <c r="I846" s="1268">
        <f>CEILING(126*$Z$1,0.1)</f>
        <v>157.5</v>
      </c>
      <c r="J846" s="1269"/>
      <c r="K846" s="1268">
        <f>CEILING(95*$Z$1,0.1)</f>
        <v>118.80000000000001</v>
      </c>
      <c r="L846" s="1270"/>
      <c r="M846" s="342"/>
      <c r="N846" s="389"/>
      <c r="O846" s="335"/>
      <c r="P846" s="335"/>
      <c r="Q846" s="335"/>
      <c r="R846" s="335"/>
      <c r="S846" s="335"/>
      <c r="T846" s="335"/>
      <c r="U846" s="335"/>
      <c r="V846" s="335"/>
      <c r="W846" s="335"/>
      <c r="X846" s="335"/>
      <c r="Y846" s="335"/>
      <c r="Z846" s="335"/>
      <c r="AA846" s="335"/>
      <c r="AB846" s="335"/>
      <c r="AC846" s="335"/>
      <c r="AD846" s="335"/>
      <c r="AE846" s="335"/>
      <c r="AF846" s="335"/>
      <c r="AG846" s="335"/>
      <c r="AH846" s="335"/>
      <c r="AI846" s="335"/>
      <c r="AJ846" s="335"/>
      <c r="AK846" s="335"/>
      <c r="AL846" s="335"/>
      <c r="AM846" s="335"/>
      <c r="AN846" s="335"/>
      <c r="AO846" s="335"/>
      <c r="AP846" s="335"/>
      <c r="AQ846" s="335"/>
      <c r="AR846" s="335"/>
      <c r="AS846" s="335"/>
      <c r="AT846" s="335"/>
      <c r="AU846" s="335"/>
    </row>
    <row r="847" spans="1:47" s="192" customFormat="1" ht="15">
      <c r="A847" s="709" t="s">
        <v>1329</v>
      </c>
      <c r="B847" s="707" t="s">
        <v>118</v>
      </c>
      <c r="C847" s="1268">
        <f>CEILING((C846+35.5*$Z$1),0.1)</f>
        <v>155.70000000000002</v>
      </c>
      <c r="D847" s="1270"/>
      <c r="E847" s="1268">
        <f>CEILING((E846+55*$Z$1),0.1)</f>
        <v>240.10000000000002</v>
      </c>
      <c r="F847" s="1270"/>
      <c r="G847" s="1268">
        <f>CEILING((G846+48.5*$Z$1),0.1)</f>
        <v>212</v>
      </c>
      <c r="H847" s="1270"/>
      <c r="I847" s="1268">
        <f>CEILING((I846+50.5*$Z$1),0.1)</f>
        <v>220.70000000000002</v>
      </c>
      <c r="J847" s="1270"/>
      <c r="K847" s="1268">
        <f>CEILING((K846+38*$Z$1),0.1)</f>
        <v>166.3</v>
      </c>
      <c r="L847" s="1270"/>
      <c r="M847" s="342"/>
      <c r="N847" s="389"/>
      <c r="O847" s="335"/>
      <c r="P847" s="335"/>
      <c r="Q847" s="335"/>
      <c r="R847" s="335"/>
      <c r="S847" s="335"/>
      <c r="T847" s="335"/>
      <c r="U847" s="335"/>
      <c r="V847" s="335"/>
      <c r="W847" s="335"/>
      <c r="X847" s="335"/>
      <c r="Y847" s="335"/>
      <c r="Z847" s="335"/>
      <c r="AA847" s="335"/>
      <c r="AB847" s="335"/>
      <c r="AC847" s="335"/>
      <c r="AD847" s="335"/>
      <c r="AE847" s="335"/>
      <c r="AF847" s="335"/>
      <c r="AG847" s="335"/>
      <c r="AH847" s="335"/>
      <c r="AI847" s="335"/>
      <c r="AJ847" s="335"/>
      <c r="AK847" s="335"/>
      <c r="AL847" s="335"/>
      <c r="AM847" s="335"/>
      <c r="AN847" s="335"/>
      <c r="AO847" s="335"/>
      <c r="AP847" s="335"/>
      <c r="AQ847" s="335"/>
      <c r="AR847" s="335"/>
      <c r="AS847" s="335"/>
      <c r="AT847" s="335"/>
      <c r="AU847" s="335"/>
    </row>
    <row r="848" spans="1:47" s="192" customFormat="1" ht="15">
      <c r="A848" s="401"/>
      <c r="B848" s="708" t="s">
        <v>47</v>
      </c>
      <c r="C848" s="1284">
        <f>CEILING((C846*0.75),0.1)</f>
        <v>83.5</v>
      </c>
      <c r="D848" s="1285"/>
      <c r="E848" s="1284">
        <f>CEILING((E846*0.75),0.1)</f>
        <v>128.5</v>
      </c>
      <c r="F848" s="1285"/>
      <c r="G848" s="1284">
        <f>CEILING((G846*0.75),0.1)</f>
        <v>113.5</v>
      </c>
      <c r="H848" s="1285"/>
      <c r="I848" s="1284">
        <f>CEILING((I846*0.75),0.1)</f>
        <v>118.2</v>
      </c>
      <c r="J848" s="1285"/>
      <c r="K848" s="1284">
        <f>CEILING((K846*0.75),0.1)</f>
        <v>89.10000000000001</v>
      </c>
      <c r="L848" s="1285"/>
      <c r="M848" s="342"/>
      <c r="N848" s="389"/>
      <c r="O848" s="335"/>
      <c r="P848" s="335"/>
      <c r="Q848" s="335"/>
      <c r="R848" s="335"/>
      <c r="S848" s="335"/>
      <c r="T848" s="335"/>
      <c r="U848" s="335"/>
      <c r="V848" s="335"/>
      <c r="W848" s="335"/>
      <c r="X848" s="335"/>
      <c r="Y848" s="335"/>
      <c r="Z848" s="335"/>
      <c r="AA848" s="335"/>
      <c r="AB848" s="335"/>
      <c r="AC848" s="335"/>
      <c r="AD848" s="335"/>
      <c r="AE848" s="335"/>
      <c r="AF848" s="335"/>
      <c r="AG848" s="335"/>
      <c r="AH848" s="335"/>
      <c r="AI848" s="335"/>
      <c r="AJ848" s="335"/>
      <c r="AK848" s="335"/>
      <c r="AL848" s="335"/>
      <c r="AM848" s="335"/>
      <c r="AN848" s="335"/>
      <c r="AO848" s="335"/>
      <c r="AP848" s="335"/>
      <c r="AQ848" s="335"/>
      <c r="AR848" s="335"/>
      <c r="AS848" s="335"/>
      <c r="AT848" s="335"/>
      <c r="AU848" s="335"/>
    </row>
    <row r="849" spans="1:47" s="192" customFormat="1" ht="18" customHeight="1">
      <c r="A849" s="709"/>
      <c r="B849" s="707" t="s">
        <v>503</v>
      </c>
      <c r="C849" s="1266">
        <f>CEILING(94*$Z$1,0.1)</f>
        <v>117.5</v>
      </c>
      <c r="D849" s="1267"/>
      <c r="E849" s="1268">
        <f>CEILING(143*$Z$1,0.1)</f>
        <v>178.8</v>
      </c>
      <c r="F849" s="1269"/>
      <c r="G849" s="1268">
        <f>CEILING(127*$Z$1,0.1)</f>
        <v>158.8</v>
      </c>
      <c r="H849" s="1269"/>
      <c r="I849" s="1268">
        <f>CEILING(132*$Z$1,0.1)</f>
        <v>165</v>
      </c>
      <c r="J849" s="1269"/>
      <c r="K849" s="1268">
        <f>CEILING(99*$Z$1,0.1)</f>
        <v>123.80000000000001</v>
      </c>
      <c r="L849" s="1270"/>
      <c r="M849" s="342"/>
      <c r="N849" s="389"/>
      <c r="O849" s="335"/>
      <c r="P849" s="335"/>
      <c r="Q849" s="335"/>
      <c r="R849" s="335"/>
      <c r="S849" s="335"/>
      <c r="T849" s="335"/>
      <c r="U849" s="335"/>
      <c r="V849" s="335"/>
      <c r="W849" s="335"/>
      <c r="X849" s="335"/>
      <c r="Y849" s="335"/>
      <c r="Z849" s="335"/>
      <c r="AA849" s="335"/>
      <c r="AB849" s="335"/>
      <c r="AC849" s="335"/>
      <c r="AD849" s="335"/>
      <c r="AE849" s="335"/>
      <c r="AF849" s="335"/>
      <c r="AG849" s="335"/>
      <c r="AH849" s="335"/>
      <c r="AI849" s="335"/>
      <c r="AJ849" s="335"/>
      <c r="AK849" s="335"/>
      <c r="AL849" s="335"/>
      <c r="AM849" s="335"/>
      <c r="AN849" s="335"/>
      <c r="AO849" s="335"/>
      <c r="AP849" s="335"/>
      <c r="AQ849" s="335"/>
      <c r="AR849" s="335"/>
      <c r="AS849" s="335"/>
      <c r="AT849" s="335"/>
      <c r="AU849" s="335"/>
    </row>
    <row r="850" spans="1:47" s="192" customFormat="1" ht="18" customHeight="1">
      <c r="A850" s="709"/>
      <c r="B850" s="707" t="s">
        <v>504</v>
      </c>
      <c r="C850" s="1268">
        <f>CEILING((C849+38*$Z$1),0.1)</f>
        <v>165</v>
      </c>
      <c r="D850" s="1270"/>
      <c r="E850" s="1268">
        <f>CEILING((E849+57*$Z$1),0.1)</f>
        <v>250.10000000000002</v>
      </c>
      <c r="F850" s="1270"/>
      <c r="G850" s="1268">
        <f>CEILING((G849+50.7*$Z$1),0.1)</f>
        <v>222.20000000000002</v>
      </c>
      <c r="H850" s="1270"/>
      <c r="I850" s="1268">
        <f>CEILING((I849+53*$Z$1),0.1)</f>
        <v>231.3</v>
      </c>
      <c r="J850" s="1270"/>
      <c r="K850" s="1268">
        <f>CEILING((K849+39.5*$Z$1),0.1)</f>
        <v>173.20000000000002</v>
      </c>
      <c r="L850" s="1270"/>
      <c r="M850" s="342"/>
      <c r="N850" s="389"/>
      <c r="O850" s="335"/>
      <c r="P850" s="335"/>
      <c r="Q850" s="335"/>
      <c r="R850" s="335"/>
      <c r="S850" s="335"/>
      <c r="T850" s="335"/>
      <c r="U850" s="335"/>
      <c r="V850" s="335"/>
      <c r="W850" s="335"/>
      <c r="X850" s="335"/>
      <c r="Y850" s="335"/>
      <c r="Z850" s="335"/>
      <c r="AA850" s="335"/>
      <c r="AB850" s="335"/>
      <c r="AC850" s="335"/>
      <c r="AD850" s="335"/>
      <c r="AE850" s="335"/>
      <c r="AF850" s="335"/>
      <c r="AG850" s="335"/>
      <c r="AH850" s="335"/>
      <c r="AI850" s="335"/>
      <c r="AJ850" s="335"/>
      <c r="AK850" s="335"/>
      <c r="AL850" s="335"/>
      <c r="AM850" s="335"/>
      <c r="AN850" s="335"/>
      <c r="AO850" s="335"/>
      <c r="AP850" s="335"/>
      <c r="AQ850" s="335"/>
      <c r="AR850" s="335"/>
      <c r="AS850" s="335"/>
      <c r="AT850" s="335"/>
      <c r="AU850" s="335"/>
    </row>
    <row r="851" spans="1:47" s="192" customFormat="1" ht="15" customHeight="1">
      <c r="A851" s="709"/>
      <c r="B851" s="708" t="s">
        <v>47</v>
      </c>
      <c r="C851" s="1284">
        <f>CEILING((C849*0.75),0.1)</f>
        <v>88.2</v>
      </c>
      <c r="D851" s="1285"/>
      <c r="E851" s="1284">
        <f>CEILING((E849*0.75),0.1)</f>
        <v>134.1</v>
      </c>
      <c r="F851" s="1285"/>
      <c r="G851" s="1284">
        <f>CEILING((G849*0.75),0.1)</f>
        <v>119.10000000000001</v>
      </c>
      <c r="H851" s="1285"/>
      <c r="I851" s="1284">
        <f>CEILING((I849*0.75),0.1)</f>
        <v>123.80000000000001</v>
      </c>
      <c r="J851" s="1285"/>
      <c r="K851" s="1284">
        <f>CEILING((K849*0.75),0.1)</f>
        <v>92.9</v>
      </c>
      <c r="L851" s="1285"/>
      <c r="M851" s="342"/>
      <c r="N851" s="389"/>
      <c r="O851" s="335"/>
      <c r="P851" s="335"/>
      <c r="Q851" s="335"/>
      <c r="R851" s="335"/>
      <c r="S851" s="335"/>
      <c r="T851" s="335"/>
      <c r="U851" s="335"/>
      <c r="V851" s="335"/>
      <c r="W851" s="335"/>
      <c r="X851" s="335"/>
      <c r="Y851" s="335"/>
      <c r="Z851" s="335"/>
      <c r="AA851" s="335"/>
      <c r="AB851" s="335"/>
      <c r="AC851" s="335"/>
      <c r="AD851" s="335"/>
      <c r="AE851" s="335"/>
      <c r="AF851" s="335"/>
      <c r="AG851" s="335"/>
      <c r="AH851" s="335"/>
      <c r="AI851" s="335"/>
      <c r="AJ851" s="335"/>
      <c r="AK851" s="335"/>
      <c r="AL851" s="335"/>
      <c r="AM851" s="335"/>
      <c r="AN851" s="335"/>
      <c r="AO851" s="335"/>
      <c r="AP851" s="335"/>
      <c r="AQ851" s="335"/>
      <c r="AR851" s="335"/>
      <c r="AS851" s="335"/>
      <c r="AT851" s="335"/>
      <c r="AU851" s="335"/>
    </row>
    <row r="852" spans="1:47" s="192" customFormat="1" ht="16.5" customHeight="1">
      <c r="A852" s="709"/>
      <c r="B852" s="467" t="s">
        <v>684</v>
      </c>
      <c r="C852" s="1266">
        <f>CEILING(123*$Z$1,0.1)</f>
        <v>153.8</v>
      </c>
      <c r="D852" s="1267"/>
      <c r="E852" s="1266">
        <f>CEILING(183*$Z$1,0.1)</f>
        <v>228.8</v>
      </c>
      <c r="F852" s="1267"/>
      <c r="G852" s="1266">
        <f>CEILING(163*$Z$1,0.1)</f>
        <v>203.8</v>
      </c>
      <c r="H852" s="1267"/>
      <c r="I852" s="1266">
        <f>CEILING(170*$Z$1,0.1)</f>
        <v>212.5</v>
      </c>
      <c r="J852" s="1267"/>
      <c r="K852" s="1266">
        <f>CEILING(130*$Z$1,0.1)</f>
        <v>162.5</v>
      </c>
      <c r="L852" s="1267"/>
      <c r="M852" s="342"/>
      <c r="N852" s="389"/>
      <c r="O852" s="335"/>
      <c r="P852" s="335"/>
      <c r="Q852" s="335"/>
      <c r="R852" s="335"/>
      <c r="S852" s="335"/>
      <c r="T852" s="335"/>
      <c r="U852" s="335"/>
      <c r="V852" s="335"/>
      <c r="W852" s="335"/>
      <c r="X852" s="335"/>
      <c r="Y852" s="335"/>
      <c r="Z852" s="335"/>
      <c r="AA852" s="335"/>
      <c r="AB852" s="335"/>
      <c r="AC852" s="335"/>
      <c r="AD852" s="335"/>
      <c r="AE852" s="335"/>
      <c r="AF852" s="335"/>
      <c r="AG852" s="335"/>
      <c r="AH852" s="335"/>
      <c r="AI852" s="335"/>
      <c r="AJ852" s="335"/>
      <c r="AK852" s="335"/>
      <c r="AL852" s="335"/>
      <c r="AM852" s="335"/>
      <c r="AN852" s="335"/>
      <c r="AO852" s="335"/>
      <c r="AP852" s="335"/>
      <c r="AQ852" s="335"/>
      <c r="AR852" s="335"/>
      <c r="AS852" s="335"/>
      <c r="AT852" s="335"/>
      <c r="AU852" s="335"/>
    </row>
    <row r="853" spans="1:47" s="192" customFormat="1" ht="16.5" customHeight="1">
      <c r="A853" s="709"/>
      <c r="B853" s="467" t="s">
        <v>645</v>
      </c>
      <c r="C853" s="1284">
        <f>CEILING((C852*0.5),0.1)</f>
        <v>76.9</v>
      </c>
      <c r="D853" s="1285"/>
      <c r="E853" s="1284">
        <f>CEILING((E852*0.5),0.1)</f>
        <v>114.4</v>
      </c>
      <c r="F853" s="1285"/>
      <c r="G853" s="1284">
        <f>CEILING((G852*0.5),0.1)</f>
        <v>101.9</v>
      </c>
      <c r="H853" s="1285"/>
      <c r="I853" s="1284">
        <f>CEILING((I852*0.5),0.1)</f>
        <v>106.30000000000001</v>
      </c>
      <c r="J853" s="1285"/>
      <c r="K853" s="1284">
        <f>CEILING((K852*0.5),0.1)</f>
        <v>81.30000000000001</v>
      </c>
      <c r="L853" s="1285"/>
      <c r="M853" s="342"/>
      <c r="N853" s="389"/>
      <c r="O853" s="335"/>
      <c r="P853" s="335"/>
      <c r="Q853" s="335"/>
      <c r="R853" s="335"/>
      <c r="S853" s="335"/>
      <c r="T853" s="335"/>
      <c r="U853" s="335"/>
      <c r="V853" s="335"/>
      <c r="W853" s="335"/>
      <c r="X853" s="335"/>
      <c r="Y853" s="335"/>
      <c r="Z853" s="335"/>
      <c r="AA853" s="335"/>
      <c r="AB853" s="335"/>
      <c r="AC853" s="335"/>
      <c r="AD853" s="335"/>
      <c r="AE853" s="335"/>
      <c r="AF853" s="335"/>
      <c r="AG853" s="335"/>
      <c r="AH853" s="335"/>
      <c r="AI853" s="335"/>
      <c r="AJ853" s="335"/>
      <c r="AK853" s="335"/>
      <c r="AL853" s="335"/>
      <c r="AM853" s="335"/>
      <c r="AN853" s="335"/>
      <c r="AO853" s="335"/>
      <c r="AP853" s="335"/>
      <c r="AQ853" s="335"/>
      <c r="AR853" s="335"/>
      <c r="AS853" s="335"/>
      <c r="AT853" s="335"/>
      <c r="AU853" s="335"/>
    </row>
    <row r="854" spans="1:47" s="192" customFormat="1" ht="16.5" customHeight="1">
      <c r="A854" s="709"/>
      <c r="B854" s="466" t="s">
        <v>763</v>
      </c>
      <c r="C854" s="1266">
        <f>CEILING(120*$Z$1,0.1)</f>
        <v>150</v>
      </c>
      <c r="D854" s="1267"/>
      <c r="E854" s="1268">
        <f>CEILING(170*$Z$1,0.1)</f>
        <v>212.5</v>
      </c>
      <c r="F854" s="1269"/>
      <c r="G854" s="1268">
        <f>CEILING(150*$Z$1,0.1)</f>
        <v>187.5</v>
      </c>
      <c r="H854" s="1269"/>
      <c r="I854" s="1268">
        <f>CEILING(170*$Z$1,0.1)</f>
        <v>212.5</v>
      </c>
      <c r="J854" s="1269"/>
      <c r="K854" s="1268">
        <f>CEILING(125*$Z$1,0.1)</f>
        <v>156.3</v>
      </c>
      <c r="L854" s="1270"/>
      <c r="M854" s="342"/>
      <c r="N854" s="389"/>
      <c r="O854" s="335"/>
      <c r="P854" s="335"/>
      <c r="Q854" s="335"/>
      <c r="R854" s="335"/>
      <c r="S854" s="335"/>
      <c r="T854" s="335"/>
      <c r="U854" s="335"/>
      <c r="V854" s="335"/>
      <c r="W854" s="335"/>
      <c r="X854" s="335"/>
      <c r="Y854" s="335"/>
      <c r="Z854" s="335"/>
      <c r="AA854" s="335"/>
      <c r="AB854" s="335"/>
      <c r="AC854" s="335"/>
      <c r="AD854" s="335"/>
      <c r="AE854" s="335"/>
      <c r="AF854" s="335"/>
      <c r="AG854" s="335"/>
      <c r="AH854" s="335"/>
      <c r="AI854" s="335"/>
      <c r="AJ854" s="335"/>
      <c r="AK854" s="335"/>
      <c r="AL854" s="335"/>
      <c r="AM854" s="335"/>
      <c r="AN854" s="335"/>
      <c r="AO854" s="335"/>
      <c r="AP854" s="335"/>
      <c r="AQ854" s="335"/>
      <c r="AR854" s="335"/>
      <c r="AS854" s="335"/>
      <c r="AT854" s="335"/>
      <c r="AU854" s="335"/>
    </row>
    <row r="855" spans="1:47" s="192" customFormat="1" ht="16.5" customHeight="1">
      <c r="A855" s="709"/>
      <c r="B855" s="467" t="s">
        <v>764</v>
      </c>
      <c r="C855" s="1268">
        <f>CEILING((C854+96*$Z$1),0.1)</f>
        <v>270</v>
      </c>
      <c r="D855" s="1270"/>
      <c r="E855" s="1268">
        <f>CEILING((E854+136*$Z$1),0.1)</f>
        <v>382.5</v>
      </c>
      <c r="F855" s="1270"/>
      <c r="G855" s="1268">
        <f>CEILING((G854+120*$Z$1),0.1)</f>
        <v>337.5</v>
      </c>
      <c r="H855" s="1270"/>
      <c r="I855" s="1268">
        <f>CEILING((I854+136*$Z$1),0.1)</f>
        <v>382.5</v>
      </c>
      <c r="J855" s="1270"/>
      <c r="K855" s="1268">
        <f>CEILING((K854+100*$Z$1),0.1)</f>
        <v>281.3</v>
      </c>
      <c r="L855" s="1270"/>
      <c r="M855" s="342"/>
      <c r="N855" s="389"/>
      <c r="O855" s="335"/>
      <c r="P855" s="335"/>
      <c r="Q855" s="335"/>
      <c r="R855" s="335"/>
      <c r="S855" s="335"/>
      <c r="T855" s="335"/>
      <c r="U855" s="335"/>
      <c r="V855" s="335"/>
      <c r="W855" s="335"/>
      <c r="X855" s="335"/>
      <c r="Y855" s="335"/>
      <c r="Z855" s="335"/>
      <c r="AA855" s="335"/>
      <c r="AB855" s="335"/>
      <c r="AC855" s="335"/>
      <c r="AD855" s="335"/>
      <c r="AE855" s="335"/>
      <c r="AF855" s="335"/>
      <c r="AG855" s="335"/>
      <c r="AH855" s="335"/>
      <c r="AI855" s="335"/>
      <c r="AJ855" s="335"/>
      <c r="AK855" s="335"/>
      <c r="AL855" s="335"/>
      <c r="AM855" s="335"/>
      <c r="AN855" s="335"/>
      <c r="AO855" s="335"/>
      <c r="AP855" s="335"/>
      <c r="AQ855" s="335"/>
      <c r="AR855" s="335"/>
      <c r="AS855" s="335"/>
      <c r="AT855" s="335"/>
      <c r="AU855" s="335"/>
    </row>
    <row r="856" spans="1:47" s="192" customFormat="1" ht="16.5" customHeight="1">
      <c r="A856" s="709"/>
      <c r="B856" s="468" t="s">
        <v>47</v>
      </c>
      <c r="C856" s="1284">
        <f>CEILING((C854*0.75),0.1)</f>
        <v>112.5</v>
      </c>
      <c r="D856" s="1285"/>
      <c r="E856" s="1268">
        <f>CEILING((E854*0.75),0.1)</f>
        <v>159.4</v>
      </c>
      <c r="F856" s="1270"/>
      <c r="G856" s="1284">
        <f>CEILING((G854*0.75),0.1)</f>
        <v>140.70000000000002</v>
      </c>
      <c r="H856" s="1285"/>
      <c r="I856" s="1284">
        <f>CEILING((I854*0.75),0.1)</f>
        <v>159.4</v>
      </c>
      <c r="J856" s="1285"/>
      <c r="K856" s="1268">
        <f>CEILING((K854*0.75),0.1)</f>
        <v>117.30000000000001</v>
      </c>
      <c r="L856" s="1270"/>
      <c r="M856" s="342"/>
      <c r="N856" s="389"/>
      <c r="O856" s="335"/>
      <c r="P856" s="335"/>
      <c r="Q856" s="335"/>
      <c r="R856" s="335"/>
      <c r="S856" s="335"/>
      <c r="T856" s="335"/>
      <c r="U856" s="335"/>
      <c r="V856" s="335"/>
      <c r="W856" s="335"/>
      <c r="X856" s="335"/>
      <c r="Y856" s="335"/>
      <c r="Z856" s="335"/>
      <c r="AA856" s="335"/>
      <c r="AB856" s="335"/>
      <c r="AC856" s="335"/>
      <c r="AD856" s="335"/>
      <c r="AE856" s="335"/>
      <c r="AF856" s="335"/>
      <c r="AG856" s="335"/>
      <c r="AH856" s="335"/>
      <c r="AI856" s="335"/>
      <c r="AJ856" s="335"/>
      <c r="AK856" s="335"/>
      <c r="AL856" s="335"/>
      <c r="AM856" s="335"/>
      <c r="AN856" s="335"/>
      <c r="AO856" s="335"/>
      <c r="AP856" s="335"/>
      <c r="AQ856" s="335"/>
      <c r="AR856" s="335"/>
      <c r="AS856" s="335"/>
      <c r="AT856" s="335"/>
      <c r="AU856" s="335"/>
    </row>
    <row r="857" spans="1:47" s="192" customFormat="1" ht="16.5" customHeight="1">
      <c r="A857" s="709"/>
      <c r="B857" s="469" t="s">
        <v>762</v>
      </c>
      <c r="C857" s="1266">
        <f>CEILING(120*$Z$1,0.1)</f>
        <v>150</v>
      </c>
      <c r="D857" s="1267"/>
      <c r="E857" s="1266">
        <f>CEILING(170*$Z$1,0.1)</f>
        <v>212.5</v>
      </c>
      <c r="F857" s="1267"/>
      <c r="G857" s="1268">
        <f>CEILING(150*$Z$1,0.1)</f>
        <v>187.5</v>
      </c>
      <c r="H857" s="1269"/>
      <c r="I857" s="1268">
        <f>CEILING(170*$Z$1,0.1)</f>
        <v>212.5</v>
      </c>
      <c r="J857" s="1269"/>
      <c r="K857" s="1266">
        <f>CEILING(125*$Z$1,0.1)</f>
        <v>156.3</v>
      </c>
      <c r="L857" s="1267"/>
      <c r="M857" s="342"/>
      <c r="N857" s="389"/>
      <c r="O857" s="335"/>
      <c r="P857" s="335"/>
      <c r="Q857" s="335"/>
      <c r="R857" s="335"/>
      <c r="S857" s="335"/>
      <c r="T857" s="335"/>
      <c r="U857" s="335"/>
      <c r="V857" s="335"/>
      <c r="W857" s="335"/>
      <c r="X857" s="335"/>
      <c r="Y857" s="335"/>
      <c r="Z857" s="335"/>
      <c r="AA857" s="335"/>
      <c r="AB857" s="335"/>
      <c r="AC857" s="335"/>
      <c r="AD857" s="335"/>
      <c r="AE857" s="335"/>
      <c r="AF857" s="335"/>
      <c r="AG857" s="335"/>
      <c r="AH857" s="335"/>
      <c r="AI857" s="335"/>
      <c r="AJ857" s="335"/>
      <c r="AK857" s="335"/>
      <c r="AL857" s="335"/>
      <c r="AM857" s="335"/>
      <c r="AN857" s="335"/>
      <c r="AO857" s="335"/>
      <c r="AP857" s="335"/>
      <c r="AQ857" s="335"/>
      <c r="AR857" s="335"/>
      <c r="AS857" s="335"/>
      <c r="AT857" s="335"/>
      <c r="AU857" s="335"/>
    </row>
    <row r="858" spans="1:47" s="192" customFormat="1" ht="16.5" customHeight="1">
      <c r="A858" s="709"/>
      <c r="B858" s="469" t="s">
        <v>685</v>
      </c>
      <c r="C858" s="1268">
        <f>CEILING((C857*0.9),0.1)</f>
        <v>135</v>
      </c>
      <c r="D858" s="1270"/>
      <c r="E858" s="1268">
        <f>CEILING((E857*0.9),0.1)</f>
        <v>191.3</v>
      </c>
      <c r="F858" s="1270"/>
      <c r="G858" s="1268">
        <f>CEILING((G857*0.9),0.1)</f>
        <v>168.8</v>
      </c>
      <c r="H858" s="1270"/>
      <c r="I858" s="1268">
        <f>CEILING((I857*0.9),0.1)</f>
        <v>191.3</v>
      </c>
      <c r="J858" s="1270"/>
      <c r="K858" s="1268">
        <f>CEILING((K857*0.9),0.1)</f>
        <v>140.70000000000002</v>
      </c>
      <c r="L858" s="1270"/>
      <c r="M858" s="342"/>
      <c r="N858" s="389"/>
      <c r="O858" s="335"/>
      <c r="P858" s="335"/>
      <c r="Q858" s="335"/>
      <c r="R858" s="335"/>
      <c r="S858" s="335"/>
      <c r="T858" s="335"/>
      <c r="U858" s="335"/>
      <c r="V858" s="335"/>
      <c r="W858" s="335"/>
      <c r="X858" s="335"/>
      <c r="Y858" s="335"/>
      <c r="Z858" s="335"/>
      <c r="AA858" s="335"/>
      <c r="AB858" s="335"/>
      <c r="AC858" s="335"/>
      <c r="AD858" s="335"/>
      <c r="AE858" s="335"/>
      <c r="AF858" s="335"/>
      <c r="AG858" s="335"/>
      <c r="AH858" s="335"/>
      <c r="AI858" s="335"/>
      <c r="AJ858" s="335"/>
      <c r="AK858" s="335"/>
      <c r="AL858" s="335"/>
      <c r="AM858" s="335"/>
      <c r="AN858" s="335"/>
      <c r="AO858" s="335"/>
      <c r="AP858" s="335"/>
      <c r="AQ858" s="335"/>
      <c r="AR858" s="335"/>
      <c r="AS858" s="335"/>
      <c r="AT858" s="335"/>
      <c r="AU858" s="335"/>
    </row>
    <row r="859" spans="1:47" s="667" customFormat="1" ht="16.5" customHeight="1" thickBot="1">
      <c r="A859" s="870" t="s">
        <v>420</v>
      </c>
      <c r="B859" s="703" t="s">
        <v>686</v>
      </c>
      <c r="C859" s="1284">
        <f>CEILING((C857*0.9),0.1)</f>
        <v>135</v>
      </c>
      <c r="D859" s="1285"/>
      <c r="E859" s="1284">
        <f>CEILING((E857*0.9),0.1)</f>
        <v>191.3</v>
      </c>
      <c r="F859" s="1285"/>
      <c r="G859" s="1284">
        <f>CEILING((G857*0.9),0.1)</f>
        <v>168.8</v>
      </c>
      <c r="H859" s="1285"/>
      <c r="I859" s="1284">
        <f>CEILING((I857*0.9),0.1)</f>
        <v>191.3</v>
      </c>
      <c r="J859" s="1285"/>
      <c r="K859" s="1284">
        <f>CEILING((K857*0.9),0.1)</f>
        <v>140.70000000000002</v>
      </c>
      <c r="L859" s="1285"/>
      <c r="M859" s="342"/>
      <c r="N859" s="389"/>
      <c r="O859" s="335"/>
      <c r="P859" s="335"/>
      <c r="Q859" s="335"/>
      <c r="R859" s="335"/>
      <c r="S859" s="335"/>
      <c r="T859" s="335"/>
      <c r="U859" s="335"/>
      <c r="V859" s="335"/>
      <c r="W859" s="335"/>
      <c r="X859" s="335"/>
      <c r="Y859" s="335"/>
      <c r="Z859" s="335"/>
      <c r="AA859" s="335"/>
      <c r="AB859" s="335"/>
      <c r="AC859" s="335"/>
      <c r="AD859" s="335"/>
      <c r="AE859" s="335"/>
      <c r="AF859" s="335"/>
      <c r="AG859" s="335"/>
      <c r="AH859" s="335"/>
      <c r="AI859" s="335"/>
      <c r="AJ859" s="335"/>
      <c r="AK859" s="335"/>
      <c r="AL859" s="335"/>
      <c r="AM859" s="335"/>
      <c r="AN859" s="335"/>
      <c r="AO859" s="335"/>
      <c r="AP859" s="335"/>
      <c r="AQ859" s="335"/>
      <c r="AR859" s="335"/>
      <c r="AS859" s="335"/>
      <c r="AT859" s="335"/>
      <c r="AU859" s="335"/>
    </row>
    <row r="860" spans="1:61" s="777" customFormat="1" ht="15.75" thickTop="1">
      <c r="A860" s="1401"/>
      <c r="B860" s="1402"/>
      <c r="C860" s="1307"/>
      <c r="D860" s="1307"/>
      <c r="E860" s="1402"/>
      <c r="F860" s="1402"/>
      <c r="G860" s="1402"/>
      <c r="H860" s="1402"/>
      <c r="I860" s="1402"/>
      <c r="J860" s="1402"/>
      <c r="K860" s="775"/>
      <c r="L860" s="775"/>
      <c r="M860" s="335"/>
      <c r="N860" s="331"/>
      <c r="O860" s="331"/>
      <c r="P860" s="331"/>
      <c r="Q860" s="331"/>
      <c r="R860" s="331"/>
      <c r="S860" s="331"/>
      <c r="T860" s="331"/>
      <c r="U860" s="331"/>
      <c r="V860" s="331"/>
      <c r="W860" s="331"/>
      <c r="X860" s="331"/>
      <c r="Y860" s="331"/>
      <c r="Z860" s="331"/>
      <c r="AA860" s="331"/>
      <c r="AB860" s="331"/>
      <c r="AC860" s="331"/>
      <c r="AD860" s="331"/>
      <c r="AE860" s="331"/>
      <c r="AF860" s="331"/>
      <c r="AG860" s="331"/>
      <c r="AH860" s="331"/>
      <c r="AI860" s="331"/>
      <c r="AJ860" s="331"/>
      <c r="AK860" s="331"/>
      <c r="AL860" s="331"/>
      <c r="AM860" s="331"/>
      <c r="AN860" s="331"/>
      <c r="AO860" s="331"/>
      <c r="AP860" s="331"/>
      <c r="AQ860" s="331"/>
      <c r="AR860" s="331"/>
      <c r="AS860" s="331"/>
      <c r="AT860" s="331"/>
      <c r="AU860" s="331"/>
      <c r="AV860" s="331"/>
      <c r="AW860" s="331"/>
      <c r="AX860" s="331"/>
      <c r="AY860" s="331"/>
      <c r="AZ860" s="331"/>
      <c r="BA860" s="331"/>
      <c r="BB860" s="331"/>
      <c r="BC860" s="331"/>
      <c r="BD860" s="331"/>
      <c r="BE860" s="331"/>
      <c r="BF860" s="331"/>
      <c r="BG860" s="331"/>
      <c r="BH860" s="331"/>
      <c r="BI860" s="331"/>
    </row>
    <row r="861" spans="1:13" s="1200" customFormat="1" ht="15">
      <c r="A861" s="1195" t="s">
        <v>1327</v>
      </c>
      <c r="B861" s="1196"/>
      <c r="C861" s="1196"/>
      <c r="D861" s="1196"/>
      <c r="E861" s="1196"/>
      <c r="F861" s="1196"/>
      <c r="G861" s="1196"/>
      <c r="H861" s="1196"/>
      <c r="I861" s="1197"/>
      <c r="J861" s="1197"/>
      <c r="K861" s="1198"/>
      <c r="L861" s="1198"/>
      <c r="M861" s="1199"/>
    </row>
    <row r="862" spans="1:13" s="1200" customFormat="1" ht="12.75" customHeight="1">
      <c r="A862" s="1195" t="s">
        <v>1328</v>
      </c>
      <c r="B862" s="1196"/>
      <c r="C862" s="1196"/>
      <c r="D862" s="1196"/>
      <c r="E862" s="1196"/>
      <c r="F862" s="1196"/>
      <c r="G862" s="1196"/>
      <c r="H862" s="1196"/>
      <c r="I862" s="1197"/>
      <c r="J862" s="1197"/>
      <c r="K862" s="1198"/>
      <c r="L862" s="1198"/>
      <c r="M862" s="1199"/>
    </row>
    <row r="863" spans="1:25" s="479" customFormat="1" ht="15.75" thickBot="1">
      <c r="A863" s="835" t="s">
        <v>669</v>
      </c>
      <c r="B863" s="836"/>
      <c r="C863" s="836"/>
      <c r="D863" s="836"/>
      <c r="E863" s="836"/>
      <c r="F863" s="836"/>
      <c r="G863" s="836"/>
      <c r="H863" s="836"/>
      <c r="I863" s="836"/>
      <c r="J863" s="836"/>
      <c r="K863" s="279"/>
      <c r="L863" s="279"/>
      <c r="M863" s="481"/>
      <c r="N863" s="480"/>
      <c r="O863" s="480"/>
      <c r="P863" s="480"/>
      <c r="Q863" s="480"/>
      <c r="R863" s="480"/>
      <c r="S863" s="480"/>
      <c r="T863" s="480"/>
      <c r="U863" s="480"/>
      <c r="V863" s="480"/>
      <c r="W863" s="480"/>
      <c r="X863" s="480"/>
      <c r="Y863" s="480"/>
    </row>
    <row r="864" spans="1:14" ht="15.75" thickTop="1">
      <c r="A864" s="18" t="s">
        <v>269</v>
      </c>
      <c r="B864" s="30"/>
      <c r="C864" s="30"/>
      <c r="D864" s="30"/>
      <c r="E864" s="30"/>
      <c r="F864" s="30"/>
      <c r="G864" s="30"/>
      <c r="H864" s="30"/>
      <c r="I864" s="30"/>
      <c r="J864" s="30"/>
      <c r="L864" s="313"/>
      <c r="M864" s="16"/>
      <c r="N864" s="158"/>
    </row>
    <row r="865" spans="1:14" ht="15">
      <c r="A865" s="1355" t="s">
        <v>687</v>
      </c>
      <c r="B865" s="1355"/>
      <c r="C865" s="1355"/>
      <c r="D865" s="1355"/>
      <c r="E865" s="1355"/>
      <c r="F865" s="1355"/>
      <c r="G865" s="1355"/>
      <c r="H865" s="1355"/>
      <c r="I865" s="1356"/>
      <c r="J865" s="1356"/>
      <c r="K865" s="1301"/>
      <c r="L865" s="1301"/>
      <c r="M865" s="16"/>
      <c r="N865" s="158"/>
    </row>
    <row r="866" spans="1:25" s="404" customFormat="1" ht="15">
      <c r="A866" s="1514" t="s">
        <v>842</v>
      </c>
      <c r="B866" s="1514"/>
      <c r="C866" s="1514"/>
      <c r="D866" s="1514"/>
      <c r="E866" s="1514"/>
      <c r="F866" s="1514"/>
      <c r="G866" s="1514"/>
      <c r="H866" s="1514"/>
      <c r="I866" s="1514"/>
      <c r="J866" s="1514"/>
      <c r="K866" s="1514"/>
      <c r="L866" s="457"/>
      <c r="M866" s="16"/>
      <c r="N866" s="158"/>
      <c r="O866" s="169"/>
      <c r="P866" s="169"/>
      <c r="Q866" s="169"/>
      <c r="R866" s="169"/>
      <c r="S866" s="169"/>
      <c r="T866" s="169"/>
      <c r="U866" s="169"/>
      <c r="V866" s="169"/>
      <c r="W866" s="169"/>
      <c r="X866" s="169"/>
      <c r="Y866" s="169"/>
    </row>
    <row r="867" spans="1:14" s="331" customFormat="1" ht="15.75" customHeight="1">
      <c r="A867" s="1516"/>
      <c r="B867" s="1516"/>
      <c r="C867" s="1516"/>
      <c r="D867" s="1516"/>
      <c r="E867" s="1516"/>
      <c r="F867" s="1516"/>
      <c r="G867" s="1516"/>
      <c r="H867" s="1516"/>
      <c r="I867" s="868"/>
      <c r="J867" s="868"/>
      <c r="K867" s="333"/>
      <c r="L867" s="333"/>
      <c r="M867" s="673"/>
      <c r="N867" s="674"/>
    </row>
    <row r="868" spans="1:14" ht="16.5" customHeight="1">
      <c r="A868" s="1300" t="s">
        <v>1221</v>
      </c>
      <c r="B868" s="1300"/>
      <c r="C868" s="1300"/>
      <c r="D868" s="1300"/>
      <c r="E868" s="1300"/>
      <c r="F868" s="1300"/>
      <c r="G868" s="1300"/>
      <c r="H868" s="1300"/>
      <c r="I868" s="393"/>
      <c r="J868" s="393"/>
      <c r="K868" s="394"/>
      <c r="L868" s="394"/>
      <c r="M868" s="673"/>
      <c r="N868" s="158"/>
    </row>
    <row r="869" spans="1:14" ht="17.25" customHeight="1">
      <c r="A869" s="1300" t="s">
        <v>347</v>
      </c>
      <c r="B869" s="1300"/>
      <c r="C869" s="1300"/>
      <c r="D869" s="1300"/>
      <c r="E869" s="1300"/>
      <c r="F869" s="1300"/>
      <c r="G869" s="1300"/>
      <c r="H869" s="1300"/>
      <c r="I869" s="393"/>
      <c r="J869" s="393"/>
      <c r="K869" s="394"/>
      <c r="L869" s="394"/>
      <c r="M869" s="673"/>
      <c r="N869" s="158"/>
    </row>
    <row r="870" spans="1:14" ht="16.5" customHeight="1">
      <c r="A870" s="1300" t="s">
        <v>458</v>
      </c>
      <c r="B870" s="1300"/>
      <c r="C870" s="1300"/>
      <c r="D870" s="1300"/>
      <c r="E870" s="1300"/>
      <c r="F870" s="1300"/>
      <c r="G870" s="1300"/>
      <c r="H870" s="1300"/>
      <c r="I870" s="1301"/>
      <c r="J870" s="393"/>
      <c r="K870" s="394"/>
      <c r="L870" s="394"/>
      <c r="M870" s="673"/>
      <c r="N870" s="158"/>
    </row>
    <row r="871" spans="1:14" ht="16.5" customHeight="1">
      <c r="A871" s="1300" t="s">
        <v>459</v>
      </c>
      <c r="B871" s="1300"/>
      <c r="C871" s="1300"/>
      <c r="D871" s="1300"/>
      <c r="E871" s="1300"/>
      <c r="F871" s="1300"/>
      <c r="G871" s="1300"/>
      <c r="H871" s="1300"/>
      <c r="I871" s="395"/>
      <c r="J871" s="395"/>
      <c r="K871" s="394"/>
      <c r="L871" s="394"/>
      <c r="M871" s="673"/>
      <c r="N871" s="158"/>
    </row>
    <row r="872" spans="1:14" ht="14.25" customHeight="1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313"/>
      <c r="L872" s="313"/>
      <c r="M872" s="16"/>
      <c r="N872" s="158"/>
    </row>
    <row r="873" spans="1:14" ht="16.5" thickBot="1">
      <c r="A873" s="1449" t="s">
        <v>119</v>
      </c>
      <c r="B873" s="1449"/>
      <c r="C873" s="1449"/>
      <c r="D873" s="1449"/>
      <c r="E873" s="1449"/>
      <c r="F873" s="1449"/>
      <c r="G873" s="1449"/>
      <c r="H873" s="1449"/>
      <c r="I873" s="1449"/>
      <c r="J873" s="1449"/>
      <c r="K873" s="313"/>
      <c r="L873" s="313"/>
      <c r="M873" s="16"/>
      <c r="N873" s="158"/>
    </row>
    <row r="874" spans="1:41" s="672" customFormat="1" ht="28.5" customHeight="1" thickTop="1">
      <c r="A874" s="746" t="s">
        <v>43</v>
      </c>
      <c r="B874" s="814" t="s">
        <v>961</v>
      </c>
      <c r="C874" s="747" t="s">
        <v>884</v>
      </c>
      <c r="D874" s="748"/>
      <c r="E874" s="749" t="s">
        <v>883</v>
      </c>
      <c r="F874" s="750"/>
      <c r="G874" s="749" t="s">
        <v>880</v>
      </c>
      <c r="H874" s="750"/>
      <c r="I874" s="1273" t="s">
        <v>881</v>
      </c>
      <c r="J874" s="1274"/>
      <c r="K874" s="1273" t="s">
        <v>882</v>
      </c>
      <c r="L874" s="1274"/>
      <c r="M874" s="827"/>
      <c r="N874" s="827"/>
      <c r="O874" s="331"/>
      <c r="P874" s="331"/>
      <c r="Q874" s="331"/>
      <c r="R874" s="331"/>
      <c r="S874" s="331"/>
      <c r="T874" s="331"/>
      <c r="U874" s="331"/>
      <c r="V874" s="331"/>
      <c r="W874" s="331"/>
      <c r="X874" s="331"/>
      <c r="Y874" s="331"/>
      <c r="Z874" s="331"/>
      <c r="AA874" s="331"/>
      <c r="AB874" s="331"/>
      <c r="AC874" s="331"/>
      <c r="AD874" s="331"/>
      <c r="AE874" s="331"/>
      <c r="AF874" s="331"/>
      <c r="AG874" s="331"/>
      <c r="AH874" s="331"/>
      <c r="AI874" s="331"/>
      <c r="AJ874" s="331"/>
      <c r="AK874" s="331"/>
      <c r="AL874" s="331"/>
      <c r="AM874" s="331"/>
      <c r="AN874" s="331"/>
      <c r="AO874" s="331"/>
    </row>
    <row r="875" spans="1:25" s="479" customFormat="1" ht="15">
      <c r="A875" s="877" t="s">
        <v>717</v>
      </c>
      <c r="B875" s="878" t="s">
        <v>719</v>
      </c>
      <c r="C875" s="1266">
        <f>CEILING(90*$Z$1,0.1)</f>
        <v>112.5</v>
      </c>
      <c r="D875" s="1267"/>
      <c r="E875" s="1268">
        <f>CEILING(125*$Z$1,0.1)</f>
        <v>156.3</v>
      </c>
      <c r="F875" s="1269"/>
      <c r="G875" s="1268">
        <f>CEILING(100*$Z$1,0.1)</f>
        <v>125</v>
      </c>
      <c r="H875" s="1269"/>
      <c r="I875" s="1268">
        <f>CEILING(110*$Z$1,0.1)</f>
        <v>137.5</v>
      </c>
      <c r="J875" s="1269"/>
      <c r="K875" s="1268">
        <f>CEILING(90*$Z$1,0.1)</f>
        <v>112.5</v>
      </c>
      <c r="L875" s="1270"/>
      <c r="M875" s="16"/>
      <c r="N875" s="158"/>
      <c r="O875" s="480"/>
      <c r="P875" s="480"/>
      <c r="Q875" s="480"/>
      <c r="R875" s="480"/>
      <c r="S875" s="480"/>
      <c r="T875" s="480"/>
      <c r="U875" s="480"/>
      <c r="V875" s="480"/>
      <c r="W875" s="480"/>
      <c r="X875" s="480"/>
      <c r="Y875" s="480"/>
    </row>
    <row r="876" spans="1:25" s="479" customFormat="1" ht="15">
      <c r="A876" s="243" t="s">
        <v>45</v>
      </c>
      <c r="B876" s="879" t="s">
        <v>720</v>
      </c>
      <c r="C876" s="1268">
        <f>CEILING((C875+60*$Z$1),0.1)</f>
        <v>187.5</v>
      </c>
      <c r="D876" s="1270"/>
      <c r="E876" s="1268">
        <f>CEILING((E875+60*$Z$1),0.1)</f>
        <v>231.3</v>
      </c>
      <c r="F876" s="1270"/>
      <c r="G876" s="1268">
        <f>CEILING((G875+60*$Z$1),0.1)</f>
        <v>200</v>
      </c>
      <c r="H876" s="1270"/>
      <c r="I876" s="1268">
        <f>CEILING((I875+60*$Z$1),0.1)</f>
        <v>212.5</v>
      </c>
      <c r="J876" s="1270"/>
      <c r="K876" s="1268">
        <f>CEILING((K875+60*$Z$1),0.1)</f>
        <v>187.5</v>
      </c>
      <c r="L876" s="1270"/>
      <c r="M876" s="16"/>
      <c r="N876" s="158"/>
      <c r="O876" s="480"/>
      <c r="P876" s="480"/>
      <c r="Q876" s="480"/>
      <c r="R876" s="480"/>
      <c r="S876" s="480"/>
      <c r="T876" s="480"/>
      <c r="U876" s="480"/>
      <c r="V876" s="480"/>
      <c r="W876" s="480"/>
      <c r="X876" s="480"/>
      <c r="Y876" s="480"/>
    </row>
    <row r="877" spans="1:25" s="479" customFormat="1" ht="15">
      <c r="A877" s="579"/>
      <c r="B877" s="880" t="s">
        <v>47</v>
      </c>
      <c r="C877" s="1268">
        <f>CEILING((C875*0.85),0.1)</f>
        <v>95.7</v>
      </c>
      <c r="D877" s="1270"/>
      <c r="E877" s="1268">
        <f>CEILING((E875*0.85),0.1)</f>
        <v>132.9</v>
      </c>
      <c r="F877" s="1270"/>
      <c r="G877" s="1268">
        <f>CEILING((G875*0.85),0.1)</f>
        <v>106.30000000000001</v>
      </c>
      <c r="H877" s="1270"/>
      <c r="I877" s="1268">
        <f>CEILING((I875*0.85),0.1)</f>
        <v>116.9</v>
      </c>
      <c r="J877" s="1270"/>
      <c r="K877" s="1268">
        <f>CEILING((K875*0.85),0.1)</f>
        <v>95.7</v>
      </c>
      <c r="L877" s="1270"/>
      <c r="M877" s="16"/>
      <c r="N877" s="158"/>
      <c r="O877" s="480"/>
      <c r="P877" s="480"/>
      <c r="Q877" s="480"/>
      <c r="R877" s="480"/>
      <c r="S877" s="480"/>
      <c r="T877" s="480"/>
      <c r="U877" s="480"/>
      <c r="V877" s="480"/>
      <c r="W877" s="480"/>
      <c r="X877" s="480"/>
      <c r="Y877" s="480"/>
    </row>
    <row r="878" spans="1:25" s="479" customFormat="1" ht="15.75">
      <c r="A878" s="668"/>
      <c r="B878" s="881" t="s">
        <v>1007</v>
      </c>
      <c r="C878" s="1268">
        <f>CEILING((C875*0.5),0.1)</f>
        <v>56.300000000000004</v>
      </c>
      <c r="D878" s="1270"/>
      <c r="E878" s="1268">
        <f>CEILING((E875*0.5),0.1)</f>
        <v>78.2</v>
      </c>
      <c r="F878" s="1270"/>
      <c r="G878" s="1268">
        <f>CEILING((G875*0.5),0.1)</f>
        <v>62.5</v>
      </c>
      <c r="H878" s="1270"/>
      <c r="I878" s="1268">
        <f>CEILING((I875*0.5),0.1)</f>
        <v>68.8</v>
      </c>
      <c r="J878" s="1270"/>
      <c r="K878" s="1268">
        <f>CEILING((K875*0.5),0.1)</f>
        <v>56.300000000000004</v>
      </c>
      <c r="L878" s="1270"/>
      <c r="M878" s="16"/>
      <c r="N878" s="158"/>
      <c r="O878" s="480"/>
      <c r="P878" s="480"/>
      <c r="Q878" s="480"/>
      <c r="R878" s="480"/>
      <c r="S878" s="480"/>
      <c r="T878" s="480"/>
      <c r="U878" s="480"/>
      <c r="V878" s="480"/>
      <c r="W878" s="480"/>
      <c r="X878" s="480"/>
      <c r="Y878" s="480"/>
    </row>
    <row r="879" spans="1:25" s="479" customFormat="1" ht="15">
      <c r="A879" s="579"/>
      <c r="B879" s="875" t="s">
        <v>721</v>
      </c>
      <c r="C879" s="1268">
        <f>CEILING(110*$Z$1,0.1)</f>
        <v>137.5</v>
      </c>
      <c r="D879" s="1270"/>
      <c r="E879" s="1268">
        <f>CEILING(145*$Z$1,0.1)</f>
        <v>181.3</v>
      </c>
      <c r="F879" s="1270"/>
      <c r="G879" s="1268">
        <f>CEILING(120*$Z$1,0.1)</f>
        <v>150</v>
      </c>
      <c r="H879" s="1270"/>
      <c r="I879" s="1268">
        <f>CEILING(130*$Z$1,0.1)</f>
        <v>162.5</v>
      </c>
      <c r="J879" s="1270"/>
      <c r="K879" s="1268">
        <f>CEILING(110*$Z$1,0.1)</f>
        <v>137.5</v>
      </c>
      <c r="L879" s="1270"/>
      <c r="M879" s="16"/>
      <c r="N879" s="158"/>
      <c r="O879" s="480"/>
      <c r="P879" s="480"/>
      <c r="Q879" s="480"/>
      <c r="R879" s="480"/>
      <c r="S879" s="480"/>
      <c r="T879" s="480"/>
      <c r="U879" s="480"/>
      <c r="V879" s="480"/>
      <c r="W879" s="480"/>
      <c r="X879" s="480"/>
      <c r="Y879" s="480"/>
    </row>
    <row r="880" spans="1:25" s="479" customFormat="1" ht="15">
      <c r="A880" s="579"/>
      <c r="B880" s="882" t="s">
        <v>722</v>
      </c>
      <c r="C880" s="1284">
        <f>CEILING((C879+60*$Z$1),0.1)</f>
        <v>212.5</v>
      </c>
      <c r="D880" s="1285"/>
      <c r="E880" s="1284">
        <f>CEILING((E879+60*$Z$1),0.1)</f>
        <v>256.3</v>
      </c>
      <c r="F880" s="1425"/>
      <c r="G880" s="1284">
        <f>CEILING((G879+60*$Z$1),0.1)</f>
        <v>225</v>
      </c>
      <c r="H880" s="1425"/>
      <c r="I880" s="1284">
        <f>CEILING((I879+60*$Z$1),0.1)</f>
        <v>237.5</v>
      </c>
      <c r="J880" s="1425"/>
      <c r="K880" s="1284">
        <f>CEILING((K879+60*$Z$1),0.1)</f>
        <v>212.5</v>
      </c>
      <c r="L880" s="1425"/>
      <c r="M880" s="16"/>
      <c r="N880" s="158"/>
      <c r="O880" s="480"/>
      <c r="P880" s="480"/>
      <c r="Q880" s="480"/>
      <c r="R880" s="480"/>
      <c r="S880" s="480"/>
      <c r="T880" s="480"/>
      <c r="U880" s="480"/>
      <c r="V880" s="480"/>
      <c r="W880" s="480"/>
      <c r="X880" s="480"/>
      <c r="Y880" s="480"/>
    </row>
    <row r="881" spans="1:25" s="479" customFormat="1" ht="15">
      <c r="A881" s="579"/>
      <c r="B881" s="878" t="s">
        <v>725</v>
      </c>
      <c r="C881" s="1266">
        <f>CEILING(140*$Z$1,0.1)</f>
        <v>175</v>
      </c>
      <c r="D881" s="1267"/>
      <c r="E881" s="1266">
        <f>CEILING(175*$Z$1,0.1)</f>
        <v>218.8</v>
      </c>
      <c r="F881" s="1326"/>
      <c r="G881" s="1266">
        <f>CEILING(150*$Z$1,0.1)</f>
        <v>187.5</v>
      </c>
      <c r="H881" s="1326"/>
      <c r="I881" s="1266">
        <f>CEILING(160*$Z$1,0.1)</f>
        <v>200</v>
      </c>
      <c r="J881" s="1326"/>
      <c r="K881" s="1266">
        <f>CEILING(140*$Z$1,0.1)</f>
        <v>175</v>
      </c>
      <c r="L881" s="1267"/>
      <c r="M881" s="16"/>
      <c r="N881" s="158"/>
      <c r="O881" s="480"/>
      <c r="P881" s="480"/>
      <c r="Q881" s="480"/>
      <c r="R881" s="480"/>
      <c r="S881" s="480"/>
      <c r="T881" s="480"/>
      <c r="U881" s="480"/>
      <c r="V881" s="480"/>
      <c r="W881" s="480"/>
      <c r="X881" s="480"/>
      <c r="Y881" s="480"/>
    </row>
    <row r="882" spans="1:25" s="479" customFormat="1" ht="15">
      <c r="A882" s="579"/>
      <c r="B882" s="879" t="s">
        <v>723</v>
      </c>
      <c r="C882" s="1284">
        <f>CEILING((C881+65*$Z$1),0.1)</f>
        <v>256.3</v>
      </c>
      <c r="D882" s="1285"/>
      <c r="E882" s="1268">
        <f>CEILING((E881+65*$Z$1),0.1)</f>
        <v>300.1</v>
      </c>
      <c r="F882" s="1270"/>
      <c r="G882" s="1268">
        <f>CEILING((G881+65*$Z$1),0.1)</f>
        <v>268.8</v>
      </c>
      <c r="H882" s="1270"/>
      <c r="I882" s="1268">
        <f>CEILING((I881+65*$Z$1),0.1)</f>
        <v>281.3</v>
      </c>
      <c r="J882" s="1270"/>
      <c r="K882" s="1268">
        <f>CEILING((K881+65*$Z$1),0.1)</f>
        <v>256.3</v>
      </c>
      <c r="L882" s="1270"/>
      <c r="M882" s="16"/>
      <c r="N882" s="158"/>
      <c r="O882" s="480"/>
      <c r="P882" s="480"/>
      <c r="Q882" s="480"/>
      <c r="R882" s="480"/>
      <c r="S882" s="480"/>
      <c r="T882" s="480"/>
      <c r="U882" s="480"/>
      <c r="V882" s="480"/>
      <c r="W882" s="480"/>
      <c r="X882" s="480"/>
      <c r="Y882" s="480"/>
    </row>
    <row r="883" spans="1:25" s="479" customFormat="1" ht="15">
      <c r="A883" s="579"/>
      <c r="B883" s="875" t="s">
        <v>724</v>
      </c>
      <c r="C883" s="1266">
        <f>CEILING(150*$Z$1,0.1)</f>
        <v>187.5</v>
      </c>
      <c r="D883" s="1267"/>
      <c r="E883" s="1266">
        <f>CEILING(185*$Z$1,0.1)</f>
        <v>231.3</v>
      </c>
      <c r="F883" s="1326"/>
      <c r="G883" s="1266">
        <f>CEILING(160*$Z$1,0.1)</f>
        <v>200</v>
      </c>
      <c r="H883" s="1326"/>
      <c r="I883" s="1266">
        <f>CEILING(170*$Z$1,0.1)</f>
        <v>212.5</v>
      </c>
      <c r="J883" s="1326"/>
      <c r="K883" s="1266">
        <f>CEILING(150*$Z$1,0.1)</f>
        <v>187.5</v>
      </c>
      <c r="L883" s="1267"/>
      <c r="M883" s="16"/>
      <c r="N883" s="158"/>
      <c r="O883" s="480"/>
      <c r="P883" s="480"/>
      <c r="Q883" s="480"/>
      <c r="R883" s="480"/>
      <c r="S883" s="480"/>
      <c r="T883" s="480"/>
      <c r="U883" s="480"/>
      <c r="V883" s="480"/>
      <c r="W883" s="480"/>
      <c r="X883" s="480"/>
      <c r="Y883" s="480"/>
    </row>
    <row r="884" spans="1:25" s="479" customFormat="1" ht="15">
      <c r="A884" s="248" t="s">
        <v>718</v>
      </c>
      <c r="B884" s="882" t="s">
        <v>726</v>
      </c>
      <c r="C884" s="1284">
        <f>CEILING((C883+75*$Z$1),0.1)</f>
        <v>281.3</v>
      </c>
      <c r="D884" s="1285"/>
      <c r="E884" s="1268">
        <f>CEILING((E883+75*$Z$1),0.1)</f>
        <v>325.1</v>
      </c>
      <c r="F884" s="1270"/>
      <c r="G884" s="1268">
        <f>CEILING((G883+75*$Z$1),0.1)</f>
        <v>293.8</v>
      </c>
      <c r="H884" s="1270"/>
      <c r="I884" s="1268">
        <f>CEILING((I883+75*$Z$1),0.1)</f>
        <v>306.3</v>
      </c>
      <c r="J884" s="1270"/>
      <c r="K884" s="1268">
        <f>CEILING((K883+75*$Z$1),0.1)</f>
        <v>281.3</v>
      </c>
      <c r="L884" s="1270"/>
      <c r="M884" s="16"/>
      <c r="N884" s="158"/>
      <c r="O884" s="480"/>
      <c r="P884" s="480"/>
      <c r="Q884" s="480"/>
      <c r="R884" s="480"/>
      <c r="S884" s="480"/>
      <c r="T884" s="480"/>
      <c r="U884" s="480"/>
      <c r="V884" s="480"/>
      <c r="W884" s="480"/>
      <c r="X884" s="480"/>
      <c r="Y884" s="480"/>
    </row>
    <row r="885" spans="1:25" s="479" customFormat="1" ht="15">
      <c r="A885" s="883"/>
      <c r="B885" s="875" t="s">
        <v>995</v>
      </c>
      <c r="C885" s="1363">
        <v>0.15</v>
      </c>
      <c r="D885" s="1364"/>
      <c r="E885" s="1363">
        <v>0.15</v>
      </c>
      <c r="F885" s="1364"/>
      <c r="G885" s="1363">
        <v>0.15</v>
      </c>
      <c r="H885" s="1364"/>
      <c r="I885" s="1363">
        <v>0.15</v>
      </c>
      <c r="J885" s="1364"/>
      <c r="K885" s="1363">
        <v>0.15</v>
      </c>
      <c r="L885" s="1364"/>
      <c r="M885" s="16"/>
      <c r="N885" s="158"/>
      <c r="O885" s="480"/>
      <c r="P885" s="480"/>
      <c r="Q885" s="480"/>
      <c r="R885" s="480"/>
      <c r="S885" s="480"/>
      <c r="T885" s="480"/>
      <c r="U885" s="480"/>
      <c r="V885" s="480"/>
      <c r="W885" s="480"/>
      <c r="X885" s="480"/>
      <c r="Y885" s="480"/>
    </row>
    <row r="886" spans="1:25" s="479" customFormat="1" ht="15.75" thickBot="1">
      <c r="A886" s="884"/>
      <c r="B886" s="876" t="s">
        <v>996</v>
      </c>
      <c r="C886" s="1278">
        <v>0.2</v>
      </c>
      <c r="D886" s="1279"/>
      <c r="E886" s="1278">
        <v>0.2</v>
      </c>
      <c r="F886" s="1279"/>
      <c r="G886" s="1278">
        <v>0.2</v>
      </c>
      <c r="H886" s="1279"/>
      <c r="I886" s="1278">
        <v>0.2</v>
      </c>
      <c r="J886" s="1279"/>
      <c r="K886" s="1278">
        <v>0.2</v>
      </c>
      <c r="L886" s="1279"/>
      <c r="M886" s="16"/>
      <c r="N886" s="158"/>
      <c r="O886" s="480"/>
      <c r="P886" s="480"/>
      <c r="Q886" s="480"/>
      <c r="R886" s="480"/>
      <c r="S886" s="480"/>
      <c r="T886" s="480"/>
      <c r="U886" s="480"/>
      <c r="V886" s="480"/>
      <c r="W886" s="480"/>
      <c r="X886" s="480"/>
      <c r="Y886" s="480"/>
    </row>
    <row r="887" spans="1:25" s="479" customFormat="1" ht="16.5" thickTop="1">
      <c r="A887" s="172" t="s">
        <v>536</v>
      </c>
      <c r="B887" s="576"/>
      <c r="C887" s="576"/>
      <c r="D887" s="576"/>
      <c r="E887" s="576"/>
      <c r="F887" s="576"/>
      <c r="G887" s="576"/>
      <c r="H887" s="576"/>
      <c r="I887" s="484"/>
      <c r="J887" s="484"/>
      <c r="K887" s="94"/>
      <c r="L887" s="575"/>
      <c r="M887" s="16"/>
      <c r="N887" s="158"/>
      <c r="O887" s="480"/>
      <c r="P887" s="480"/>
      <c r="Q887" s="480"/>
      <c r="R887" s="480"/>
      <c r="S887" s="480"/>
      <c r="T887" s="480"/>
      <c r="U887" s="480"/>
      <c r="V887" s="480"/>
      <c r="W887" s="480"/>
      <c r="X887" s="480"/>
      <c r="Y887" s="480"/>
    </row>
    <row r="888" spans="1:25" s="1118" customFormat="1" ht="15.75">
      <c r="A888" s="1017" t="s">
        <v>727</v>
      </c>
      <c r="B888" s="1021"/>
      <c r="C888" s="1021"/>
      <c r="D888" s="1021"/>
      <c r="E888" s="1021"/>
      <c r="F888" s="1021"/>
      <c r="G888" s="1021"/>
      <c r="H888" s="1021"/>
      <c r="I888" s="1113"/>
      <c r="J888" s="1113"/>
      <c r="K888" s="1114"/>
      <c r="L888" s="1115"/>
      <c r="M888" s="1116"/>
      <c r="N888" s="653"/>
      <c r="O888" s="1117"/>
      <c r="P888" s="1117"/>
      <c r="Q888" s="1117"/>
      <c r="R888" s="1117"/>
      <c r="S888" s="1117"/>
      <c r="T888" s="1117"/>
      <c r="U888" s="1117"/>
      <c r="V888" s="1117"/>
      <c r="W888" s="1117"/>
      <c r="X888" s="1117"/>
      <c r="Y888" s="1117"/>
    </row>
    <row r="889" spans="1:25" s="192" customFormat="1" ht="15">
      <c r="A889" s="1311"/>
      <c r="B889" s="1311"/>
      <c r="C889" s="1311"/>
      <c r="D889" s="1311"/>
      <c r="E889" s="1311"/>
      <c r="F889" s="1311"/>
      <c r="G889" s="1311"/>
      <c r="H889" s="1311"/>
      <c r="I889" s="1311"/>
      <c r="J889" s="1311"/>
      <c r="K889" s="1311"/>
      <c r="L889" s="1311"/>
      <c r="M889" s="20"/>
      <c r="N889" s="20"/>
      <c r="O889" s="481"/>
      <c r="P889" s="481"/>
      <c r="Q889" s="481"/>
      <c r="R889" s="481"/>
      <c r="S889" s="481"/>
      <c r="T889" s="481"/>
      <c r="U889" s="481"/>
      <c r="V889" s="481"/>
      <c r="W889" s="481"/>
      <c r="X889" s="481"/>
      <c r="Y889" s="481"/>
    </row>
    <row r="890" spans="1:25" s="593" customFormat="1" ht="16.5" thickBot="1">
      <c r="A890" s="585"/>
      <c r="B890" s="586"/>
      <c r="C890" s="586"/>
      <c r="D890" s="586"/>
      <c r="E890" s="586"/>
      <c r="F890" s="586"/>
      <c r="G890" s="586"/>
      <c r="H890" s="586"/>
      <c r="I890" s="587"/>
      <c r="J890" s="587"/>
      <c r="K890" s="588"/>
      <c r="L890" s="589"/>
      <c r="M890" s="590"/>
      <c r="N890" s="591"/>
      <c r="O890" s="592"/>
      <c r="P890" s="592"/>
      <c r="Q890" s="592"/>
      <c r="R890" s="592"/>
      <c r="S890" s="592"/>
      <c r="T890" s="592"/>
      <c r="U890" s="592"/>
      <c r="V890" s="592"/>
      <c r="W890" s="592"/>
      <c r="X890" s="592"/>
      <c r="Y890" s="592"/>
    </row>
    <row r="891" spans="1:41" s="672" customFormat="1" ht="21" customHeight="1" thickTop="1">
      <c r="A891" s="746" t="s">
        <v>43</v>
      </c>
      <c r="B891" s="814" t="s">
        <v>961</v>
      </c>
      <c r="C891" s="747" t="s">
        <v>884</v>
      </c>
      <c r="D891" s="748"/>
      <c r="E891" s="749" t="s">
        <v>883</v>
      </c>
      <c r="F891" s="750"/>
      <c r="G891" s="749" t="s">
        <v>880</v>
      </c>
      <c r="H891" s="750"/>
      <c r="I891" s="1273" t="s">
        <v>881</v>
      </c>
      <c r="J891" s="1274"/>
      <c r="K891" s="1273" t="s">
        <v>882</v>
      </c>
      <c r="L891" s="1274"/>
      <c r="M891" s="827"/>
      <c r="N891" s="827"/>
      <c r="O891" s="331"/>
      <c r="P891" s="331"/>
      <c r="Q891" s="331"/>
      <c r="R891" s="331"/>
      <c r="S891" s="331"/>
      <c r="T891" s="331"/>
      <c r="U891" s="331"/>
      <c r="V891" s="331"/>
      <c r="W891" s="331"/>
      <c r="X891" s="331"/>
      <c r="Y891" s="331"/>
      <c r="Z891" s="331"/>
      <c r="AA891" s="331"/>
      <c r="AB891" s="331"/>
      <c r="AC891" s="331"/>
      <c r="AD891" s="331"/>
      <c r="AE891" s="331"/>
      <c r="AF891" s="331"/>
      <c r="AG891" s="331"/>
      <c r="AH891" s="331"/>
      <c r="AI891" s="331"/>
      <c r="AJ891" s="331"/>
      <c r="AK891" s="331"/>
      <c r="AL891" s="331"/>
      <c r="AM891" s="331"/>
      <c r="AN891" s="331"/>
      <c r="AO891" s="331"/>
    </row>
    <row r="892" spans="1:14" ht="17.25" customHeight="1">
      <c r="A892" s="198" t="s">
        <v>580</v>
      </c>
      <c r="B892" s="179" t="s">
        <v>533</v>
      </c>
      <c r="C892" s="1266">
        <f>CEILING(100*$Z$1,0.1)</f>
        <v>125</v>
      </c>
      <c r="D892" s="1267"/>
      <c r="E892" s="1268">
        <f>CEILING(150*$Z$1,0.1)</f>
        <v>187.5</v>
      </c>
      <c r="F892" s="1269"/>
      <c r="G892" s="1268">
        <f>CEILING(140*$Z$1,0.1)</f>
        <v>175</v>
      </c>
      <c r="H892" s="1269"/>
      <c r="I892" s="1268">
        <f>CEILING(140*$Z$1,0.1)</f>
        <v>175</v>
      </c>
      <c r="J892" s="1269"/>
      <c r="K892" s="1268">
        <f>CEILING(95*$Z$1,0.1)</f>
        <v>118.80000000000001</v>
      </c>
      <c r="L892" s="1269"/>
      <c r="M892" s="21"/>
      <c r="N892" s="158"/>
    </row>
    <row r="893" spans="1:14" ht="17.25" customHeight="1">
      <c r="A893" s="182" t="s">
        <v>45</v>
      </c>
      <c r="B893" s="26" t="s">
        <v>681</v>
      </c>
      <c r="C893" s="1268">
        <f>CEILING((C892+70*$Z$1),0.1)</f>
        <v>212.5</v>
      </c>
      <c r="D893" s="1270"/>
      <c r="E893" s="1268">
        <f>CEILING((E892+70*$Z$1),0.1)</f>
        <v>275</v>
      </c>
      <c r="F893" s="1270"/>
      <c r="G893" s="1268">
        <f>CEILING((G892+70*$Z$1),0.1)</f>
        <v>262.5</v>
      </c>
      <c r="H893" s="1270"/>
      <c r="I893" s="1268">
        <f>CEILING((I892+70*$Z$1),0.1)</f>
        <v>262.5</v>
      </c>
      <c r="J893" s="1270"/>
      <c r="K893" s="1268">
        <f>CEILING((K892+70*$Z$1),0.1)</f>
        <v>206.3</v>
      </c>
      <c r="L893" s="1270"/>
      <c r="M893" s="21"/>
      <c r="N893" s="158"/>
    </row>
    <row r="894" spans="1:14" ht="15">
      <c r="A894" s="21"/>
      <c r="B894" s="26" t="s">
        <v>534</v>
      </c>
      <c r="C894" s="1268">
        <f>CEILING(120*$Z$1,0.1)</f>
        <v>150</v>
      </c>
      <c r="D894" s="1270"/>
      <c r="E894" s="1268">
        <f>CEILING(170*$Z$1,0.1)</f>
        <v>212.5</v>
      </c>
      <c r="F894" s="1270"/>
      <c r="G894" s="1268">
        <f>CEILING(160*$Z$1,0.1)</f>
        <v>200</v>
      </c>
      <c r="H894" s="1270"/>
      <c r="I894" s="1268">
        <f>CEILING(160*$Z$1,0.1)</f>
        <v>200</v>
      </c>
      <c r="J894" s="1270"/>
      <c r="K894" s="1268">
        <f>CEILING(115*$Z$1,0.1)</f>
        <v>143.8</v>
      </c>
      <c r="L894" s="1270"/>
      <c r="M894" s="21"/>
      <c r="N894" s="158"/>
    </row>
    <row r="895" spans="1:14" ht="15">
      <c r="A895" s="21"/>
      <c r="B895" s="26" t="s">
        <v>682</v>
      </c>
      <c r="C895" s="1268">
        <f>CEILING((C894+70*$Z$1),0.1)</f>
        <v>237.5</v>
      </c>
      <c r="D895" s="1270"/>
      <c r="E895" s="1268">
        <f>CEILING((E894+70*$Z$1),0.1)</f>
        <v>300</v>
      </c>
      <c r="F895" s="1314"/>
      <c r="G895" s="1268">
        <f>CEILING((G894+70*$Z$1),0.1)</f>
        <v>287.5</v>
      </c>
      <c r="H895" s="1314"/>
      <c r="I895" s="1268">
        <f>CEILING((I894+70*$Z$1),0.1)</f>
        <v>287.5</v>
      </c>
      <c r="J895" s="1314"/>
      <c r="K895" s="1268">
        <f>CEILING((K894+70*$Z$1),0.1)</f>
        <v>231.3</v>
      </c>
      <c r="L895" s="1314"/>
      <c r="M895" s="21"/>
      <c r="N895" s="158"/>
    </row>
    <row r="896" spans="1:25" s="404" customFormat="1" ht="15">
      <c r="A896" s="21"/>
      <c r="B896" s="26" t="s">
        <v>535</v>
      </c>
      <c r="C896" s="1268">
        <f>CEILING(130*$Z$1,0.1)</f>
        <v>162.5</v>
      </c>
      <c r="D896" s="1270"/>
      <c r="E896" s="1268">
        <f>CEILING(180*$Z$1,0.1)</f>
        <v>225</v>
      </c>
      <c r="F896" s="1270"/>
      <c r="G896" s="1268">
        <f>CEILING(170*$Z$1,0.1)</f>
        <v>212.5</v>
      </c>
      <c r="H896" s="1270"/>
      <c r="I896" s="1268">
        <f>CEILING(170*$Z$1,0.1)</f>
        <v>212.5</v>
      </c>
      <c r="J896" s="1270"/>
      <c r="K896" s="1268">
        <f>CEILING(125*$Z$1,0.1)</f>
        <v>156.3</v>
      </c>
      <c r="L896" s="1270"/>
      <c r="M896" s="21"/>
      <c r="N896" s="158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</row>
    <row r="897" spans="1:25" s="404" customFormat="1" ht="15">
      <c r="A897" s="21"/>
      <c r="B897" s="26" t="s">
        <v>366</v>
      </c>
      <c r="C897" s="1268">
        <f>CEILING(140*$Z$1,0.1)</f>
        <v>175</v>
      </c>
      <c r="D897" s="1270"/>
      <c r="E897" s="1268">
        <f>CEILING(190*$Z$1,0.1)</f>
        <v>237.5</v>
      </c>
      <c r="F897" s="1270"/>
      <c r="G897" s="1268">
        <f>CEILING(180*$Z$1,0.1)</f>
        <v>225</v>
      </c>
      <c r="H897" s="1270"/>
      <c r="I897" s="1268">
        <f>CEILING(180*$Z$1,0.1)</f>
        <v>225</v>
      </c>
      <c r="J897" s="1270"/>
      <c r="K897" s="1268">
        <f>CEILING(135*$Z$1,0.1)</f>
        <v>168.8</v>
      </c>
      <c r="L897" s="1270"/>
      <c r="M897" s="21"/>
      <c r="N897" s="158"/>
      <c r="O897" s="169"/>
      <c r="P897" s="169"/>
      <c r="Q897" s="169"/>
      <c r="R897" s="169"/>
      <c r="S897" s="169"/>
      <c r="T897" s="169"/>
      <c r="U897" s="169"/>
      <c r="V897" s="169"/>
      <c r="W897" s="169"/>
      <c r="X897" s="169"/>
      <c r="Y897" s="169"/>
    </row>
    <row r="898" spans="1:25" s="404" customFormat="1" ht="15">
      <c r="A898" s="21"/>
      <c r="B898" s="26" t="s">
        <v>367</v>
      </c>
      <c r="C898" s="1268">
        <f>CEILING(150*$Z$1,0.1)</f>
        <v>187.5</v>
      </c>
      <c r="D898" s="1270"/>
      <c r="E898" s="1268">
        <f>CEILING(200*$Z$1,0.1)</f>
        <v>250</v>
      </c>
      <c r="F898" s="1270"/>
      <c r="G898" s="1268">
        <f>CEILING(190*$Z$1,0.1)</f>
        <v>237.5</v>
      </c>
      <c r="H898" s="1270"/>
      <c r="I898" s="1268">
        <f>CEILING(190*$Z$1,0.1)</f>
        <v>237.5</v>
      </c>
      <c r="J898" s="1270"/>
      <c r="K898" s="1268">
        <f>CEILING(145*$Z$1,0.1)</f>
        <v>181.3</v>
      </c>
      <c r="L898" s="1270"/>
      <c r="M898" s="21"/>
      <c r="N898" s="158"/>
      <c r="O898" s="169"/>
      <c r="P898" s="169"/>
      <c r="Q898" s="169"/>
      <c r="R898" s="169"/>
      <c r="S898" s="169"/>
      <c r="T898" s="169"/>
      <c r="U898" s="169"/>
      <c r="V898" s="169"/>
      <c r="W898" s="169"/>
      <c r="X898" s="169"/>
      <c r="Y898" s="169"/>
    </row>
    <row r="899" spans="1:25" s="479" customFormat="1" ht="15">
      <c r="A899" s="21"/>
      <c r="B899" s="26" t="s">
        <v>683</v>
      </c>
      <c r="C899" s="1268">
        <f>CEILING(800*$Z$1,0.1)</f>
        <v>1000</v>
      </c>
      <c r="D899" s="1270"/>
      <c r="E899" s="1268">
        <f>CEILING(800*$Z$1,0.1)</f>
        <v>1000</v>
      </c>
      <c r="F899" s="1270"/>
      <c r="G899" s="1268">
        <f>CEILING(800*$Z$1,0.1)</f>
        <v>1000</v>
      </c>
      <c r="H899" s="1270"/>
      <c r="I899" s="1268">
        <f>CEILING(800*$Z$1,0.1)</f>
        <v>1000</v>
      </c>
      <c r="J899" s="1270"/>
      <c r="K899" s="1268">
        <f>CEILING(800*$Z$1,0.1)</f>
        <v>1000</v>
      </c>
      <c r="L899" s="1270"/>
      <c r="M899" s="21"/>
      <c r="N899" s="158"/>
      <c r="O899" s="480"/>
      <c r="P899" s="480"/>
      <c r="Q899" s="480"/>
      <c r="R899" s="480"/>
      <c r="S899" s="480"/>
      <c r="T899" s="480"/>
      <c r="U899" s="480"/>
      <c r="V899" s="480"/>
      <c r="W899" s="480"/>
      <c r="X899" s="480"/>
      <c r="Y899" s="480"/>
    </row>
    <row r="900" spans="1:25" s="479" customFormat="1" ht="15">
      <c r="A900" s="21"/>
      <c r="B900" s="37" t="s">
        <v>511</v>
      </c>
      <c r="C900" s="1424">
        <v>0.15</v>
      </c>
      <c r="D900" s="1405"/>
      <c r="E900" s="1404">
        <v>0.15</v>
      </c>
      <c r="F900" s="1405"/>
      <c r="G900" s="1404">
        <v>0.15</v>
      </c>
      <c r="H900" s="1405"/>
      <c r="I900" s="1404">
        <v>0.15</v>
      </c>
      <c r="J900" s="1405"/>
      <c r="K900" s="1404">
        <v>0.15</v>
      </c>
      <c r="L900" s="1405"/>
      <c r="M900" s="21"/>
      <c r="N900" s="158"/>
      <c r="O900" s="480"/>
      <c r="P900" s="480"/>
      <c r="Q900" s="480"/>
      <c r="R900" s="480"/>
      <c r="S900" s="480"/>
      <c r="T900" s="480"/>
      <c r="U900" s="480"/>
      <c r="V900" s="480"/>
      <c r="W900" s="480"/>
      <c r="X900" s="480"/>
      <c r="Y900" s="480"/>
    </row>
    <row r="901" spans="1:14" ht="17.25" customHeight="1" thickBot="1">
      <c r="A901" s="254" t="s">
        <v>423</v>
      </c>
      <c r="B901" s="38" t="s">
        <v>997</v>
      </c>
      <c r="C901" s="1278">
        <v>0.1</v>
      </c>
      <c r="D901" s="1279"/>
      <c r="E901" s="1412">
        <v>0.1</v>
      </c>
      <c r="F901" s="1279"/>
      <c r="G901" s="1412">
        <v>0.1</v>
      </c>
      <c r="H901" s="1279"/>
      <c r="I901" s="1412">
        <v>0.1</v>
      </c>
      <c r="J901" s="1279"/>
      <c r="K901" s="1412">
        <v>0.1</v>
      </c>
      <c r="L901" s="1279"/>
      <c r="M901" s="380"/>
      <c r="N901" s="61"/>
    </row>
    <row r="902" spans="1:25" s="834" customFormat="1" ht="18" customHeight="1" thickTop="1">
      <c r="A902" s="1501" t="s">
        <v>120</v>
      </c>
      <c r="B902" s="1501"/>
      <c r="C902" s="1501"/>
      <c r="D902" s="1501"/>
      <c r="E902" s="1501"/>
      <c r="F902" s="1501"/>
      <c r="G902" s="1501"/>
      <c r="H902" s="1501"/>
      <c r="I902" s="885"/>
      <c r="J902" s="885"/>
      <c r="K902" s="94"/>
      <c r="L902" s="313"/>
      <c r="M902" s="313"/>
      <c r="N902" s="317"/>
      <c r="O902" s="314"/>
      <c r="P902" s="314"/>
      <c r="Q902" s="314"/>
      <c r="R902" s="314"/>
      <c r="S902" s="314"/>
      <c r="T902" s="314"/>
      <c r="U902" s="314"/>
      <c r="V902" s="314"/>
      <c r="W902" s="314"/>
      <c r="X902" s="314"/>
      <c r="Y902" s="314"/>
    </row>
    <row r="903" spans="1:25" s="479" customFormat="1" ht="18" customHeight="1">
      <c r="A903" s="172" t="s">
        <v>550</v>
      </c>
      <c r="B903" s="838"/>
      <c r="C903" s="838"/>
      <c r="D903" s="838"/>
      <c r="E903" s="838"/>
      <c r="F903" s="838"/>
      <c r="G903" s="838"/>
      <c r="H903" s="838"/>
      <c r="I903" s="484"/>
      <c r="J903" s="484"/>
      <c r="K903" s="94"/>
      <c r="L903" s="313"/>
      <c r="M903" s="16"/>
      <c r="N903" s="158"/>
      <c r="O903" s="480"/>
      <c r="P903" s="480"/>
      <c r="Q903" s="480"/>
      <c r="R903" s="480"/>
      <c r="S903" s="480"/>
      <c r="T903" s="480"/>
      <c r="U903" s="480"/>
      <c r="V903" s="480"/>
      <c r="W903" s="480"/>
      <c r="X903" s="480"/>
      <c r="Y903" s="480"/>
    </row>
    <row r="904" spans="1:25" s="192" customFormat="1" ht="18" customHeight="1">
      <c r="A904" s="172" t="s">
        <v>998</v>
      </c>
      <c r="B904" s="1020"/>
      <c r="C904" s="1020"/>
      <c r="D904" s="1020"/>
      <c r="E904" s="1020"/>
      <c r="F904" s="1020"/>
      <c r="G904" s="1020"/>
      <c r="H904" s="1020"/>
      <c r="I904" s="484"/>
      <c r="J904" s="484"/>
      <c r="K904" s="94"/>
      <c r="L904" s="94"/>
      <c r="M904" s="20"/>
      <c r="N904" s="234"/>
      <c r="O904" s="481"/>
      <c r="P904" s="481"/>
      <c r="Q904" s="481"/>
      <c r="R904" s="481"/>
      <c r="S904" s="481"/>
      <c r="T904" s="481"/>
      <c r="U904" s="481"/>
      <c r="V904" s="481"/>
      <c r="W904" s="481"/>
      <c r="X904" s="481"/>
      <c r="Y904" s="481"/>
    </row>
    <row r="905" spans="1:25" s="192" customFormat="1" ht="15">
      <c r="A905" s="1311"/>
      <c r="B905" s="1311"/>
      <c r="C905" s="1311"/>
      <c r="D905" s="1311"/>
      <c r="E905" s="1311"/>
      <c r="F905" s="1311"/>
      <c r="G905" s="1311"/>
      <c r="H905" s="1311"/>
      <c r="I905" s="1311"/>
      <c r="J905" s="1311"/>
      <c r="K905" s="1311"/>
      <c r="L905" s="1311"/>
      <c r="M905" s="20"/>
      <c r="N905" s="20"/>
      <c r="O905" s="481"/>
      <c r="P905" s="481"/>
      <c r="Q905" s="481"/>
      <c r="R905" s="481"/>
      <c r="S905" s="481"/>
      <c r="T905" s="481"/>
      <c r="U905" s="481"/>
      <c r="V905" s="481"/>
      <c r="W905" s="481"/>
      <c r="X905" s="481"/>
      <c r="Y905" s="481"/>
    </row>
    <row r="906" spans="1:25" s="577" customFormat="1" ht="21" customHeight="1" thickBot="1">
      <c r="A906" s="1515"/>
      <c r="B906" s="1515"/>
      <c r="C906" s="1515"/>
      <c r="D906" s="1515"/>
      <c r="E906" s="1515"/>
      <c r="F906" s="1515"/>
      <c r="G906" s="1515"/>
      <c r="H906" s="1515"/>
      <c r="I906" s="581"/>
      <c r="J906" s="581"/>
      <c r="K906" s="361"/>
      <c r="L906" s="582"/>
      <c r="M906" s="582"/>
      <c r="N906" s="583"/>
      <c r="O906" s="584"/>
      <c r="P906" s="584"/>
      <c r="Q906" s="584"/>
      <c r="R906" s="584"/>
      <c r="S906" s="584"/>
      <c r="T906" s="584"/>
      <c r="U906" s="584"/>
      <c r="V906" s="584"/>
      <c r="W906" s="584"/>
      <c r="X906" s="584"/>
      <c r="Y906" s="584"/>
    </row>
    <row r="907" spans="1:41" s="664" customFormat="1" ht="21" customHeight="1" thickTop="1">
      <c r="A907" s="746" t="s">
        <v>43</v>
      </c>
      <c r="B907" s="814" t="s">
        <v>961</v>
      </c>
      <c r="C907" s="747" t="s">
        <v>884</v>
      </c>
      <c r="D907" s="748"/>
      <c r="E907" s="749" t="s">
        <v>883</v>
      </c>
      <c r="F907" s="750"/>
      <c r="G907" s="749" t="s">
        <v>880</v>
      </c>
      <c r="H907" s="750"/>
      <c r="I907" s="1273" t="s">
        <v>881</v>
      </c>
      <c r="J907" s="1274"/>
      <c r="K907" s="1273" t="s">
        <v>882</v>
      </c>
      <c r="L907" s="1274"/>
      <c r="M907" s="1016"/>
      <c r="N907" s="1016"/>
      <c r="O907" s="335"/>
      <c r="P907" s="335"/>
      <c r="Q907" s="335"/>
      <c r="R907" s="335"/>
      <c r="S907" s="335"/>
      <c r="T907" s="335"/>
      <c r="U907" s="335"/>
      <c r="V907" s="335"/>
      <c r="W907" s="335"/>
      <c r="X907" s="335"/>
      <c r="Y907" s="335"/>
      <c r="Z907" s="335"/>
      <c r="AA907" s="335"/>
      <c r="AB907" s="335"/>
      <c r="AC907" s="335"/>
      <c r="AD907" s="335"/>
      <c r="AE907" s="335"/>
      <c r="AF907" s="335"/>
      <c r="AG907" s="335"/>
      <c r="AH907" s="335"/>
      <c r="AI907" s="335"/>
      <c r="AJ907" s="335"/>
      <c r="AK907" s="335"/>
      <c r="AL907" s="335"/>
      <c r="AM907" s="335"/>
      <c r="AN907" s="335"/>
      <c r="AO907" s="335"/>
    </row>
    <row r="908" spans="1:25" s="192" customFormat="1" ht="15">
      <c r="A908" s="198" t="s">
        <v>579</v>
      </c>
      <c r="B908" s="40" t="s">
        <v>293</v>
      </c>
      <c r="C908" s="1266">
        <f>CEILING(50*$Z$1,0.1)</f>
        <v>62.5</v>
      </c>
      <c r="D908" s="1267"/>
      <c r="E908" s="1266">
        <f>CEILING(85*$Z$1,0.1)</f>
        <v>106.30000000000001</v>
      </c>
      <c r="F908" s="1267"/>
      <c r="G908" s="1268">
        <f>CEILING(70*$Z$1,0.1)</f>
        <v>87.5</v>
      </c>
      <c r="H908" s="1269"/>
      <c r="I908" s="1268">
        <f>CEILING(75*$Z$1,0.1)</f>
        <v>93.80000000000001</v>
      </c>
      <c r="J908" s="1269"/>
      <c r="K908" s="1268">
        <f>CEILING(50*$Z$1,0.1)</f>
        <v>62.5</v>
      </c>
      <c r="L908" s="1269"/>
      <c r="M908" s="21"/>
      <c r="N908" s="234"/>
      <c r="O908" s="481"/>
      <c r="P908" s="481"/>
      <c r="Q908" s="481"/>
      <c r="R908" s="481"/>
      <c r="S908" s="481"/>
      <c r="T908" s="481"/>
      <c r="U908" s="481"/>
      <c r="V908" s="481"/>
      <c r="W908" s="481"/>
      <c r="X908" s="481"/>
      <c r="Y908" s="481"/>
    </row>
    <row r="909" spans="1:25" s="192" customFormat="1" ht="15">
      <c r="A909" s="182" t="s">
        <v>45</v>
      </c>
      <c r="B909" s="12" t="s">
        <v>294</v>
      </c>
      <c r="C909" s="1268">
        <f>CEILING((C908+45*$Z$1),0.1)</f>
        <v>118.80000000000001</v>
      </c>
      <c r="D909" s="1270"/>
      <c r="E909" s="1268">
        <f>CEILING((E908+45*$Z$1),0.1)</f>
        <v>162.60000000000002</v>
      </c>
      <c r="F909" s="1270"/>
      <c r="G909" s="1268">
        <f>CEILING((G908+45*$Z$1),0.1)</f>
        <v>143.8</v>
      </c>
      <c r="H909" s="1270"/>
      <c r="I909" s="1268">
        <f>CEILING((I908+45*$Z$1),0.1)</f>
        <v>150.1</v>
      </c>
      <c r="J909" s="1270"/>
      <c r="K909" s="1268">
        <f>CEILING((K908+45*$Z$1),0.1)</f>
        <v>118.80000000000001</v>
      </c>
      <c r="L909" s="1270"/>
      <c r="M909" s="21"/>
      <c r="N909" s="234"/>
      <c r="O909" s="481"/>
      <c r="P909" s="481"/>
      <c r="Q909" s="481"/>
      <c r="R909" s="481"/>
      <c r="S909" s="481"/>
      <c r="T909" s="481"/>
      <c r="U909" s="481"/>
      <c r="V909" s="481"/>
      <c r="W909" s="481"/>
      <c r="X909" s="481"/>
      <c r="Y909" s="481"/>
    </row>
    <row r="910" spans="1:25" s="192" customFormat="1" ht="15">
      <c r="A910" s="183"/>
      <c r="B910" s="12" t="s">
        <v>47</v>
      </c>
      <c r="C910" s="1268">
        <f>CEILING((C908*0.85),0.1)</f>
        <v>53.2</v>
      </c>
      <c r="D910" s="1270"/>
      <c r="E910" s="1268">
        <f>CEILING((E908*0.85),0.1)</f>
        <v>90.4</v>
      </c>
      <c r="F910" s="1270"/>
      <c r="G910" s="1268">
        <f>CEILING((G908*0.85),0.1)</f>
        <v>74.4</v>
      </c>
      <c r="H910" s="1270"/>
      <c r="I910" s="1268">
        <f>CEILING((I908*0.85),0.1)</f>
        <v>79.80000000000001</v>
      </c>
      <c r="J910" s="1270"/>
      <c r="K910" s="1268">
        <f>CEILING((K908*0.85),0.1)</f>
        <v>53.2</v>
      </c>
      <c r="L910" s="1270"/>
      <c r="M910" s="21"/>
      <c r="N910" s="234"/>
      <c r="O910" s="481"/>
      <c r="P910" s="481"/>
      <c r="Q910" s="481"/>
      <c r="R910" s="481"/>
      <c r="S910" s="481"/>
      <c r="T910" s="481"/>
      <c r="U910" s="481"/>
      <c r="V910" s="481"/>
      <c r="W910" s="481"/>
      <c r="X910" s="481"/>
      <c r="Y910" s="481"/>
    </row>
    <row r="911" spans="1:25" s="192" customFormat="1" ht="15">
      <c r="A911" s="183"/>
      <c r="B911" s="12" t="s">
        <v>1184</v>
      </c>
      <c r="C911" s="1268">
        <f>CEILING((C908*0.5),0.1)</f>
        <v>31.3</v>
      </c>
      <c r="D911" s="1270"/>
      <c r="E911" s="1268">
        <f>CEILING((E908*0.5),0.1)</f>
        <v>53.2</v>
      </c>
      <c r="F911" s="1270"/>
      <c r="G911" s="1268">
        <f>CEILING((G908*0.5),0.1)</f>
        <v>43.800000000000004</v>
      </c>
      <c r="H911" s="1314"/>
      <c r="I911" s="1268">
        <f>CEILING((I908*0.5),0.1)</f>
        <v>46.900000000000006</v>
      </c>
      <c r="J911" s="1314"/>
      <c r="K911" s="1268">
        <f>CEILING((K908*0.5),0.1)</f>
        <v>31.3</v>
      </c>
      <c r="L911" s="1314"/>
      <c r="M911" s="21"/>
      <c r="N911" s="234"/>
      <c r="O911" s="481"/>
      <c r="P911" s="481"/>
      <c r="Q911" s="481"/>
      <c r="R911" s="481"/>
      <c r="S911" s="481"/>
      <c r="T911" s="481"/>
      <c r="U911" s="481"/>
      <c r="V911" s="481"/>
      <c r="W911" s="481"/>
      <c r="X911" s="481"/>
      <c r="Y911" s="481"/>
    </row>
    <row r="912" spans="1:25" s="192" customFormat="1" ht="15">
      <c r="A912" s="183"/>
      <c r="B912" s="12" t="s">
        <v>299</v>
      </c>
      <c r="C912" s="1268">
        <f>CEILING(75*$Z$1,0.1)</f>
        <v>93.80000000000001</v>
      </c>
      <c r="D912" s="1270"/>
      <c r="E912" s="1268">
        <f>CEILING(110*$Z$1,0.1)</f>
        <v>137.5</v>
      </c>
      <c r="F912" s="1270"/>
      <c r="G912" s="1268">
        <f>CEILING(95*$Z$1,0.1)</f>
        <v>118.80000000000001</v>
      </c>
      <c r="H912" s="1270"/>
      <c r="I912" s="1268">
        <f>CEILING(100*$Z$1,0.1)</f>
        <v>125</v>
      </c>
      <c r="J912" s="1270"/>
      <c r="K912" s="1268">
        <f>CEILING(75*$Z$1,0.1)</f>
        <v>93.80000000000001</v>
      </c>
      <c r="L912" s="1270"/>
      <c r="M912" s="21"/>
      <c r="N912" s="234"/>
      <c r="O912" s="481"/>
      <c r="P912" s="481"/>
      <c r="Q912" s="481"/>
      <c r="R912" s="481"/>
      <c r="S912" s="481"/>
      <c r="T912" s="481"/>
      <c r="U912" s="481"/>
      <c r="V912" s="481"/>
      <c r="W912" s="481"/>
      <c r="X912" s="481"/>
      <c r="Y912" s="481"/>
    </row>
    <row r="913" spans="1:25" s="199" customFormat="1" ht="16.5" thickBot="1">
      <c r="A913" s="254" t="s">
        <v>432</v>
      </c>
      <c r="B913" s="38" t="s">
        <v>511</v>
      </c>
      <c r="C913" s="1278">
        <v>0.15</v>
      </c>
      <c r="D913" s="1279"/>
      <c r="E913" s="1278">
        <v>0.15</v>
      </c>
      <c r="F913" s="1279"/>
      <c r="G913" s="1278">
        <v>0.15</v>
      </c>
      <c r="H913" s="1279"/>
      <c r="I913" s="1278">
        <v>0.15</v>
      </c>
      <c r="J913" s="1279"/>
      <c r="K913" s="1278">
        <v>0.15</v>
      </c>
      <c r="L913" s="1279"/>
      <c r="M913" s="1119"/>
      <c r="N913" s="1120"/>
      <c r="O913" s="1121"/>
      <c r="P913" s="1121"/>
      <c r="Q913" s="1121"/>
      <c r="R913" s="1121"/>
      <c r="S913" s="1121"/>
      <c r="T913" s="1121"/>
      <c r="U913" s="1121"/>
      <c r="V913" s="1121"/>
      <c r="W913" s="1121"/>
      <c r="X913" s="1121"/>
      <c r="Y913" s="1121"/>
    </row>
    <row r="914" spans="1:25" s="192" customFormat="1" ht="15.75" thickTop="1">
      <c r="A914" s="172" t="s">
        <v>531</v>
      </c>
      <c r="B914" s="44"/>
      <c r="C914" s="1010"/>
      <c r="D914" s="1010"/>
      <c r="E914" s="1010"/>
      <c r="F914" s="1010"/>
      <c r="G914" s="1010"/>
      <c r="H914" s="1010"/>
      <c r="I914" s="1010"/>
      <c r="J914" s="1010"/>
      <c r="K914" s="1010"/>
      <c r="L914" s="1010"/>
      <c r="M914" s="25"/>
      <c r="N914" s="25"/>
      <c r="O914" s="481"/>
      <c r="P914" s="481"/>
      <c r="Q914" s="481"/>
      <c r="R914" s="481"/>
      <c r="S914" s="481"/>
      <c r="T914" s="481"/>
      <c r="U914" s="481"/>
      <c r="V914" s="481"/>
      <c r="W914" s="481"/>
      <c r="X914" s="481"/>
      <c r="Y914" s="481"/>
    </row>
    <row r="915" spans="1:25" s="192" customFormat="1" ht="15">
      <c r="A915" s="1311"/>
      <c r="B915" s="1311"/>
      <c r="C915" s="1311"/>
      <c r="D915" s="1311"/>
      <c r="E915" s="1311"/>
      <c r="F915" s="1311"/>
      <c r="G915" s="1311"/>
      <c r="H915" s="1311"/>
      <c r="I915" s="1311"/>
      <c r="J915" s="1311"/>
      <c r="K915" s="1311"/>
      <c r="L915" s="1311"/>
      <c r="M915" s="20"/>
      <c r="N915" s="20"/>
      <c r="O915" s="481"/>
      <c r="P915" s="481"/>
      <c r="Q915" s="481"/>
      <c r="R915" s="481"/>
      <c r="S915" s="481"/>
      <c r="T915" s="481"/>
      <c r="U915" s="481"/>
      <c r="V915" s="481"/>
      <c r="W915" s="481"/>
      <c r="X915" s="481"/>
      <c r="Y915" s="481"/>
    </row>
    <row r="916" spans="1:14" ht="16.5" customHeight="1" thickBo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94"/>
      <c r="L916" s="313"/>
      <c r="M916" s="16"/>
      <c r="N916" s="158"/>
    </row>
    <row r="917" spans="1:41" s="672" customFormat="1" ht="21" customHeight="1" thickTop="1">
      <c r="A917" s="746" t="s">
        <v>43</v>
      </c>
      <c r="B917" s="814" t="s">
        <v>961</v>
      </c>
      <c r="C917" s="747" t="s">
        <v>884</v>
      </c>
      <c r="D917" s="748"/>
      <c r="E917" s="749" t="s">
        <v>883</v>
      </c>
      <c r="F917" s="750"/>
      <c r="G917" s="749" t="s">
        <v>880</v>
      </c>
      <c r="H917" s="750"/>
      <c r="I917" s="1273" t="s">
        <v>881</v>
      </c>
      <c r="J917" s="1274"/>
      <c r="K917" s="1273" t="s">
        <v>882</v>
      </c>
      <c r="L917" s="1274"/>
      <c r="M917" s="827"/>
      <c r="N917" s="827"/>
      <c r="O917" s="331"/>
      <c r="P917" s="331"/>
      <c r="Q917" s="331"/>
      <c r="R917" s="331"/>
      <c r="S917" s="331"/>
      <c r="T917" s="331"/>
      <c r="U917" s="331"/>
      <c r="V917" s="331"/>
      <c r="W917" s="331"/>
      <c r="X917" s="331"/>
      <c r="Y917" s="331"/>
      <c r="Z917" s="331"/>
      <c r="AA917" s="331"/>
      <c r="AB917" s="331"/>
      <c r="AC917" s="331"/>
      <c r="AD917" s="331"/>
      <c r="AE917" s="331"/>
      <c r="AF917" s="331"/>
      <c r="AG917" s="331"/>
      <c r="AH917" s="331"/>
      <c r="AI917" s="331"/>
      <c r="AJ917" s="331"/>
      <c r="AK917" s="331"/>
      <c r="AL917" s="331"/>
      <c r="AM917" s="331"/>
      <c r="AN917" s="331"/>
      <c r="AO917" s="331"/>
    </row>
    <row r="918" spans="1:14" ht="15">
      <c r="A918" s="49" t="s">
        <v>578</v>
      </c>
      <c r="B918" s="40" t="s">
        <v>293</v>
      </c>
      <c r="C918" s="1266">
        <f>CEILING(48*$Z$1,0.1)</f>
        <v>60</v>
      </c>
      <c r="D918" s="1267"/>
      <c r="E918" s="1268">
        <f>CEILING(80*$Z$1,0.1)</f>
        <v>100</v>
      </c>
      <c r="F918" s="1269"/>
      <c r="G918" s="1268">
        <f>CEILING(67*$Z$1,0.1)</f>
        <v>83.80000000000001</v>
      </c>
      <c r="H918" s="1269"/>
      <c r="I918" s="1268">
        <f>CEILING(72*$Z$1,0.1)</f>
        <v>90</v>
      </c>
      <c r="J918" s="1269"/>
      <c r="K918" s="1268">
        <f>CEILING(48*$Z$1,0.1)</f>
        <v>60</v>
      </c>
      <c r="L918" s="1269"/>
      <c r="M918" s="414"/>
      <c r="N918" s="92"/>
    </row>
    <row r="919" spans="1:14" ht="18.75" customHeight="1">
      <c r="A919" s="47" t="s">
        <v>45</v>
      </c>
      <c r="B919" s="12" t="s">
        <v>294</v>
      </c>
      <c r="C919" s="1268">
        <f>CEILING((C918+40*$Z$1),0.1)</f>
        <v>110</v>
      </c>
      <c r="D919" s="1270"/>
      <c r="E919" s="1268">
        <f>CEILING((E918+40*$Z$1),0.1)</f>
        <v>150</v>
      </c>
      <c r="F919" s="1270"/>
      <c r="G919" s="1268">
        <f>CEILING((G918+40*$Z$1),0.1)</f>
        <v>133.8</v>
      </c>
      <c r="H919" s="1270"/>
      <c r="I919" s="1268">
        <f>CEILING((I918+40*$Z$1),0.1)</f>
        <v>140</v>
      </c>
      <c r="J919" s="1270"/>
      <c r="K919" s="1268">
        <f>CEILING((K918+40*$Z$1),0.1)</f>
        <v>110</v>
      </c>
      <c r="L919" s="1270"/>
      <c r="M919" s="414"/>
      <c r="N919" s="92"/>
    </row>
    <row r="920" spans="1:14" ht="18.75" customHeight="1">
      <c r="A920" s="47"/>
      <c r="B920" s="12" t="s">
        <v>79</v>
      </c>
      <c r="C920" s="1268">
        <f>CEILING((C918*0.85),0.1)</f>
        <v>51</v>
      </c>
      <c r="D920" s="1270"/>
      <c r="E920" s="1268">
        <f>CEILING((E918*0.85),0.1)</f>
        <v>85</v>
      </c>
      <c r="F920" s="1270"/>
      <c r="G920" s="1268">
        <f>CEILING((G918*0.85),0.1)</f>
        <v>71.3</v>
      </c>
      <c r="H920" s="1270"/>
      <c r="I920" s="1268">
        <f>CEILING((I918*0.85),0.1)</f>
        <v>76.5</v>
      </c>
      <c r="J920" s="1270"/>
      <c r="K920" s="1268">
        <f>CEILING((K918*0.85),0.1)</f>
        <v>51</v>
      </c>
      <c r="L920" s="1270"/>
      <c r="M920" s="380"/>
      <c r="N920" s="61"/>
    </row>
    <row r="921" spans="1:14" ht="18" customHeight="1">
      <c r="A921" s="183"/>
      <c r="B921" s="142" t="s">
        <v>1184</v>
      </c>
      <c r="C921" s="1268">
        <f>CEILING((C918*0.5),0.1)</f>
        <v>30</v>
      </c>
      <c r="D921" s="1270"/>
      <c r="E921" s="1268">
        <f>CEILING((E918*0.5),0.1)</f>
        <v>50</v>
      </c>
      <c r="F921" s="1270"/>
      <c r="G921" s="1268">
        <f>CEILING((G918*0.5),0.1)</f>
        <v>41.900000000000006</v>
      </c>
      <c r="H921" s="1270"/>
      <c r="I921" s="1268">
        <f>CEILING((I918*0.5),0.1)</f>
        <v>45</v>
      </c>
      <c r="J921" s="1270"/>
      <c r="K921" s="1268">
        <f>CEILING((K918*0.5),0.1)</f>
        <v>30</v>
      </c>
      <c r="L921" s="1270"/>
      <c r="M921" s="21"/>
      <c r="N921" s="158"/>
    </row>
    <row r="922" spans="1:14" ht="18" customHeight="1">
      <c r="A922" s="47"/>
      <c r="B922" s="12" t="s">
        <v>299</v>
      </c>
      <c r="C922" s="1268">
        <f>CEILING(73*$Z$1,0.1)</f>
        <v>91.30000000000001</v>
      </c>
      <c r="D922" s="1270"/>
      <c r="E922" s="1268">
        <f>CEILING(105*$Z$1,0.1)</f>
        <v>131.3</v>
      </c>
      <c r="F922" s="1270"/>
      <c r="G922" s="1268">
        <f>CEILING(92*$Z$1,0.1)</f>
        <v>115</v>
      </c>
      <c r="H922" s="1270"/>
      <c r="I922" s="1268">
        <f>CEILING(97*$Z$1,0.1)</f>
        <v>121.30000000000001</v>
      </c>
      <c r="J922" s="1270"/>
      <c r="K922" s="1268">
        <f>CEILING(73*$Z$1,0.1)</f>
        <v>91.30000000000001</v>
      </c>
      <c r="L922" s="1270"/>
      <c r="M922" s="21"/>
      <c r="N922" s="158"/>
    </row>
    <row r="923" spans="1:25" s="479" customFormat="1" ht="18" customHeight="1">
      <c r="A923" s="645"/>
      <c r="B923" s="12" t="s">
        <v>300</v>
      </c>
      <c r="C923" s="1268">
        <f>CEILING((C922+40*$Z$1),0.1)</f>
        <v>141.3</v>
      </c>
      <c r="D923" s="1270"/>
      <c r="E923" s="1268">
        <f>CEILING((E922+40*$Z$1),0.1)</f>
        <v>181.3</v>
      </c>
      <c r="F923" s="1314"/>
      <c r="G923" s="1268">
        <f>CEILING((G922+40*$Z$1),0.1)</f>
        <v>165</v>
      </c>
      <c r="H923" s="1314"/>
      <c r="I923" s="1268">
        <f>CEILING((I922+40*$Z$1),0.1)</f>
        <v>171.3</v>
      </c>
      <c r="J923" s="1314"/>
      <c r="K923" s="1268">
        <f>CEILING((K922+40*$Z$1),0.1)</f>
        <v>141.3</v>
      </c>
      <c r="L923" s="1314"/>
      <c r="M923" s="21"/>
      <c r="N923" s="158"/>
      <c r="O923" s="480"/>
      <c r="P923" s="480"/>
      <c r="Q923" s="480"/>
      <c r="R923" s="480"/>
      <c r="S923" s="480"/>
      <c r="T923" s="480"/>
      <c r="U923" s="480"/>
      <c r="V923" s="480"/>
      <c r="W923" s="480"/>
      <c r="X923" s="480"/>
      <c r="Y923" s="480"/>
    </row>
    <row r="924" spans="1:14" ht="18.75" customHeight="1" thickBot="1">
      <c r="A924" s="254" t="s">
        <v>423</v>
      </c>
      <c r="B924" s="38" t="s">
        <v>511</v>
      </c>
      <c r="C924" s="1278">
        <v>0.15</v>
      </c>
      <c r="D924" s="1279"/>
      <c r="E924" s="1278">
        <v>0.15</v>
      </c>
      <c r="F924" s="1279"/>
      <c r="G924" s="1278">
        <v>0.15</v>
      </c>
      <c r="H924" s="1279"/>
      <c r="I924" s="1278">
        <v>0.15</v>
      </c>
      <c r="J924" s="1279"/>
      <c r="K924" s="1278">
        <v>0.15</v>
      </c>
      <c r="L924" s="1279"/>
      <c r="M924" s="21"/>
      <c r="N924" s="158"/>
    </row>
    <row r="925" spans="1:25" s="404" customFormat="1" ht="18.75" customHeight="1" thickTop="1">
      <c r="A925" s="172" t="s">
        <v>532</v>
      </c>
      <c r="B925" s="44"/>
      <c r="C925" s="411"/>
      <c r="D925" s="411"/>
      <c r="E925" s="411"/>
      <c r="F925" s="411"/>
      <c r="G925" s="411"/>
      <c r="H925" s="411"/>
      <c r="I925" s="411"/>
      <c r="J925" s="411"/>
      <c r="K925" s="411"/>
      <c r="L925" s="411"/>
      <c r="M925" s="20"/>
      <c r="N925" s="158"/>
      <c r="O925" s="169"/>
      <c r="P925" s="169"/>
      <c r="Q925" s="169"/>
      <c r="R925" s="169"/>
      <c r="S925" s="169"/>
      <c r="T925" s="169"/>
      <c r="U925" s="169"/>
      <c r="V925" s="169"/>
      <c r="W925" s="169"/>
      <c r="X925" s="169"/>
      <c r="Y925" s="169"/>
    </row>
    <row r="926" spans="1:25" s="479" customFormat="1" ht="15.75" thickBot="1">
      <c r="A926" s="1329"/>
      <c r="B926" s="1329"/>
      <c r="C926" s="1329"/>
      <c r="D926" s="1329"/>
      <c r="E926" s="1329"/>
      <c r="F926" s="1329"/>
      <c r="G926" s="1329"/>
      <c r="H926" s="1329"/>
      <c r="I926" s="1329"/>
      <c r="J926" s="1329"/>
      <c r="K926" s="1329"/>
      <c r="L926" s="1329"/>
      <c r="M926" s="20"/>
      <c r="N926" s="20"/>
      <c r="O926" s="480"/>
      <c r="P926" s="480"/>
      <c r="Q926" s="480"/>
      <c r="R926" s="480"/>
      <c r="S926" s="480"/>
      <c r="T926" s="480"/>
      <c r="U926" s="480"/>
      <c r="V926" s="480"/>
      <c r="W926" s="480"/>
      <c r="X926" s="480"/>
      <c r="Y926" s="480"/>
    </row>
    <row r="927" spans="1:14" ht="17.25" customHeight="1" thickBot="1" thickTop="1">
      <c r="A927" s="72"/>
      <c r="B927" s="52"/>
      <c r="C927" s="2"/>
      <c r="D927" s="2"/>
      <c r="E927" s="2"/>
      <c r="F927" s="2"/>
      <c r="G927" s="2"/>
      <c r="H927" s="2"/>
      <c r="I927" s="2"/>
      <c r="J927" s="2"/>
      <c r="K927" s="94"/>
      <c r="L927" s="313"/>
      <c r="M927" s="92"/>
      <c r="N927" s="92"/>
    </row>
    <row r="928" spans="1:41" s="672" customFormat="1" ht="21" customHeight="1" thickTop="1">
      <c r="A928" s="746" t="s">
        <v>43</v>
      </c>
      <c r="B928" s="814" t="s">
        <v>961</v>
      </c>
      <c r="C928" s="747" t="s">
        <v>884</v>
      </c>
      <c r="D928" s="748"/>
      <c r="E928" s="749" t="s">
        <v>883</v>
      </c>
      <c r="F928" s="750"/>
      <c r="G928" s="749" t="s">
        <v>880</v>
      </c>
      <c r="H928" s="750"/>
      <c r="I928" s="1273" t="s">
        <v>881</v>
      </c>
      <c r="J928" s="1274"/>
      <c r="K928" s="1273" t="s">
        <v>882</v>
      </c>
      <c r="L928" s="1274"/>
      <c r="M928" s="827"/>
      <c r="N928" s="827"/>
      <c r="O928" s="331"/>
      <c r="P928" s="331"/>
      <c r="Q928" s="331"/>
      <c r="R928" s="331"/>
      <c r="S928" s="331"/>
      <c r="T928" s="331"/>
      <c r="U928" s="331"/>
      <c r="V928" s="331"/>
      <c r="W928" s="331"/>
      <c r="X928" s="331"/>
      <c r="Y928" s="331"/>
      <c r="Z928" s="331"/>
      <c r="AA928" s="331"/>
      <c r="AB928" s="331"/>
      <c r="AC928" s="331"/>
      <c r="AD928" s="331"/>
      <c r="AE928" s="331"/>
      <c r="AF928" s="331"/>
      <c r="AG928" s="331"/>
      <c r="AH928" s="331"/>
      <c r="AI928" s="331"/>
      <c r="AJ928" s="331"/>
      <c r="AK928" s="331"/>
      <c r="AL928" s="331"/>
      <c r="AM928" s="331"/>
      <c r="AN928" s="331"/>
      <c r="AO928" s="331"/>
    </row>
    <row r="929" spans="1:14" ht="17.25" customHeight="1">
      <c r="A929" s="106" t="s">
        <v>577</v>
      </c>
      <c r="B929" s="77" t="s">
        <v>51</v>
      </c>
      <c r="C929" s="1266">
        <f>CEILING(40*$Z$1,0.1)</f>
        <v>50</v>
      </c>
      <c r="D929" s="1267"/>
      <c r="E929" s="1266">
        <f>CEILING(65*$Z$1,0.1)</f>
        <v>81.30000000000001</v>
      </c>
      <c r="F929" s="1267"/>
      <c r="G929" s="1268">
        <f>CEILING(50*$Z$1,0.1)</f>
        <v>62.5</v>
      </c>
      <c r="H929" s="1269"/>
      <c r="I929" s="1268">
        <f>CEILING(55*$Z$1,0.1)</f>
        <v>68.8</v>
      </c>
      <c r="J929" s="1269"/>
      <c r="K929" s="1268">
        <f>CEILING(40*$Z$1,0.1)</f>
        <v>50</v>
      </c>
      <c r="L929" s="1269"/>
      <c r="M929" s="4"/>
      <c r="N929" s="3"/>
    </row>
    <row r="930" spans="1:14" ht="15">
      <c r="A930" s="47" t="s">
        <v>59</v>
      </c>
      <c r="B930" s="29" t="s">
        <v>52</v>
      </c>
      <c r="C930" s="1268">
        <f>CEILING((C929+30*$Z$1),0.1)</f>
        <v>87.5</v>
      </c>
      <c r="D930" s="1270"/>
      <c r="E930" s="1268">
        <f>CEILING((E929+30*$Z$1),0.1)</f>
        <v>118.80000000000001</v>
      </c>
      <c r="F930" s="1270"/>
      <c r="G930" s="1268">
        <f>CEILING((G929+30*$Z$1),0.1)</f>
        <v>100</v>
      </c>
      <c r="H930" s="1270"/>
      <c r="I930" s="1268">
        <f>CEILING((I929+30*$Z$1),0.1)</f>
        <v>106.30000000000001</v>
      </c>
      <c r="J930" s="1270"/>
      <c r="K930" s="1268">
        <f>CEILING((K929+30*$Z$1),0.1)</f>
        <v>87.5</v>
      </c>
      <c r="L930" s="1270"/>
      <c r="M930" s="4"/>
      <c r="N930" s="3"/>
    </row>
    <row r="931" spans="1:14" ht="15">
      <c r="A931" s="47"/>
      <c r="B931" s="37" t="s">
        <v>79</v>
      </c>
      <c r="C931" s="1268">
        <f>CEILING((C929*0.85),0.1)</f>
        <v>42.5</v>
      </c>
      <c r="D931" s="1270"/>
      <c r="E931" s="1268">
        <f>CEILING((E929*0.85),0.1)</f>
        <v>69.2</v>
      </c>
      <c r="F931" s="1270"/>
      <c r="G931" s="1268">
        <f>CEILING((G929*0.85),0.1)</f>
        <v>53.2</v>
      </c>
      <c r="H931" s="1270"/>
      <c r="I931" s="1268">
        <f>CEILING((I929*0.85),0.1)</f>
        <v>58.5</v>
      </c>
      <c r="J931" s="1270"/>
      <c r="K931" s="1268">
        <f>CEILING((K929*0.85),0.1)</f>
        <v>42.5</v>
      </c>
      <c r="L931" s="1270"/>
      <c r="M931" s="63"/>
      <c r="N931" s="24"/>
    </row>
    <row r="932" spans="1:14" ht="18" customHeight="1">
      <c r="A932" s="47"/>
      <c r="B932" s="142" t="s">
        <v>1184</v>
      </c>
      <c r="C932" s="1268">
        <f>CEILING((C929*0.5),0.1)</f>
        <v>25</v>
      </c>
      <c r="D932" s="1270"/>
      <c r="E932" s="1268">
        <f>CEILING((E929*0.5),0.1)</f>
        <v>40.7</v>
      </c>
      <c r="F932" s="1270"/>
      <c r="G932" s="1268">
        <f>CEILING((G929*0.5),0.1)</f>
        <v>31.3</v>
      </c>
      <c r="H932" s="1270"/>
      <c r="I932" s="1268">
        <f>CEILING((I929*0.5),0.1)</f>
        <v>34.4</v>
      </c>
      <c r="J932" s="1270"/>
      <c r="K932" s="1268">
        <f>CEILING((K929*0.5),0.1)</f>
        <v>25</v>
      </c>
      <c r="L932" s="1270"/>
      <c r="M932" s="414"/>
      <c r="N932" s="92"/>
    </row>
    <row r="933" spans="1:14" ht="17.25" customHeight="1">
      <c r="A933" s="47"/>
      <c r="B933" s="10" t="s">
        <v>82</v>
      </c>
      <c r="C933" s="1268">
        <f>CEILING(55*$Z$1,0.1)</f>
        <v>68.8</v>
      </c>
      <c r="D933" s="1270"/>
      <c r="E933" s="1268">
        <f>CEILING(80*$Z$1,0.1)</f>
        <v>100</v>
      </c>
      <c r="F933" s="1270"/>
      <c r="G933" s="1268">
        <f>CEILING(65*$Z$1,0.1)</f>
        <v>81.30000000000001</v>
      </c>
      <c r="H933" s="1270"/>
      <c r="I933" s="1268">
        <f>CEILING(70*$Z$1,0.1)</f>
        <v>87.5</v>
      </c>
      <c r="J933" s="1270"/>
      <c r="K933" s="1268">
        <f>CEILING(55*$Z$1,0.1)</f>
        <v>68.8</v>
      </c>
      <c r="L933" s="1270"/>
      <c r="M933" s="92"/>
      <c r="N933" s="92"/>
    </row>
    <row r="934" spans="1:25" s="479" customFormat="1" ht="17.25" customHeight="1">
      <c r="A934" s="182"/>
      <c r="B934" s="10" t="s">
        <v>83</v>
      </c>
      <c r="C934" s="1268">
        <f>CEILING((C933+30*$Z$1),0.1)</f>
        <v>106.30000000000001</v>
      </c>
      <c r="D934" s="1270"/>
      <c r="E934" s="1268">
        <f>CEILING((E933+30*$Z$1),0.1)</f>
        <v>137.5</v>
      </c>
      <c r="F934" s="1270"/>
      <c r="G934" s="1268">
        <f>CEILING((G933+30*$Z$1),0.1)</f>
        <v>118.80000000000001</v>
      </c>
      <c r="H934" s="1314"/>
      <c r="I934" s="1268">
        <f>CEILING((I933+30*$Z$1),0.1)</f>
        <v>125</v>
      </c>
      <c r="J934" s="1314"/>
      <c r="K934" s="1268">
        <f>CEILING((K933+30*$Z$1),0.1)</f>
        <v>106.30000000000001</v>
      </c>
      <c r="L934" s="1314"/>
      <c r="M934" s="92"/>
      <c r="N934" s="92"/>
      <c r="O934" s="480"/>
      <c r="P934" s="480"/>
      <c r="Q934" s="480"/>
      <c r="R934" s="480"/>
      <c r="S934" s="480"/>
      <c r="T934" s="480"/>
      <c r="U934" s="480"/>
      <c r="V934" s="480"/>
      <c r="W934" s="480"/>
      <c r="X934" s="480"/>
      <c r="Y934" s="480"/>
    </row>
    <row r="935" spans="1:14" ht="16.5" customHeight="1" thickBot="1">
      <c r="A935" s="254" t="s">
        <v>423</v>
      </c>
      <c r="B935" s="38" t="s">
        <v>511</v>
      </c>
      <c r="C935" s="1278">
        <v>0.15</v>
      </c>
      <c r="D935" s="1279"/>
      <c r="E935" s="1278">
        <v>0.15</v>
      </c>
      <c r="F935" s="1279"/>
      <c r="G935" s="1278">
        <v>0.15</v>
      </c>
      <c r="H935" s="1279"/>
      <c r="I935" s="1278">
        <v>0.15</v>
      </c>
      <c r="J935" s="1279"/>
      <c r="K935" s="1278">
        <v>0.15</v>
      </c>
      <c r="L935" s="1279"/>
      <c r="M935" s="92"/>
      <c r="N935" s="92"/>
    </row>
    <row r="936" spans="1:25" s="404" customFormat="1" ht="16.5" customHeight="1" thickTop="1">
      <c r="A936" s="172" t="s">
        <v>531</v>
      </c>
      <c r="B936" s="44"/>
      <c r="C936" s="411"/>
      <c r="D936" s="411"/>
      <c r="E936" s="411"/>
      <c r="F936" s="411"/>
      <c r="G936" s="411"/>
      <c r="H936" s="411"/>
      <c r="I936" s="411"/>
      <c r="J936" s="411"/>
      <c r="K936" s="411"/>
      <c r="L936" s="411"/>
      <c r="M936" s="92"/>
      <c r="N936" s="92"/>
      <c r="O936" s="169"/>
      <c r="P936" s="169"/>
      <c r="Q936" s="169"/>
      <c r="R936" s="169"/>
      <c r="S936" s="169"/>
      <c r="T936" s="169"/>
      <c r="U936" s="169"/>
      <c r="V936" s="169"/>
      <c r="W936" s="169"/>
      <c r="X936" s="169"/>
      <c r="Y936" s="169"/>
    </row>
    <row r="937" spans="1:25" s="192" customFormat="1" ht="15">
      <c r="A937" s="1311"/>
      <c r="B937" s="1311"/>
      <c r="C937" s="1311"/>
      <c r="D937" s="1311"/>
      <c r="E937" s="1311"/>
      <c r="F937" s="1311"/>
      <c r="G937" s="1311"/>
      <c r="H937" s="1311"/>
      <c r="I937" s="1311"/>
      <c r="J937" s="1311"/>
      <c r="K937" s="1311"/>
      <c r="L937" s="1311"/>
      <c r="M937" s="20"/>
      <c r="N937" s="20"/>
      <c r="O937" s="481"/>
      <c r="P937" s="481"/>
      <c r="Q937" s="481"/>
      <c r="R937" s="481"/>
      <c r="S937" s="481"/>
      <c r="T937" s="481"/>
      <c r="U937" s="481"/>
      <c r="V937" s="481"/>
      <c r="W937" s="481"/>
      <c r="X937" s="481"/>
      <c r="Y937" s="481"/>
    </row>
    <row r="938" spans="1:13" ht="17.25" customHeight="1" thickBot="1">
      <c r="A938" s="72"/>
      <c r="B938" s="134"/>
      <c r="C938" s="2"/>
      <c r="D938" s="2"/>
      <c r="E938" s="2"/>
      <c r="F938" s="2"/>
      <c r="G938" s="2"/>
      <c r="H938" s="2"/>
      <c r="I938" s="2"/>
      <c r="J938" s="2"/>
      <c r="K938" s="94"/>
      <c r="L938" s="313"/>
      <c r="M938" s="169"/>
    </row>
    <row r="939" spans="1:13" ht="26.25" customHeight="1" hidden="1" thickTop="1">
      <c r="A939" s="71" t="s">
        <v>43</v>
      </c>
      <c r="B939" s="71"/>
      <c r="C939" s="1557" t="s">
        <v>477</v>
      </c>
      <c r="D939" s="1558"/>
      <c r="E939" s="1321" t="s">
        <v>478</v>
      </c>
      <c r="F939" s="1322"/>
      <c r="G939" s="1319" t="s">
        <v>479</v>
      </c>
      <c r="H939" s="1320"/>
      <c r="I939" s="1319" t="s">
        <v>480</v>
      </c>
      <c r="J939" s="1320"/>
      <c r="K939" s="316"/>
      <c r="L939" s="313"/>
      <c r="M939" s="169"/>
    </row>
    <row r="940" spans="1:13" ht="17.25" customHeight="1" hidden="1">
      <c r="A940" s="106" t="s">
        <v>576</v>
      </c>
      <c r="B940" s="77" t="s">
        <v>51</v>
      </c>
      <c r="C940" s="1266">
        <f>CEILING(79*$Z$1,0.1)</f>
        <v>98.80000000000001</v>
      </c>
      <c r="D940" s="1267"/>
      <c r="E940" s="1266">
        <f>CEILING(94*$Z$1,0.1)</f>
        <v>117.5</v>
      </c>
      <c r="F940" s="1267"/>
      <c r="G940" s="1266">
        <f>CEILING(90*$Z$1,0.1)</f>
        <v>112.5</v>
      </c>
      <c r="H940" s="1267"/>
      <c r="I940" s="1266">
        <f>CEILING(67*$Z$1,0.1)</f>
        <v>83.80000000000001</v>
      </c>
      <c r="J940" s="1267"/>
      <c r="K940" s="316"/>
      <c r="L940" s="313"/>
      <c r="M940" s="169"/>
    </row>
    <row r="941" spans="1:25" ht="16.5" customHeight="1" hidden="1">
      <c r="A941" s="47" t="s">
        <v>45</v>
      </c>
      <c r="B941" s="29" t="s">
        <v>52</v>
      </c>
      <c r="C941" s="1268">
        <f>CEILING((C940+25*$Z$1),0.1)</f>
        <v>130.1</v>
      </c>
      <c r="D941" s="1270"/>
      <c r="E941" s="1268">
        <f>CEILING((E940+25*$Z$1),0.1)</f>
        <v>148.8</v>
      </c>
      <c r="F941" s="1270"/>
      <c r="G941" s="1268">
        <f>CEILING((G940+25*$Z$1),0.1)</f>
        <v>143.8</v>
      </c>
      <c r="H941" s="1270"/>
      <c r="I941" s="1268">
        <f>CEILING((I940+25*$Z$1),0.1)</f>
        <v>115.10000000000001</v>
      </c>
      <c r="J941" s="1270"/>
      <c r="K941" s="328"/>
      <c r="L941" s="328"/>
      <c r="M941" s="169"/>
      <c r="X941"/>
      <c r="Y941"/>
    </row>
    <row r="942" spans="1:25" ht="17.25" customHeight="1" hidden="1">
      <c r="A942" s="47"/>
      <c r="B942" s="37" t="s">
        <v>79</v>
      </c>
      <c r="C942" s="1268">
        <f>CEILING(67*$Z$1,0.1)</f>
        <v>83.80000000000001</v>
      </c>
      <c r="D942" s="1270"/>
      <c r="E942" s="1268">
        <f>CEILING(80*$Z$1,0.1)</f>
        <v>100</v>
      </c>
      <c r="F942" s="1270"/>
      <c r="G942" s="1268">
        <f>CEILING(77*$Z$1,0.1)</f>
        <v>96.30000000000001</v>
      </c>
      <c r="H942" s="1270"/>
      <c r="I942" s="1268">
        <f>CEILING(57*$Z$1,0.1)</f>
        <v>71.3</v>
      </c>
      <c r="J942" s="1270"/>
      <c r="K942" s="328"/>
      <c r="L942" s="328"/>
      <c r="M942" s="169"/>
      <c r="V942"/>
      <c r="W942"/>
      <c r="X942"/>
      <c r="Y942"/>
    </row>
    <row r="943" spans="1:25" ht="17.25" customHeight="1" hidden="1">
      <c r="A943" s="90"/>
      <c r="B943" s="142" t="s">
        <v>78</v>
      </c>
      <c r="C943" s="1268">
        <f>CEILING(40*$Z$1,0.1)</f>
        <v>50</v>
      </c>
      <c r="D943" s="1270"/>
      <c r="E943" s="1268">
        <f>CEILING(47*$Z$1,0.1)</f>
        <v>58.800000000000004</v>
      </c>
      <c r="F943" s="1270"/>
      <c r="G943" s="1268">
        <f>CEILING(45*$Z$1,0.1)</f>
        <v>56.300000000000004</v>
      </c>
      <c r="H943" s="1270"/>
      <c r="I943" s="1268">
        <f>CEILING(34*$Z$1,0.1)</f>
        <v>42.5</v>
      </c>
      <c r="J943" s="1270"/>
      <c r="K943" s="279"/>
      <c r="L943" s="279"/>
      <c r="M943" s="169"/>
      <c r="V943"/>
      <c r="W943"/>
      <c r="X943"/>
      <c r="Y943"/>
    </row>
    <row r="944" spans="1:25" ht="17.25" customHeight="1" hidden="1" thickBot="1">
      <c r="A944" s="105" t="s">
        <v>437</v>
      </c>
      <c r="B944" s="504" t="s">
        <v>122</v>
      </c>
      <c r="C944" s="1275">
        <f>CEILING(99*$Z$1,0.1)</f>
        <v>123.80000000000001</v>
      </c>
      <c r="D944" s="1277"/>
      <c r="E944" s="1275">
        <f>CEILING(114*$Z$1,0.1)</f>
        <v>142.5</v>
      </c>
      <c r="F944" s="1277"/>
      <c r="G944" s="1275">
        <f>CEILING(110*$Z$1,0.1)</f>
        <v>137.5</v>
      </c>
      <c r="H944" s="1277"/>
      <c r="I944" s="1275">
        <f>CEILING(87*$Z$1,0.1)</f>
        <v>108.80000000000001</v>
      </c>
      <c r="J944" s="1277"/>
      <c r="K944" s="279"/>
      <c r="L944" s="279"/>
      <c r="M944" s="169"/>
      <c r="X944"/>
      <c r="Y944"/>
    </row>
    <row r="945" spans="1:14" ht="18" customHeight="1" hidden="1" thickTop="1">
      <c r="A945" s="75" t="s">
        <v>568</v>
      </c>
      <c r="B945" s="44"/>
      <c r="C945" s="3"/>
      <c r="D945" s="3"/>
      <c r="E945" s="3"/>
      <c r="F945" s="3"/>
      <c r="G945" s="3"/>
      <c r="H945" s="3"/>
      <c r="I945" s="3"/>
      <c r="J945" s="3"/>
      <c r="K945" s="279"/>
      <c r="L945" s="279"/>
      <c r="M945" s="92"/>
      <c r="N945" s="92"/>
    </row>
    <row r="946" spans="1:14" ht="18.75" customHeight="1" hidden="1">
      <c r="A946" s="75" t="s">
        <v>404</v>
      </c>
      <c r="B946" s="129"/>
      <c r="C946" s="3"/>
      <c r="D946" s="3"/>
      <c r="E946" s="3"/>
      <c r="F946" s="3"/>
      <c r="G946" s="3"/>
      <c r="H946" s="3"/>
      <c r="I946" s="3"/>
      <c r="J946" s="3"/>
      <c r="K946" s="328"/>
      <c r="L946" s="328"/>
      <c r="M946" s="92"/>
      <c r="N946" s="92"/>
    </row>
    <row r="947" spans="1:41" s="672" customFormat="1" ht="21" customHeight="1" thickTop="1">
      <c r="A947" s="746" t="s">
        <v>43</v>
      </c>
      <c r="B947" s="814" t="s">
        <v>961</v>
      </c>
      <c r="C947" s="747" t="s">
        <v>884</v>
      </c>
      <c r="D947" s="748"/>
      <c r="E947" s="749" t="s">
        <v>911</v>
      </c>
      <c r="F947" s="750"/>
      <c r="G947" s="749" t="s">
        <v>912</v>
      </c>
      <c r="H947" s="750"/>
      <c r="I947" s="1273" t="s">
        <v>881</v>
      </c>
      <c r="J947" s="1274"/>
      <c r="K947" s="1273" t="s">
        <v>882</v>
      </c>
      <c r="L947" s="1274"/>
      <c r="M947" s="827"/>
      <c r="N947" s="827"/>
      <c r="O947" s="331"/>
      <c r="P947" s="331"/>
      <c r="Q947" s="331"/>
      <c r="R947" s="331"/>
      <c r="S947" s="331"/>
      <c r="T947" s="331"/>
      <c r="U947" s="331"/>
      <c r="V947" s="331"/>
      <c r="W947" s="331"/>
      <c r="X947" s="331"/>
      <c r="Y947" s="331"/>
      <c r="Z947" s="331"/>
      <c r="AA947" s="331"/>
      <c r="AB947" s="331"/>
      <c r="AC947" s="331"/>
      <c r="AD947" s="331"/>
      <c r="AE947" s="331"/>
      <c r="AF947" s="331"/>
      <c r="AG947" s="331"/>
      <c r="AH947" s="331"/>
      <c r="AI947" s="331"/>
      <c r="AJ947" s="331"/>
      <c r="AK947" s="331"/>
      <c r="AL947" s="331"/>
      <c r="AM947" s="331"/>
      <c r="AN947" s="331"/>
      <c r="AO947" s="331"/>
    </row>
    <row r="948" spans="1:16" ht="17.25" customHeight="1">
      <c r="A948" s="216" t="s">
        <v>193</v>
      </c>
      <c r="B948" s="249" t="s">
        <v>44</v>
      </c>
      <c r="C948" s="1266">
        <f>CEILING(115*$Z$1,0.1)</f>
        <v>143.8</v>
      </c>
      <c r="D948" s="1267"/>
      <c r="E948" s="1268">
        <f>CEILING(160*$Z$1,0.1)</f>
        <v>200</v>
      </c>
      <c r="F948" s="1269"/>
      <c r="G948" s="1348">
        <f>CEILING(65*$Z$1,0.1)</f>
        <v>81.30000000000001</v>
      </c>
      <c r="H948" s="1414"/>
      <c r="I948" s="1348">
        <f>CEILING(68*$Z$1,0.1)</f>
        <v>85</v>
      </c>
      <c r="J948" s="1414"/>
      <c r="K948" s="1348">
        <f>CEILING(60*$Z$1,0.1)</f>
        <v>75</v>
      </c>
      <c r="L948" s="1349"/>
      <c r="M948" s="92"/>
      <c r="N948" s="92"/>
      <c r="O948" s="3"/>
      <c r="P948" s="191"/>
    </row>
    <row r="949" spans="1:16" ht="17.25" customHeight="1">
      <c r="A949" s="244"/>
      <c r="B949" s="68" t="s">
        <v>46</v>
      </c>
      <c r="C949" s="1268">
        <f>CEILING((C948+60*$Z$1),0.1)</f>
        <v>218.8</v>
      </c>
      <c r="D949" s="1270"/>
      <c r="E949" s="1268">
        <f>CEILING((E948+60*$Z$1),0.1)</f>
        <v>275</v>
      </c>
      <c r="F949" s="1270"/>
      <c r="G949" s="1348">
        <f>CEILING((G948+60*$Z$1),0.1)</f>
        <v>156.3</v>
      </c>
      <c r="H949" s="1349"/>
      <c r="I949" s="1348">
        <f>CEILING((I948+60*$Z$1),0.1)</f>
        <v>160</v>
      </c>
      <c r="J949" s="1349"/>
      <c r="K949" s="1348">
        <f>CEILING((K948+60*$Z$1),0.1)</f>
        <v>150</v>
      </c>
      <c r="L949" s="1349"/>
      <c r="M949" s="92"/>
      <c r="N949" s="92"/>
      <c r="O949" s="3"/>
      <c r="P949" s="191"/>
    </row>
    <row r="950" spans="1:16" ht="17.25" customHeight="1">
      <c r="A950" s="244" t="s">
        <v>1336</v>
      </c>
      <c r="B950" s="68" t="s">
        <v>339</v>
      </c>
      <c r="C950" s="1268">
        <f>CEILING(125*$Z$1,0.1)</f>
        <v>156.3</v>
      </c>
      <c r="D950" s="1270"/>
      <c r="E950" s="1268">
        <f>CEILING(170*$Z$1,0.1)</f>
        <v>212.5</v>
      </c>
      <c r="F950" s="1270"/>
      <c r="G950" s="1348">
        <f>CEILING(70*$Z$1,0.1)</f>
        <v>87.5</v>
      </c>
      <c r="H950" s="1349"/>
      <c r="I950" s="1348">
        <f>CEILING(73*$Z$1,0.1)</f>
        <v>91.30000000000001</v>
      </c>
      <c r="J950" s="1349"/>
      <c r="K950" s="1348">
        <f>CEILING(65*$Z$1,0.1)</f>
        <v>81.30000000000001</v>
      </c>
      <c r="L950" s="1349"/>
      <c r="M950" s="92"/>
      <c r="N950" s="92"/>
      <c r="O950" s="3"/>
      <c r="P950" s="191"/>
    </row>
    <row r="951" spans="1:16" ht="17.25" customHeight="1">
      <c r="A951" s="244"/>
      <c r="B951" s="386" t="s">
        <v>340</v>
      </c>
      <c r="C951" s="1268">
        <f>CEILING(135*$Z$1,0.1)</f>
        <v>168.8</v>
      </c>
      <c r="D951" s="1270"/>
      <c r="E951" s="1268">
        <f>CEILING(180*$Z$1,0.1)</f>
        <v>225</v>
      </c>
      <c r="F951" s="1270"/>
      <c r="G951" s="1348">
        <f>CEILING(75*$Z$1,0.1)</f>
        <v>93.80000000000001</v>
      </c>
      <c r="H951" s="1349"/>
      <c r="I951" s="1348">
        <f>CEILING(78*$Z$1,0.1)</f>
        <v>97.5</v>
      </c>
      <c r="J951" s="1349"/>
      <c r="K951" s="1348">
        <f>CEILING(70*$Z$1,0.1)</f>
        <v>87.5</v>
      </c>
      <c r="L951" s="1349"/>
      <c r="M951" s="92"/>
      <c r="N951" s="92"/>
      <c r="O951" s="3"/>
      <c r="P951" s="191"/>
    </row>
    <row r="952" spans="1:16" ht="17.25" customHeight="1" thickBot="1">
      <c r="A952" s="257" t="s">
        <v>436</v>
      </c>
      <c r="B952" s="13" t="s">
        <v>194</v>
      </c>
      <c r="C952" s="1275">
        <f>CEILING(235*$Z$1,0.1)</f>
        <v>293.8</v>
      </c>
      <c r="D952" s="1277"/>
      <c r="E952" s="1275">
        <f>CEILING(280*$Z$1,0.1)</f>
        <v>350</v>
      </c>
      <c r="F952" s="1277"/>
      <c r="G952" s="1417">
        <f>CEILING(125*$Z$1,0.1)</f>
        <v>156.3</v>
      </c>
      <c r="H952" s="1418"/>
      <c r="I952" s="1417">
        <f>CEILING(128*$Z$1,0.1)</f>
        <v>160</v>
      </c>
      <c r="J952" s="1418"/>
      <c r="K952" s="1417">
        <f>CEILING(120*$Z$1,0.1)</f>
        <v>150</v>
      </c>
      <c r="L952" s="1418"/>
      <c r="M952" s="92"/>
      <c r="N952" s="92"/>
      <c r="O952" s="3"/>
      <c r="P952" s="191"/>
    </row>
    <row r="953" spans="1:16" ht="17.25" customHeight="1" thickTop="1">
      <c r="A953" s="1423" t="s">
        <v>214</v>
      </c>
      <c r="B953" s="1423"/>
      <c r="C953" s="1423"/>
      <c r="D953" s="1423"/>
      <c r="E953" s="1423"/>
      <c r="F953" s="1423"/>
      <c r="G953" s="1423"/>
      <c r="H953" s="1423"/>
      <c r="I953" s="1423"/>
      <c r="J953" s="1423"/>
      <c r="K953" s="314"/>
      <c r="L953" s="314"/>
      <c r="M953" s="92"/>
      <c r="N953" s="92"/>
      <c r="O953" s="3"/>
      <c r="P953" s="191"/>
    </row>
    <row r="954" spans="1:25" s="479" customFormat="1" ht="24" customHeight="1" hidden="1" thickTop="1">
      <c r="A954" s="71" t="s">
        <v>43</v>
      </c>
      <c r="B954" s="71"/>
      <c r="C954" s="1512" t="s">
        <v>477</v>
      </c>
      <c r="D954" s="1513"/>
      <c r="E954" s="1321" t="s">
        <v>597</v>
      </c>
      <c r="F954" s="1322"/>
      <c r="G954" s="1319" t="s">
        <v>598</v>
      </c>
      <c r="H954" s="1320"/>
      <c r="I954" s="1319" t="s">
        <v>481</v>
      </c>
      <c r="J954" s="1320"/>
      <c r="K954" s="1319" t="s">
        <v>599</v>
      </c>
      <c r="L954" s="1320"/>
      <c r="M954" s="511"/>
      <c r="N954" s="92"/>
      <c r="O954" s="3"/>
      <c r="P954" s="191"/>
      <c r="Q954" s="480"/>
      <c r="R954" s="480"/>
      <c r="S954" s="480"/>
      <c r="T954" s="480"/>
      <c r="U954" s="480"/>
      <c r="V954" s="480"/>
      <c r="W954" s="480"/>
      <c r="X954" s="480"/>
      <c r="Y954" s="480"/>
    </row>
    <row r="955" spans="1:25" s="479" customFormat="1" ht="17.25" customHeight="1" hidden="1">
      <c r="A955" s="106" t="s">
        <v>602</v>
      </c>
      <c r="B955" s="77" t="s">
        <v>76</v>
      </c>
      <c r="C955" s="1266">
        <f>CEILING(80*$Z$1,0.1)</f>
        <v>100</v>
      </c>
      <c r="D955" s="1267"/>
      <c r="E955" s="1266">
        <f>CEILING(105*$Z$1,0.1)</f>
        <v>131.3</v>
      </c>
      <c r="F955" s="1267"/>
      <c r="G955" s="1266">
        <f>CEILING(110*$Z$1,0.1)</f>
        <v>137.5</v>
      </c>
      <c r="H955" s="1267"/>
      <c r="I955" s="1266">
        <f>CEILING(85*$Z$1,0.1)</f>
        <v>106.30000000000001</v>
      </c>
      <c r="J955" s="1267"/>
      <c r="K955" s="1266">
        <f>CEILING(90*$Z$1,0.1)</f>
        <v>112.5</v>
      </c>
      <c r="L955" s="1267"/>
      <c r="M955" s="511"/>
      <c r="N955" s="92"/>
      <c r="O955" s="3"/>
      <c r="P955" s="191"/>
      <c r="Q955" s="480"/>
      <c r="R955" s="480"/>
      <c r="S955" s="480"/>
      <c r="T955" s="480"/>
      <c r="U955" s="480"/>
      <c r="V955" s="480"/>
      <c r="W955" s="480"/>
      <c r="X955" s="480"/>
      <c r="Y955" s="480"/>
    </row>
    <row r="956" spans="1:25" s="479" customFormat="1" ht="17.25" customHeight="1" hidden="1">
      <c r="A956" s="47" t="s">
        <v>45</v>
      </c>
      <c r="B956" s="29" t="s">
        <v>77</v>
      </c>
      <c r="C956" s="1268">
        <f>CEILING(115*$Z$1,0.1)</f>
        <v>143.8</v>
      </c>
      <c r="D956" s="1270"/>
      <c r="E956" s="1268">
        <f>CEILING(140*$Z$1,0.1)</f>
        <v>175</v>
      </c>
      <c r="F956" s="1270"/>
      <c r="G956" s="1268">
        <f>CEILING(145*$Z$1,0.1)</f>
        <v>181.3</v>
      </c>
      <c r="H956" s="1270"/>
      <c r="I956" s="1268">
        <f>CEILING(120*$Z$1,0.1)</f>
        <v>150</v>
      </c>
      <c r="J956" s="1270"/>
      <c r="K956" s="1268">
        <f>CEILING(125*$Z$1,0.1)</f>
        <v>156.3</v>
      </c>
      <c r="L956" s="1270"/>
      <c r="M956" s="511"/>
      <c r="N956" s="92"/>
      <c r="O956" s="3"/>
      <c r="P956" s="191"/>
      <c r="Q956" s="480"/>
      <c r="R956" s="480"/>
      <c r="S956" s="480"/>
      <c r="T956" s="480"/>
      <c r="U956" s="480"/>
      <c r="V956" s="480"/>
      <c r="W956" s="480"/>
      <c r="X956" s="480"/>
      <c r="Y956" s="480"/>
    </row>
    <row r="957" spans="1:25" s="479" customFormat="1" ht="17.25" customHeight="1" hidden="1">
      <c r="A957" s="47"/>
      <c r="B957" s="147" t="s">
        <v>78</v>
      </c>
      <c r="C957" s="1323">
        <v>0</v>
      </c>
      <c r="D957" s="1324"/>
      <c r="E957" s="1268">
        <f>CEILING(55*$Z$1,0.1)</f>
        <v>68.8</v>
      </c>
      <c r="F957" s="1270"/>
      <c r="G957" s="1268">
        <f>CEILING(55*$Z$1,0.1)</f>
        <v>68.8</v>
      </c>
      <c r="H957" s="1270"/>
      <c r="I957" s="1323">
        <v>0</v>
      </c>
      <c r="J957" s="1324"/>
      <c r="K957" s="1268">
        <f>CEILING(45*$Z$1,0.1)</f>
        <v>56.300000000000004</v>
      </c>
      <c r="L957" s="1270"/>
      <c r="M957" s="92"/>
      <c r="N957" s="92"/>
      <c r="O957" s="3"/>
      <c r="P957" s="191"/>
      <c r="Q957" s="480"/>
      <c r="R957" s="480"/>
      <c r="S957" s="480"/>
      <c r="T957" s="480"/>
      <c r="U957" s="480"/>
      <c r="V957" s="480"/>
      <c r="W957" s="480"/>
      <c r="X957" s="480"/>
      <c r="Y957" s="480"/>
    </row>
    <row r="958" spans="1:25" s="479" customFormat="1" ht="17.25" customHeight="1" hidden="1">
      <c r="A958" s="90"/>
      <c r="B958" s="142" t="s">
        <v>600</v>
      </c>
      <c r="C958" s="1268">
        <f>CEILING(87*$Z$1,0.1)</f>
        <v>108.80000000000001</v>
      </c>
      <c r="D958" s="1270"/>
      <c r="E958" s="1268">
        <f>CEILING(115*$Z$1,0.1)</f>
        <v>143.8</v>
      </c>
      <c r="F958" s="1270"/>
      <c r="G958" s="1268">
        <f>CEILING(120*$Z$1,0.1)</f>
        <v>150</v>
      </c>
      <c r="H958" s="1270"/>
      <c r="I958" s="1268">
        <f>CEILING(95*$Z$1,0.1)</f>
        <v>118.80000000000001</v>
      </c>
      <c r="J958" s="1270"/>
      <c r="K958" s="1268">
        <f>CEILING(100*$Z$1,0.1)</f>
        <v>125</v>
      </c>
      <c r="L958" s="1270"/>
      <c r="M958" s="92"/>
      <c r="N958" s="92"/>
      <c r="O958" s="3"/>
      <c r="P958" s="191"/>
      <c r="Q958" s="480"/>
      <c r="R958" s="480"/>
      <c r="S958" s="480"/>
      <c r="T958" s="480"/>
      <c r="U958" s="480"/>
      <c r="V958" s="480"/>
      <c r="W958" s="480"/>
      <c r="X958" s="480"/>
      <c r="Y958" s="480"/>
    </row>
    <row r="959" spans="1:25" s="479" customFormat="1" ht="17.25" customHeight="1" hidden="1" thickBot="1">
      <c r="A959" s="105" t="s">
        <v>596</v>
      </c>
      <c r="B959" s="504" t="s">
        <v>601</v>
      </c>
      <c r="C959" s="1275">
        <f>CEILING(125*$Z$1,0.1)</f>
        <v>156.3</v>
      </c>
      <c r="D959" s="1277"/>
      <c r="E959" s="1275">
        <f>CEILING(150*$Z$1,0.1)</f>
        <v>187.5</v>
      </c>
      <c r="F959" s="1277"/>
      <c r="G959" s="1275">
        <f>CEILING(155*$Z$1,0.1)</f>
        <v>193.8</v>
      </c>
      <c r="H959" s="1277"/>
      <c r="I959" s="1275">
        <f>CEILING(130*$Z$1,0.1)</f>
        <v>162.5</v>
      </c>
      <c r="J959" s="1277"/>
      <c r="K959" s="1275">
        <f>CEILING(135*$Z$1,0.1)</f>
        <v>168.8</v>
      </c>
      <c r="L959" s="1277"/>
      <c r="M959" s="92"/>
      <c r="N959" s="92"/>
      <c r="O959" s="3"/>
      <c r="P959" s="191"/>
      <c r="Q959" s="480"/>
      <c r="R959" s="480"/>
      <c r="S959" s="480"/>
      <c r="T959" s="480"/>
      <c r="U959" s="480"/>
      <c r="V959" s="480"/>
      <c r="W959" s="480"/>
      <c r="X959" s="480"/>
      <c r="Y959" s="480"/>
    </row>
    <row r="960" spans="1:25" s="479" customFormat="1" ht="17.25" customHeight="1" hidden="1" thickTop="1">
      <c r="A960" s="1318" t="s">
        <v>604</v>
      </c>
      <c r="B960" s="1318"/>
      <c r="C960" s="1318"/>
      <c r="D960" s="1318"/>
      <c r="E960" s="1318"/>
      <c r="F960" s="1318"/>
      <c r="G960" s="1318"/>
      <c r="H960" s="1318"/>
      <c r="I960" s="1318"/>
      <c r="J960" s="1318"/>
      <c r="K960" s="314"/>
      <c r="L960" s="314"/>
      <c r="M960" s="92"/>
      <c r="N960" s="92"/>
      <c r="O960" s="3"/>
      <c r="P960" s="191"/>
      <c r="Q960" s="480"/>
      <c r="R960" s="480"/>
      <c r="S960" s="480"/>
      <c r="T960" s="480"/>
      <c r="U960" s="480"/>
      <c r="V960" s="480"/>
      <c r="W960" s="480"/>
      <c r="X960" s="480"/>
      <c r="Y960" s="480"/>
    </row>
    <row r="961" spans="1:25" s="479" customFormat="1" ht="17.25" customHeight="1" hidden="1">
      <c r="A961" s="75" t="s">
        <v>603</v>
      </c>
      <c r="B961" s="22"/>
      <c r="C961" s="22"/>
      <c r="D961" s="22"/>
      <c r="E961" s="22"/>
      <c r="F961" s="22"/>
      <c r="G961" s="22"/>
      <c r="H961" s="22"/>
      <c r="I961" s="22"/>
      <c r="J961" s="22"/>
      <c r="K961" s="314"/>
      <c r="L961" s="314"/>
      <c r="M961" s="92"/>
      <c r="N961" s="92"/>
      <c r="O961" s="3"/>
      <c r="P961" s="191"/>
      <c r="Q961" s="480"/>
      <c r="R961" s="480"/>
      <c r="S961" s="480"/>
      <c r="T961" s="480"/>
      <c r="U961" s="480"/>
      <c r="V961" s="480"/>
      <c r="W961" s="480"/>
      <c r="X961" s="480"/>
      <c r="Y961" s="480"/>
    </row>
    <row r="962" spans="1:25" s="1124" customFormat="1" ht="15">
      <c r="A962" s="1311"/>
      <c r="B962" s="1311"/>
      <c r="C962" s="1311"/>
      <c r="D962" s="1311"/>
      <c r="E962" s="1311"/>
      <c r="F962" s="1311"/>
      <c r="G962" s="1311"/>
      <c r="H962" s="1311"/>
      <c r="I962" s="1311"/>
      <c r="J962" s="1311"/>
      <c r="K962" s="1311"/>
      <c r="L962" s="1311"/>
      <c r="M962" s="1122"/>
      <c r="N962" s="1122"/>
      <c r="O962" s="1123"/>
      <c r="P962" s="1123"/>
      <c r="Q962" s="1123"/>
      <c r="R962" s="1123"/>
      <c r="S962" s="1123"/>
      <c r="T962" s="1123"/>
      <c r="U962" s="1123"/>
      <c r="V962" s="1123"/>
      <c r="W962" s="1123"/>
      <c r="X962" s="1123"/>
      <c r="Y962" s="1123"/>
    </row>
    <row r="963" spans="1:25" s="479" customFormat="1" ht="17.25" customHeight="1" thickBot="1">
      <c r="A963" s="72"/>
      <c r="B963" s="32"/>
      <c r="C963" s="32"/>
      <c r="D963" s="32"/>
      <c r="E963" s="32"/>
      <c r="F963" s="32"/>
      <c r="G963" s="32"/>
      <c r="H963" s="32"/>
      <c r="I963" s="32"/>
      <c r="J963" s="32"/>
      <c r="K963" s="314"/>
      <c r="L963" s="314"/>
      <c r="M963" s="92"/>
      <c r="N963" s="92"/>
      <c r="O963" s="3"/>
      <c r="P963" s="191"/>
      <c r="Q963" s="480"/>
      <c r="R963" s="480"/>
      <c r="S963" s="480"/>
      <c r="T963" s="480"/>
      <c r="U963" s="480"/>
      <c r="V963" s="480"/>
      <c r="W963" s="480"/>
      <c r="X963" s="480"/>
      <c r="Y963" s="480"/>
    </row>
    <row r="964" spans="1:41" s="672" customFormat="1" ht="21" customHeight="1" thickTop="1">
      <c r="A964" s="746" t="s">
        <v>43</v>
      </c>
      <c r="B964" s="814" t="s">
        <v>961</v>
      </c>
      <c r="C964" s="747" t="s">
        <v>884</v>
      </c>
      <c r="D964" s="748"/>
      <c r="E964" s="749" t="s">
        <v>911</v>
      </c>
      <c r="F964" s="750"/>
      <c r="G964" s="749" t="s">
        <v>912</v>
      </c>
      <c r="H964" s="750"/>
      <c r="I964" s="1273" t="s">
        <v>881</v>
      </c>
      <c r="J964" s="1274"/>
      <c r="K964" s="1273" t="s">
        <v>882</v>
      </c>
      <c r="L964" s="1274"/>
      <c r="M964" s="827"/>
      <c r="N964" s="827"/>
      <c r="O964" s="331"/>
      <c r="P964" s="331"/>
      <c r="Q964" s="331"/>
      <c r="R964" s="331"/>
      <c r="S964" s="331"/>
      <c r="T964" s="331"/>
      <c r="U964" s="331"/>
      <c r="V964" s="331"/>
      <c r="W964" s="331"/>
      <c r="X964" s="331"/>
      <c r="Y964" s="331"/>
      <c r="Z964" s="331"/>
      <c r="AA964" s="331"/>
      <c r="AB964" s="331"/>
      <c r="AC964" s="331"/>
      <c r="AD964" s="331"/>
      <c r="AE964" s="331"/>
      <c r="AF964" s="331"/>
      <c r="AG964" s="331"/>
      <c r="AH964" s="331"/>
      <c r="AI964" s="331"/>
      <c r="AJ964" s="331"/>
      <c r="AK964" s="331"/>
      <c r="AL964" s="331"/>
      <c r="AM964" s="331"/>
      <c r="AN964" s="331"/>
      <c r="AO964" s="331"/>
    </row>
    <row r="965" spans="1:25" s="479" customFormat="1" ht="17.25" customHeight="1">
      <c r="A965" s="223" t="s">
        <v>583</v>
      </c>
      <c r="B965" s="249" t="s">
        <v>44</v>
      </c>
      <c r="C965" s="1266">
        <f>CEILING(50*$Z$1,0.1)</f>
        <v>62.5</v>
      </c>
      <c r="D965" s="1267"/>
      <c r="E965" s="1266">
        <f>CEILING(88*$Z$1,0.1)</f>
        <v>110</v>
      </c>
      <c r="F965" s="1267"/>
      <c r="G965" s="1266">
        <f>CEILING(62*$Z$1,0.1)</f>
        <v>77.5</v>
      </c>
      <c r="H965" s="1267"/>
      <c r="I965" s="1266">
        <f>CEILING(66*$Z$1,0.1)</f>
        <v>82.5</v>
      </c>
      <c r="J965" s="1267"/>
      <c r="K965" s="1266">
        <f>CEILING(50*$Z$1,0.1)</f>
        <v>62.5</v>
      </c>
      <c r="L965" s="1267"/>
      <c r="M965" s="92"/>
      <c r="N965" s="92"/>
      <c r="O965" s="3"/>
      <c r="P965" s="191"/>
      <c r="Q965" s="480"/>
      <c r="R965" s="480"/>
      <c r="S965" s="480"/>
      <c r="T965" s="480"/>
      <c r="U965" s="480"/>
      <c r="V965" s="480"/>
      <c r="W965" s="480"/>
      <c r="X965" s="480"/>
      <c r="Y965" s="480"/>
    </row>
    <row r="966" spans="1:25" s="479" customFormat="1" ht="17.25" customHeight="1">
      <c r="A966" s="182" t="s">
        <v>45</v>
      </c>
      <c r="B966" s="68" t="s">
        <v>46</v>
      </c>
      <c r="C966" s="1268">
        <f>CEILING((C965+25*$Z$1),0.1)</f>
        <v>93.80000000000001</v>
      </c>
      <c r="D966" s="1270"/>
      <c r="E966" s="1268">
        <f>CEILING((E965+25*$Z$1),0.1)</f>
        <v>141.3</v>
      </c>
      <c r="F966" s="1270"/>
      <c r="G966" s="1268">
        <f>CEILING((G965+25*$Z$1),0.1)</f>
        <v>108.80000000000001</v>
      </c>
      <c r="H966" s="1270"/>
      <c r="I966" s="1268">
        <f>CEILING((I965+25*$Z$1),0.1)</f>
        <v>113.80000000000001</v>
      </c>
      <c r="J966" s="1270"/>
      <c r="K966" s="1268">
        <f>CEILING((K965+25*$Z$1),0.1)</f>
        <v>93.80000000000001</v>
      </c>
      <c r="L966" s="1270"/>
      <c r="M966" s="92"/>
      <c r="N966" s="92"/>
      <c r="O966" s="3"/>
      <c r="P966" s="191"/>
      <c r="Q966" s="480"/>
      <c r="R966" s="480"/>
      <c r="S966" s="480"/>
      <c r="T966" s="480"/>
      <c r="U966" s="480"/>
      <c r="V966" s="480"/>
      <c r="W966" s="480"/>
      <c r="X966" s="480"/>
      <c r="Y966" s="480"/>
    </row>
    <row r="967" spans="1:25" s="479" customFormat="1" ht="17.25" customHeight="1">
      <c r="A967" s="182"/>
      <c r="B967" s="26" t="s">
        <v>79</v>
      </c>
      <c r="C967" s="1268">
        <f>CEILING((C965*0.85),0.1)</f>
        <v>53.2</v>
      </c>
      <c r="D967" s="1270"/>
      <c r="E967" s="1268">
        <f>CEILING((E965*0.85),0.1)</f>
        <v>93.5</v>
      </c>
      <c r="F967" s="1270"/>
      <c r="G967" s="1268">
        <f>CEILING((G965*0.85),0.1)</f>
        <v>65.9</v>
      </c>
      <c r="H967" s="1270"/>
      <c r="I967" s="1268">
        <f>CEILING((I965*0.85),0.1)</f>
        <v>70.2</v>
      </c>
      <c r="J967" s="1270"/>
      <c r="K967" s="1268">
        <f>CEILING((K965*0.85),0.1)</f>
        <v>53.2</v>
      </c>
      <c r="L967" s="1270"/>
      <c r="M967" s="92"/>
      <c r="N967" s="92"/>
      <c r="O967" s="3"/>
      <c r="P967" s="191"/>
      <c r="Q967" s="480"/>
      <c r="R967" s="480"/>
      <c r="S967" s="480"/>
      <c r="T967" s="480"/>
      <c r="U967" s="480"/>
      <c r="V967" s="480"/>
      <c r="W967" s="480"/>
      <c r="X967" s="480"/>
      <c r="Y967" s="480"/>
    </row>
    <row r="968" spans="1:25" s="479" customFormat="1" ht="17.25" customHeight="1">
      <c r="A968" s="645"/>
      <c r="B968" s="147" t="s">
        <v>78</v>
      </c>
      <c r="C968" s="1268">
        <f>CEILING((C965*0.5),0.1)</f>
        <v>31.3</v>
      </c>
      <c r="D968" s="1270"/>
      <c r="E968" s="1268">
        <f>CEILING((E965*0.5),0.1)</f>
        <v>55</v>
      </c>
      <c r="F968" s="1270"/>
      <c r="G968" s="1268">
        <f>CEILING((G965*0.5),0.1)</f>
        <v>38.800000000000004</v>
      </c>
      <c r="H968" s="1270"/>
      <c r="I968" s="1268">
        <f>CEILING((I965*0.5),0.1)</f>
        <v>41.300000000000004</v>
      </c>
      <c r="J968" s="1270"/>
      <c r="K968" s="1268">
        <f>CEILING((K965*0),0.1)</f>
        <v>0</v>
      </c>
      <c r="L968" s="1270"/>
      <c r="M968" s="92"/>
      <c r="N968" s="92"/>
      <c r="O968" s="3"/>
      <c r="P968" s="191"/>
      <c r="Q968" s="480"/>
      <c r="R968" s="480"/>
      <c r="S968" s="480"/>
      <c r="T968" s="480"/>
      <c r="U968" s="480"/>
      <c r="V968" s="480"/>
      <c r="W968" s="480"/>
      <c r="X968" s="480"/>
      <c r="Y968" s="480"/>
    </row>
    <row r="969" spans="1:25" s="479" customFormat="1" ht="17.25" customHeight="1">
      <c r="A969" s="182"/>
      <c r="B969" s="11" t="s">
        <v>584</v>
      </c>
      <c r="C969" s="1268">
        <f>CEILING(58*$Z$1,0.1)</f>
        <v>72.5</v>
      </c>
      <c r="D969" s="1270"/>
      <c r="E969" s="1268">
        <f>CEILING(96*$Z$1,0.1)</f>
        <v>120</v>
      </c>
      <c r="F969" s="1270"/>
      <c r="G969" s="1268">
        <f>CEILING(70*$Z$1,0.1)</f>
        <v>87.5</v>
      </c>
      <c r="H969" s="1270"/>
      <c r="I969" s="1268">
        <f>CEILING(74*$Z$1,0.1)</f>
        <v>92.5</v>
      </c>
      <c r="J969" s="1270"/>
      <c r="K969" s="1268">
        <f>CEILING(58*$Z$1,0.1)</f>
        <v>72.5</v>
      </c>
      <c r="L969" s="1270"/>
      <c r="M969" s="92"/>
      <c r="N969" s="92"/>
      <c r="O969" s="3"/>
      <c r="P969" s="191"/>
      <c r="Q969" s="480"/>
      <c r="R969" s="480"/>
      <c r="S969" s="480"/>
      <c r="T969" s="480"/>
      <c r="U969" s="480"/>
      <c r="V969" s="480"/>
      <c r="W969" s="480"/>
      <c r="X969" s="480"/>
      <c r="Y969" s="480"/>
    </row>
    <row r="970" spans="1:25" s="479" customFormat="1" ht="17.25" customHeight="1">
      <c r="A970" s="182"/>
      <c r="B970" s="11" t="s">
        <v>999</v>
      </c>
      <c r="C970" s="1268">
        <f>CEILING(75*$Z$1,0.1)</f>
        <v>93.80000000000001</v>
      </c>
      <c r="D970" s="1270"/>
      <c r="E970" s="1268">
        <f>CEILING(113*$Z$1,0.1)</f>
        <v>141.3</v>
      </c>
      <c r="F970" s="1270"/>
      <c r="G970" s="1268">
        <f>CEILING(87*$Z$1,0.1)</f>
        <v>108.80000000000001</v>
      </c>
      <c r="H970" s="1270"/>
      <c r="I970" s="1268">
        <f>CEILING(91*$Z$1,0.1)</f>
        <v>113.80000000000001</v>
      </c>
      <c r="J970" s="1270"/>
      <c r="K970" s="1268">
        <f>CEILING(75*$Z$1,0.1)</f>
        <v>93.80000000000001</v>
      </c>
      <c r="L970" s="1270"/>
      <c r="M970" s="92"/>
      <c r="N970" s="92"/>
      <c r="O970" s="3"/>
      <c r="P970" s="191"/>
      <c r="Q970" s="480"/>
      <c r="R970" s="480"/>
      <c r="S970" s="480"/>
      <c r="T970" s="480"/>
      <c r="U970" s="480"/>
      <c r="V970" s="480"/>
      <c r="W970" s="480"/>
      <c r="X970" s="480"/>
      <c r="Y970" s="480"/>
    </row>
    <row r="971" spans="1:25" s="479" customFormat="1" ht="17.25" customHeight="1" thickBot="1">
      <c r="A971" s="160" t="s">
        <v>435</v>
      </c>
      <c r="B971" s="115" t="s">
        <v>1000</v>
      </c>
      <c r="C971" s="1275">
        <f>CEILING(65*$Z$1,0.1)</f>
        <v>81.30000000000001</v>
      </c>
      <c r="D971" s="1277"/>
      <c r="E971" s="1275">
        <f>CEILING(103*$Z$1,0.1)</f>
        <v>128.8</v>
      </c>
      <c r="F971" s="1277"/>
      <c r="G971" s="1275">
        <f>CEILING(77*$Z$1,0.1)</f>
        <v>96.30000000000001</v>
      </c>
      <c r="H971" s="1277"/>
      <c r="I971" s="1275">
        <f>CEILING(81*$Z$1,0.1)</f>
        <v>101.30000000000001</v>
      </c>
      <c r="J971" s="1277"/>
      <c r="K971" s="1275">
        <f>CEILING(65*$Z$1,0.1)</f>
        <v>81.30000000000001</v>
      </c>
      <c r="L971" s="1277"/>
      <c r="M971" s="92"/>
      <c r="N971" s="92"/>
      <c r="O971" s="3"/>
      <c r="P971" s="191"/>
      <c r="Q971" s="480"/>
      <c r="R971" s="480"/>
      <c r="S971" s="480"/>
      <c r="T971" s="480"/>
      <c r="U971" s="480"/>
      <c r="V971" s="480"/>
      <c r="W971" s="480"/>
      <c r="X971" s="480"/>
      <c r="Y971" s="480"/>
    </row>
    <row r="972" spans="1:25" s="479" customFormat="1" ht="17.25" customHeight="1" thickTop="1">
      <c r="A972" s="107" t="s">
        <v>585</v>
      </c>
      <c r="B972" s="44"/>
      <c r="C972" s="508"/>
      <c r="D972" s="508"/>
      <c r="E972" s="508"/>
      <c r="F972" s="508"/>
      <c r="G972" s="508"/>
      <c r="H972" s="508"/>
      <c r="I972" s="508"/>
      <c r="J972" s="508"/>
      <c r="K972" s="314"/>
      <c r="L972" s="314"/>
      <c r="M972" s="92"/>
      <c r="N972" s="92"/>
      <c r="O972" s="3"/>
      <c r="P972" s="191"/>
      <c r="Q972" s="480"/>
      <c r="R972" s="480"/>
      <c r="S972" s="480"/>
      <c r="T972" s="480"/>
      <c r="U972" s="480"/>
      <c r="V972" s="480"/>
      <c r="W972" s="480"/>
      <c r="X972" s="480"/>
      <c r="Y972" s="480"/>
    </row>
    <row r="973" spans="1:25" s="479" customFormat="1" ht="18" customHeight="1">
      <c r="A973" s="172"/>
      <c r="B973" s="838"/>
      <c r="C973" s="22"/>
      <c r="D973" s="22"/>
      <c r="E973" s="22"/>
      <c r="F973" s="22"/>
      <c r="G973" s="22"/>
      <c r="H973" s="22"/>
      <c r="I973" s="22"/>
      <c r="J973" s="22"/>
      <c r="K973" s="166"/>
      <c r="L973" s="166"/>
      <c r="M973" s="3"/>
      <c r="N973" s="3"/>
      <c r="O973" s="480"/>
      <c r="P973" s="480"/>
      <c r="Q973" s="480"/>
      <c r="R973" s="480"/>
      <c r="S973" s="480"/>
      <c r="T973" s="480"/>
      <c r="U973" s="480"/>
      <c r="V973" s="480"/>
      <c r="W973" s="480"/>
      <c r="X973" s="480"/>
      <c r="Y973" s="480"/>
    </row>
    <row r="974" spans="1:25" s="479" customFormat="1" ht="24" customHeight="1" hidden="1" thickBot="1">
      <c r="A974" s="71" t="s">
        <v>43</v>
      </c>
      <c r="B974" s="71"/>
      <c r="C974" s="1512" t="s">
        <v>477</v>
      </c>
      <c r="D974" s="1513"/>
      <c r="E974" s="1321" t="s">
        <v>597</v>
      </c>
      <c r="F974" s="1322"/>
      <c r="G974" s="1319" t="s">
        <v>598</v>
      </c>
      <c r="H974" s="1320"/>
      <c r="I974" s="1319" t="s">
        <v>481</v>
      </c>
      <c r="J974" s="1320"/>
      <c r="K974" s="1319" t="s">
        <v>599</v>
      </c>
      <c r="L974" s="1320"/>
      <c r="M974" s="511"/>
      <c r="N974" s="92"/>
      <c r="O974" s="3"/>
      <c r="P974" s="191"/>
      <c r="Q974" s="480"/>
      <c r="R974" s="480"/>
      <c r="S974" s="480"/>
      <c r="T974" s="480"/>
      <c r="U974" s="480"/>
      <c r="V974" s="480"/>
      <c r="W974" s="480"/>
      <c r="X974" s="480"/>
      <c r="Y974" s="480"/>
    </row>
    <row r="975" spans="1:25" s="479" customFormat="1" ht="17.25" customHeight="1" hidden="1" thickTop="1">
      <c r="A975" s="106" t="s">
        <v>602</v>
      </c>
      <c r="B975" s="77" t="s">
        <v>76</v>
      </c>
      <c r="C975" s="1266">
        <f>CEILING(80*$Z$1,0.1)</f>
        <v>100</v>
      </c>
      <c r="D975" s="1267"/>
      <c r="E975" s="1266">
        <f>CEILING(105*$Z$1,0.1)</f>
        <v>131.3</v>
      </c>
      <c r="F975" s="1267"/>
      <c r="G975" s="1266">
        <f>CEILING(110*$Z$1,0.1)</f>
        <v>137.5</v>
      </c>
      <c r="H975" s="1267"/>
      <c r="I975" s="1266">
        <f>CEILING(85*$Z$1,0.1)</f>
        <v>106.30000000000001</v>
      </c>
      <c r="J975" s="1267"/>
      <c r="K975" s="1266">
        <f>CEILING(90*$Z$1,0.1)</f>
        <v>112.5</v>
      </c>
      <c r="L975" s="1267"/>
      <c r="M975" s="511"/>
      <c r="N975" s="92"/>
      <c r="O975" s="3"/>
      <c r="P975" s="191"/>
      <c r="Q975" s="480"/>
      <c r="R975" s="480"/>
      <c r="S975" s="480"/>
      <c r="T975" s="480"/>
      <c r="U975" s="480"/>
      <c r="V975" s="480"/>
      <c r="W975" s="480"/>
      <c r="X975" s="480"/>
      <c r="Y975" s="480"/>
    </row>
    <row r="976" spans="1:25" s="479" customFormat="1" ht="17.25" customHeight="1" hidden="1">
      <c r="A976" s="47" t="s">
        <v>45</v>
      </c>
      <c r="B976" s="29" t="s">
        <v>77</v>
      </c>
      <c r="C976" s="1268">
        <f>CEILING(115*$Z$1,0.1)</f>
        <v>143.8</v>
      </c>
      <c r="D976" s="1270"/>
      <c r="E976" s="1268">
        <f>CEILING(140*$Z$1,0.1)</f>
        <v>175</v>
      </c>
      <c r="F976" s="1270"/>
      <c r="G976" s="1268">
        <f>CEILING(145*$Z$1,0.1)</f>
        <v>181.3</v>
      </c>
      <c r="H976" s="1270"/>
      <c r="I976" s="1268">
        <f>CEILING(120*$Z$1,0.1)</f>
        <v>150</v>
      </c>
      <c r="J976" s="1270"/>
      <c r="K976" s="1268">
        <f>CEILING(125*$Z$1,0.1)</f>
        <v>156.3</v>
      </c>
      <c r="L976" s="1270"/>
      <c r="M976" s="511"/>
      <c r="N976" s="92"/>
      <c r="O976" s="3"/>
      <c r="P976" s="191"/>
      <c r="Q976" s="480"/>
      <c r="R976" s="480"/>
      <c r="S976" s="480"/>
      <c r="T976" s="480"/>
      <c r="U976" s="480"/>
      <c r="V976" s="480"/>
      <c r="W976" s="480"/>
      <c r="X976" s="480"/>
      <c r="Y976" s="480"/>
    </row>
    <row r="977" spans="1:25" s="479" customFormat="1" ht="17.25" customHeight="1" hidden="1">
      <c r="A977" s="47"/>
      <c r="B977" s="147" t="s">
        <v>78</v>
      </c>
      <c r="C977" s="1323">
        <v>0</v>
      </c>
      <c r="D977" s="1324"/>
      <c r="E977" s="1268">
        <f>CEILING(55*$Z$1,0.1)</f>
        <v>68.8</v>
      </c>
      <c r="F977" s="1270"/>
      <c r="G977" s="1268">
        <f>CEILING(55*$Z$1,0.1)</f>
        <v>68.8</v>
      </c>
      <c r="H977" s="1270"/>
      <c r="I977" s="1323">
        <v>0</v>
      </c>
      <c r="J977" s="1324"/>
      <c r="K977" s="1268">
        <f>CEILING(45*$Z$1,0.1)</f>
        <v>56.300000000000004</v>
      </c>
      <c r="L977" s="1270"/>
      <c r="M977" s="92"/>
      <c r="N977" s="92"/>
      <c r="O977" s="3"/>
      <c r="P977" s="191"/>
      <c r="Q977" s="480"/>
      <c r="R977" s="480"/>
      <c r="S977" s="480"/>
      <c r="T977" s="480"/>
      <c r="U977" s="480"/>
      <c r="V977" s="480"/>
      <c r="W977" s="480"/>
      <c r="X977" s="480"/>
      <c r="Y977" s="480"/>
    </row>
    <row r="978" spans="1:25" s="479" customFormat="1" ht="17.25" customHeight="1" hidden="1">
      <c r="A978" s="90"/>
      <c r="B978" s="142" t="s">
        <v>600</v>
      </c>
      <c r="C978" s="1268">
        <f>CEILING(87*$Z$1,0.1)</f>
        <v>108.80000000000001</v>
      </c>
      <c r="D978" s="1270"/>
      <c r="E978" s="1268">
        <f>CEILING(115*$Z$1,0.1)</f>
        <v>143.8</v>
      </c>
      <c r="F978" s="1270"/>
      <c r="G978" s="1268">
        <f>CEILING(120*$Z$1,0.1)</f>
        <v>150</v>
      </c>
      <c r="H978" s="1270"/>
      <c r="I978" s="1268">
        <f>CEILING(95*$Z$1,0.1)</f>
        <v>118.80000000000001</v>
      </c>
      <c r="J978" s="1270"/>
      <c r="K978" s="1268">
        <f>CEILING(100*$Z$1,0.1)</f>
        <v>125</v>
      </c>
      <c r="L978" s="1270"/>
      <c r="M978" s="92"/>
      <c r="N978" s="92"/>
      <c r="O978" s="3"/>
      <c r="P978" s="191"/>
      <c r="Q978" s="480"/>
      <c r="R978" s="480"/>
      <c r="S978" s="480"/>
      <c r="T978" s="480"/>
      <c r="U978" s="480"/>
      <c r="V978" s="480"/>
      <c r="W978" s="480"/>
      <c r="X978" s="480"/>
      <c r="Y978" s="480"/>
    </row>
    <row r="979" spans="1:25" s="479" customFormat="1" ht="17.25" customHeight="1" hidden="1">
      <c r="A979" s="105" t="s">
        <v>596</v>
      </c>
      <c r="B979" s="504" t="s">
        <v>601</v>
      </c>
      <c r="C979" s="1275">
        <f>CEILING(125*$Z$1,0.1)</f>
        <v>156.3</v>
      </c>
      <c r="D979" s="1277"/>
      <c r="E979" s="1275">
        <f>CEILING(150*$Z$1,0.1)</f>
        <v>187.5</v>
      </c>
      <c r="F979" s="1277"/>
      <c r="G979" s="1275">
        <f>CEILING(155*$Z$1,0.1)</f>
        <v>193.8</v>
      </c>
      <c r="H979" s="1277"/>
      <c r="I979" s="1275">
        <f>CEILING(130*$Z$1,0.1)</f>
        <v>162.5</v>
      </c>
      <c r="J979" s="1277"/>
      <c r="K979" s="1275">
        <f>CEILING(135*$Z$1,0.1)</f>
        <v>168.8</v>
      </c>
      <c r="L979" s="1277"/>
      <c r="M979" s="92"/>
      <c r="N979" s="92"/>
      <c r="O979" s="3"/>
      <c r="P979" s="191"/>
      <c r="Q979" s="480"/>
      <c r="R979" s="480"/>
      <c r="S979" s="480"/>
      <c r="T979" s="480"/>
      <c r="U979" s="480"/>
      <c r="V979" s="480"/>
      <c r="W979" s="480"/>
      <c r="X979" s="480"/>
      <c r="Y979" s="480"/>
    </row>
    <row r="980" spans="1:25" s="479" customFormat="1" ht="17.25" customHeight="1" hidden="1">
      <c r="A980" s="1318" t="s">
        <v>604</v>
      </c>
      <c r="B980" s="1318"/>
      <c r="C980" s="1318"/>
      <c r="D980" s="1318"/>
      <c r="E980" s="1318"/>
      <c r="F980" s="1318"/>
      <c r="G980" s="1318"/>
      <c r="H980" s="1318"/>
      <c r="I980" s="1318"/>
      <c r="J980" s="1318"/>
      <c r="K980" s="314"/>
      <c r="L980" s="314"/>
      <c r="M980" s="92"/>
      <c r="N980" s="92"/>
      <c r="O980" s="3"/>
      <c r="P980" s="191"/>
      <c r="Q980" s="480"/>
      <c r="R980" s="480"/>
      <c r="S980" s="480"/>
      <c r="T980" s="480"/>
      <c r="U980" s="480"/>
      <c r="V980" s="480"/>
      <c r="W980" s="480"/>
      <c r="X980" s="480"/>
      <c r="Y980" s="480"/>
    </row>
    <row r="981" spans="1:25" s="479" customFormat="1" ht="17.25" customHeight="1" hidden="1">
      <c r="A981" s="75" t="s">
        <v>603</v>
      </c>
      <c r="B981" s="22"/>
      <c r="C981" s="22"/>
      <c r="D981" s="22"/>
      <c r="E981" s="22"/>
      <c r="F981" s="22"/>
      <c r="G981" s="22"/>
      <c r="H981" s="22"/>
      <c r="I981" s="22"/>
      <c r="J981" s="22"/>
      <c r="K981" s="314"/>
      <c r="L981" s="314"/>
      <c r="M981" s="92"/>
      <c r="N981" s="92"/>
      <c r="O981" s="3"/>
      <c r="P981" s="191"/>
      <c r="Q981" s="480"/>
      <c r="R981" s="480"/>
      <c r="S981" s="480"/>
      <c r="T981" s="480"/>
      <c r="U981" s="480"/>
      <c r="V981" s="480"/>
      <c r="W981" s="480"/>
      <c r="X981" s="480"/>
      <c r="Y981" s="480"/>
    </row>
    <row r="982" spans="1:25" s="192" customFormat="1" ht="15">
      <c r="A982" s="1311"/>
      <c r="B982" s="1311"/>
      <c r="C982" s="1311"/>
      <c r="D982" s="1311"/>
      <c r="E982" s="1311"/>
      <c r="F982" s="1311"/>
      <c r="G982" s="1311"/>
      <c r="H982" s="1311"/>
      <c r="I982" s="1311"/>
      <c r="J982" s="1311"/>
      <c r="K982" s="1311"/>
      <c r="L982" s="1311"/>
      <c r="M982" s="20"/>
      <c r="N982" s="20"/>
      <c r="O982" s="481"/>
      <c r="P982" s="481"/>
      <c r="Q982" s="481"/>
      <c r="R982" s="481"/>
      <c r="S982" s="481"/>
      <c r="T982" s="481"/>
      <c r="U982" s="481"/>
      <c r="V982" s="481"/>
      <c r="W982" s="481"/>
      <c r="X982" s="481"/>
      <c r="Y982" s="481"/>
    </row>
    <row r="983" spans="1:25" s="479" customFormat="1" ht="16.5" customHeight="1" thickBot="1">
      <c r="A983" s="172"/>
      <c r="B983" s="44"/>
      <c r="C983" s="490"/>
      <c r="D983" s="490"/>
      <c r="E983" s="490"/>
      <c r="F983" s="490"/>
      <c r="G983" s="490"/>
      <c r="H983" s="490"/>
      <c r="I983" s="490"/>
      <c r="J983" s="490"/>
      <c r="K983" s="279"/>
      <c r="L983" s="279"/>
      <c r="M983" s="16"/>
      <c r="N983" s="158"/>
      <c r="O983" s="480"/>
      <c r="P983" s="480"/>
      <c r="Q983" s="480"/>
      <c r="R983" s="480"/>
      <c r="S983" s="480"/>
      <c r="T983" s="480"/>
      <c r="U983" s="480"/>
      <c r="V983" s="480"/>
      <c r="W983" s="480"/>
      <c r="X983" s="480"/>
      <c r="Y983" s="480"/>
    </row>
    <row r="984" spans="1:41" s="672" customFormat="1" ht="21" customHeight="1" thickTop="1">
      <c r="A984" s="746" t="s">
        <v>43</v>
      </c>
      <c r="B984" s="814" t="s">
        <v>961</v>
      </c>
      <c r="C984" s="747" t="s">
        <v>884</v>
      </c>
      <c r="D984" s="748"/>
      <c r="E984" s="749" t="s">
        <v>911</v>
      </c>
      <c r="F984" s="750"/>
      <c r="G984" s="749" t="s">
        <v>912</v>
      </c>
      <c r="H984" s="750"/>
      <c r="I984" s="1273" t="s">
        <v>881</v>
      </c>
      <c r="J984" s="1274"/>
      <c r="K984" s="1273" t="s">
        <v>882</v>
      </c>
      <c r="L984" s="1274"/>
      <c r="M984" s="827"/>
      <c r="N984" s="827"/>
      <c r="O984" s="331"/>
      <c r="P984" s="331"/>
      <c r="Q984" s="331"/>
      <c r="R984" s="331"/>
      <c r="S984" s="331"/>
      <c r="T984" s="331"/>
      <c r="U984" s="331"/>
      <c r="V984" s="331"/>
      <c r="W984" s="331"/>
      <c r="X984" s="331"/>
      <c r="Y984" s="331"/>
      <c r="Z984" s="331"/>
      <c r="AA984" s="331"/>
      <c r="AB984" s="331"/>
      <c r="AC984" s="331"/>
      <c r="AD984" s="331"/>
      <c r="AE984" s="331"/>
      <c r="AF984" s="331"/>
      <c r="AG984" s="331"/>
      <c r="AH984" s="331"/>
      <c r="AI984" s="331"/>
      <c r="AJ984" s="331"/>
      <c r="AK984" s="331"/>
      <c r="AL984" s="331"/>
      <c r="AM984" s="331"/>
      <c r="AN984" s="331"/>
      <c r="AO984" s="331"/>
    </row>
    <row r="985" spans="1:14" ht="15" customHeight="1">
      <c r="A985" s="177" t="s">
        <v>476</v>
      </c>
      <c r="B985" s="246" t="s">
        <v>44</v>
      </c>
      <c r="C985" s="1266">
        <f>CEILING(46*$Z$1,0.1)</f>
        <v>57.5</v>
      </c>
      <c r="D985" s="1267"/>
      <c r="E985" s="1266">
        <f>CEILING(84*$Z$1,0.1)</f>
        <v>105</v>
      </c>
      <c r="F985" s="1326"/>
      <c r="G985" s="1266">
        <f>CEILING(58*$Z$1,0.1)</f>
        <v>72.5</v>
      </c>
      <c r="H985" s="1326"/>
      <c r="I985" s="1266">
        <f>CEILING(62*$Z$1,0.1)</f>
        <v>77.5</v>
      </c>
      <c r="J985" s="1326"/>
      <c r="K985" s="1266">
        <f>CEILING(46*$Z$1,0.1)</f>
        <v>57.5</v>
      </c>
      <c r="L985" s="1267"/>
      <c r="M985" s="16"/>
      <c r="N985" s="158"/>
    </row>
    <row r="986" spans="1:14" ht="15" customHeight="1">
      <c r="A986" s="47" t="s">
        <v>45</v>
      </c>
      <c r="B986" s="247" t="s">
        <v>46</v>
      </c>
      <c r="C986" s="1268">
        <f>CEILING((C985+25*$Z$1),0.1)</f>
        <v>88.80000000000001</v>
      </c>
      <c r="D986" s="1270"/>
      <c r="E986" s="1268">
        <f>CEILING((E985+25*$Z$1),0.1)</f>
        <v>136.3</v>
      </c>
      <c r="F986" s="1270"/>
      <c r="G986" s="1268">
        <f>CEILING((G985+25*$Z$1),0.1)</f>
        <v>103.80000000000001</v>
      </c>
      <c r="H986" s="1270"/>
      <c r="I986" s="1268">
        <f>CEILING((I985+25*$Z$1),0.1)</f>
        <v>108.80000000000001</v>
      </c>
      <c r="J986" s="1270"/>
      <c r="K986" s="1268">
        <f>CEILING((K985+25*$Z$1),0.1)</f>
        <v>88.80000000000001</v>
      </c>
      <c r="L986" s="1270"/>
      <c r="M986" s="16"/>
      <c r="N986" s="158"/>
    </row>
    <row r="987" spans="1:14" ht="15" customHeight="1">
      <c r="A987" s="645"/>
      <c r="B987" s="50" t="s">
        <v>79</v>
      </c>
      <c r="C987" s="1268">
        <f>CEILING((C985*0.85),0.1)</f>
        <v>48.900000000000006</v>
      </c>
      <c r="D987" s="1270"/>
      <c r="E987" s="1268">
        <f>CEILING((E985*0.85),0.1)</f>
        <v>89.30000000000001</v>
      </c>
      <c r="F987" s="1270"/>
      <c r="G987" s="1268">
        <f>CEILING((G985*0.85),0.1)</f>
        <v>61.7</v>
      </c>
      <c r="H987" s="1270"/>
      <c r="I987" s="1268">
        <f>CEILING((I985*0.85),0.1)</f>
        <v>65.9</v>
      </c>
      <c r="J987" s="1270"/>
      <c r="K987" s="1268">
        <f>CEILING((K985*0.85),0.1)</f>
        <v>48.900000000000006</v>
      </c>
      <c r="L987" s="1270"/>
      <c r="M987" s="16"/>
      <c r="N987" s="158"/>
    </row>
    <row r="988" spans="1:14" ht="15" customHeight="1">
      <c r="A988" s="168"/>
      <c r="B988" s="234" t="s">
        <v>78</v>
      </c>
      <c r="C988" s="1268">
        <f>CEILING((C985*0.5),0.1)</f>
        <v>28.8</v>
      </c>
      <c r="D988" s="1270"/>
      <c r="E988" s="1268">
        <f>CEILING((E985*0.5),0.1)</f>
        <v>52.5</v>
      </c>
      <c r="F988" s="1270"/>
      <c r="G988" s="1268">
        <f>CEILING((G985*0.5),0.1)</f>
        <v>36.300000000000004</v>
      </c>
      <c r="H988" s="1270"/>
      <c r="I988" s="1268">
        <f>CEILING((I985*0.5),0.1)</f>
        <v>38.800000000000004</v>
      </c>
      <c r="J988" s="1270"/>
      <c r="K988" s="1268">
        <f>CEILING((K985*0),0.1)</f>
        <v>0</v>
      </c>
      <c r="L988" s="1270"/>
      <c r="M988" s="16"/>
      <c r="N988" s="158"/>
    </row>
    <row r="989" spans="1:14" ht="15" customHeight="1">
      <c r="A989" s="580"/>
      <c r="B989" s="665" t="s">
        <v>213</v>
      </c>
      <c r="C989" s="1284">
        <f>CEILING(56*$Z$1,0.1)</f>
        <v>70</v>
      </c>
      <c r="D989" s="1285"/>
      <c r="E989" s="1284">
        <f>CEILING(94*$Z$1,0.1)</f>
        <v>117.5</v>
      </c>
      <c r="F989" s="1285"/>
      <c r="G989" s="1284">
        <f>CEILING(68*$Z$1,0.1)</f>
        <v>85</v>
      </c>
      <c r="H989" s="1285"/>
      <c r="I989" s="1284">
        <f>CEILING(72*$Z$1,0.1)</f>
        <v>90</v>
      </c>
      <c r="J989" s="1285"/>
      <c r="K989" s="1284">
        <f>CEILING(56*$Z$1,0.1)</f>
        <v>70</v>
      </c>
      <c r="L989" s="1285"/>
      <c r="M989" s="16"/>
      <c r="N989" s="158"/>
    </row>
    <row r="990" spans="1:25" s="479" customFormat="1" ht="18" customHeight="1">
      <c r="A990" s="172"/>
      <c r="B990" s="838"/>
      <c r="C990" s="22"/>
      <c r="D990" s="22"/>
      <c r="E990" s="22"/>
      <c r="F990" s="22"/>
      <c r="G990" s="22"/>
      <c r="H990" s="22"/>
      <c r="I990" s="22"/>
      <c r="J990" s="22"/>
      <c r="K990" s="166"/>
      <c r="L990" s="166"/>
      <c r="M990" s="3"/>
      <c r="N990" s="3"/>
      <c r="O990" s="480"/>
      <c r="P990" s="480"/>
      <c r="Q990" s="480"/>
      <c r="R990" s="480"/>
      <c r="S990" s="480"/>
      <c r="T990" s="480"/>
      <c r="U990" s="480"/>
      <c r="V990" s="480"/>
      <c r="W990" s="480"/>
      <c r="X990" s="480"/>
      <c r="Y990" s="480"/>
    </row>
    <row r="991" spans="1:25" s="1127" customFormat="1" ht="15">
      <c r="A991" s="1325"/>
      <c r="B991" s="1325"/>
      <c r="C991" s="1325"/>
      <c r="D991" s="1325"/>
      <c r="E991" s="1325"/>
      <c r="F991" s="1325"/>
      <c r="G991" s="1325"/>
      <c r="H991" s="1325"/>
      <c r="I991" s="1325"/>
      <c r="J991" s="1325"/>
      <c r="K991" s="1325"/>
      <c r="L991" s="1325"/>
      <c r="M991" s="1125"/>
      <c r="N991" s="1125"/>
      <c r="O991" s="1126"/>
      <c r="P991" s="1126"/>
      <c r="Q991" s="1126"/>
      <c r="R991" s="1126"/>
      <c r="S991" s="1126"/>
      <c r="T991" s="1126"/>
      <c r="U991" s="1126"/>
      <c r="V991" s="1126"/>
      <c r="W991" s="1126"/>
      <c r="X991" s="1126"/>
      <c r="Y991" s="1126"/>
    </row>
    <row r="992" spans="1:14" ht="15.75" customHeight="1" thickBot="1">
      <c r="A992" s="172"/>
      <c r="B992" s="148"/>
      <c r="C992" s="1566"/>
      <c r="D992" s="1566"/>
      <c r="E992" s="1498"/>
      <c r="F992" s="1498"/>
      <c r="G992" s="1498"/>
      <c r="H992" s="1498"/>
      <c r="I992" s="1498"/>
      <c r="J992" s="1498"/>
      <c r="K992" s="313"/>
      <c r="L992" s="313"/>
      <c r="M992" s="16"/>
      <c r="N992" s="158"/>
    </row>
    <row r="993" spans="1:41" s="672" customFormat="1" ht="21" customHeight="1" thickTop="1">
      <c r="A993" s="746" t="s">
        <v>43</v>
      </c>
      <c r="B993" s="814" t="s">
        <v>961</v>
      </c>
      <c r="C993" s="747" t="s">
        <v>884</v>
      </c>
      <c r="D993" s="748"/>
      <c r="E993" s="749" t="s">
        <v>911</v>
      </c>
      <c r="F993" s="750"/>
      <c r="G993" s="749" t="s">
        <v>912</v>
      </c>
      <c r="H993" s="750"/>
      <c r="I993" s="1273" t="s">
        <v>881</v>
      </c>
      <c r="J993" s="1274"/>
      <c r="K993" s="1273" t="s">
        <v>882</v>
      </c>
      <c r="L993" s="1274"/>
      <c r="M993" s="827"/>
      <c r="N993" s="827"/>
      <c r="O993" s="331"/>
      <c r="P993" s="331"/>
      <c r="Q993" s="331"/>
      <c r="R993" s="331"/>
      <c r="S993" s="331"/>
      <c r="T993" s="331"/>
      <c r="U993" s="331"/>
      <c r="V993" s="331"/>
      <c r="W993" s="331"/>
      <c r="X993" s="331"/>
      <c r="Y993" s="331"/>
      <c r="Z993" s="331"/>
      <c r="AA993" s="331"/>
      <c r="AB993" s="331"/>
      <c r="AC993" s="331"/>
      <c r="AD993" s="331"/>
      <c r="AE993" s="331"/>
      <c r="AF993" s="331"/>
      <c r="AG993" s="331"/>
      <c r="AH993" s="331"/>
      <c r="AI993" s="331"/>
      <c r="AJ993" s="331"/>
      <c r="AK993" s="331"/>
      <c r="AL993" s="331"/>
      <c r="AM993" s="331"/>
      <c r="AN993" s="331"/>
      <c r="AO993" s="331"/>
    </row>
    <row r="994" spans="1:25" s="479" customFormat="1" ht="17.25" customHeight="1">
      <c r="A994" s="223" t="s">
        <v>1</v>
      </c>
      <c r="B994" s="249" t="s">
        <v>942</v>
      </c>
      <c r="C994" s="1266">
        <f>CEILING(44*$Z$1,0.1)</f>
        <v>55</v>
      </c>
      <c r="D994" s="1267"/>
      <c r="E994" s="1266">
        <f>CEILING(60*$Z$1,0.1)</f>
        <v>75</v>
      </c>
      <c r="F994" s="1267"/>
      <c r="G994" s="1266">
        <f>CEILING(55*$Z$1,0.1)</f>
        <v>68.8</v>
      </c>
      <c r="H994" s="1267"/>
      <c r="I994" s="1266">
        <f>CEILING(58*$Z$1,0.1)</f>
        <v>72.5</v>
      </c>
      <c r="J994" s="1267"/>
      <c r="K994" s="1266">
        <f>CEILING(43*$Z$1,0.1)</f>
        <v>53.800000000000004</v>
      </c>
      <c r="L994" s="1267"/>
      <c r="M994" s="92"/>
      <c r="N994" s="92"/>
      <c r="O994" s="3"/>
      <c r="P994" s="191"/>
      <c r="Q994" s="480"/>
      <c r="R994" s="480"/>
      <c r="S994" s="480"/>
      <c r="T994" s="480"/>
      <c r="U994" s="480"/>
      <c r="V994" s="480"/>
      <c r="W994" s="480"/>
      <c r="X994" s="480"/>
      <c r="Y994" s="480"/>
    </row>
    <row r="995" spans="1:25" s="479" customFormat="1" ht="17.25" customHeight="1">
      <c r="A995" s="182" t="s">
        <v>59</v>
      </c>
      <c r="B995" s="68" t="s">
        <v>943</v>
      </c>
      <c r="C995" s="1268">
        <f>CEILING((C994+20*$Z$1),0.1)</f>
        <v>80</v>
      </c>
      <c r="D995" s="1270"/>
      <c r="E995" s="1268">
        <f>CEILING((E994+20*$Z$1),0.1)</f>
        <v>100</v>
      </c>
      <c r="F995" s="1270"/>
      <c r="G995" s="1268">
        <f>CEILING((G994+20*$Z$1),0.1)</f>
        <v>93.80000000000001</v>
      </c>
      <c r="H995" s="1270"/>
      <c r="I995" s="1268">
        <f>CEILING((I994+20*$Z$1),0.1)</f>
        <v>97.5</v>
      </c>
      <c r="J995" s="1270"/>
      <c r="K995" s="1268">
        <f>CEILING((K994+20*$Z$1),0.1)</f>
        <v>78.80000000000001</v>
      </c>
      <c r="L995" s="1270"/>
      <c r="M995" s="92"/>
      <c r="N995" s="92"/>
      <c r="O995" s="3"/>
      <c r="P995" s="191"/>
      <c r="Q995" s="480"/>
      <c r="R995" s="480"/>
      <c r="S995" s="480"/>
      <c r="T995" s="480"/>
      <c r="U995" s="480"/>
      <c r="V995" s="480"/>
      <c r="W995" s="480"/>
      <c r="X995" s="480"/>
      <c r="Y995" s="480"/>
    </row>
    <row r="996" spans="1:25" s="479" customFormat="1" ht="17.25" customHeight="1">
      <c r="A996" s="182"/>
      <c r="B996" s="26" t="s">
        <v>79</v>
      </c>
      <c r="C996" s="1268">
        <f>CEILING((C994*0.85),0.1)</f>
        <v>46.800000000000004</v>
      </c>
      <c r="D996" s="1270"/>
      <c r="E996" s="1268">
        <f>CEILING((E994*0.85),0.1)</f>
        <v>63.800000000000004</v>
      </c>
      <c r="F996" s="1270"/>
      <c r="G996" s="1268">
        <f>CEILING((G994*0.85),0.1)</f>
        <v>58.5</v>
      </c>
      <c r="H996" s="1270"/>
      <c r="I996" s="1268">
        <f>CEILING((I994*0.85),0.1)</f>
        <v>61.7</v>
      </c>
      <c r="J996" s="1270"/>
      <c r="K996" s="1268">
        <f>CEILING((K994*0.85),0.1)</f>
        <v>45.800000000000004</v>
      </c>
      <c r="L996" s="1270"/>
      <c r="M996" s="92"/>
      <c r="N996" s="92"/>
      <c r="O996" s="3"/>
      <c r="P996" s="191"/>
      <c r="Q996" s="480"/>
      <c r="R996" s="480"/>
      <c r="S996" s="480"/>
      <c r="T996" s="480"/>
      <c r="U996" s="480"/>
      <c r="V996" s="480"/>
      <c r="W996" s="480"/>
      <c r="X996" s="480"/>
      <c r="Y996" s="480"/>
    </row>
    <row r="997" spans="1:25" s="479" customFormat="1" ht="17.25" customHeight="1">
      <c r="A997" s="645"/>
      <c r="B997" s="147" t="s">
        <v>78</v>
      </c>
      <c r="C997" s="1268">
        <f>CEILING((C994*0.5),0.1)</f>
        <v>27.5</v>
      </c>
      <c r="D997" s="1270"/>
      <c r="E997" s="1268">
        <f>CEILING((E994*0.5),0.1)</f>
        <v>37.5</v>
      </c>
      <c r="F997" s="1270"/>
      <c r="G997" s="1268">
        <f>CEILING((G994*0.5),0.1)</f>
        <v>34.4</v>
      </c>
      <c r="H997" s="1270"/>
      <c r="I997" s="1268">
        <f>CEILING((I994*0.5),0.1)</f>
        <v>36.300000000000004</v>
      </c>
      <c r="J997" s="1270"/>
      <c r="K997" s="1268">
        <f>CEILING((K994*0),0.1)</f>
        <v>0</v>
      </c>
      <c r="L997" s="1270"/>
      <c r="M997" s="92"/>
      <c r="N997" s="92"/>
      <c r="O997" s="3"/>
      <c r="P997" s="191"/>
      <c r="Q997" s="480"/>
      <c r="R997" s="480"/>
      <c r="S997" s="480"/>
      <c r="T997" s="480"/>
      <c r="U997" s="480"/>
      <c r="V997" s="480"/>
      <c r="W997" s="480"/>
      <c r="X997" s="480"/>
      <c r="Y997" s="480"/>
    </row>
    <row r="998" spans="1:25" s="479" customFormat="1" ht="17.25" customHeight="1">
      <c r="A998" s="182"/>
      <c r="B998" s="11" t="s">
        <v>1001</v>
      </c>
      <c r="C998" s="1268">
        <f>CEILING(54*$Z$1,0.1)</f>
        <v>67.5</v>
      </c>
      <c r="D998" s="1270"/>
      <c r="E998" s="1268">
        <f>CEILING(70*$Z$1,0.1)</f>
        <v>87.5</v>
      </c>
      <c r="F998" s="1270"/>
      <c r="G998" s="1268">
        <f>CEILING(65*$Z$1,0.1)</f>
        <v>81.30000000000001</v>
      </c>
      <c r="H998" s="1270"/>
      <c r="I998" s="1268">
        <f>CEILING(68*$Z$1,0.1)</f>
        <v>85</v>
      </c>
      <c r="J998" s="1270"/>
      <c r="K998" s="1268">
        <f>CEILING(53*$Z$1,0.1)</f>
        <v>66.3</v>
      </c>
      <c r="L998" s="1270"/>
      <c r="M998" s="92"/>
      <c r="N998" s="92"/>
      <c r="O998" s="3"/>
      <c r="P998" s="191"/>
      <c r="Q998" s="480"/>
      <c r="R998" s="480"/>
      <c r="S998" s="480"/>
      <c r="T998" s="480"/>
      <c r="U998" s="480"/>
      <c r="V998" s="480"/>
      <c r="W998" s="480"/>
      <c r="X998" s="480"/>
      <c r="Y998" s="480"/>
    </row>
    <row r="999" spans="1:25" s="479" customFormat="1" ht="17.25" customHeight="1">
      <c r="A999" s="182"/>
      <c r="B999" s="11" t="s">
        <v>999</v>
      </c>
      <c r="C999" s="1268">
        <f>CEILING(69*$Z$1,0.1)</f>
        <v>86.30000000000001</v>
      </c>
      <c r="D999" s="1270"/>
      <c r="E999" s="1268">
        <f>CEILING(85*$Z$1,0.1)</f>
        <v>106.30000000000001</v>
      </c>
      <c r="F999" s="1270"/>
      <c r="G999" s="1268">
        <f>CEILING(80*$Z$1,0.1)</f>
        <v>100</v>
      </c>
      <c r="H999" s="1270"/>
      <c r="I999" s="1268">
        <f>CEILING(83*$Z$1,0.1)</f>
        <v>103.80000000000001</v>
      </c>
      <c r="J999" s="1270"/>
      <c r="K999" s="1268">
        <f>CEILING(68*$Z$1,0.1)</f>
        <v>85</v>
      </c>
      <c r="L999" s="1270"/>
      <c r="M999" s="92"/>
      <c r="N999" s="92"/>
      <c r="O999" s="3"/>
      <c r="P999" s="191"/>
      <c r="Q999" s="480"/>
      <c r="R999" s="480"/>
      <c r="S999" s="480"/>
      <c r="T999" s="480"/>
      <c r="U999" s="480"/>
      <c r="V999" s="480"/>
      <c r="W999" s="480"/>
      <c r="X999" s="480"/>
      <c r="Y999" s="480"/>
    </row>
    <row r="1000" spans="1:25" s="479" customFormat="1" ht="17.25" customHeight="1" thickBot="1">
      <c r="A1000" s="160" t="s">
        <v>435</v>
      </c>
      <c r="B1000" s="115" t="s">
        <v>1002</v>
      </c>
      <c r="C1000" s="1275">
        <f>CEILING(74*$Z$1,0.1)</f>
        <v>92.5</v>
      </c>
      <c r="D1000" s="1277"/>
      <c r="E1000" s="1275">
        <f>CEILING(90*$Z$1,0.1)</f>
        <v>112.5</v>
      </c>
      <c r="F1000" s="1277"/>
      <c r="G1000" s="1275">
        <f>CEILING(85*$Z$1,0.1)</f>
        <v>106.30000000000001</v>
      </c>
      <c r="H1000" s="1277"/>
      <c r="I1000" s="1275">
        <f>CEILING(88*$Z$1,0.1)</f>
        <v>110</v>
      </c>
      <c r="J1000" s="1277"/>
      <c r="K1000" s="1275">
        <f>CEILING(73*$Z$1,0.1)</f>
        <v>91.30000000000001</v>
      </c>
      <c r="L1000" s="1277"/>
      <c r="M1000" s="92"/>
      <c r="N1000" s="92"/>
      <c r="O1000" s="3"/>
      <c r="P1000" s="191"/>
      <c r="Q1000" s="480"/>
      <c r="R1000" s="480"/>
      <c r="S1000" s="480"/>
      <c r="T1000" s="480"/>
      <c r="U1000" s="480"/>
      <c r="V1000" s="480"/>
      <c r="W1000" s="480"/>
      <c r="X1000" s="480"/>
      <c r="Y1000" s="480"/>
    </row>
    <row r="1001" spans="1:25" s="479" customFormat="1" ht="18" customHeight="1" thickTop="1">
      <c r="A1001" s="172"/>
      <c r="B1001" s="838"/>
      <c r="C1001" s="22"/>
      <c r="D1001" s="22"/>
      <c r="E1001" s="22"/>
      <c r="F1001" s="22"/>
      <c r="G1001" s="22"/>
      <c r="H1001" s="22"/>
      <c r="I1001" s="22"/>
      <c r="J1001" s="22"/>
      <c r="K1001" s="166"/>
      <c r="L1001" s="166"/>
      <c r="M1001" s="3"/>
      <c r="N1001" s="3"/>
      <c r="O1001" s="480"/>
      <c r="P1001" s="480"/>
      <c r="Q1001" s="480"/>
      <c r="R1001" s="480"/>
      <c r="S1001" s="480"/>
      <c r="T1001" s="480"/>
      <c r="U1001" s="480"/>
      <c r="V1001" s="480"/>
      <c r="W1001" s="480"/>
      <c r="X1001" s="480"/>
      <c r="Y1001" s="480"/>
    </row>
    <row r="1002" spans="1:25" s="192" customFormat="1" ht="15">
      <c r="A1002" s="1311"/>
      <c r="B1002" s="1311"/>
      <c r="C1002" s="1311"/>
      <c r="D1002" s="1311"/>
      <c r="E1002" s="1311"/>
      <c r="F1002" s="1311"/>
      <c r="G1002" s="1311"/>
      <c r="H1002" s="1311"/>
      <c r="I1002" s="1311"/>
      <c r="J1002" s="1311"/>
      <c r="K1002" s="1311"/>
      <c r="L1002" s="1311"/>
      <c r="M1002" s="20"/>
      <c r="N1002" s="20"/>
      <c r="O1002" s="481"/>
      <c r="P1002" s="481"/>
      <c r="Q1002" s="481"/>
      <c r="R1002" s="481"/>
      <c r="S1002" s="481"/>
      <c r="T1002" s="481"/>
      <c r="U1002" s="481"/>
      <c r="V1002" s="481"/>
      <c r="W1002" s="481"/>
      <c r="X1002" s="481"/>
      <c r="Y1002" s="481"/>
    </row>
    <row r="1003" spans="1:25" s="479" customFormat="1" ht="15.75" customHeight="1">
      <c r="A1003" s="172"/>
      <c r="B1003" s="148"/>
      <c r="C1003" s="837"/>
      <c r="D1003" s="837"/>
      <c r="E1003" s="837"/>
      <c r="F1003" s="837"/>
      <c r="G1003" s="837"/>
      <c r="H1003" s="837"/>
      <c r="I1003" s="837"/>
      <c r="J1003" s="837"/>
      <c r="K1003" s="313"/>
      <c r="L1003" s="313"/>
      <c r="M1003" s="16"/>
      <c r="N1003" s="158"/>
      <c r="O1003" s="480"/>
      <c r="P1003" s="480"/>
      <c r="Q1003" s="480"/>
      <c r="R1003" s="480"/>
      <c r="S1003" s="480"/>
      <c r="T1003" s="480"/>
      <c r="U1003" s="480"/>
      <c r="V1003" s="480"/>
      <c r="W1003" s="480"/>
      <c r="X1003" s="480"/>
      <c r="Y1003" s="480"/>
    </row>
    <row r="1004" spans="1:25" s="192" customFormat="1" ht="23.25" customHeight="1" hidden="1" thickTop="1">
      <c r="A1004" s="1049" t="s">
        <v>43</v>
      </c>
      <c r="B1004" s="1050"/>
      <c r="C1004" s="1051" t="s">
        <v>552</v>
      </c>
      <c r="D1004" s="1051"/>
      <c r="E1004" s="1052" t="s">
        <v>565</v>
      </c>
      <c r="F1004" s="1052"/>
      <c r="G1004" s="1052" t="s">
        <v>554</v>
      </c>
      <c r="H1004" s="1052"/>
      <c r="I1004" s="1052" t="s">
        <v>566</v>
      </c>
      <c r="J1004" s="1052"/>
      <c r="K1004" s="1052" t="s">
        <v>567</v>
      </c>
      <c r="L1004" s="1052"/>
      <c r="M1004" s="20"/>
      <c r="N1004" s="234"/>
      <c r="O1004" s="481"/>
      <c r="P1004" s="481"/>
      <c r="Q1004" s="481"/>
      <c r="R1004" s="481"/>
      <c r="S1004" s="481"/>
      <c r="T1004" s="481"/>
      <c r="U1004" s="481"/>
      <c r="V1004" s="481"/>
      <c r="W1004" s="481"/>
      <c r="X1004" s="481"/>
      <c r="Y1004" s="481"/>
    </row>
    <row r="1005" spans="1:25" s="192" customFormat="1" ht="15" customHeight="1" hidden="1">
      <c r="A1005" s="921" t="s">
        <v>398</v>
      </c>
      <c r="B1005" s="148" t="s">
        <v>399</v>
      </c>
      <c r="C1005" s="1269">
        <f>CEILING(57*$Z$1,0.1)</f>
        <v>71.3</v>
      </c>
      <c r="D1005" s="1269"/>
      <c r="E1005" s="1269">
        <f>CEILING(80*$Z$1,0.1)</f>
        <v>100</v>
      </c>
      <c r="F1005" s="1269"/>
      <c r="G1005" s="1269">
        <f>CEILING(69*$Z$1,0.1)</f>
        <v>86.30000000000001</v>
      </c>
      <c r="H1005" s="1269"/>
      <c r="I1005" s="1269">
        <f>CEILING(70*$Z$1,0.1)</f>
        <v>87.5</v>
      </c>
      <c r="J1005" s="1269"/>
      <c r="K1005" s="1269">
        <f>CEILING(57*$Z$1,0.1)</f>
        <v>71.3</v>
      </c>
      <c r="L1005" s="1269"/>
      <c r="M1005" s="20"/>
      <c r="N1005" s="234"/>
      <c r="O1005" s="481"/>
      <c r="P1005" s="481"/>
      <c r="Q1005" s="481"/>
      <c r="R1005" s="481"/>
      <c r="S1005" s="481"/>
      <c r="T1005" s="481"/>
      <c r="U1005" s="481"/>
      <c r="V1005" s="481"/>
      <c r="W1005" s="481"/>
      <c r="X1005" s="481"/>
      <c r="Y1005" s="481"/>
    </row>
    <row r="1006" spans="1:25" s="192" customFormat="1" ht="15" customHeight="1" hidden="1">
      <c r="A1006" s="922" t="s">
        <v>45</v>
      </c>
      <c r="B1006" s="148" t="s">
        <v>400</v>
      </c>
      <c r="C1006" s="1269">
        <f>CEILING((C1005+20*$Z$1),0.1)</f>
        <v>96.30000000000001</v>
      </c>
      <c r="D1006" s="1269"/>
      <c r="E1006" s="1269">
        <f>CEILING((E1005+20*$Z$1),0.1)</f>
        <v>125</v>
      </c>
      <c r="F1006" s="1269"/>
      <c r="G1006" s="1269">
        <f>CEILING((G1005+20*$Z$1),0.1)</f>
        <v>111.30000000000001</v>
      </c>
      <c r="H1006" s="1269"/>
      <c r="I1006" s="1269">
        <f>CEILING((I1005+20*$Z$1),0.1)</f>
        <v>112.5</v>
      </c>
      <c r="J1006" s="1269"/>
      <c r="K1006" s="1269">
        <f>CEILING((K1005+20*$Z$1),0.1)</f>
        <v>96.30000000000001</v>
      </c>
      <c r="L1006" s="1269"/>
      <c r="M1006" s="20"/>
      <c r="N1006" s="234"/>
      <c r="O1006" s="481"/>
      <c r="P1006" s="481"/>
      <c r="Q1006" s="481"/>
      <c r="R1006" s="481"/>
      <c r="S1006" s="481"/>
      <c r="T1006" s="481"/>
      <c r="U1006" s="481"/>
      <c r="V1006" s="481"/>
      <c r="W1006" s="481"/>
      <c r="X1006" s="481"/>
      <c r="Y1006" s="481"/>
    </row>
    <row r="1007" spans="1:25" s="192" customFormat="1" ht="15" customHeight="1" hidden="1">
      <c r="A1007" s="274"/>
      <c r="B1007" s="1053" t="s">
        <v>47</v>
      </c>
      <c r="C1007" s="1269">
        <f>CEILING(48.45*$Z$1,0.1)</f>
        <v>60.6</v>
      </c>
      <c r="D1007" s="1269"/>
      <c r="E1007" s="1269">
        <f>CEILING(68*$Z$1,0.1)</f>
        <v>85</v>
      </c>
      <c r="F1007" s="1269"/>
      <c r="G1007" s="1269">
        <f>CEILING(58.65*$Z$1,0.1)</f>
        <v>73.4</v>
      </c>
      <c r="H1007" s="1269"/>
      <c r="I1007" s="1269">
        <f>CEILING(59.5*$Z$1,0.1)</f>
        <v>74.4</v>
      </c>
      <c r="J1007" s="1269"/>
      <c r="K1007" s="1269">
        <f>CEILING(48.45*$Z$1,0.1)</f>
        <v>60.6</v>
      </c>
      <c r="L1007" s="1269"/>
      <c r="M1007" s="20"/>
      <c r="N1007" s="234"/>
      <c r="O1007" s="481"/>
      <c r="P1007" s="481"/>
      <c r="Q1007" s="481"/>
      <c r="R1007" s="481"/>
      <c r="S1007" s="481"/>
      <c r="T1007" s="481"/>
      <c r="U1007" s="481"/>
      <c r="V1007" s="481"/>
      <c r="W1007" s="481"/>
      <c r="X1007" s="481"/>
      <c r="Y1007" s="481"/>
    </row>
    <row r="1008" spans="1:25" s="192" customFormat="1" ht="15" customHeight="1" hidden="1">
      <c r="A1008" s="923"/>
      <c r="B1008" s="50" t="s">
        <v>91</v>
      </c>
      <c r="C1008" s="1328">
        <v>0</v>
      </c>
      <c r="D1008" s="1328"/>
      <c r="E1008" s="1328">
        <v>0</v>
      </c>
      <c r="F1008" s="1328"/>
      <c r="G1008" s="1328">
        <v>0</v>
      </c>
      <c r="H1008" s="1328"/>
      <c r="I1008" s="1328">
        <v>0</v>
      </c>
      <c r="J1008" s="1328"/>
      <c r="K1008" s="1328">
        <v>0</v>
      </c>
      <c r="L1008" s="1328"/>
      <c r="M1008" s="20"/>
      <c r="N1008" s="234"/>
      <c r="O1008" s="481"/>
      <c r="P1008" s="481"/>
      <c r="Q1008" s="481"/>
      <c r="R1008" s="481"/>
      <c r="S1008" s="481"/>
      <c r="T1008" s="481"/>
      <c r="U1008" s="481"/>
      <c r="V1008" s="481"/>
      <c r="W1008" s="481"/>
      <c r="X1008" s="481"/>
      <c r="Y1008" s="481"/>
    </row>
    <row r="1009" spans="1:25" s="192" customFormat="1" ht="15" customHeight="1" hidden="1">
      <c r="A1009" s="274"/>
      <c r="B1009" s="887" t="s">
        <v>401</v>
      </c>
      <c r="C1009" s="1269">
        <f>CEILING(72*$Z$1,0.1)</f>
        <v>90</v>
      </c>
      <c r="D1009" s="1269"/>
      <c r="E1009" s="1269">
        <f>CEILING(95*$Z$1,0.1)</f>
        <v>118.80000000000001</v>
      </c>
      <c r="F1009" s="1269"/>
      <c r="G1009" s="1269">
        <f>CEILING(84*$Z$1,0.1)</f>
        <v>105</v>
      </c>
      <c r="H1009" s="1269"/>
      <c r="I1009" s="1269">
        <f>CEILING(85*$Z$1,0.1)</f>
        <v>106.30000000000001</v>
      </c>
      <c r="J1009" s="1269"/>
      <c r="K1009" s="1269">
        <f>CEILING(72*$Z$1,0.1)</f>
        <v>90</v>
      </c>
      <c r="L1009" s="1269"/>
      <c r="M1009" s="20"/>
      <c r="N1009" s="234"/>
      <c r="O1009" s="481"/>
      <c r="P1009" s="481"/>
      <c r="Q1009" s="481"/>
      <c r="R1009" s="481"/>
      <c r="S1009" s="481"/>
      <c r="T1009" s="481"/>
      <c r="U1009" s="481"/>
      <c r="V1009" s="481"/>
      <c r="W1009" s="481"/>
      <c r="X1009" s="481"/>
      <c r="Y1009" s="481"/>
    </row>
    <row r="1010" spans="1:25" s="192" customFormat="1" ht="15" customHeight="1" hidden="1">
      <c r="A1010" s="274"/>
      <c r="B1010" s="887" t="s">
        <v>402</v>
      </c>
      <c r="C1010" s="1269">
        <f>CEILING((C1009+20*$Z$1),0.1)</f>
        <v>115</v>
      </c>
      <c r="D1010" s="1269"/>
      <c r="E1010" s="1327">
        <f>CEILING((E1009+20*$Z$1),0.1)</f>
        <v>143.8</v>
      </c>
      <c r="F1010" s="1327"/>
      <c r="G1010" s="1327">
        <f>CEILING((G1009+20*$Z$1),0.1)</f>
        <v>130</v>
      </c>
      <c r="H1010" s="1327"/>
      <c r="I1010" s="1327">
        <f>CEILING((I1009+20*$Z$1),0.1)</f>
        <v>131.3</v>
      </c>
      <c r="J1010" s="1327"/>
      <c r="K1010" s="1327">
        <f>CEILING((K1009+20*$Z$1),0.1)</f>
        <v>115</v>
      </c>
      <c r="L1010" s="1327"/>
      <c r="M1010" s="20"/>
      <c r="N1010" s="234"/>
      <c r="O1010" s="481"/>
      <c r="P1010" s="481"/>
      <c r="Q1010" s="481"/>
      <c r="R1010" s="481"/>
      <c r="S1010" s="481"/>
      <c r="T1010" s="481"/>
      <c r="U1010" s="481"/>
      <c r="V1010" s="481"/>
      <c r="W1010" s="481"/>
      <c r="X1010" s="481"/>
      <c r="Y1010" s="481"/>
    </row>
    <row r="1011" spans="1:25" s="192" customFormat="1" ht="15" customHeight="1" hidden="1">
      <c r="A1011" s="274"/>
      <c r="B1011" s="148" t="s">
        <v>590</v>
      </c>
      <c r="C1011" s="1269">
        <f>CEILING(64*$Z$1,0.1)</f>
        <v>80</v>
      </c>
      <c r="D1011" s="1269"/>
      <c r="E1011" s="1269">
        <f>CEILING(87*$Z$1,0.1)</f>
        <v>108.80000000000001</v>
      </c>
      <c r="F1011" s="1269"/>
      <c r="G1011" s="1269">
        <f>CEILING(76*$Z$1,0.1)</f>
        <v>95</v>
      </c>
      <c r="H1011" s="1269"/>
      <c r="I1011" s="1269">
        <f>CEILING(77*$Z$1,0.1)</f>
        <v>96.30000000000001</v>
      </c>
      <c r="J1011" s="1269"/>
      <c r="K1011" s="1269">
        <f>CEILING(64*$Z$1,0.1)</f>
        <v>80</v>
      </c>
      <c r="L1011" s="1269"/>
      <c r="M1011" s="20"/>
      <c r="N1011" s="234"/>
      <c r="O1011" s="481"/>
      <c r="P1011" s="481"/>
      <c r="Q1011" s="481"/>
      <c r="R1011" s="481"/>
      <c r="S1011" s="481"/>
      <c r="T1011" s="481"/>
      <c r="U1011" s="481"/>
      <c r="V1011" s="481"/>
      <c r="W1011" s="481"/>
      <c r="X1011" s="481"/>
      <c r="Y1011" s="481"/>
    </row>
    <row r="1012" spans="1:25" s="192" customFormat="1" ht="15" customHeight="1" hidden="1">
      <c r="A1012" s="274"/>
      <c r="B1012" s="148" t="s">
        <v>587</v>
      </c>
      <c r="C1012" s="1269">
        <f>CEILING((C1011+20*$Z$1),0.1)</f>
        <v>105</v>
      </c>
      <c r="D1012" s="1269"/>
      <c r="E1012" s="1269">
        <f>CEILING((E1011+20*$Z$1),0.1)</f>
        <v>133.8</v>
      </c>
      <c r="F1012" s="1269"/>
      <c r="G1012" s="1269">
        <f>CEILING((G1011+20*$Z$1),0.1)</f>
        <v>120</v>
      </c>
      <c r="H1012" s="1269"/>
      <c r="I1012" s="1269">
        <f>CEILING((I1011+20*$Z$1),0.1)</f>
        <v>121.30000000000001</v>
      </c>
      <c r="J1012" s="1269"/>
      <c r="K1012" s="1269">
        <f>CEILING((K1011+20*$Z$1),0.1)</f>
        <v>105</v>
      </c>
      <c r="L1012" s="1269"/>
      <c r="M1012" s="20"/>
      <c r="N1012" s="234"/>
      <c r="O1012" s="481"/>
      <c r="P1012" s="481"/>
      <c r="Q1012" s="481"/>
      <c r="R1012" s="481"/>
      <c r="S1012" s="481"/>
      <c r="T1012" s="481"/>
      <c r="U1012" s="481"/>
      <c r="V1012" s="481"/>
      <c r="W1012" s="481"/>
      <c r="X1012" s="481"/>
      <c r="Y1012" s="481"/>
    </row>
    <row r="1013" spans="1:25" s="192" customFormat="1" ht="15" customHeight="1" hidden="1">
      <c r="A1013" s="274"/>
      <c r="B1013" s="1053" t="s">
        <v>47</v>
      </c>
      <c r="C1013" s="1269">
        <f>CEILING(54.4*$Z$1,0.1)</f>
        <v>68</v>
      </c>
      <c r="D1013" s="1269"/>
      <c r="E1013" s="1269">
        <f>CEILING(73.95*$Z$1,0.1)</f>
        <v>92.5</v>
      </c>
      <c r="F1013" s="1269"/>
      <c r="G1013" s="1269">
        <f>CEILING(64.6*$Z$1,0.1)</f>
        <v>80.80000000000001</v>
      </c>
      <c r="H1013" s="1269"/>
      <c r="I1013" s="1269">
        <f>CEILING(65.45*$Z$1,0.1)</f>
        <v>81.9</v>
      </c>
      <c r="J1013" s="1269"/>
      <c r="K1013" s="1269">
        <f>CEILING(54.4*$Z$1,0.1)</f>
        <v>68</v>
      </c>
      <c r="L1013" s="1269"/>
      <c r="M1013" s="20"/>
      <c r="N1013" s="234"/>
      <c r="O1013" s="481"/>
      <c r="P1013" s="481"/>
      <c r="Q1013" s="481"/>
      <c r="R1013" s="481"/>
      <c r="S1013" s="481"/>
      <c r="T1013" s="481"/>
      <c r="U1013" s="481"/>
      <c r="V1013" s="481"/>
      <c r="W1013" s="481"/>
      <c r="X1013" s="481"/>
      <c r="Y1013" s="481"/>
    </row>
    <row r="1014" spans="1:25" s="192" customFormat="1" ht="15" customHeight="1" hidden="1">
      <c r="A1014" s="274"/>
      <c r="B1014" s="887" t="s">
        <v>588</v>
      </c>
      <c r="C1014" s="1269">
        <f>CEILING(79*$Z$1,0.1)</f>
        <v>98.80000000000001</v>
      </c>
      <c r="D1014" s="1269"/>
      <c r="E1014" s="1269">
        <f>CEILING(102*$Z$1,0.1)</f>
        <v>127.5</v>
      </c>
      <c r="F1014" s="1269"/>
      <c r="G1014" s="1269">
        <f>CEILING(91*$Z$1,0.1)</f>
        <v>113.80000000000001</v>
      </c>
      <c r="H1014" s="1269"/>
      <c r="I1014" s="1269">
        <f>CEILING(92*$Z$1,0.1)</f>
        <v>115</v>
      </c>
      <c r="J1014" s="1269"/>
      <c r="K1014" s="1269">
        <f>CEILING(79*$Z$1,0.1)</f>
        <v>98.80000000000001</v>
      </c>
      <c r="L1014" s="1269"/>
      <c r="M1014" s="20"/>
      <c r="N1014" s="234"/>
      <c r="O1014" s="481"/>
      <c r="P1014" s="481"/>
      <c r="Q1014" s="481"/>
      <c r="R1014" s="481"/>
      <c r="S1014" s="481"/>
      <c r="T1014" s="481"/>
      <c r="U1014" s="481"/>
      <c r="V1014" s="481"/>
      <c r="W1014" s="481"/>
      <c r="X1014" s="481"/>
      <c r="Y1014" s="481"/>
    </row>
    <row r="1015" spans="1:25" s="192" customFormat="1" ht="15" customHeight="1" hidden="1" thickBot="1">
      <c r="A1015" s="197" t="s">
        <v>434</v>
      </c>
      <c r="B1015" s="887" t="s">
        <v>589</v>
      </c>
      <c r="C1015" s="1269">
        <f>CEILING((C1009+20*$Z$1),0.1)</f>
        <v>115</v>
      </c>
      <c r="D1015" s="1269"/>
      <c r="E1015" s="1269">
        <f>CEILING((E1009+20*$Z$1),0.1)</f>
        <v>143.8</v>
      </c>
      <c r="F1015" s="1269"/>
      <c r="G1015" s="1269">
        <f>CEILING((G1009+20*$Z$1),0.1)</f>
        <v>130</v>
      </c>
      <c r="H1015" s="1269"/>
      <c r="I1015" s="1269">
        <f>CEILING((I1009+20*$Z$1),0.1)</f>
        <v>131.3</v>
      </c>
      <c r="J1015" s="1269"/>
      <c r="K1015" s="1269">
        <f>CEILING((K1009+20*$Z$1),0.1)</f>
        <v>115</v>
      </c>
      <c r="L1015" s="1269"/>
      <c r="M1015" s="20"/>
      <c r="N1015" s="234"/>
      <c r="O1015" s="481"/>
      <c r="P1015" s="481"/>
      <c r="Q1015" s="481"/>
      <c r="R1015" s="481"/>
      <c r="S1015" s="481"/>
      <c r="T1015" s="481"/>
      <c r="U1015" s="481"/>
      <c r="V1015" s="481"/>
      <c r="W1015" s="481"/>
      <c r="X1015" s="481"/>
      <c r="Y1015" s="481"/>
    </row>
    <row r="1016" spans="1:25" s="192" customFormat="1" ht="18" customHeight="1" hidden="1" thickTop="1">
      <c r="A1016" s="75" t="s">
        <v>586</v>
      </c>
      <c r="B1016" s="148"/>
      <c r="C1016" s="948"/>
      <c r="D1016" s="948"/>
      <c r="E1016" s="948"/>
      <c r="F1016" s="948"/>
      <c r="G1016" s="948"/>
      <c r="H1016" s="948"/>
      <c r="I1016" s="948"/>
      <c r="J1016" s="948"/>
      <c r="K1016" s="94"/>
      <c r="L1016" s="94"/>
      <c r="M1016" s="20"/>
      <c r="N1016" s="234"/>
      <c r="O1016" s="481"/>
      <c r="P1016" s="481"/>
      <c r="Q1016" s="481"/>
      <c r="R1016" s="481"/>
      <c r="S1016" s="481"/>
      <c r="T1016" s="481"/>
      <c r="U1016" s="481"/>
      <c r="V1016" s="481"/>
      <c r="W1016" s="481"/>
      <c r="X1016" s="481"/>
      <c r="Y1016" s="481"/>
    </row>
    <row r="1017" spans="1:25" s="192" customFormat="1" ht="16.5" customHeight="1" hidden="1">
      <c r="A1017" s="75" t="s">
        <v>591</v>
      </c>
      <c r="B1017" s="148"/>
      <c r="C1017" s="948"/>
      <c r="D1017" s="948"/>
      <c r="E1017" s="948"/>
      <c r="F1017" s="948"/>
      <c r="G1017" s="948"/>
      <c r="H1017" s="948"/>
      <c r="I1017" s="948"/>
      <c r="J1017" s="948"/>
      <c r="K1017" s="94"/>
      <c r="L1017" s="94"/>
      <c r="M1017" s="20"/>
      <c r="N1017" s="234"/>
      <c r="O1017" s="481"/>
      <c r="P1017" s="481"/>
      <c r="Q1017" s="481"/>
      <c r="R1017" s="481"/>
      <c r="S1017" s="481"/>
      <c r="T1017" s="481"/>
      <c r="U1017" s="481"/>
      <c r="V1017" s="481"/>
      <c r="W1017" s="481"/>
      <c r="X1017" s="481"/>
      <c r="Y1017" s="481"/>
    </row>
    <row r="1018" spans="1:25" s="192" customFormat="1" ht="15.75" customHeight="1" hidden="1">
      <c r="A1018" s="172" t="s">
        <v>403</v>
      </c>
      <c r="B1018" s="148"/>
      <c r="C1018" s="948"/>
      <c r="D1018" s="948"/>
      <c r="E1018" s="948"/>
      <c r="F1018" s="948"/>
      <c r="G1018" s="948"/>
      <c r="H1018" s="948"/>
      <c r="I1018" s="948"/>
      <c r="J1018" s="948"/>
      <c r="K1018" s="94"/>
      <c r="L1018" s="94"/>
      <c r="M1018" s="20"/>
      <c r="N1018" s="234"/>
      <c r="O1018" s="481"/>
      <c r="P1018" s="481"/>
      <c r="Q1018" s="481"/>
      <c r="R1018" s="481"/>
      <c r="S1018" s="481"/>
      <c r="T1018" s="481"/>
      <c r="U1018" s="481"/>
      <c r="V1018" s="481"/>
      <c r="W1018" s="481"/>
      <c r="X1018" s="481"/>
      <c r="Y1018" s="481"/>
    </row>
    <row r="1019" spans="1:34" s="192" customFormat="1" ht="17.25" customHeight="1">
      <c r="A1019" s="710"/>
      <c r="B1019" s="711"/>
      <c r="C1019" s="74"/>
      <c r="D1019" s="74"/>
      <c r="E1019" s="74"/>
      <c r="F1019" s="74"/>
      <c r="G1019" s="74"/>
      <c r="H1019" s="74"/>
      <c r="I1019" s="74"/>
      <c r="J1019" s="74"/>
      <c r="K1019" s="94"/>
      <c r="L1019" s="94"/>
      <c r="M1019" s="342"/>
      <c r="N1019" s="389"/>
      <c r="O1019" s="335"/>
      <c r="P1019" s="335"/>
      <c r="Q1019" s="335"/>
      <c r="R1019" s="335"/>
      <c r="S1019" s="335"/>
      <c r="T1019" s="335"/>
      <c r="U1019" s="335"/>
      <c r="V1019" s="335"/>
      <c r="W1019" s="335"/>
      <c r="X1019" s="335"/>
      <c r="Y1019" s="335"/>
      <c r="Z1019" s="335"/>
      <c r="AA1019" s="335"/>
      <c r="AB1019" s="335"/>
      <c r="AC1019" s="335"/>
      <c r="AD1019" s="335"/>
      <c r="AE1019" s="335"/>
      <c r="AF1019" s="335"/>
      <c r="AG1019" s="335"/>
      <c r="AH1019" s="335"/>
    </row>
    <row r="1020" spans="1:63" s="967" customFormat="1" ht="21" customHeight="1">
      <c r="A1020" s="794" t="s">
        <v>43</v>
      </c>
      <c r="B1020" s="818" t="s">
        <v>961</v>
      </c>
      <c r="C1020" s="795" t="s">
        <v>884</v>
      </c>
      <c r="D1020" s="796"/>
      <c r="E1020" s="765" t="s">
        <v>911</v>
      </c>
      <c r="F1020" s="766"/>
      <c r="G1020" s="765" t="s">
        <v>912</v>
      </c>
      <c r="H1020" s="766"/>
      <c r="I1020" s="1280" t="s">
        <v>881</v>
      </c>
      <c r="J1020" s="1281"/>
      <c r="K1020" s="1280" t="s">
        <v>882</v>
      </c>
      <c r="L1020" s="1281"/>
      <c r="M1020" s="1016"/>
      <c r="N1020" s="1016"/>
      <c r="O1020" s="335"/>
      <c r="P1020" s="335"/>
      <c r="Q1020" s="335"/>
      <c r="R1020" s="335"/>
      <c r="S1020" s="335"/>
      <c r="T1020" s="335"/>
      <c r="U1020" s="335"/>
      <c r="V1020" s="335"/>
      <c r="W1020" s="335"/>
      <c r="X1020" s="335"/>
      <c r="Y1020" s="335"/>
      <c r="Z1020" s="335"/>
      <c r="AA1020" s="335"/>
      <c r="AB1020" s="335"/>
      <c r="AC1020" s="335"/>
      <c r="AD1020" s="335"/>
      <c r="AE1020" s="335"/>
      <c r="AF1020" s="335"/>
      <c r="AG1020" s="335"/>
      <c r="AH1020" s="335"/>
      <c r="AI1020" s="335"/>
      <c r="AJ1020" s="335"/>
      <c r="AK1020" s="335"/>
      <c r="AL1020" s="335"/>
      <c r="AM1020" s="335"/>
      <c r="AN1020" s="335"/>
      <c r="AO1020" s="335"/>
      <c r="AP1020" s="335"/>
      <c r="AQ1020" s="335"/>
      <c r="AR1020" s="335"/>
      <c r="AS1020" s="335"/>
      <c r="AT1020" s="335"/>
      <c r="AU1020" s="335"/>
      <c r="AV1020" s="335"/>
      <c r="AW1020" s="335"/>
      <c r="AX1020" s="335"/>
      <c r="AY1020" s="335"/>
      <c r="AZ1020" s="335"/>
      <c r="BA1020" s="335"/>
      <c r="BB1020" s="335"/>
      <c r="BC1020" s="335"/>
      <c r="BD1020" s="335"/>
      <c r="BE1020" s="335"/>
      <c r="BF1020" s="335"/>
      <c r="BG1020" s="335"/>
      <c r="BH1020" s="335"/>
      <c r="BI1020" s="335"/>
      <c r="BJ1020" s="335"/>
      <c r="BK1020" s="335"/>
    </row>
    <row r="1021" spans="1:63" s="479" customFormat="1" ht="15" customHeight="1">
      <c r="A1021" s="137" t="s">
        <v>793</v>
      </c>
      <c r="B1021" s="213" t="s">
        <v>795</v>
      </c>
      <c r="C1021" s="1266">
        <f>CEILING(70*$Z$1,0.1)</f>
        <v>87.5</v>
      </c>
      <c r="D1021" s="1267"/>
      <c r="E1021" s="1268">
        <f>CEILING(100*$Z$1,0.1)</f>
        <v>125</v>
      </c>
      <c r="F1021" s="1270"/>
      <c r="G1021" s="1268">
        <f>CEILING(75*$Z$1,0.1)</f>
        <v>93.80000000000001</v>
      </c>
      <c r="H1021" s="1270"/>
      <c r="I1021" s="1268">
        <f>CEILING(80*$Z$1,0.1)</f>
        <v>100</v>
      </c>
      <c r="J1021" s="1270"/>
      <c r="K1021" s="1266">
        <f>CEILING(80*$Z$1,0.1)</f>
        <v>100</v>
      </c>
      <c r="L1021" s="1267"/>
      <c r="M1021" s="342"/>
      <c r="N1021" s="389"/>
      <c r="O1021" s="335"/>
      <c r="P1021" s="335"/>
      <c r="Q1021" s="335"/>
      <c r="R1021" s="335"/>
      <c r="S1021" s="335"/>
      <c r="T1021" s="335"/>
      <c r="U1021" s="335"/>
      <c r="V1021" s="335"/>
      <c r="W1021" s="335"/>
      <c r="X1021" s="335"/>
      <c r="Y1021" s="335"/>
      <c r="Z1021" s="335"/>
      <c r="AA1021" s="335"/>
      <c r="AB1021" s="335"/>
      <c r="AC1021" s="335"/>
      <c r="AD1021" s="335"/>
      <c r="AE1021" s="335"/>
      <c r="AF1021" s="335"/>
      <c r="AG1021" s="335"/>
      <c r="AH1021" s="335"/>
      <c r="AI1021" s="335"/>
      <c r="AJ1021" s="335"/>
      <c r="AK1021" s="335"/>
      <c r="AL1021" s="335"/>
      <c r="AM1021" s="335"/>
      <c r="AN1021" s="335"/>
      <c r="AO1021" s="335"/>
      <c r="AP1021" s="335"/>
      <c r="AQ1021" s="335"/>
      <c r="AR1021" s="335"/>
      <c r="AS1021" s="335"/>
      <c r="AT1021" s="335"/>
      <c r="AU1021" s="335"/>
      <c r="AV1021" s="335"/>
      <c r="AW1021" s="335"/>
      <c r="AX1021" s="335"/>
      <c r="AY1021" s="335"/>
      <c r="AZ1021" s="335"/>
      <c r="BA1021" s="335"/>
      <c r="BB1021" s="335"/>
      <c r="BC1021" s="335"/>
      <c r="BD1021" s="335"/>
      <c r="BE1021" s="335"/>
      <c r="BF1021" s="335"/>
      <c r="BG1021" s="335"/>
      <c r="BH1021" s="335"/>
      <c r="BI1021" s="335"/>
      <c r="BJ1021" s="335"/>
      <c r="BK1021" s="335"/>
    </row>
    <row r="1022" spans="1:34" s="479" customFormat="1" ht="15" customHeight="1">
      <c r="A1022" s="139" t="s">
        <v>1039</v>
      </c>
      <c r="B1022" s="138" t="s">
        <v>796</v>
      </c>
      <c r="C1022" s="1268">
        <f>CEILING((C1021+20*$Z$1),0.1)</f>
        <v>112.5</v>
      </c>
      <c r="D1022" s="1270"/>
      <c r="E1022" s="1268">
        <f>CEILING((E1021+20*$Z$1),0.1)</f>
        <v>150</v>
      </c>
      <c r="F1022" s="1270"/>
      <c r="G1022" s="1268">
        <f>CEILING((G1021+20*$Z$1),0.1)</f>
        <v>118.80000000000001</v>
      </c>
      <c r="H1022" s="1270"/>
      <c r="I1022" s="1268">
        <f>CEILING((I1021+20*$Z$1),0.1)</f>
        <v>125</v>
      </c>
      <c r="J1022" s="1270"/>
      <c r="K1022" s="1268">
        <f>CEILING((K1021+20*$Z$1),0.1)</f>
        <v>125</v>
      </c>
      <c r="L1022" s="1270"/>
      <c r="M1022" s="403"/>
      <c r="N1022" s="674"/>
      <c r="O1022" s="331"/>
      <c r="P1022" s="331"/>
      <c r="Q1022" s="331"/>
      <c r="R1022" s="331"/>
      <c r="S1022" s="331"/>
      <c r="T1022" s="331"/>
      <c r="U1022" s="331"/>
      <c r="V1022" s="331"/>
      <c r="W1022" s="331"/>
      <c r="X1022" s="331"/>
      <c r="Y1022" s="331"/>
      <c r="Z1022" s="331"/>
      <c r="AA1022" s="331"/>
      <c r="AB1022" s="331"/>
      <c r="AC1022" s="331"/>
      <c r="AD1022" s="331"/>
      <c r="AE1022" s="331"/>
      <c r="AF1022" s="331"/>
      <c r="AG1022" s="331"/>
      <c r="AH1022" s="331"/>
    </row>
    <row r="1023" spans="1:34" s="479" customFormat="1" ht="15" customHeight="1">
      <c r="A1023" s="140"/>
      <c r="B1023" s="141" t="s">
        <v>47</v>
      </c>
      <c r="C1023" s="1268">
        <f>CEILING((C1021*0.72),0.1)</f>
        <v>63</v>
      </c>
      <c r="D1023" s="1270"/>
      <c r="E1023" s="1268">
        <f>CEILING((E1021*0.5),0.1)</f>
        <v>62.5</v>
      </c>
      <c r="F1023" s="1270"/>
      <c r="G1023" s="1268">
        <f>CEILING((G1021*0.67),0.1)</f>
        <v>62.900000000000006</v>
      </c>
      <c r="H1023" s="1270"/>
      <c r="I1023" s="1268">
        <f>CEILING((I1021*0.63),0.1)</f>
        <v>63</v>
      </c>
      <c r="J1023" s="1270"/>
      <c r="K1023" s="1268">
        <f>CEILING((K1021*0.63),0.1)</f>
        <v>63</v>
      </c>
      <c r="L1023" s="1270"/>
      <c r="M1023" s="403"/>
      <c r="N1023" s="674"/>
      <c r="O1023" s="331"/>
      <c r="P1023" s="331"/>
      <c r="Q1023" s="331"/>
      <c r="R1023" s="331"/>
      <c r="S1023" s="331"/>
      <c r="T1023" s="331"/>
      <c r="U1023" s="331"/>
      <c r="V1023" s="331"/>
      <c r="W1023" s="331"/>
      <c r="X1023" s="331"/>
      <c r="Y1023" s="331"/>
      <c r="Z1023" s="331"/>
      <c r="AA1023" s="331"/>
      <c r="AB1023" s="331"/>
      <c r="AC1023" s="331"/>
      <c r="AD1023" s="331"/>
      <c r="AE1023" s="331"/>
      <c r="AF1023" s="331"/>
      <c r="AG1023" s="331"/>
      <c r="AH1023" s="331"/>
    </row>
    <row r="1024" spans="1:34" s="479" customFormat="1" ht="16.5" customHeight="1">
      <c r="A1024" s="140"/>
      <c r="B1024" s="143" t="s">
        <v>797</v>
      </c>
      <c r="C1024" s="1268">
        <f>CEILING(80*$Z$1,0.1)</f>
        <v>100</v>
      </c>
      <c r="D1024" s="1270"/>
      <c r="E1024" s="1268">
        <f>CEILING(110*$Z$1,0.1)</f>
        <v>137.5</v>
      </c>
      <c r="F1024" s="1270"/>
      <c r="G1024" s="1268">
        <f>CEILING(105*$Z$1,0.1)</f>
        <v>131.3</v>
      </c>
      <c r="H1024" s="1270"/>
      <c r="I1024" s="1268">
        <f>CEILING(90*$Z$1,0.1)</f>
        <v>112.5</v>
      </c>
      <c r="J1024" s="1270"/>
      <c r="K1024" s="1268">
        <f>CEILING(90*$Z$1,0.1)</f>
        <v>112.5</v>
      </c>
      <c r="L1024" s="1270"/>
      <c r="M1024" s="403"/>
      <c r="N1024" s="674"/>
      <c r="O1024" s="331"/>
      <c r="P1024" s="331"/>
      <c r="Q1024" s="331"/>
      <c r="R1024" s="331"/>
      <c r="S1024" s="331"/>
      <c r="T1024" s="331"/>
      <c r="U1024" s="331"/>
      <c r="V1024" s="331"/>
      <c r="W1024" s="331"/>
      <c r="X1024" s="331"/>
      <c r="Y1024" s="331"/>
      <c r="Z1024" s="331"/>
      <c r="AA1024" s="331"/>
      <c r="AB1024" s="331"/>
      <c r="AC1024" s="331"/>
      <c r="AD1024" s="331"/>
      <c r="AE1024" s="331"/>
      <c r="AF1024" s="331"/>
      <c r="AG1024" s="331"/>
      <c r="AH1024" s="331"/>
    </row>
    <row r="1025" spans="1:34" s="479" customFormat="1" ht="16.5" customHeight="1">
      <c r="A1025" s="274"/>
      <c r="B1025" s="143" t="s">
        <v>402</v>
      </c>
      <c r="C1025" s="1268">
        <f>CEILING((C1024+20*$Z$1),0.1)</f>
        <v>125</v>
      </c>
      <c r="D1025" s="1270"/>
      <c r="E1025" s="1268">
        <f>CEILING((E1024+20*$Z$1),0.1)</f>
        <v>162.5</v>
      </c>
      <c r="F1025" s="1270"/>
      <c r="G1025" s="1268">
        <f>CEILING((G1024+20*$Z$1),0.1)</f>
        <v>156.3</v>
      </c>
      <c r="H1025" s="1270"/>
      <c r="I1025" s="1268">
        <f>CEILING((I1024+20*$Z$1),0.1)</f>
        <v>137.5</v>
      </c>
      <c r="J1025" s="1270"/>
      <c r="K1025" s="1268">
        <f>CEILING((K1024+20*$Z$1),0.1)</f>
        <v>137.5</v>
      </c>
      <c r="L1025" s="1270"/>
      <c r="M1025" s="342"/>
      <c r="N1025" s="674"/>
      <c r="O1025" s="331"/>
      <c r="P1025" s="331"/>
      <c r="Q1025" s="331"/>
      <c r="R1025" s="331"/>
      <c r="S1025" s="331"/>
      <c r="T1025" s="331"/>
      <c r="U1025" s="331"/>
      <c r="V1025" s="331"/>
      <c r="W1025" s="331"/>
      <c r="X1025" s="331"/>
      <c r="Y1025" s="331"/>
      <c r="Z1025" s="331"/>
      <c r="AA1025" s="331"/>
      <c r="AB1025" s="331"/>
      <c r="AC1025" s="331"/>
      <c r="AD1025" s="331"/>
      <c r="AE1025" s="331"/>
      <c r="AF1025" s="331"/>
      <c r="AG1025" s="331"/>
      <c r="AH1025" s="331"/>
    </row>
    <row r="1026" spans="1:34" s="479" customFormat="1" ht="16.5" customHeight="1">
      <c r="A1026" s="274"/>
      <c r="B1026" s="143" t="s">
        <v>1040</v>
      </c>
      <c r="C1026" s="1499">
        <f>CEILING(44*$Z$1,0.1)</f>
        <v>55</v>
      </c>
      <c r="D1026" s="1500"/>
      <c r="E1026" s="1348">
        <f>CEILING(60*$Z$1,0.1)</f>
        <v>75</v>
      </c>
      <c r="F1026" s="1349"/>
      <c r="G1026" s="1348">
        <f>CEILING(50*$Z$1,0.1)</f>
        <v>62.5</v>
      </c>
      <c r="H1026" s="1349"/>
      <c r="I1026" s="1348">
        <f>CEILING(60*$Z$1,0.1)</f>
        <v>75</v>
      </c>
      <c r="J1026" s="1349"/>
      <c r="K1026" s="1268">
        <f>CEILING(44*$Z$1,0.1)</f>
        <v>55</v>
      </c>
      <c r="L1026" s="1270"/>
      <c r="M1026" s="342"/>
      <c r="N1026" s="674"/>
      <c r="O1026" s="331"/>
      <c r="P1026" s="331"/>
      <c r="Q1026" s="331"/>
      <c r="R1026" s="331"/>
      <c r="S1026" s="331"/>
      <c r="T1026" s="331"/>
      <c r="U1026" s="331"/>
      <c r="V1026" s="331"/>
      <c r="W1026" s="331"/>
      <c r="X1026" s="331"/>
      <c r="Y1026" s="331"/>
      <c r="Z1026" s="331"/>
      <c r="AA1026" s="331"/>
      <c r="AB1026" s="331"/>
      <c r="AC1026" s="331"/>
      <c r="AD1026" s="331"/>
      <c r="AE1026" s="331"/>
      <c r="AF1026" s="331"/>
      <c r="AG1026" s="331"/>
      <c r="AH1026" s="331"/>
    </row>
    <row r="1027" spans="1:34" s="479" customFormat="1" ht="16.5" customHeight="1">
      <c r="A1027" s="140" t="s">
        <v>1290</v>
      </c>
      <c r="B1027" s="143" t="s">
        <v>1041</v>
      </c>
      <c r="C1027" s="1499">
        <f>CEILING((C1026+11*$Z$1),0.1)</f>
        <v>68.8</v>
      </c>
      <c r="D1027" s="1500"/>
      <c r="E1027" s="1348">
        <f>CEILING((E1026+10*$Z$1),0.1)</f>
        <v>87.5</v>
      </c>
      <c r="F1027" s="1349"/>
      <c r="G1027" s="1348">
        <f>CEILING((G1026+10*$Z$1),0.1)</f>
        <v>75</v>
      </c>
      <c r="H1027" s="1349"/>
      <c r="I1027" s="1348">
        <f>CEILING((I1026+10*$Z$1),0.1)</f>
        <v>87.5</v>
      </c>
      <c r="J1027" s="1349"/>
      <c r="K1027" s="1268">
        <f>CEILING((K1026+10*$Z$1),0.1)</f>
        <v>67.5</v>
      </c>
      <c r="L1027" s="1270"/>
      <c r="M1027" s="342"/>
      <c r="N1027" s="674"/>
      <c r="O1027" s="331"/>
      <c r="P1027" s="331"/>
      <c r="Q1027" s="331"/>
      <c r="R1027" s="331"/>
      <c r="S1027" s="331"/>
      <c r="T1027" s="331"/>
      <c r="U1027" s="331"/>
      <c r="V1027" s="331"/>
      <c r="W1027" s="331"/>
      <c r="X1027" s="331"/>
      <c r="Y1027" s="331"/>
      <c r="Z1027" s="331"/>
      <c r="AA1027" s="331"/>
      <c r="AB1027" s="331"/>
      <c r="AC1027" s="331"/>
      <c r="AD1027" s="331"/>
      <c r="AE1027" s="331"/>
      <c r="AF1027" s="331"/>
      <c r="AG1027" s="331"/>
      <c r="AH1027" s="331"/>
    </row>
    <row r="1028" spans="1:34" s="479" customFormat="1" ht="16.5" customHeight="1">
      <c r="A1028" s="140" t="s">
        <v>1291</v>
      </c>
      <c r="B1028" s="143" t="s">
        <v>1043</v>
      </c>
      <c r="C1028" s="1499">
        <f>CEILING(50*$Z$1,0.1)</f>
        <v>62.5</v>
      </c>
      <c r="D1028" s="1500"/>
      <c r="E1028" s="1348">
        <f>CEILING(65*$Z$1,0.1)</f>
        <v>81.30000000000001</v>
      </c>
      <c r="F1028" s="1349"/>
      <c r="G1028" s="1348">
        <f>CEILING(55*$Z$1,0.1)</f>
        <v>68.8</v>
      </c>
      <c r="H1028" s="1349"/>
      <c r="I1028" s="1348">
        <f>CEILING(65*$Z$1,0.1)</f>
        <v>81.30000000000001</v>
      </c>
      <c r="J1028" s="1349"/>
      <c r="K1028" s="1268">
        <f>CEILING(50*$Z$1,0.1)</f>
        <v>62.5</v>
      </c>
      <c r="L1028" s="1270"/>
      <c r="M1028" s="342"/>
      <c r="N1028" s="674"/>
      <c r="O1028" s="331"/>
      <c r="P1028" s="331"/>
      <c r="Q1028" s="331"/>
      <c r="R1028" s="331"/>
      <c r="S1028" s="331"/>
      <c r="T1028" s="331"/>
      <c r="U1028" s="331"/>
      <c r="V1028" s="331"/>
      <c r="W1028" s="331"/>
      <c r="X1028" s="331"/>
      <c r="Y1028" s="331"/>
      <c r="Z1028" s="331"/>
      <c r="AA1028" s="331"/>
      <c r="AB1028" s="331"/>
      <c r="AC1028" s="331"/>
      <c r="AD1028" s="331"/>
      <c r="AE1028" s="331"/>
      <c r="AF1028" s="331"/>
      <c r="AG1028" s="331"/>
      <c r="AH1028" s="331"/>
    </row>
    <row r="1029" spans="1:34" s="479" customFormat="1" ht="16.5" customHeight="1">
      <c r="A1029" s="274"/>
      <c r="B1029" s="143" t="s">
        <v>1042</v>
      </c>
      <c r="C1029" s="1499">
        <f>CEILING((C1028+10*$Z$1),0.1)</f>
        <v>75</v>
      </c>
      <c r="D1029" s="1500"/>
      <c r="E1029" s="1348">
        <f>CEILING((E1028+10*$Z$1),0.1)</f>
        <v>93.80000000000001</v>
      </c>
      <c r="F1029" s="1349"/>
      <c r="G1029" s="1348">
        <f>CEILING((G1028+10*$Z$1),0.1)</f>
        <v>81.30000000000001</v>
      </c>
      <c r="H1029" s="1349"/>
      <c r="I1029" s="1348">
        <f>CEILING((I1028+10*$Z$1),0.1)</f>
        <v>93.80000000000001</v>
      </c>
      <c r="J1029" s="1349"/>
      <c r="K1029" s="1268">
        <f>CEILING((K1028+10*$Z$1),0.1)</f>
        <v>75</v>
      </c>
      <c r="L1029" s="1270"/>
      <c r="M1029" s="342"/>
      <c r="N1029" s="674"/>
      <c r="O1029" s="331"/>
      <c r="P1029" s="331"/>
      <c r="Q1029" s="331"/>
      <c r="R1029" s="331"/>
      <c r="S1029" s="331"/>
      <c r="T1029" s="331"/>
      <c r="U1029" s="331"/>
      <c r="V1029" s="331"/>
      <c r="W1029" s="331"/>
      <c r="X1029" s="331"/>
      <c r="Y1029" s="331"/>
      <c r="Z1029" s="331"/>
      <c r="AA1029" s="331"/>
      <c r="AB1029" s="331"/>
      <c r="AC1029" s="331"/>
      <c r="AD1029" s="331"/>
      <c r="AE1029" s="331"/>
      <c r="AF1029" s="331"/>
      <c r="AG1029" s="331"/>
      <c r="AH1029" s="331"/>
    </row>
    <row r="1030" spans="1:34" s="479" customFormat="1" ht="16.5" customHeight="1">
      <c r="A1030" s="274"/>
      <c r="B1030" s="143" t="s">
        <v>1044</v>
      </c>
      <c r="C1030" s="1499">
        <f>CEILING(55*$Z$1,0.1)</f>
        <v>68.8</v>
      </c>
      <c r="D1030" s="1500"/>
      <c r="E1030" s="1348">
        <f>CEILING(70*$Z$1,0.1)</f>
        <v>87.5</v>
      </c>
      <c r="F1030" s="1349"/>
      <c r="G1030" s="1348">
        <f>CEILING(60*$Z$1,0.1)</f>
        <v>75</v>
      </c>
      <c r="H1030" s="1349"/>
      <c r="I1030" s="1348">
        <f>CEILING(70*$Z$1,0.1)</f>
        <v>87.5</v>
      </c>
      <c r="J1030" s="1349"/>
      <c r="K1030" s="1268">
        <f>CEILING(55*$Z$1,0.1)</f>
        <v>68.8</v>
      </c>
      <c r="L1030" s="1270"/>
      <c r="M1030" s="342"/>
      <c r="N1030" s="674"/>
      <c r="O1030" s="331"/>
      <c r="P1030" s="331"/>
      <c r="Q1030" s="331"/>
      <c r="R1030" s="331"/>
      <c r="S1030" s="331"/>
      <c r="T1030" s="331"/>
      <c r="U1030" s="331"/>
      <c r="V1030" s="331"/>
      <c r="W1030" s="331"/>
      <c r="X1030" s="331"/>
      <c r="Y1030" s="331"/>
      <c r="Z1030" s="331"/>
      <c r="AA1030" s="331"/>
      <c r="AB1030" s="331"/>
      <c r="AC1030" s="331"/>
      <c r="AD1030" s="331"/>
      <c r="AE1030" s="331"/>
      <c r="AF1030" s="331"/>
      <c r="AG1030" s="331"/>
      <c r="AH1030" s="331"/>
    </row>
    <row r="1031" spans="1:34" s="479" customFormat="1" ht="16.5" customHeight="1">
      <c r="A1031" s="274"/>
      <c r="B1031" s="143" t="s">
        <v>1045</v>
      </c>
      <c r="C1031" s="1499">
        <f>CEILING((C1030+10*$Z$1),0.1)</f>
        <v>81.30000000000001</v>
      </c>
      <c r="D1031" s="1500"/>
      <c r="E1031" s="1348">
        <f>CEILING((E1030+10*$Z$1),0.1)</f>
        <v>100</v>
      </c>
      <c r="F1031" s="1349"/>
      <c r="G1031" s="1348">
        <f>CEILING((G1030+10*$Z$1),0.1)</f>
        <v>87.5</v>
      </c>
      <c r="H1031" s="1349"/>
      <c r="I1031" s="1348">
        <f>CEILING((I1030+10*$Z$1),0.1)</f>
        <v>100</v>
      </c>
      <c r="J1031" s="1349"/>
      <c r="K1031" s="1268">
        <f>CEILING((K1030+10*$Z$1),0.1)</f>
        <v>81.30000000000001</v>
      </c>
      <c r="L1031" s="1270"/>
      <c r="M1031" s="342"/>
      <c r="N1031" s="674"/>
      <c r="O1031" s="331"/>
      <c r="P1031" s="331"/>
      <c r="Q1031" s="331"/>
      <c r="R1031" s="331"/>
      <c r="S1031" s="331"/>
      <c r="T1031" s="331"/>
      <c r="U1031" s="331"/>
      <c r="V1031" s="331"/>
      <c r="W1031" s="331"/>
      <c r="X1031" s="331"/>
      <c r="Y1031" s="331"/>
      <c r="Z1031" s="331"/>
      <c r="AA1031" s="331"/>
      <c r="AB1031" s="331"/>
      <c r="AC1031" s="331"/>
      <c r="AD1031" s="331"/>
      <c r="AE1031" s="331"/>
      <c r="AF1031" s="331"/>
      <c r="AG1031" s="331"/>
      <c r="AH1031" s="331"/>
    </row>
    <row r="1032" spans="1:34" s="479" customFormat="1" ht="16.5" customHeight="1">
      <c r="A1032" s="274"/>
      <c r="B1032" s="143" t="s">
        <v>1046</v>
      </c>
      <c r="C1032" s="1499">
        <f>CEILING(60*$Z$1,0.1)</f>
        <v>75</v>
      </c>
      <c r="D1032" s="1500"/>
      <c r="E1032" s="1348">
        <f>CEILING(75*$Z$1,0.1)</f>
        <v>93.80000000000001</v>
      </c>
      <c r="F1032" s="1349"/>
      <c r="G1032" s="1348">
        <f>CEILING(65*$Z$1,0.1)</f>
        <v>81.30000000000001</v>
      </c>
      <c r="H1032" s="1349"/>
      <c r="I1032" s="1348">
        <f>CEILING(75*$Z$1,0.1)</f>
        <v>93.80000000000001</v>
      </c>
      <c r="J1032" s="1349"/>
      <c r="K1032" s="1268">
        <f>CEILING(60*$Z$1,0.1)</f>
        <v>75</v>
      </c>
      <c r="L1032" s="1270"/>
      <c r="M1032" s="342"/>
      <c r="N1032" s="674"/>
      <c r="O1032" s="331"/>
      <c r="P1032" s="331"/>
      <c r="Q1032" s="331"/>
      <c r="R1032" s="331"/>
      <c r="S1032" s="331"/>
      <c r="T1032" s="331"/>
      <c r="U1032" s="331"/>
      <c r="V1032" s="331"/>
      <c r="W1032" s="331"/>
      <c r="X1032" s="331"/>
      <c r="Y1032" s="331"/>
      <c r="Z1032" s="331"/>
      <c r="AA1032" s="331"/>
      <c r="AB1032" s="331"/>
      <c r="AC1032" s="331"/>
      <c r="AD1032" s="331"/>
      <c r="AE1032" s="331"/>
      <c r="AF1032" s="331"/>
      <c r="AG1032" s="331"/>
      <c r="AH1032" s="331"/>
    </row>
    <row r="1033" spans="1:34" s="479" customFormat="1" ht="16.5" customHeight="1">
      <c r="A1033" s="274"/>
      <c r="B1033" s="143" t="s">
        <v>1047</v>
      </c>
      <c r="C1033" s="1499">
        <f>CEILING((C1032+10*$Z$1),0.1)</f>
        <v>87.5</v>
      </c>
      <c r="D1033" s="1500"/>
      <c r="E1033" s="1348">
        <f>CEILING((E1032+10*$Z$1),0.1)</f>
        <v>106.30000000000001</v>
      </c>
      <c r="F1033" s="1349"/>
      <c r="G1033" s="1348">
        <f>CEILING((G1032+10*$Z$1),0.1)</f>
        <v>93.80000000000001</v>
      </c>
      <c r="H1033" s="1349"/>
      <c r="I1033" s="1348">
        <f>CEILING((I1032+10*$Z$1),0.1)</f>
        <v>106.30000000000001</v>
      </c>
      <c r="J1033" s="1349"/>
      <c r="K1033" s="1268">
        <f>CEILING((K1032+10*$Z$1),0.1)</f>
        <v>87.5</v>
      </c>
      <c r="L1033" s="1270"/>
      <c r="M1033" s="342"/>
      <c r="N1033" s="674"/>
      <c r="O1033" s="331"/>
      <c r="P1033" s="331"/>
      <c r="Q1033" s="331"/>
      <c r="R1033" s="331"/>
      <c r="S1033" s="331"/>
      <c r="T1033" s="331"/>
      <c r="U1033" s="331"/>
      <c r="V1033" s="331"/>
      <c r="W1033" s="331"/>
      <c r="X1033" s="331"/>
      <c r="Y1033" s="331"/>
      <c r="Z1033" s="331"/>
      <c r="AA1033" s="331"/>
      <c r="AB1033" s="331"/>
      <c r="AC1033" s="331"/>
      <c r="AD1033" s="331"/>
      <c r="AE1033" s="331"/>
      <c r="AF1033" s="331"/>
      <c r="AG1033" s="331"/>
      <c r="AH1033" s="331"/>
    </row>
    <row r="1034" spans="1:34" s="479" customFormat="1" ht="16.5" customHeight="1" thickBot="1">
      <c r="A1034" s="257" t="s">
        <v>794</v>
      </c>
      <c r="B1034" s="174" t="s">
        <v>1050</v>
      </c>
      <c r="C1034" s="1552">
        <v>38</v>
      </c>
      <c r="D1034" s="1553"/>
      <c r="E1034" s="1417">
        <v>38</v>
      </c>
      <c r="F1034" s="1418"/>
      <c r="G1034" s="1417">
        <v>38</v>
      </c>
      <c r="H1034" s="1418"/>
      <c r="I1034" s="1417">
        <v>38</v>
      </c>
      <c r="J1034" s="1418"/>
      <c r="K1034" s="1275">
        <v>38</v>
      </c>
      <c r="L1034" s="1277"/>
      <c r="M1034" s="673"/>
      <c r="N1034" s="674"/>
      <c r="O1034" s="331"/>
      <c r="P1034" s="331"/>
      <c r="Q1034" s="331"/>
      <c r="R1034" s="331"/>
      <c r="S1034" s="331"/>
      <c r="T1034" s="331"/>
      <c r="U1034" s="331"/>
      <c r="V1034" s="331"/>
      <c r="W1034" s="331"/>
      <c r="X1034" s="331"/>
      <c r="Y1034" s="331"/>
      <c r="Z1034" s="331"/>
      <c r="AA1034" s="331"/>
      <c r="AB1034" s="331"/>
      <c r="AC1034" s="331"/>
      <c r="AD1034" s="331"/>
      <c r="AE1034" s="331"/>
      <c r="AF1034" s="331"/>
      <c r="AG1034" s="331"/>
      <c r="AH1034" s="331"/>
    </row>
    <row r="1035" spans="1:34" s="777" customFormat="1" ht="15.75" thickTop="1">
      <c r="A1035" s="1401"/>
      <c r="B1035" s="1402"/>
      <c r="C1035" s="1307"/>
      <c r="D1035" s="1307"/>
      <c r="E1035" s="1402"/>
      <c r="F1035" s="1402"/>
      <c r="G1035" s="1402"/>
      <c r="H1035" s="1402"/>
      <c r="I1035" s="1402"/>
      <c r="J1035" s="1402"/>
      <c r="K1035" s="775"/>
      <c r="L1035" s="775"/>
      <c r="M1035" s="335"/>
      <c r="N1035" s="331"/>
      <c r="O1035" s="331"/>
      <c r="P1035" s="331"/>
      <c r="Q1035" s="331"/>
      <c r="R1035" s="331"/>
      <c r="S1035" s="331"/>
      <c r="T1035" s="331"/>
      <c r="U1035" s="331"/>
      <c r="V1035" s="331"/>
      <c r="W1035" s="331"/>
      <c r="X1035" s="331"/>
      <c r="Y1035" s="331"/>
      <c r="Z1035" s="331"/>
      <c r="AA1035" s="331"/>
      <c r="AB1035" s="331"/>
      <c r="AC1035" s="331"/>
      <c r="AD1035" s="331"/>
      <c r="AE1035" s="331"/>
      <c r="AF1035" s="331"/>
      <c r="AG1035" s="331"/>
      <c r="AH1035" s="331"/>
    </row>
    <row r="1036" spans="1:34" s="654" customFormat="1" ht="18" customHeight="1">
      <c r="A1036" s="907" t="s">
        <v>1051</v>
      </c>
      <c r="B1036" s="908"/>
      <c r="C1036" s="907"/>
      <c r="D1036" s="907"/>
      <c r="E1036" s="907"/>
      <c r="F1036" s="907"/>
      <c r="G1036" s="907"/>
      <c r="H1036" s="907"/>
      <c r="I1036" s="907"/>
      <c r="J1036" s="907"/>
      <c r="K1036" s="909"/>
      <c r="L1036" s="909"/>
      <c r="M1036" s="631"/>
      <c r="N1036" s="631"/>
      <c r="O1036" s="939"/>
      <c r="P1036" s="939"/>
      <c r="Q1036" s="939"/>
      <c r="R1036" s="939"/>
      <c r="S1036" s="939"/>
      <c r="T1036" s="939"/>
      <c r="U1036" s="939"/>
      <c r="V1036" s="939"/>
      <c r="W1036" s="939"/>
      <c r="X1036" s="939"/>
      <c r="Y1036" s="939"/>
      <c r="Z1036" s="939"/>
      <c r="AA1036" s="939"/>
      <c r="AB1036" s="939"/>
      <c r="AC1036" s="939"/>
      <c r="AD1036" s="939"/>
      <c r="AE1036" s="939"/>
      <c r="AF1036" s="939"/>
      <c r="AG1036" s="939"/>
      <c r="AH1036" s="939"/>
    </row>
    <row r="1037" spans="1:34" s="479" customFormat="1" ht="17.25" customHeight="1" thickBot="1">
      <c r="A1037" s="710"/>
      <c r="B1037" s="711"/>
      <c r="C1037" s="74"/>
      <c r="D1037" s="74"/>
      <c r="E1037" s="74"/>
      <c r="F1037" s="74"/>
      <c r="G1037" s="74"/>
      <c r="H1037" s="74"/>
      <c r="I1037" s="74"/>
      <c r="J1037" s="74"/>
      <c r="K1037" s="94"/>
      <c r="L1037" s="94"/>
      <c r="M1037" s="673"/>
      <c r="N1037" s="674"/>
      <c r="O1037" s="331"/>
      <c r="P1037" s="331"/>
      <c r="Q1037" s="331"/>
      <c r="R1037" s="331"/>
      <c r="S1037" s="331"/>
      <c r="T1037" s="331"/>
      <c r="U1037" s="331"/>
      <c r="V1037" s="331"/>
      <c r="W1037" s="331"/>
      <c r="X1037" s="331"/>
      <c r="Y1037" s="331"/>
      <c r="Z1037" s="331"/>
      <c r="AA1037" s="331"/>
      <c r="AB1037" s="331"/>
      <c r="AC1037" s="331"/>
      <c r="AD1037" s="331"/>
      <c r="AE1037" s="331"/>
      <c r="AF1037" s="331"/>
      <c r="AG1037" s="331"/>
      <c r="AH1037" s="331"/>
    </row>
    <row r="1038" spans="1:41" s="672" customFormat="1" ht="21" customHeight="1" thickTop="1">
      <c r="A1038" s="746" t="s">
        <v>43</v>
      </c>
      <c r="B1038" s="814" t="s">
        <v>961</v>
      </c>
      <c r="C1038" s="747" t="s">
        <v>1048</v>
      </c>
      <c r="D1038" s="748"/>
      <c r="E1038" s="749" t="s">
        <v>1049</v>
      </c>
      <c r="F1038" s="750"/>
      <c r="G1038" s="749" t="s">
        <v>880</v>
      </c>
      <c r="H1038" s="750"/>
      <c r="I1038" s="1273" t="s">
        <v>881</v>
      </c>
      <c r="J1038" s="1274"/>
      <c r="K1038" s="1273" t="s">
        <v>882</v>
      </c>
      <c r="L1038" s="1274"/>
      <c r="M1038" s="855"/>
      <c r="N1038" s="855"/>
      <c r="O1038" s="331"/>
      <c r="P1038" s="331"/>
      <c r="Q1038" s="331"/>
      <c r="R1038" s="331"/>
      <c r="S1038" s="331"/>
      <c r="T1038" s="331"/>
      <c r="U1038" s="331"/>
      <c r="V1038" s="331"/>
      <c r="W1038" s="331"/>
      <c r="X1038" s="331"/>
      <c r="Y1038" s="331"/>
      <c r="Z1038" s="331"/>
      <c r="AA1038" s="331"/>
      <c r="AB1038" s="331"/>
      <c r="AC1038" s="331"/>
      <c r="AD1038" s="331"/>
      <c r="AE1038" s="331"/>
      <c r="AF1038" s="331"/>
      <c r="AG1038" s="331"/>
      <c r="AH1038" s="331"/>
      <c r="AI1038" s="331"/>
      <c r="AJ1038" s="331"/>
      <c r="AK1038" s="331"/>
      <c r="AL1038" s="331"/>
      <c r="AM1038" s="331"/>
      <c r="AN1038" s="331"/>
      <c r="AO1038" s="331"/>
    </row>
    <row r="1039" spans="1:34" s="479" customFormat="1" ht="15" customHeight="1">
      <c r="A1039" s="137" t="s">
        <v>602</v>
      </c>
      <c r="B1039" s="138" t="s">
        <v>76</v>
      </c>
      <c r="C1039" s="1266">
        <f>CEILING(60*$Z$1,0.1)</f>
        <v>75</v>
      </c>
      <c r="D1039" s="1267"/>
      <c r="E1039" s="1268">
        <f>CEILING(80*$Z$1,0.1)</f>
        <v>100</v>
      </c>
      <c r="F1039" s="1269"/>
      <c r="G1039" s="1268">
        <f>CEILING(60*$Z$1,0.1)</f>
        <v>75</v>
      </c>
      <c r="H1039" s="1269"/>
      <c r="I1039" s="1268">
        <f>CEILING(70*$Z$1,0.1)</f>
        <v>87.5</v>
      </c>
      <c r="J1039" s="1269"/>
      <c r="K1039" s="1268">
        <f>CEILING(60*$Z$1,0.1)</f>
        <v>75</v>
      </c>
      <c r="L1039" s="1270"/>
      <c r="M1039" s="403"/>
      <c r="N1039" s="674"/>
      <c r="O1039" s="331"/>
      <c r="P1039" s="331"/>
      <c r="Q1039" s="331"/>
      <c r="R1039" s="331"/>
      <c r="S1039" s="331"/>
      <c r="T1039" s="331"/>
      <c r="U1039" s="331"/>
      <c r="V1039" s="331"/>
      <c r="W1039" s="331"/>
      <c r="X1039" s="331"/>
      <c r="Y1039" s="331"/>
      <c r="Z1039" s="331"/>
      <c r="AA1039" s="331"/>
      <c r="AB1039" s="331"/>
      <c r="AC1039" s="331"/>
      <c r="AD1039" s="331"/>
      <c r="AE1039" s="331"/>
      <c r="AF1039" s="331"/>
      <c r="AG1039" s="331"/>
      <c r="AH1039" s="331"/>
    </row>
    <row r="1040" spans="1:34" s="479" customFormat="1" ht="15" customHeight="1">
      <c r="A1040" s="139" t="s">
        <v>45</v>
      </c>
      <c r="B1040" s="138" t="s">
        <v>77</v>
      </c>
      <c r="C1040" s="1268">
        <f>CEILING((C1039+20*$Z$1),0.1)</f>
        <v>100</v>
      </c>
      <c r="D1040" s="1270"/>
      <c r="E1040" s="1268">
        <f>CEILING((E1039+20*$Z$1),0.1)</f>
        <v>125</v>
      </c>
      <c r="F1040" s="1270"/>
      <c r="G1040" s="1268">
        <f>CEILING((G1039+20*$Z$1),0.1)</f>
        <v>100</v>
      </c>
      <c r="H1040" s="1270"/>
      <c r="I1040" s="1268">
        <f>CEILING((I1039+20*$Z$1),0.1)</f>
        <v>112.5</v>
      </c>
      <c r="J1040" s="1270"/>
      <c r="K1040" s="1268">
        <f>CEILING((K1039+20*$Z$1),0.1)</f>
        <v>100</v>
      </c>
      <c r="L1040" s="1270"/>
      <c r="M1040" s="403"/>
      <c r="N1040" s="674"/>
      <c r="O1040" s="331"/>
      <c r="P1040" s="331"/>
      <c r="Q1040" s="331"/>
      <c r="R1040" s="331"/>
      <c r="S1040" s="331"/>
      <c r="T1040" s="331"/>
      <c r="U1040" s="331"/>
      <c r="V1040" s="331"/>
      <c r="W1040" s="331"/>
      <c r="X1040" s="331"/>
      <c r="Y1040" s="331"/>
      <c r="Z1040" s="331"/>
      <c r="AA1040" s="331"/>
      <c r="AB1040" s="331"/>
      <c r="AC1040" s="331"/>
      <c r="AD1040" s="331"/>
      <c r="AE1040" s="331"/>
      <c r="AF1040" s="331"/>
      <c r="AG1040" s="331"/>
      <c r="AH1040" s="331"/>
    </row>
    <row r="1041" spans="1:34" s="479" customFormat="1" ht="15" customHeight="1">
      <c r="A1041" s="657"/>
      <c r="B1041" s="12" t="s">
        <v>107</v>
      </c>
      <c r="C1041" s="1268">
        <f>CEILING((C1039*0),0.1)</f>
        <v>0</v>
      </c>
      <c r="D1041" s="1270"/>
      <c r="E1041" s="1268">
        <f>CEILING((E1039*0.5),0.1)</f>
        <v>50</v>
      </c>
      <c r="F1041" s="1270"/>
      <c r="G1041" s="1268">
        <f>CEILING((G1039*0),0.1)</f>
        <v>0</v>
      </c>
      <c r="H1041" s="1270"/>
      <c r="I1041" s="1268">
        <f>CEILING((I1039*0),0.1)</f>
        <v>0</v>
      </c>
      <c r="J1041" s="1270"/>
      <c r="K1041" s="1268">
        <f>CEILING((K1039*0),0.1)</f>
        <v>0</v>
      </c>
      <c r="L1041" s="1270"/>
      <c r="M1041" s="403"/>
      <c r="N1041" s="674"/>
      <c r="O1041" s="331"/>
      <c r="P1041" s="331"/>
      <c r="Q1041" s="331"/>
      <c r="R1041" s="331"/>
      <c r="S1041" s="331"/>
      <c r="T1041" s="331"/>
      <c r="U1041" s="331"/>
      <c r="V1041" s="331"/>
      <c r="W1041" s="331"/>
      <c r="X1041" s="331"/>
      <c r="Y1041" s="331"/>
      <c r="Z1041" s="331"/>
      <c r="AA1041" s="331"/>
      <c r="AB1041" s="331"/>
      <c r="AC1041" s="331"/>
      <c r="AD1041" s="331"/>
      <c r="AE1041" s="331"/>
      <c r="AF1041" s="331"/>
      <c r="AG1041" s="331"/>
      <c r="AH1041" s="331"/>
    </row>
    <row r="1042" spans="1:25" s="479" customFormat="1" ht="16.5" customHeight="1">
      <c r="A1042" s="140"/>
      <c r="B1042" s="143" t="s">
        <v>805</v>
      </c>
      <c r="C1042" s="1268">
        <f>CEILING(70*$Z$1,0.1)</f>
        <v>87.5</v>
      </c>
      <c r="D1042" s="1270"/>
      <c r="E1042" s="1268">
        <f>CEILING(90*$Z$1,0.1)</f>
        <v>112.5</v>
      </c>
      <c r="F1042" s="1270"/>
      <c r="G1042" s="1268">
        <f>CEILING(70*$Z$1,0.1)</f>
        <v>87.5</v>
      </c>
      <c r="H1042" s="1270"/>
      <c r="I1042" s="1268">
        <f>CEILING(80*$Z$1,0.1)</f>
        <v>100</v>
      </c>
      <c r="J1042" s="1270"/>
      <c r="K1042" s="1268">
        <f>CEILING(70*$Z$1,0.1)</f>
        <v>87.5</v>
      </c>
      <c r="L1042" s="1270"/>
      <c r="M1042" s="21"/>
      <c r="N1042" s="158"/>
      <c r="O1042" s="480"/>
      <c r="P1042" s="480"/>
      <c r="Q1042" s="480"/>
      <c r="R1042" s="480"/>
      <c r="S1042" s="480"/>
      <c r="T1042" s="480"/>
      <c r="U1042" s="480"/>
      <c r="V1042" s="480"/>
      <c r="W1042" s="480"/>
      <c r="X1042" s="480"/>
      <c r="Y1042" s="480"/>
    </row>
    <row r="1043" spans="1:25" s="479" customFormat="1" ht="16.5" customHeight="1" thickBot="1">
      <c r="A1043" s="257" t="s">
        <v>794</v>
      </c>
      <c r="B1043" s="174" t="s">
        <v>806</v>
      </c>
      <c r="C1043" s="1275">
        <f>CEILING((C1042+20*$Z$1),0.1)</f>
        <v>112.5</v>
      </c>
      <c r="D1043" s="1277"/>
      <c r="E1043" s="1275">
        <f>CEILING((E1042+20*$Z$1),0.1)</f>
        <v>137.5</v>
      </c>
      <c r="F1043" s="1277"/>
      <c r="G1043" s="1275">
        <f>CEILING((G1042+20*$Z$1),0.1)</f>
        <v>112.5</v>
      </c>
      <c r="H1043" s="1277"/>
      <c r="I1043" s="1275">
        <f>CEILING((I1042+20*$Z$1),0.1)</f>
        <v>125</v>
      </c>
      <c r="J1043" s="1277"/>
      <c r="K1043" s="1275">
        <f>CEILING((K1042+20*$Z$1),0.1)</f>
        <v>112.5</v>
      </c>
      <c r="L1043" s="1277"/>
      <c r="M1043" s="16"/>
      <c r="N1043" s="158"/>
      <c r="O1043" s="480"/>
      <c r="P1043" s="480"/>
      <c r="Q1043" s="480"/>
      <c r="R1043" s="480"/>
      <c r="S1043" s="480"/>
      <c r="T1043" s="480"/>
      <c r="U1043" s="480"/>
      <c r="V1043" s="480"/>
      <c r="W1043" s="480"/>
      <c r="X1043" s="480"/>
      <c r="Y1043" s="480"/>
    </row>
    <row r="1044" spans="1:25" s="479" customFormat="1" ht="16.5" customHeight="1" thickTop="1">
      <c r="A1044" s="387" t="s">
        <v>1079</v>
      </c>
      <c r="B1044" s="148"/>
      <c r="C1044" s="857"/>
      <c r="D1044" s="857"/>
      <c r="E1044" s="857"/>
      <c r="F1044" s="857"/>
      <c r="G1044" s="857"/>
      <c r="H1044" s="857"/>
      <c r="I1044" s="857"/>
      <c r="J1044" s="857"/>
      <c r="K1044" s="333"/>
      <c r="L1044" s="333"/>
      <c r="M1044" s="16"/>
      <c r="N1044" s="158"/>
      <c r="O1044" s="480"/>
      <c r="P1044" s="480"/>
      <c r="Q1044" s="480"/>
      <c r="R1044" s="480"/>
      <c r="S1044" s="480"/>
      <c r="T1044" s="480"/>
      <c r="U1044" s="480"/>
      <c r="V1044" s="480"/>
      <c r="W1044" s="480"/>
      <c r="X1044" s="480"/>
      <c r="Y1044" s="480"/>
    </row>
    <row r="1045" spans="1:34" s="777" customFormat="1" ht="15">
      <c r="A1045" s="1306"/>
      <c r="B1045" s="1307"/>
      <c r="C1045" s="1307"/>
      <c r="D1045" s="1307"/>
      <c r="E1045" s="1307"/>
      <c r="F1045" s="1307"/>
      <c r="G1045" s="1307"/>
      <c r="H1045" s="1307"/>
      <c r="I1045" s="1307"/>
      <c r="J1045" s="1307"/>
      <c r="K1045" s="775"/>
      <c r="L1045" s="775"/>
      <c r="M1045" s="335"/>
      <c r="N1045" s="335"/>
      <c r="O1045" s="335"/>
      <c r="P1045" s="335"/>
      <c r="Q1045" s="335"/>
      <c r="R1045" s="335"/>
      <c r="S1045" s="335"/>
      <c r="T1045" s="335"/>
      <c r="U1045" s="335"/>
      <c r="V1045" s="335"/>
      <c r="W1045" s="335"/>
      <c r="X1045" s="335"/>
      <c r="Y1045" s="335"/>
      <c r="Z1045" s="335"/>
      <c r="AA1045" s="335"/>
      <c r="AB1045" s="335"/>
      <c r="AC1045" s="335"/>
      <c r="AD1045" s="335"/>
      <c r="AE1045" s="335"/>
      <c r="AF1045" s="335"/>
      <c r="AG1045" s="335"/>
      <c r="AH1045" s="335"/>
    </row>
    <row r="1046" spans="1:34" s="479" customFormat="1" ht="18" customHeight="1">
      <c r="A1046" s="172"/>
      <c r="B1046" s="858"/>
      <c r="C1046" s="22"/>
      <c r="D1046" s="22"/>
      <c r="E1046" s="22"/>
      <c r="F1046" s="22"/>
      <c r="G1046" s="22"/>
      <c r="H1046" s="22"/>
      <c r="I1046" s="22"/>
      <c r="J1046" s="22"/>
      <c r="K1046" s="166"/>
      <c r="L1046" s="166"/>
      <c r="M1046" s="855"/>
      <c r="N1046" s="855"/>
      <c r="O1046" s="331"/>
      <c r="P1046" s="331"/>
      <c r="Q1046" s="331"/>
      <c r="R1046" s="331"/>
      <c r="S1046" s="331"/>
      <c r="T1046" s="331"/>
      <c r="U1046" s="331"/>
      <c r="V1046" s="331"/>
      <c r="W1046" s="331"/>
      <c r="X1046" s="331"/>
      <c r="Y1046" s="331"/>
      <c r="Z1046" s="331"/>
      <c r="AA1046" s="331"/>
      <c r="AB1046" s="331"/>
      <c r="AC1046" s="331"/>
      <c r="AD1046" s="331"/>
      <c r="AE1046" s="331"/>
      <c r="AF1046" s="331"/>
      <c r="AG1046" s="331"/>
      <c r="AH1046" s="331"/>
    </row>
    <row r="1047" spans="1:34" s="479" customFormat="1" ht="16.5" customHeight="1" thickBot="1">
      <c r="A1047" s="387"/>
      <c r="B1047" s="148"/>
      <c r="C1047" s="74"/>
      <c r="D1047" s="74"/>
      <c r="E1047" s="74"/>
      <c r="F1047" s="74"/>
      <c r="G1047" s="74"/>
      <c r="H1047" s="74"/>
      <c r="I1047" s="74"/>
      <c r="J1047" s="74"/>
      <c r="K1047" s="313"/>
      <c r="L1047" s="313"/>
      <c r="M1047" s="342"/>
      <c r="N1047" s="389"/>
      <c r="O1047" s="335"/>
      <c r="P1047" s="335"/>
      <c r="Q1047" s="335"/>
      <c r="R1047" s="335"/>
      <c r="S1047" s="335"/>
      <c r="T1047" s="335"/>
      <c r="U1047" s="335"/>
      <c r="V1047" s="335"/>
      <c r="W1047" s="335"/>
      <c r="X1047" s="335"/>
      <c r="Y1047" s="335"/>
      <c r="Z1047" s="335"/>
      <c r="AA1047" s="335"/>
      <c r="AB1047" s="335"/>
      <c r="AC1047" s="335"/>
      <c r="AD1047" s="335"/>
      <c r="AE1047" s="335"/>
      <c r="AF1047" s="335"/>
      <c r="AG1047" s="335"/>
      <c r="AH1047" s="335"/>
    </row>
    <row r="1048" spans="1:71" s="664" customFormat="1" ht="21" customHeight="1" thickTop="1">
      <c r="A1048" s="746" t="s">
        <v>43</v>
      </c>
      <c r="B1048" s="814" t="s">
        <v>961</v>
      </c>
      <c r="C1048" s="747" t="s">
        <v>884</v>
      </c>
      <c r="D1048" s="748"/>
      <c r="E1048" s="749" t="s">
        <v>933</v>
      </c>
      <c r="F1048" s="750"/>
      <c r="G1048" s="749" t="s">
        <v>934</v>
      </c>
      <c r="H1048" s="750"/>
      <c r="I1048" s="1273" t="s">
        <v>1263</v>
      </c>
      <c r="J1048" s="1274"/>
      <c r="K1048" s="1273" t="s">
        <v>882</v>
      </c>
      <c r="L1048" s="1274"/>
      <c r="M1048" s="1156"/>
      <c r="N1048" s="1156"/>
      <c r="O1048" s="335"/>
      <c r="P1048" s="335"/>
      <c r="Q1048" s="335"/>
      <c r="R1048" s="335"/>
      <c r="S1048" s="335"/>
      <c r="T1048" s="335"/>
      <c r="U1048" s="335"/>
      <c r="V1048" s="335"/>
      <c r="W1048" s="335"/>
      <c r="X1048" s="335"/>
      <c r="Y1048" s="335"/>
      <c r="Z1048" s="335"/>
      <c r="AA1048" s="335"/>
      <c r="AB1048" s="335"/>
      <c r="AC1048" s="335"/>
      <c r="AD1048" s="335"/>
      <c r="AE1048" s="335"/>
      <c r="AF1048" s="335"/>
      <c r="AG1048" s="335"/>
      <c r="AH1048" s="335"/>
      <c r="AI1048" s="335"/>
      <c r="AJ1048" s="335"/>
      <c r="AK1048" s="335"/>
      <c r="AL1048" s="335"/>
      <c r="AM1048" s="335"/>
      <c r="AN1048" s="335"/>
      <c r="AO1048" s="335"/>
      <c r="AP1048" s="335"/>
      <c r="AQ1048" s="335"/>
      <c r="AR1048" s="335"/>
      <c r="AS1048" s="335"/>
      <c r="AT1048" s="335"/>
      <c r="AU1048" s="335"/>
      <c r="AV1048" s="335"/>
      <c r="AW1048" s="335"/>
      <c r="AX1048" s="335"/>
      <c r="AY1048" s="335"/>
      <c r="AZ1048" s="335"/>
      <c r="BA1048" s="335"/>
      <c r="BB1048" s="335"/>
      <c r="BC1048" s="335"/>
      <c r="BD1048" s="335"/>
      <c r="BE1048" s="335"/>
      <c r="BF1048" s="335"/>
      <c r="BG1048" s="335"/>
      <c r="BH1048" s="335"/>
      <c r="BI1048" s="335"/>
      <c r="BJ1048" s="335"/>
      <c r="BK1048" s="335"/>
      <c r="BL1048" s="335"/>
      <c r="BM1048" s="335"/>
      <c r="BN1048" s="335"/>
      <c r="BO1048" s="335"/>
      <c r="BP1048" s="335"/>
      <c r="BQ1048" s="335"/>
      <c r="BR1048" s="335"/>
      <c r="BS1048" s="335"/>
    </row>
    <row r="1049" spans="1:34" ht="15" customHeight="1">
      <c r="A1049" s="137" t="s">
        <v>798</v>
      </c>
      <c r="B1049" s="213" t="s">
        <v>799</v>
      </c>
      <c r="C1049" s="1266">
        <f>CEILING(52*$Z$1,0.1)</f>
        <v>65</v>
      </c>
      <c r="D1049" s="1267"/>
      <c r="E1049" s="1266">
        <f>CEILING(85*$Z$1,0.1)</f>
        <v>106.30000000000001</v>
      </c>
      <c r="F1049" s="1267"/>
      <c r="G1049" s="1266">
        <f>CEILING(71*$Z$1,0.1)</f>
        <v>88.80000000000001</v>
      </c>
      <c r="H1049" s="1267"/>
      <c r="I1049" s="1266">
        <f>CEILING(77*$Z$1,0.1)</f>
        <v>96.30000000000001</v>
      </c>
      <c r="J1049" s="1267"/>
      <c r="K1049" s="1266">
        <f>CEILING(65*$Z$1,0.1)</f>
        <v>81.30000000000001</v>
      </c>
      <c r="L1049" s="1267"/>
      <c r="M1049" s="342"/>
      <c r="N1049" s="389"/>
      <c r="O1049" s="335"/>
      <c r="P1049" s="335"/>
      <c r="Q1049" s="335"/>
      <c r="R1049" s="335"/>
      <c r="S1049" s="335"/>
      <c r="T1049" s="335"/>
      <c r="U1049" s="335"/>
      <c r="V1049" s="335"/>
      <c r="W1049" s="335"/>
      <c r="X1049" s="335"/>
      <c r="Y1049" s="335"/>
      <c r="Z1049" s="335"/>
      <c r="AA1049" s="335"/>
      <c r="AB1049" s="335"/>
      <c r="AC1049" s="335"/>
      <c r="AD1049" s="335"/>
      <c r="AE1049" s="335"/>
      <c r="AF1049" s="335"/>
      <c r="AG1049" s="335"/>
      <c r="AH1049" s="335"/>
    </row>
    <row r="1050" spans="1:34" ht="15" customHeight="1">
      <c r="A1050" s="139" t="s">
        <v>45</v>
      </c>
      <c r="B1050" s="138" t="s">
        <v>800</v>
      </c>
      <c r="C1050" s="1268">
        <f>CEILING((C1049+10*$Z$1),0.1)</f>
        <v>77.5</v>
      </c>
      <c r="D1050" s="1270"/>
      <c r="E1050" s="1268">
        <f>CEILING((E1049+15*$Z$1),0.1)</f>
        <v>125.10000000000001</v>
      </c>
      <c r="F1050" s="1270"/>
      <c r="G1050" s="1268">
        <f>CEILING((G1049+15*$Z$1),0.1)</f>
        <v>107.60000000000001</v>
      </c>
      <c r="H1050" s="1270"/>
      <c r="I1050" s="1268">
        <f>CEILING((I1049+15*$Z$1),0.1)</f>
        <v>115.10000000000001</v>
      </c>
      <c r="J1050" s="1270"/>
      <c r="K1050" s="1268">
        <f>CEILING((K1049+10*$Z$1),0.1)</f>
        <v>93.80000000000001</v>
      </c>
      <c r="L1050" s="1270"/>
      <c r="M1050" s="342"/>
      <c r="N1050" s="389"/>
      <c r="O1050" s="335"/>
      <c r="P1050" s="335"/>
      <c r="Q1050" s="335"/>
      <c r="R1050" s="335"/>
      <c r="S1050" s="335"/>
      <c r="T1050" s="335"/>
      <c r="U1050" s="335"/>
      <c r="V1050" s="335"/>
      <c r="W1050" s="335"/>
      <c r="X1050" s="335"/>
      <c r="Y1050" s="335"/>
      <c r="Z1050" s="335"/>
      <c r="AA1050" s="335"/>
      <c r="AB1050" s="335"/>
      <c r="AC1050" s="335"/>
      <c r="AD1050" s="335"/>
      <c r="AE1050" s="335"/>
      <c r="AF1050" s="335"/>
      <c r="AG1050" s="335"/>
      <c r="AH1050" s="335"/>
    </row>
    <row r="1051" spans="1:34" ht="15" customHeight="1">
      <c r="A1051" s="140"/>
      <c r="B1051" s="141" t="s">
        <v>47</v>
      </c>
      <c r="C1051" s="1268">
        <f>CEILING((C1049*0.85),0.1)</f>
        <v>55.300000000000004</v>
      </c>
      <c r="D1051" s="1270"/>
      <c r="E1051" s="1268">
        <f>CEILING((E1049*0.85),0.1)</f>
        <v>90.4</v>
      </c>
      <c r="F1051" s="1270"/>
      <c r="G1051" s="1268">
        <f>CEILING((G1049*0.85),0.1)</f>
        <v>75.5</v>
      </c>
      <c r="H1051" s="1270"/>
      <c r="I1051" s="1268">
        <f>CEILING((I1049*0.85),0.1)</f>
        <v>81.9</v>
      </c>
      <c r="J1051" s="1270"/>
      <c r="K1051" s="1268">
        <f>CEILING((K1049*0.85),0.1)</f>
        <v>69.2</v>
      </c>
      <c r="L1051" s="1270"/>
      <c r="M1051" s="342"/>
      <c r="N1051" s="389"/>
      <c r="O1051" s="335"/>
      <c r="P1051" s="335"/>
      <c r="Q1051" s="335"/>
      <c r="R1051" s="335"/>
      <c r="S1051" s="335"/>
      <c r="T1051" s="335"/>
      <c r="U1051" s="335"/>
      <c r="V1051" s="335"/>
      <c r="W1051" s="335"/>
      <c r="X1051" s="335"/>
      <c r="Y1051" s="335"/>
      <c r="Z1051" s="335"/>
      <c r="AA1051" s="335"/>
      <c r="AB1051" s="335"/>
      <c r="AC1051" s="335"/>
      <c r="AD1051" s="335"/>
      <c r="AE1051" s="335"/>
      <c r="AF1051" s="335"/>
      <c r="AG1051" s="335"/>
      <c r="AH1051" s="335"/>
    </row>
    <row r="1052" spans="1:34" ht="15" customHeight="1">
      <c r="A1052" s="284"/>
      <c r="B1052" s="12" t="s">
        <v>801</v>
      </c>
      <c r="C1052" s="1268">
        <f>CEILING((C1050*0),0.1)</f>
        <v>0</v>
      </c>
      <c r="D1052" s="1270"/>
      <c r="E1052" s="1268">
        <f>CEILING((E1050*0),0.1)</f>
        <v>0</v>
      </c>
      <c r="F1052" s="1270"/>
      <c r="G1052" s="1268">
        <f>CEILING((G1050*0),0.1)</f>
        <v>0</v>
      </c>
      <c r="H1052" s="1270"/>
      <c r="I1052" s="1268">
        <f>CEILING((I1050*0),0.1)</f>
        <v>0</v>
      </c>
      <c r="J1052" s="1270"/>
      <c r="K1052" s="1268">
        <f>CEILING((K1050*0),0.1)</f>
        <v>0</v>
      </c>
      <c r="L1052" s="1270"/>
      <c r="M1052" s="342"/>
      <c r="N1052" s="389"/>
      <c r="O1052" s="335"/>
      <c r="P1052" s="335"/>
      <c r="Q1052" s="335"/>
      <c r="R1052" s="335"/>
      <c r="S1052" s="335"/>
      <c r="T1052" s="335"/>
      <c r="U1052" s="335"/>
      <c r="V1052" s="335"/>
      <c r="W1052" s="335"/>
      <c r="X1052" s="335"/>
      <c r="Y1052" s="335"/>
      <c r="Z1052" s="335"/>
      <c r="AA1052" s="335"/>
      <c r="AB1052" s="335"/>
      <c r="AC1052" s="335"/>
      <c r="AD1052" s="335"/>
      <c r="AE1052" s="335"/>
      <c r="AF1052" s="335"/>
      <c r="AG1052" s="335"/>
      <c r="AH1052" s="335"/>
    </row>
    <row r="1053" spans="1:34" ht="16.5" customHeight="1">
      <c r="A1053" s="140"/>
      <c r="B1053" s="143" t="s">
        <v>803</v>
      </c>
      <c r="C1053" s="1268">
        <f>CEILING(62*$Z$1,0.1)</f>
        <v>77.5</v>
      </c>
      <c r="D1053" s="1270"/>
      <c r="E1053" s="1268">
        <f>CEILING(95*$Z$1,0.1)</f>
        <v>118.80000000000001</v>
      </c>
      <c r="F1053" s="1270"/>
      <c r="G1053" s="1268">
        <f>CEILING(81*$Z$1,0.1)</f>
        <v>101.30000000000001</v>
      </c>
      <c r="H1053" s="1270"/>
      <c r="I1053" s="1268">
        <f>CEILING(87*$Z$1,0.1)</f>
        <v>108.80000000000001</v>
      </c>
      <c r="J1053" s="1270"/>
      <c r="K1053" s="1268">
        <f>CEILING(75*$Z$1,0.1)</f>
        <v>93.80000000000001</v>
      </c>
      <c r="L1053" s="1270"/>
      <c r="M1053" s="342"/>
      <c r="N1053" s="389"/>
      <c r="O1053" s="335"/>
      <c r="P1053" s="335"/>
      <c r="Q1053" s="335"/>
      <c r="R1053" s="335"/>
      <c r="S1053" s="335"/>
      <c r="T1053" s="335"/>
      <c r="U1053" s="335"/>
      <c r="V1053" s="335"/>
      <c r="W1053" s="335"/>
      <c r="X1053" s="335"/>
      <c r="Y1053" s="335"/>
      <c r="Z1053" s="335"/>
      <c r="AA1053" s="335"/>
      <c r="AB1053" s="335"/>
      <c r="AC1053" s="335"/>
      <c r="AD1053" s="335"/>
      <c r="AE1053" s="335"/>
      <c r="AF1053" s="335"/>
      <c r="AG1053" s="335"/>
      <c r="AH1053" s="335"/>
    </row>
    <row r="1054" spans="1:34" ht="16.5" customHeight="1" thickBot="1">
      <c r="A1054" s="257" t="s">
        <v>802</v>
      </c>
      <c r="B1054" s="174" t="s">
        <v>804</v>
      </c>
      <c r="C1054" s="1275">
        <f>CEILING((C1053+10*$Z$1),0.1)</f>
        <v>90</v>
      </c>
      <c r="D1054" s="1277"/>
      <c r="E1054" s="1275">
        <f>CEILING((E1053+15*$Z$1),0.1)</f>
        <v>137.6</v>
      </c>
      <c r="F1054" s="1277"/>
      <c r="G1054" s="1275">
        <f>CEILING((G1053+15*$Z$1),0.1)</f>
        <v>120.10000000000001</v>
      </c>
      <c r="H1054" s="1277"/>
      <c r="I1054" s="1275">
        <f>CEILING((I1053+15*$Z$1),0.1)</f>
        <v>127.60000000000001</v>
      </c>
      <c r="J1054" s="1277"/>
      <c r="K1054" s="1275">
        <f>CEILING((K1053+10*$Z$1),0.1)</f>
        <v>106.30000000000001</v>
      </c>
      <c r="L1054" s="1277"/>
      <c r="M1054" s="342"/>
      <c r="N1054" s="389"/>
      <c r="O1054" s="335"/>
      <c r="P1054" s="335"/>
      <c r="Q1054" s="335"/>
      <c r="R1054" s="335"/>
      <c r="S1054" s="335"/>
      <c r="T1054" s="335"/>
      <c r="U1054" s="335"/>
      <c r="V1054" s="335"/>
      <c r="W1054" s="335"/>
      <c r="X1054" s="335"/>
      <c r="Y1054" s="335"/>
      <c r="Z1054" s="335"/>
      <c r="AA1054" s="335"/>
      <c r="AB1054" s="335"/>
      <c r="AC1054" s="335"/>
      <c r="AD1054" s="335"/>
      <c r="AE1054" s="335"/>
      <c r="AF1054" s="335"/>
      <c r="AG1054" s="335"/>
      <c r="AH1054" s="335"/>
    </row>
    <row r="1055" spans="1:34" s="777" customFormat="1" ht="15.75" thickTop="1">
      <c r="A1055" s="1306"/>
      <c r="B1055" s="1307"/>
      <c r="C1055" s="1307"/>
      <c r="D1055" s="1307"/>
      <c r="E1055" s="1307"/>
      <c r="F1055" s="1307"/>
      <c r="G1055" s="1307"/>
      <c r="H1055" s="1307"/>
      <c r="I1055" s="1307"/>
      <c r="J1055" s="1307"/>
      <c r="K1055" s="775"/>
      <c r="L1055" s="775"/>
      <c r="M1055" s="335"/>
      <c r="N1055" s="335"/>
      <c r="O1055" s="335"/>
      <c r="P1055" s="335"/>
      <c r="Q1055" s="335"/>
      <c r="R1055" s="335"/>
      <c r="S1055" s="335"/>
      <c r="T1055" s="335"/>
      <c r="U1055" s="335"/>
      <c r="V1055" s="335"/>
      <c r="W1055" s="335"/>
      <c r="X1055" s="335"/>
      <c r="Y1055" s="335"/>
      <c r="Z1055" s="335"/>
      <c r="AA1055" s="335"/>
      <c r="AB1055" s="335"/>
      <c r="AC1055" s="335"/>
      <c r="AD1055" s="335"/>
      <c r="AE1055" s="335"/>
      <c r="AF1055" s="335"/>
      <c r="AG1055" s="335"/>
      <c r="AH1055" s="335"/>
    </row>
    <row r="1056" spans="1:34" s="479" customFormat="1" ht="18" customHeight="1">
      <c r="A1056" s="172"/>
      <c r="B1056" s="1158"/>
      <c r="C1056" s="22"/>
      <c r="D1056" s="22"/>
      <c r="E1056" s="22"/>
      <c r="F1056" s="22"/>
      <c r="G1056" s="22"/>
      <c r="H1056" s="22"/>
      <c r="I1056" s="22"/>
      <c r="J1056" s="22"/>
      <c r="K1056" s="166"/>
      <c r="L1056" s="166"/>
      <c r="M1056" s="1156"/>
      <c r="N1056" s="1156"/>
      <c r="O1056" s="331"/>
      <c r="P1056" s="331"/>
      <c r="Q1056" s="331"/>
      <c r="R1056" s="331"/>
      <c r="S1056" s="331"/>
      <c r="T1056" s="331"/>
      <c r="U1056" s="331"/>
      <c r="V1056" s="331"/>
      <c r="W1056" s="331"/>
      <c r="X1056" s="331"/>
      <c r="Y1056" s="331"/>
      <c r="Z1056" s="331"/>
      <c r="AA1056" s="331"/>
      <c r="AB1056" s="331"/>
      <c r="AC1056" s="331"/>
      <c r="AD1056" s="331"/>
      <c r="AE1056" s="331"/>
      <c r="AF1056" s="331"/>
      <c r="AG1056" s="331"/>
      <c r="AH1056" s="331"/>
    </row>
    <row r="1057" spans="1:34" s="479" customFormat="1" ht="18" customHeight="1">
      <c r="A1057" s="172"/>
      <c r="B1057" s="1158"/>
      <c r="C1057" s="22"/>
      <c r="D1057" s="22"/>
      <c r="E1057" s="22"/>
      <c r="F1057" s="22"/>
      <c r="G1057" s="22"/>
      <c r="H1057" s="22"/>
      <c r="I1057" s="22"/>
      <c r="J1057" s="22"/>
      <c r="K1057" s="166"/>
      <c r="L1057" s="166"/>
      <c r="M1057" s="1156"/>
      <c r="N1057" s="1156"/>
      <c r="O1057" s="331"/>
      <c r="P1057" s="331"/>
      <c r="Q1057" s="331"/>
      <c r="R1057" s="331"/>
      <c r="S1057" s="331"/>
      <c r="T1057" s="331"/>
      <c r="U1057" s="331"/>
      <c r="V1057" s="331"/>
      <c r="W1057" s="331"/>
      <c r="X1057" s="331"/>
      <c r="Y1057" s="331"/>
      <c r="Z1057" s="331"/>
      <c r="AA1057" s="331"/>
      <c r="AB1057" s="331"/>
      <c r="AC1057" s="331"/>
      <c r="AD1057" s="331"/>
      <c r="AE1057" s="331"/>
      <c r="AF1057" s="331"/>
      <c r="AG1057" s="331"/>
      <c r="AH1057" s="331"/>
    </row>
    <row r="1058" spans="1:34" s="331" customFormat="1" ht="15.75" thickBot="1">
      <c r="A1058" s="1157"/>
      <c r="B1058" s="1158"/>
      <c r="C1058" s="1158"/>
      <c r="D1058" s="1158"/>
      <c r="E1058" s="1158"/>
      <c r="F1058" s="1158"/>
      <c r="G1058" s="1158"/>
      <c r="H1058" s="1158"/>
      <c r="I1058" s="1158"/>
      <c r="J1058" s="1158"/>
      <c r="K1058" s="347"/>
      <c r="L1058" s="347"/>
      <c r="M1058" s="335"/>
      <c r="N1058" s="335"/>
      <c r="O1058" s="335"/>
      <c r="P1058" s="335"/>
      <c r="Q1058" s="335"/>
      <c r="R1058" s="335"/>
      <c r="S1058" s="335"/>
      <c r="T1058" s="335"/>
      <c r="U1058" s="335"/>
      <c r="V1058" s="335"/>
      <c r="W1058" s="335"/>
      <c r="X1058" s="335"/>
      <c r="Y1058" s="335"/>
      <c r="Z1058" s="335"/>
      <c r="AA1058" s="335"/>
      <c r="AB1058" s="335"/>
      <c r="AC1058" s="335"/>
      <c r="AD1058" s="335"/>
      <c r="AE1058" s="335"/>
      <c r="AF1058" s="335"/>
      <c r="AG1058" s="335"/>
      <c r="AH1058" s="335"/>
    </row>
    <row r="1059" spans="1:71" s="664" customFormat="1" ht="21" customHeight="1" thickTop="1">
      <c r="A1059" s="746" t="s">
        <v>43</v>
      </c>
      <c r="B1059" s="814" t="s">
        <v>961</v>
      </c>
      <c r="C1059" s="747" t="s">
        <v>884</v>
      </c>
      <c r="D1059" s="748"/>
      <c r="E1059" s="749" t="s">
        <v>911</v>
      </c>
      <c r="F1059" s="750"/>
      <c r="G1059" s="749" t="s">
        <v>912</v>
      </c>
      <c r="H1059" s="750"/>
      <c r="I1059" s="1273" t="s">
        <v>1095</v>
      </c>
      <c r="J1059" s="1274"/>
      <c r="K1059" s="1273" t="s">
        <v>1096</v>
      </c>
      <c r="L1059" s="1274"/>
      <c r="M1059" s="1016"/>
      <c r="N1059" s="1016"/>
      <c r="O1059" s="335"/>
      <c r="P1059" s="335"/>
      <c r="Q1059" s="335"/>
      <c r="R1059" s="335"/>
      <c r="S1059" s="335"/>
      <c r="T1059" s="335"/>
      <c r="U1059" s="335"/>
      <c r="V1059" s="335"/>
      <c r="W1059" s="335"/>
      <c r="X1059" s="335"/>
      <c r="Y1059" s="335"/>
      <c r="Z1059" s="335"/>
      <c r="AA1059" s="335"/>
      <c r="AB1059" s="335"/>
      <c r="AC1059" s="335"/>
      <c r="AD1059" s="335"/>
      <c r="AE1059" s="335"/>
      <c r="AF1059" s="335"/>
      <c r="AG1059" s="335"/>
      <c r="AH1059" s="335"/>
      <c r="AI1059" s="335"/>
      <c r="AJ1059" s="335"/>
      <c r="AK1059" s="335"/>
      <c r="AL1059" s="335"/>
      <c r="AM1059" s="335"/>
      <c r="AN1059" s="335"/>
      <c r="AO1059" s="335"/>
      <c r="AP1059" s="335"/>
      <c r="AQ1059" s="335"/>
      <c r="AR1059" s="335"/>
      <c r="AS1059" s="335"/>
      <c r="AT1059" s="335"/>
      <c r="AU1059" s="335"/>
      <c r="AV1059" s="335"/>
      <c r="AW1059" s="335"/>
      <c r="AX1059" s="335"/>
      <c r="AY1059" s="335"/>
      <c r="AZ1059" s="335"/>
      <c r="BA1059" s="335"/>
      <c r="BB1059" s="335"/>
      <c r="BC1059" s="335"/>
      <c r="BD1059" s="335"/>
      <c r="BE1059" s="335"/>
      <c r="BF1059" s="335"/>
      <c r="BG1059" s="335"/>
      <c r="BH1059" s="335"/>
      <c r="BI1059" s="335"/>
      <c r="BJ1059" s="335"/>
      <c r="BK1059" s="335"/>
      <c r="BL1059" s="335"/>
      <c r="BM1059" s="335"/>
      <c r="BN1059" s="335"/>
      <c r="BO1059" s="335"/>
      <c r="BP1059" s="335"/>
      <c r="BQ1059" s="335"/>
      <c r="BR1059" s="335"/>
      <c r="BS1059" s="335"/>
    </row>
    <row r="1060" spans="1:54" s="192" customFormat="1" ht="18.75" customHeight="1">
      <c r="A1060" s="198" t="s">
        <v>815</v>
      </c>
      <c r="B1060" s="179" t="s">
        <v>816</v>
      </c>
      <c r="C1060" s="1312">
        <f>CEILING(42*$Z$1,0.1)</f>
        <v>52.5</v>
      </c>
      <c r="D1060" s="1313"/>
      <c r="E1060" s="1312">
        <f>CEILING(66*$Z$1,0.1)</f>
        <v>82.5</v>
      </c>
      <c r="F1060" s="1313"/>
      <c r="G1060" s="1312">
        <f>CEILING(50*$Z$1,0.1)</f>
        <v>62.5</v>
      </c>
      <c r="H1060" s="1313"/>
      <c r="I1060" s="1312">
        <f>CEILING(52*$Z$1,0.1)</f>
        <v>65</v>
      </c>
      <c r="J1060" s="1313"/>
      <c r="K1060" s="1312">
        <f>CEILING(45*$Z$1,0.1)</f>
        <v>56.300000000000004</v>
      </c>
      <c r="L1060" s="1313"/>
      <c r="M1060" s="342"/>
      <c r="N1060" s="389"/>
      <c r="O1060" s="335"/>
      <c r="P1060" s="335"/>
      <c r="Q1060" s="335"/>
      <c r="R1060" s="335"/>
      <c r="S1060" s="335"/>
      <c r="T1060" s="335"/>
      <c r="U1060" s="335"/>
      <c r="V1060" s="335"/>
      <c r="W1060" s="335"/>
      <c r="X1060" s="335"/>
      <c r="Y1060" s="335"/>
      <c r="Z1060" s="335"/>
      <c r="AA1060" s="335"/>
      <c r="AB1060" s="335"/>
      <c r="AC1060" s="335"/>
      <c r="AD1060" s="335"/>
      <c r="AE1060" s="335"/>
      <c r="AF1060" s="335"/>
      <c r="AG1060" s="335"/>
      <c r="AH1060" s="335"/>
      <c r="AI1060" s="335"/>
      <c r="AJ1060" s="335"/>
      <c r="AK1060" s="335"/>
      <c r="AL1060" s="335"/>
      <c r="AM1060" s="335"/>
      <c r="AN1060" s="335"/>
      <c r="AO1060" s="335"/>
      <c r="AP1060" s="335"/>
      <c r="AQ1060" s="335"/>
      <c r="AR1060" s="335"/>
      <c r="AS1060" s="335"/>
      <c r="AT1060" s="335"/>
      <c r="AU1060" s="335"/>
      <c r="AV1060" s="335"/>
      <c r="AW1060" s="335"/>
      <c r="AX1060" s="335"/>
      <c r="AY1060" s="335"/>
      <c r="AZ1060" s="335"/>
      <c r="BA1060" s="335"/>
      <c r="BB1060" s="335"/>
    </row>
    <row r="1061" spans="1:54" s="662" customFormat="1" ht="15.75" customHeight="1">
      <c r="A1061" s="63"/>
      <c r="B1061" s="185" t="s">
        <v>817</v>
      </c>
      <c r="C1061" s="1308">
        <f>CEILING((C1060+21*$Z$1),0.1)</f>
        <v>78.80000000000001</v>
      </c>
      <c r="D1061" s="1309"/>
      <c r="E1061" s="1308">
        <f>CEILING((E1060+33*$Z$1),0.1)</f>
        <v>123.80000000000001</v>
      </c>
      <c r="F1061" s="1309"/>
      <c r="G1061" s="1308">
        <f>CEILING((G1060+25*$Z$1),0.1)</f>
        <v>93.80000000000001</v>
      </c>
      <c r="H1061" s="1309"/>
      <c r="I1061" s="1308">
        <f>CEILING((I1060+26*$Z$1),0.1)</f>
        <v>97.5</v>
      </c>
      <c r="J1061" s="1309"/>
      <c r="K1061" s="1308">
        <f>CEILING((K1060+22.5*$Z$1),0.1)</f>
        <v>84.5</v>
      </c>
      <c r="L1061" s="1309"/>
      <c r="M1061" s="940"/>
      <c r="N1061" s="941"/>
      <c r="O1061" s="942"/>
      <c r="P1061" s="942"/>
      <c r="Q1061" s="942"/>
      <c r="R1061" s="942"/>
      <c r="S1061" s="942"/>
      <c r="T1061" s="942"/>
      <c r="U1061" s="942"/>
      <c r="V1061" s="942"/>
      <c r="W1061" s="942"/>
      <c r="X1061" s="942"/>
      <c r="Y1061" s="942"/>
      <c r="Z1061" s="942"/>
      <c r="AA1061" s="942"/>
      <c r="AB1061" s="942"/>
      <c r="AC1061" s="942"/>
      <c r="AD1061" s="942"/>
      <c r="AE1061" s="942"/>
      <c r="AF1061" s="942"/>
      <c r="AG1061" s="942"/>
      <c r="AH1061" s="942"/>
      <c r="AI1061" s="942"/>
      <c r="AJ1061" s="942"/>
      <c r="AK1061" s="942"/>
      <c r="AL1061" s="942"/>
      <c r="AM1061" s="942"/>
      <c r="AN1061" s="942"/>
      <c r="AO1061" s="942"/>
      <c r="AP1061" s="942"/>
      <c r="AQ1061" s="942"/>
      <c r="AR1061" s="942"/>
      <c r="AS1061" s="942"/>
      <c r="AT1061" s="942"/>
      <c r="AU1061" s="942"/>
      <c r="AV1061" s="942"/>
      <c r="AW1061" s="942"/>
      <c r="AX1061" s="942"/>
      <c r="AY1061" s="942"/>
      <c r="AZ1061" s="942"/>
      <c r="BA1061" s="942"/>
      <c r="BB1061" s="942"/>
    </row>
    <row r="1062" spans="1:54" s="192" customFormat="1" ht="16.5" customHeight="1">
      <c r="A1062" s="21"/>
      <c r="B1062" s="26" t="s">
        <v>47</v>
      </c>
      <c r="C1062" s="1308">
        <f>CEILING((C1060*0.95),0.1)</f>
        <v>49.900000000000006</v>
      </c>
      <c r="D1062" s="1309"/>
      <c r="E1062" s="1308">
        <f>CEILING((E1060*0.95),0.1)</f>
        <v>78.4</v>
      </c>
      <c r="F1062" s="1309"/>
      <c r="G1062" s="1308">
        <f>CEILING((G1060*0.95),0.1)</f>
        <v>59.400000000000006</v>
      </c>
      <c r="H1062" s="1309"/>
      <c r="I1062" s="1308">
        <f>CEILING((I1060*0.95),0.1)</f>
        <v>61.800000000000004</v>
      </c>
      <c r="J1062" s="1309"/>
      <c r="K1062" s="1308">
        <f>CEILING((K1060*0.95),0.1)</f>
        <v>53.5</v>
      </c>
      <c r="L1062" s="1309"/>
      <c r="M1062" s="342"/>
      <c r="N1062" s="389"/>
      <c r="O1062" s="335"/>
      <c r="P1062" s="335"/>
      <c r="Q1062" s="335"/>
      <c r="R1062" s="335"/>
      <c r="S1062" s="335"/>
      <c r="T1062" s="335"/>
      <c r="U1062" s="335"/>
      <c r="V1062" s="335"/>
      <c r="W1062" s="335"/>
      <c r="X1062" s="335"/>
      <c r="Y1062" s="335"/>
      <c r="Z1062" s="335"/>
      <c r="AA1062" s="335"/>
      <c r="AB1062" s="335"/>
      <c r="AC1062" s="335"/>
      <c r="AD1062" s="335"/>
      <c r="AE1062" s="335"/>
      <c r="AF1062" s="335"/>
      <c r="AG1062" s="335"/>
      <c r="AH1062" s="335"/>
      <c r="AI1062" s="335"/>
      <c r="AJ1062" s="335"/>
      <c r="AK1062" s="335"/>
      <c r="AL1062" s="335"/>
      <c r="AM1062" s="335"/>
      <c r="AN1062" s="335"/>
      <c r="AO1062" s="335"/>
      <c r="AP1062" s="335"/>
      <c r="AQ1062" s="335"/>
      <c r="AR1062" s="335"/>
      <c r="AS1062" s="335"/>
      <c r="AT1062" s="335"/>
      <c r="AU1062" s="335"/>
      <c r="AV1062" s="335"/>
      <c r="AW1062" s="335"/>
      <c r="AX1062" s="335"/>
      <c r="AY1062" s="335"/>
      <c r="AZ1062" s="335"/>
      <c r="BA1062" s="335"/>
      <c r="BB1062" s="335"/>
    </row>
    <row r="1063" spans="1:54" s="192" customFormat="1" ht="16.5" customHeight="1">
      <c r="A1063" s="21"/>
      <c r="B1063" s="26" t="s">
        <v>818</v>
      </c>
      <c r="C1063" s="1308">
        <f>CEILING(47*$Z$1,0.1)</f>
        <v>58.800000000000004</v>
      </c>
      <c r="D1063" s="1309"/>
      <c r="E1063" s="1308">
        <f>CEILING(71*$Z$1,0.1)</f>
        <v>88.80000000000001</v>
      </c>
      <c r="F1063" s="1309"/>
      <c r="G1063" s="1308">
        <f>CEILING(55*$Z$1,0.1)</f>
        <v>68.8</v>
      </c>
      <c r="H1063" s="1309"/>
      <c r="I1063" s="1308">
        <f>CEILING(57*$Z$1,0.1)</f>
        <v>71.3</v>
      </c>
      <c r="J1063" s="1309"/>
      <c r="K1063" s="1308">
        <f>CEILING(50*$Z$1,0.1)</f>
        <v>62.5</v>
      </c>
      <c r="L1063" s="1309"/>
      <c r="M1063" s="342"/>
      <c r="N1063" s="389"/>
      <c r="O1063" s="335"/>
      <c r="P1063" s="335"/>
      <c r="Q1063" s="335"/>
      <c r="R1063" s="335"/>
      <c r="S1063" s="335"/>
      <c r="T1063" s="335"/>
      <c r="U1063" s="335"/>
      <c r="V1063" s="335"/>
      <c r="W1063" s="335"/>
      <c r="X1063" s="335"/>
      <c r="Y1063" s="335"/>
      <c r="Z1063" s="335"/>
      <c r="AA1063" s="335"/>
      <c r="AB1063" s="335"/>
      <c r="AC1063" s="335"/>
      <c r="AD1063" s="335"/>
      <c r="AE1063" s="335"/>
      <c r="AF1063" s="335"/>
      <c r="AG1063" s="335"/>
      <c r="AH1063" s="335"/>
      <c r="AI1063" s="335"/>
      <c r="AJ1063" s="335"/>
      <c r="AK1063" s="335"/>
      <c r="AL1063" s="335"/>
      <c r="AM1063" s="335"/>
      <c r="AN1063" s="335"/>
      <c r="AO1063" s="335"/>
      <c r="AP1063" s="335"/>
      <c r="AQ1063" s="335"/>
      <c r="AR1063" s="335"/>
      <c r="AS1063" s="335"/>
      <c r="AT1063" s="335"/>
      <c r="AU1063" s="335"/>
      <c r="AV1063" s="335"/>
      <c r="AW1063" s="335"/>
      <c r="AX1063" s="335"/>
      <c r="AY1063" s="335"/>
      <c r="AZ1063" s="335"/>
      <c r="BA1063" s="335"/>
      <c r="BB1063" s="335"/>
    </row>
    <row r="1064" spans="1:54" s="192" customFormat="1" ht="16.5" customHeight="1">
      <c r="A1064" s="670" t="s">
        <v>1282</v>
      </c>
      <c r="B1064" s="26" t="s">
        <v>819</v>
      </c>
      <c r="C1064" s="1308">
        <f>CEILING((C1063+23.5*$Z$1),0.1)</f>
        <v>88.2</v>
      </c>
      <c r="D1064" s="1309"/>
      <c r="E1064" s="1308">
        <f>CEILING((E1063+35.5*$Z$1),0.1)</f>
        <v>133.20000000000002</v>
      </c>
      <c r="F1064" s="1309"/>
      <c r="G1064" s="1308">
        <f>CEILING((G1063+30.5*$Z$1),0.1)</f>
        <v>107</v>
      </c>
      <c r="H1064" s="1309"/>
      <c r="I1064" s="1308">
        <f>CEILING((I1063+28.5*$Z$1),0.1)</f>
        <v>107</v>
      </c>
      <c r="J1064" s="1309"/>
      <c r="K1064" s="1308">
        <f>CEILING((K1063+25*$Z$1),0.1)</f>
        <v>93.80000000000001</v>
      </c>
      <c r="L1064" s="1309"/>
      <c r="M1064" s="342"/>
      <c r="N1064" s="389"/>
      <c r="O1064" s="335"/>
      <c r="P1064" s="335"/>
      <c r="Q1064" s="335"/>
      <c r="R1064" s="335"/>
      <c r="S1064" s="335"/>
      <c r="T1064" s="335"/>
      <c r="U1064" s="335"/>
      <c r="V1064" s="335"/>
      <c r="W1064" s="335"/>
      <c r="X1064" s="335"/>
      <c r="Y1064" s="335"/>
      <c r="Z1064" s="335"/>
      <c r="AA1064" s="335"/>
      <c r="AB1064" s="335"/>
      <c r="AC1064" s="335"/>
      <c r="AD1064" s="335"/>
      <c r="AE1064" s="335"/>
      <c r="AF1064" s="335"/>
      <c r="AG1064" s="335"/>
      <c r="AH1064" s="335"/>
      <c r="AI1064" s="335"/>
      <c r="AJ1064" s="335"/>
      <c r="AK1064" s="335"/>
      <c r="AL1064" s="335"/>
      <c r="AM1064" s="335"/>
      <c r="AN1064" s="335"/>
      <c r="AO1064" s="335"/>
      <c r="AP1064" s="335"/>
      <c r="AQ1064" s="335"/>
      <c r="AR1064" s="335"/>
      <c r="AS1064" s="335"/>
      <c r="AT1064" s="335"/>
      <c r="AU1064" s="335"/>
      <c r="AV1064" s="335"/>
      <c r="AW1064" s="335"/>
      <c r="AX1064" s="335"/>
      <c r="AY1064" s="335"/>
      <c r="AZ1064" s="335"/>
      <c r="BA1064" s="335"/>
      <c r="BB1064" s="335"/>
    </row>
    <row r="1065" spans="1:54" s="192" customFormat="1" ht="17.25" customHeight="1">
      <c r="A1065" s="670"/>
      <c r="B1065" s="37" t="s">
        <v>820</v>
      </c>
      <c r="C1065" s="1308">
        <f>CEILING(52*$Z$1,0.1)</f>
        <v>65</v>
      </c>
      <c r="D1065" s="1309"/>
      <c r="E1065" s="1308">
        <f>CEILING(76*$Z$1,0.1)</f>
        <v>95</v>
      </c>
      <c r="F1065" s="1309"/>
      <c r="G1065" s="1308">
        <f>CEILING(60*$Z$1,0.1)</f>
        <v>75</v>
      </c>
      <c r="H1065" s="1309"/>
      <c r="I1065" s="1308">
        <f>CEILING(62*$Z$1,0.1)</f>
        <v>77.5</v>
      </c>
      <c r="J1065" s="1309"/>
      <c r="K1065" s="1308">
        <f>CEILING(55*$Z$1,0.1)</f>
        <v>68.8</v>
      </c>
      <c r="L1065" s="1309"/>
      <c r="M1065" s="342"/>
      <c r="N1065" s="389"/>
      <c r="O1065" s="335"/>
      <c r="P1065" s="335"/>
      <c r="Q1065" s="335"/>
      <c r="R1065" s="335"/>
      <c r="S1065" s="335"/>
      <c r="T1065" s="335"/>
      <c r="U1065" s="335"/>
      <c r="V1065" s="335"/>
      <c r="W1065" s="335"/>
      <c r="X1065" s="335"/>
      <c r="Y1065" s="335"/>
      <c r="Z1065" s="335"/>
      <c r="AA1065" s="335"/>
      <c r="AB1065" s="335"/>
      <c r="AC1065" s="335"/>
      <c r="AD1065" s="335"/>
      <c r="AE1065" s="335"/>
      <c r="AF1065" s="335"/>
      <c r="AG1065" s="335"/>
      <c r="AH1065" s="335"/>
      <c r="AI1065" s="335"/>
      <c r="AJ1065" s="335"/>
      <c r="AK1065" s="335"/>
      <c r="AL1065" s="335"/>
      <c r="AM1065" s="335"/>
      <c r="AN1065" s="335"/>
      <c r="AO1065" s="335"/>
      <c r="AP1065" s="335"/>
      <c r="AQ1065" s="335"/>
      <c r="AR1065" s="335"/>
      <c r="AS1065" s="335"/>
      <c r="AT1065" s="335"/>
      <c r="AU1065" s="335"/>
      <c r="AV1065" s="335"/>
      <c r="AW1065" s="335"/>
      <c r="AX1065" s="335"/>
      <c r="AY1065" s="335"/>
      <c r="AZ1065" s="335"/>
      <c r="BA1065" s="335"/>
      <c r="BB1065" s="335"/>
    </row>
    <row r="1066" spans="1:54" s="192" customFormat="1" ht="17.25" customHeight="1">
      <c r="A1066" s="670"/>
      <c r="B1066" s="37" t="s">
        <v>1097</v>
      </c>
      <c r="C1066" s="1308">
        <f>CEILING((C1065+26*$Z$1),0.1)</f>
        <v>97.5</v>
      </c>
      <c r="D1066" s="1309"/>
      <c r="E1066" s="1308">
        <f>CEILING((E1065+38*$Z$1),0.1)</f>
        <v>142.5</v>
      </c>
      <c r="F1066" s="1309"/>
      <c r="G1066" s="1308">
        <f>CEILING((G1065+30*$Z$1),0.1)</f>
        <v>112.5</v>
      </c>
      <c r="H1066" s="1309"/>
      <c r="I1066" s="1308">
        <f>CEILING((I1065+31*$Z$1),0.1)</f>
        <v>116.30000000000001</v>
      </c>
      <c r="J1066" s="1309"/>
      <c r="K1066" s="1308">
        <f>CEILING((K1065+27.5*$Z$1),0.1)</f>
        <v>103.2</v>
      </c>
      <c r="L1066" s="1309"/>
      <c r="M1066" s="342"/>
      <c r="N1066" s="389"/>
      <c r="O1066" s="335"/>
      <c r="P1066" s="335"/>
      <c r="Q1066" s="335"/>
      <c r="R1066" s="335"/>
      <c r="S1066" s="335"/>
      <c r="T1066" s="335"/>
      <c r="U1066" s="335"/>
      <c r="V1066" s="335"/>
      <c r="W1066" s="335"/>
      <c r="X1066" s="335"/>
      <c r="Y1066" s="335"/>
      <c r="Z1066" s="335"/>
      <c r="AA1066" s="335"/>
      <c r="AB1066" s="335"/>
      <c r="AC1066" s="335"/>
      <c r="AD1066" s="335"/>
      <c r="AE1066" s="335"/>
      <c r="AF1066" s="335"/>
      <c r="AG1066" s="335"/>
      <c r="AH1066" s="335"/>
      <c r="AI1066" s="335"/>
      <c r="AJ1066" s="335"/>
      <c r="AK1066" s="335"/>
      <c r="AL1066" s="335"/>
      <c r="AM1066" s="335"/>
      <c r="AN1066" s="335"/>
      <c r="AO1066" s="335"/>
      <c r="AP1066" s="335"/>
      <c r="AQ1066" s="335"/>
      <c r="AR1066" s="335"/>
      <c r="AS1066" s="335"/>
      <c r="AT1066" s="335"/>
      <c r="AU1066" s="335"/>
      <c r="AV1066" s="335"/>
      <c r="AW1066" s="335"/>
      <c r="AX1066" s="335"/>
      <c r="AY1066" s="335"/>
      <c r="AZ1066" s="335"/>
      <c r="BA1066" s="335"/>
      <c r="BB1066" s="335"/>
    </row>
    <row r="1067" spans="1:54" s="952" customFormat="1" ht="15">
      <c r="A1067" s="611" t="s">
        <v>843</v>
      </c>
      <c r="B1067" s="419" t="s">
        <v>1094</v>
      </c>
      <c r="C1067" s="1296">
        <f>CEILING(102*$Z$1,0.1)</f>
        <v>127.5</v>
      </c>
      <c r="D1067" s="1297"/>
      <c r="E1067" s="1296">
        <f>CEILING(126*$Z$1,0.1)</f>
        <v>157.5</v>
      </c>
      <c r="F1067" s="1297"/>
      <c r="G1067" s="1296">
        <f>CEILING(110*$Z$1,0.1)</f>
        <v>137.5</v>
      </c>
      <c r="H1067" s="1297"/>
      <c r="I1067" s="1296">
        <f>CEILING(112*$Z$1,0.1)</f>
        <v>140</v>
      </c>
      <c r="J1067" s="1297"/>
      <c r="K1067" s="1296">
        <f>CEILING(105*$Z$1,0.1)</f>
        <v>131.3</v>
      </c>
      <c r="L1067" s="1297"/>
      <c r="M1067" s="1094"/>
      <c r="N1067" s="1095"/>
      <c r="O1067" s="852"/>
      <c r="P1067" s="852"/>
      <c r="Q1067" s="852"/>
      <c r="R1067" s="852"/>
      <c r="S1067" s="852"/>
      <c r="T1067" s="852"/>
      <c r="U1067" s="852"/>
      <c r="V1067" s="852"/>
      <c r="W1067" s="852"/>
      <c r="X1067" s="852"/>
      <c r="Y1067" s="852"/>
      <c r="Z1067" s="852"/>
      <c r="AA1067" s="852"/>
      <c r="AB1067" s="852"/>
      <c r="AC1067" s="852"/>
      <c r="AD1067" s="852"/>
      <c r="AE1067" s="852"/>
      <c r="AF1067" s="852"/>
      <c r="AG1067" s="852"/>
      <c r="AH1067" s="852"/>
      <c r="AI1067" s="852"/>
      <c r="AJ1067" s="852"/>
      <c r="AK1067" s="852"/>
      <c r="AL1067" s="852"/>
      <c r="AM1067" s="852"/>
      <c r="AN1067" s="852"/>
      <c r="AO1067" s="852"/>
      <c r="AP1067" s="852"/>
      <c r="AQ1067" s="852"/>
      <c r="AR1067" s="852"/>
      <c r="AS1067" s="852"/>
      <c r="AT1067" s="852"/>
      <c r="AU1067" s="852"/>
      <c r="AV1067" s="852"/>
      <c r="AW1067" s="852"/>
      <c r="AX1067" s="852"/>
      <c r="AY1067" s="852"/>
      <c r="AZ1067" s="852"/>
      <c r="BA1067" s="852"/>
      <c r="BB1067" s="852"/>
    </row>
    <row r="1068" spans="1:54" s="664" customFormat="1" ht="15">
      <c r="A1068" s="75" t="s">
        <v>841</v>
      </c>
      <c r="B1068" s="129"/>
      <c r="C1068" s="1010"/>
      <c r="D1068" s="1010"/>
      <c r="E1068" s="1010"/>
      <c r="F1068" s="1010"/>
      <c r="G1068" s="1010"/>
      <c r="H1068" s="1010"/>
      <c r="I1068" s="1010"/>
      <c r="J1068" s="1010"/>
      <c r="K1068" s="1010"/>
      <c r="L1068" s="1010"/>
      <c r="M1068" s="342"/>
      <c r="N1068" s="389"/>
      <c r="O1068" s="335"/>
      <c r="P1068" s="335"/>
      <c r="Q1068" s="335"/>
      <c r="R1068" s="335"/>
      <c r="S1068" s="335"/>
      <c r="T1068" s="335"/>
      <c r="U1068" s="335"/>
      <c r="V1068" s="335"/>
      <c r="W1068" s="335"/>
      <c r="X1068" s="335"/>
      <c r="Y1068" s="335"/>
      <c r="Z1068" s="335"/>
      <c r="AA1068" s="335"/>
      <c r="AB1068" s="335"/>
      <c r="AC1068" s="335"/>
      <c r="AD1068" s="335"/>
      <c r="AE1068" s="335"/>
      <c r="AF1068" s="335"/>
      <c r="AG1068" s="335"/>
      <c r="AH1068" s="335"/>
      <c r="AI1068" s="335"/>
      <c r="AJ1068" s="335"/>
      <c r="AK1068" s="335"/>
      <c r="AL1068" s="335"/>
      <c r="AM1068" s="335"/>
      <c r="AN1068" s="335"/>
      <c r="AO1068" s="335"/>
      <c r="AP1068" s="335"/>
      <c r="AQ1068" s="335"/>
      <c r="AR1068" s="335"/>
      <c r="AS1068" s="335"/>
      <c r="AT1068" s="335"/>
      <c r="AU1068" s="335"/>
      <c r="AV1068" s="335"/>
      <c r="AW1068" s="335"/>
      <c r="AX1068" s="335"/>
      <c r="AY1068" s="335"/>
      <c r="AZ1068" s="335"/>
      <c r="BA1068" s="335"/>
      <c r="BB1068" s="335"/>
    </row>
    <row r="1069" spans="1:56" s="776" customFormat="1" ht="15">
      <c r="A1069" s="1306"/>
      <c r="B1069" s="1307"/>
      <c r="C1069" s="1307"/>
      <c r="D1069" s="1307"/>
      <c r="E1069" s="1307"/>
      <c r="F1069" s="1307"/>
      <c r="G1069" s="1307"/>
      <c r="H1069" s="1307"/>
      <c r="I1069" s="1307"/>
      <c r="J1069" s="1307"/>
      <c r="K1069" s="775"/>
      <c r="L1069" s="775"/>
      <c r="M1069" s="335"/>
      <c r="N1069" s="335"/>
      <c r="O1069" s="335"/>
      <c r="P1069" s="335"/>
      <c r="Q1069" s="335"/>
      <c r="R1069" s="335"/>
      <c r="S1069" s="335"/>
      <c r="T1069" s="335"/>
      <c r="U1069" s="335"/>
      <c r="V1069" s="335"/>
      <c r="W1069" s="335"/>
      <c r="X1069" s="335"/>
      <c r="Y1069" s="335"/>
      <c r="Z1069" s="335"/>
      <c r="AA1069" s="335"/>
      <c r="AB1069" s="335"/>
      <c r="AC1069" s="335"/>
      <c r="AD1069" s="335"/>
      <c r="AE1069" s="335"/>
      <c r="AF1069" s="335"/>
      <c r="AG1069" s="335"/>
      <c r="AH1069" s="335"/>
      <c r="AI1069" s="335"/>
      <c r="AJ1069" s="335"/>
      <c r="AK1069" s="335"/>
      <c r="AL1069" s="335"/>
      <c r="AM1069" s="335"/>
      <c r="AN1069" s="335"/>
      <c r="AO1069" s="335"/>
      <c r="AP1069" s="335"/>
      <c r="AQ1069" s="335"/>
      <c r="AR1069" s="335"/>
      <c r="AS1069" s="335"/>
      <c r="AT1069" s="335"/>
      <c r="AU1069" s="335"/>
      <c r="AV1069" s="335"/>
      <c r="AW1069" s="335"/>
      <c r="AX1069" s="335"/>
      <c r="AY1069" s="335"/>
      <c r="AZ1069" s="335"/>
      <c r="BA1069" s="335"/>
      <c r="BB1069" s="335"/>
      <c r="BC1069" s="335"/>
      <c r="BD1069" s="335"/>
    </row>
    <row r="1070" spans="1:34" s="192" customFormat="1" ht="16.5" customHeight="1" thickBot="1">
      <c r="A1070" s="734"/>
      <c r="B1070" s="734"/>
      <c r="C1070" s="734"/>
      <c r="D1070" s="734"/>
      <c r="E1070" s="734"/>
      <c r="F1070" s="734"/>
      <c r="G1070" s="734"/>
      <c r="H1070" s="734"/>
      <c r="I1070" s="484"/>
      <c r="J1070" s="484"/>
      <c r="K1070" s="94"/>
      <c r="L1070" s="94"/>
      <c r="M1070" s="342"/>
      <c r="N1070" s="389"/>
      <c r="O1070" s="335"/>
      <c r="P1070" s="335"/>
      <c r="Q1070" s="335"/>
      <c r="R1070" s="335"/>
      <c r="S1070" s="335"/>
      <c r="T1070" s="335"/>
      <c r="U1070" s="335"/>
      <c r="V1070" s="335"/>
      <c r="W1070" s="335"/>
      <c r="X1070" s="335"/>
      <c r="Y1070" s="335"/>
      <c r="Z1070" s="335"/>
      <c r="AA1070" s="335"/>
      <c r="AB1070" s="335"/>
      <c r="AC1070" s="335"/>
      <c r="AD1070" s="335"/>
      <c r="AE1070" s="335"/>
      <c r="AF1070" s="335"/>
      <c r="AG1070" s="335"/>
      <c r="AH1070" s="335"/>
    </row>
    <row r="1071" spans="1:71" s="664" customFormat="1" ht="21" customHeight="1" thickTop="1">
      <c r="A1071" s="746" t="s">
        <v>43</v>
      </c>
      <c r="B1071" s="814" t="s">
        <v>961</v>
      </c>
      <c r="C1071" s="747" t="s">
        <v>884</v>
      </c>
      <c r="D1071" s="748"/>
      <c r="E1071" s="808" t="s">
        <v>911</v>
      </c>
      <c r="F1071" s="750"/>
      <c r="G1071" s="749" t="s">
        <v>912</v>
      </c>
      <c r="H1071" s="750"/>
      <c r="I1071" s="1273" t="s">
        <v>1022</v>
      </c>
      <c r="J1071" s="1274"/>
      <c r="K1071" s="1273" t="s">
        <v>1023</v>
      </c>
      <c r="L1071" s="1274"/>
      <c r="M1071" s="898"/>
      <c r="N1071" s="898"/>
      <c r="O1071" s="335"/>
      <c r="P1071" s="335"/>
      <c r="Q1071" s="335"/>
      <c r="R1071" s="335"/>
      <c r="S1071" s="335"/>
      <c r="T1071" s="335"/>
      <c r="U1071" s="335"/>
      <c r="V1071" s="335"/>
      <c r="W1071" s="335"/>
      <c r="X1071" s="335"/>
      <c r="Y1071" s="335"/>
      <c r="Z1071" s="335"/>
      <c r="AA1071" s="335"/>
      <c r="AB1071" s="335"/>
      <c r="AC1071" s="335"/>
      <c r="AD1071" s="335"/>
      <c r="AE1071" s="335"/>
      <c r="AF1071" s="335"/>
      <c r="AG1071" s="335"/>
      <c r="AH1071" s="335"/>
      <c r="AI1071" s="335"/>
      <c r="AJ1071" s="335"/>
      <c r="AK1071" s="335"/>
      <c r="AL1071" s="335"/>
      <c r="AM1071" s="335"/>
      <c r="AN1071" s="335"/>
      <c r="AO1071" s="335"/>
      <c r="AP1071" s="335"/>
      <c r="AQ1071" s="335"/>
      <c r="AR1071" s="335"/>
      <c r="AS1071" s="335"/>
      <c r="AT1071" s="335"/>
      <c r="AU1071" s="335"/>
      <c r="AV1071" s="335"/>
      <c r="AW1071" s="335"/>
      <c r="AX1071" s="335"/>
      <c r="AY1071" s="335"/>
      <c r="AZ1071" s="335"/>
      <c r="BA1071" s="335"/>
      <c r="BB1071" s="335"/>
      <c r="BC1071" s="335"/>
      <c r="BD1071" s="335"/>
      <c r="BE1071" s="335"/>
      <c r="BF1071" s="335"/>
      <c r="BG1071" s="335"/>
      <c r="BH1071" s="335"/>
      <c r="BI1071" s="335"/>
      <c r="BJ1071" s="335"/>
      <c r="BK1071" s="335"/>
      <c r="BL1071" s="335"/>
      <c r="BM1071" s="335"/>
      <c r="BN1071" s="335"/>
      <c r="BO1071" s="335"/>
      <c r="BP1071" s="335"/>
      <c r="BQ1071" s="335"/>
      <c r="BR1071" s="335"/>
      <c r="BS1071" s="335"/>
    </row>
    <row r="1072" spans="1:71" s="192" customFormat="1" ht="16.5" customHeight="1">
      <c r="A1072" s="198" t="s">
        <v>576</v>
      </c>
      <c r="B1072" s="245" t="s">
        <v>1080</v>
      </c>
      <c r="C1072" s="1266">
        <f>CEILING(68*$Z$1,0.1)</f>
        <v>85</v>
      </c>
      <c r="D1072" s="1267"/>
      <c r="E1072" s="1266">
        <f>CEILING(88*$Z$1,0.1)</f>
        <v>110</v>
      </c>
      <c r="F1072" s="1267"/>
      <c r="G1072" s="1266">
        <f>CEILING(68*$Z$1,0.1)</f>
        <v>85</v>
      </c>
      <c r="H1072" s="1267"/>
      <c r="I1072" s="1266">
        <f>CEILING(68*$Z$1,0.1)</f>
        <v>85</v>
      </c>
      <c r="J1072" s="1267"/>
      <c r="K1072" s="1266">
        <f>CEILING(63*$Z$1,0.1)</f>
        <v>78.80000000000001</v>
      </c>
      <c r="L1072" s="1267"/>
      <c r="M1072" s="342"/>
      <c r="N1072" s="389"/>
      <c r="O1072" s="335"/>
      <c r="P1072" s="335"/>
      <c r="Q1072" s="335"/>
      <c r="R1072" s="335"/>
      <c r="S1072" s="335"/>
      <c r="T1072" s="335"/>
      <c r="U1072" s="335"/>
      <c r="V1072" s="335"/>
      <c r="W1072" s="335"/>
      <c r="X1072" s="335"/>
      <c r="Y1072" s="335"/>
      <c r="Z1072" s="335"/>
      <c r="AA1072" s="335"/>
      <c r="AB1072" s="335"/>
      <c r="AC1072" s="335"/>
      <c r="AD1072" s="335"/>
      <c r="AE1072" s="335"/>
      <c r="AF1072" s="335"/>
      <c r="AG1072" s="335"/>
      <c r="AH1072" s="335"/>
      <c r="AI1072" s="335"/>
      <c r="AJ1072" s="335"/>
      <c r="AK1072" s="335"/>
      <c r="AL1072" s="335"/>
      <c r="AM1072" s="335"/>
      <c r="AN1072" s="335"/>
      <c r="AO1072" s="335"/>
      <c r="AP1072" s="335"/>
      <c r="AQ1072" s="335"/>
      <c r="AR1072" s="335"/>
      <c r="AS1072" s="335"/>
      <c r="AT1072" s="335"/>
      <c r="AU1072" s="335"/>
      <c r="AV1072" s="335"/>
      <c r="AW1072" s="335"/>
      <c r="AX1072" s="335"/>
      <c r="AY1072" s="335"/>
      <c r="AZ1072" s="335"/>
      <c r="BA1072" s="335"/>
      <c r="BB1072" s="335"/>
      <c r="BC1072" s="335"/>
      <c r="BD1072" s="335"/>
      <c r="BE1072" s="335"/>
      <c r="BF1072" s="335"/>
      <c r="BG1072" s="335"/>
      <c r="BH1072" s="335"/>
      <c r="BI1072" s="335"/>
      <c r="BJ1072" s="335"/>
      <c r="BK1072" s="335"/>
      <c r="BL1072" s="335"/>
      <c r="BM1072" s="335"/>
      <c r="BN1072" s="335"/>
      <c r="BO1072" s="335"/>
      <c r="BP1072" s="335"/>
      <c r="BQ1072" s="335"/>
      <c r="BR1072" s="335"/>
      <c r="BS1072" s="335"/>
    </row>
    <row r="1073" spans="1:71" s="192" customFormat="1" ht="16.5" customHeight="1">
      <c r="A1073" s="227" t="s">
        <v>45</v>
      </c>
      <c r="B1073" s="68" t="s">
        <v>1081</v>
      </c>
      <c r="C1073" s="1268">
        <f>CEILING((C1072+25*$Z$1),0.1)</f>
        <v>116.30000000000001</v>
      </c>
      <c r="D1073" s="1270"/>
      <c r="E1073" s="1268">
        <f>CEILING((E1072+25*$Z$1),0.1)</f>
        <v>141.3</v>
      </c>
      <c r="F1073" s="1270"/>
      <c r="G1073" s="1268">
        <f>CEILING((G1072+25*$Z$1),0.1)</f>
        <v>116.30000000000001</v>
      </c>
      <c r="H1073" s="1270"/>
      <c r="I1073" s="1268">
        <f>CEILING((I1072+25*$Z$1),0.1)</f>
        <v>116.30000000000001</v>
      </c>
      <c r="J1073" s="1270"/>
      <c r="K1073" s="1268">
        <f>CEILING((K1072+25*$Z$1),0.1)</f>
        <v>110.10000000000001</v>
      </c>
      <c r="L1073" s="1270"/>
      <c r="M1073" s="342"/>
      <c r="N1073" s="389"/>
      <c r="O1073" s="335"/>
      <c r="P1073" s="335"/>
      <c r="Q1073" s="335"/>
      <c r="R1073" s="335"/>
      <c r="S1073" s="335"/>
      <c r="T1073" s="335"/>
      <c r="U1073" s="335"/>
      <c r="V1073" s="335"/>
      <c r="W1073" s="335"/>
      <c r="X1073" s="335"/>
      <c r="Y1073" s="335"/>
      <c r="Z1073" s="335"/>
      <c r="AA1073" s="335"/>
      <c r="AB1073" s="335"/>
      <c r="AC1073" s="335"/>
      <c r="AD1073" s="335"/>
      <c r="AE1073" s="335"/>
      <c r="AF1073" s="335"/>
      <c r="AG1073" s="335"/>
      <c r="AH1073" s="335"/>
      <c r="AI1073" s="335"/>
      <c r="AJ1073" s="335"/>
      <c r="AK1073" s="335"/>
      <c r="AL1073" s="335"/>
      <c r="AM1073" s="335"/>
      <c r="AN1073" s="335"/>
      <c r="AO1073" s="335"/>
      <c r="AP1073" s="335"/>
      <c r="AQ1073" s="335"/>
      <c r="AR1073" s="335"/>
      <c r="AS1073" s="335"/>
      <c r="AT1073" s="335"/>
      <c r="AU1073" s="335"/>
      <c r="AV1073" s="335"/>
      <c r="AW1073" s="335"/>
      <c r="AX1073" s="335"/>
      <c r="AY1073" s="335"/>
      <c r="AZ1073" s="335"/>
      <c r="BA1073" s="335"/>
      <c r="BB1073" s="335"/>
      <c r="BC1073" s="335"/>
      <c r="BD1073" s="335"/>
      <c r="BE1073" s="335"/>
      <c r="BF1073" s="335"/>
      <c r="BG1073" s="335"/>
      <c r="BH1073" s="335"/>
      <c r="BI1073" s="335"/>
      <c r="BJ1073" s="335"/>
      <c r="BK1073" s="335"/>
      <c r="BL1073" s="335"/>
      <c r="BM1073" s="335"/>
      <c r="BN1073" s="335"/>
      <c r="BO1073" s="335"/>
      <c r="BP1073" s="335"/>
      <c r="BQ1073" s="335"/>
      <c r="BR1073" s="335"/>
      <c r="BS1073" s="335"/>
    </row>
    <row r="1074" spans="1:71" s="192" customFormat="1" ht="16.5" customHeight="1">
      <c r="A1074" s="21"/>
      <c r="B1074" s="37" t="s">
        <v>47</v>
      </c>
      <c r="C1074" s="1268">
        <f>CEILING((C1072*0.855),0.1)</f>
        <v>72.7</v>
      </c>
      <c r="D1074" s="1270"/>
      <c r="E1074" s="1268">
        <f>CEILING((E1072*0.855),0.1)</f>
        <v>94.10000000000001</v>
      </c>
      <c r="F1074" s="1270"/>
      <c r="G1074" s="1268">
        <f>CEILING((G1072*0.855),0.1)</f>
        <v>72.7</v>
      </c>
      <c r="H1074" s="1270"/>
      <c r="I1074" s="1268">
        <f>CEILING((I1072*0.855),0.1)</f>
        <v>72.7</v>
      </c>
      <c r="J1074" s="1270"/>
      <c r="K1074" s="1268">
        <f>CEILING((K1072*0.855),0.1)</f>
        <v>67.4</v>
      </c>
      <c r="L1074" s="1270"/>
      <c r="M1074" s="342"/>
      <c r="N1074" s="389"/>
      <c r="O1074" s="335"/>
      <c r="P1074" s="335"/>
      <c r="Q1074" s="335"/>
      <c r="R1074" s="335"/>
      <c r="S1074" s="335"/>
      <c r="T1074" s="335"/>
      <c r="U1074" s="335"/>
      <c r="V1074" s="335"/>
      <c r="W1074" s="335"/>
      <c r="X1074" s="335"/>
      <c r="Y1074" s="335"/>
      <c r="Z1074" s="335"/>
      <c r="AA1074" s="335"/>
      <c r="AB1074" s="335"/>
      <c r="AC1074" s="335"/>
      <c r="AD1074" s="335"/>
      <c r="AE1074" s="335"/>
      <c r="AF1074" s="335"/>
      <c r="AG1074" s="335"/>
      <c r="AH1074" s="335"/>
      <c r="AI1074" s="335"/>
      <c r="AJ1074" s="335"/>
      <c r="AK1074" s="335"/>
      <c r="AL1074" s="335"/>
      <c r="AM1074" s="335"/>
      <c r="AN1074" s="335"/>
      <c r="AO1074" s="335"/>
      <c r="AP1074" s="335"/>
      <c r="AQ1074" s="335"/>
      <c r="AR1074" s="335"/>
      <c r="AS1074" s="335"/>
      <c r="AT1074" s="335"/>
      <c r="AU1074" s="335"/>
      <c r="AV1074" s="335"/>
      <c r="AW1074" s="335"/>
      <c r="AX1074" s="335"/>
      <c r="AY1074" s="335"/>
      <c r="AZ1074" s="335"/>
      <c r="BA1074" s="335"/>
      <c r="BB1074" s="335"/>
      <c r="BC1074" s="335"/>
      <c r="BD1074" s="335"/>
      <c r="BE1074" s="335"/>
      <c r="BF1074" s="335"/>
      <c r="BG1074" s="335"/>
      <c r="BH1074" s="335"/>
      <c r="BI1074" s="335"/>
      <c r="BJ1074" s="335"/>
      <c r="BK1074" s="335"/>
      <c r="BL1074" s="335"/>
      <c r="BM1074" s="335"/>
      <c r="BN1074" s="335"/>
      <c r="BO1074" s="335"/>
      <c r="BP1074" s="335"/>
      <c r="BQ1074" s="335"/>
      <c r="BR1074" s="335"/>
      <c r="BS1074" s="335"/>
    </row>
    <row r="1075" spans="1:71" s="192" customFormat="1" ht="16.5" customHeight="1">
      <c r="A1075" s="21"/>
      <c r="B1075" s="37" t="s">
        <v>1082</v>
      </c>
      <c r="C1075" s="1268">
        <f>CEILING((C1072*0.5),0.1)</f>
        <v>42.5</v>
      </c>
      <c r="D1075" s="1270"/>
      <c r="E1075" s="1268">
        <f>CEILING((E1072*0.5),0.1)</f>
        <v>55</v>
      </c>
      <c r="F1075" s="1270"/>
      <c r="G1075" s="1268">
        <f>CEILING((G1072*0.5),0.1)</f>
        <v>42.5</v>
      </c>
      <c r="H1075" s="1270"/>
      <c r="I1075" s="1268">
        <f>CEILING((I1072*0.5),0.1)</f>
        <v>42.5</v>
      </c>
      <c r="J1075" s="1270"/>
      <c r="K1075" s="1268">
        <f>CEILING((K1072*0.5),0.1)</f>
        <v>39.400000000000006</v>
      </c>
      <c r="L1075" s="1270"/>
      <c r="M1075" s="342"/>
      <c r="N1075" s="389"/>
      <c r="O1075" s="335"/>
      <c r="P1075" s="335"/>
      <c r="Q1075" s="335"/>
      <c r="R1075" s="335"/>
      <c r="S1075" s="335"/>
      <c r="T1075" s="335"/>
      <c r="U1075" s="335"/>
      <c r="V1075" s="335"/>
      <c r="W1075" s="335"/>
      <c r="X1075" s="335"/>
      <c r="Y1075" s="335"/>
      <c r="Z1075" s="335"/>
      <c r="AA1075" s="335"/>
      <c r="AB1075" s="335"/>
      <c r="AC1075" s="335"/>
      <c r="AD1075" s="335"/>
      <c r="AE1075" s="335"/>
      <c r="AF1075" s="335"/>
      <c r="AG1075" s="335"/>
      <c r="AH1075" s="335"/>
      <c r="AI1075" s="335"/>
      <c r="AJ1075" s="335"/>
      <c r="AK1075" s="335"/>
      <c r="AL1075" s="335"/>
      <c r="AM1075" s="335"/>
      <c r="AN1075" s="335"/>
      <c r="AO1075" s="335"/>
      <c r="AP1075" s="335"/>
      <c r="AQ1075" s="335"/>
      <c r="AR1075" s="335"/>
      <c r="AS1075" s="335"/>
      <c r="AT1075" s="335"/>
      <c r="AU1075" s="335"/>
      <c r="AV1075" s="335"/>
      <c r="AW1075" s="335"/>
      <c r="AX1075" s="335"/>
      <c r="AY1075" s="335"/>
      <c r="AZ1075" s="335"/>
      <c r="BA1075" s="335"/>
      <c r="BB1075" s="335"/>
      <c r="BC1075" s="335"/>
      <c r="BD1075" s="335"/>
      <c r="BE1075" s="335"/>
      <c r="BF1075" s="335"/>
      <c r="BG1075" s="335"/>
      <c r="BH1075" s="335"/>
      <c r="BI1075" s="335"/>
      <c r="BJ1075" s="335"/>
      <c r="BK1075" s="335"/>
      <c r="BL1075" s="335"/>
      <c r="BM1075" s="335"/>
      <c r="BN1075" s="335"/>
      <c r="BO1075" s="335"/>
      <c r="BP1075" s="335"/>
      <c r="BQ1075" s="335"/>
      <c r="BR1075" s="335"/>
      <c r="BS1075" s="335"/>
    </row>
    <row r="1076" spans="1:71" s="192" customFormat="1" ht="21" customHeight="1">
      <c r="A1076" s="670"/>
      <c r="B1076" s="37" t="s">
        <v>1083</v>
      </c>
      <c r="C1076" s="1268">
        <f>CEILING(78*$Z$1,0.1)</f>
        <v>97.5</v>
      </c>
      <c r="D1076" s="1270"/>
      <c r="E1076" s="1268">
        <f>CEILING(98*$Z$1,0.1)</f>
        <v>122.5</v>
      </c>
      <c r="F1076" s="1270"/>
      <c r="G1076" s="1268">
        <f>CEILING(78*$Z$1,0.1)</f>
        <v>97.5</v>
      </c>
      <c r="H1076" s="1270"/>
      <c r="I1076" s="1268">
        <f>CEILING(78*$Z$1,0.1)</f>
        <v>97.5</v>
      </c>
      <c r="J1076" s="1270"/>
      <c r="K1076" s="1268">
        <f>CEILING(73*$Z$1,0.1)</f>
        <v>91.30000000000001</v>
      </c>
      <c r="L1076" s="1270"/>
      <c r="M1076" s="342"/>
      <c r="N1076" s="389"/>
      <c r="O1076" s="335"/>
      <c r="P1076" s="335"/>
      <c r="Q1076" s="335"/>
      <c r="R1076" s="335"/>
      <c r="S1076" s="335"/>
      <c r="T1076" s="335"/>
      <c r="U1076" s="335"/>
      <c r="V1076" s="335"/>
      <c r="W1076" s="335"/>
      <c r="X1076" s="335"/>
      <c r="Y1076" s="335"/>
      <c r="Z1076" s="335"/>
      <c r="AA1076" s="335"/>
      <c r="AB1076" s="335"/>
      <c r="AC1076" s="335"/>
      <c r="AD1076" s="335"/>
      <c r="AE1076" s="335"/>
      <c r="AF1076" s="335"/>
      <c r="AG1076" s="335"/>
      <c r="AH1076" s="335"/>
      <c r="AI1076" s="335"/>
      <c r="AJ1076" s="335"/>
      <c r="AK1076" s="335"/>
      <c r="AL1076" s="335"/>
      <c r="AM1076" s="335"/>
      <c r="AN1076" s="335"/>
      <c r="AO1076" s="335"/>
      <c r="AP1076" s="335"/>
      <c r="AQ1076" s="335"/>
      <c r="AR1076" s="335"/>
      <c r="AS1076" s="335"/>
      <c r="AT1076" s="335"/>
      <c r="AU1076" s="335"/>
      <c r="AV1076" s="335"/>
      <c r="AW1076" s="335"/>
      <c r="AX1076" s="335"/>
      <c r="AY1076" s="335"/>
      <c r="AZ1076" s="335"/>
      <c r="BA1076" s="335"/>
      <c r="BB1076" s="335"/>
      <c r="BC1076" s="335"/>
      <c r="BD1076" s="335"/>
      <c r="BE1076" s="335"/>
      <c r="BF1076" s="335"/>
      <c r="BG1076" s="335"/>
      <c r="BH1076" s="335"/>
      <c r="BI1076" s="335"/>
      <c r="BJ1076" s="335"/>
      <c r="BK1076" s="335"/>
      <c r="BL1076" s="335"/>
      <c r="BM1076" s="335"/>
      <c r="BN1076" s="335"/>
      <c r="BO1076" s="335"/>
      <c r="BP1076" s="335"/>
      <c r="BQ1076" s="335"/>
      <c r="BR1076" s="335"/>
      <c r="BS1076" s="335"/>
    </row>
    <row r="1077" spans="1:71" s="192" customFormat="1" ht="16.5" customHeight="1">
      <c r="A1077" s="21"/>
      <c r="B1077" s="26" t="s">
        <v>1084</v>
      </c>
      <c r="C1077" s="1268">
        <f>CEILING((C1076+25*$Z$1),0.1)</f>
        <v>128.8</v>
      </c>
      <c r="D1077" s="1270"/>
      <c r="E1077" s="1268">
        <f>CEILING((E1076+25*$Z$1),0.1)</f>
        <v>153.8</v>
      </c>
      <c r="F1077" s="1270"/>
      <c r="G1077" s="1268">
        <f>CEILING((G1076+25*$Z$1),0.1)</f>
        <v>128.8</v>
      </c>
      <c r="H1077" s="1270"/>
      <c r="I1077" s="1268">
        <f>CEILING((I1076+25*$Z$1),0.1)</f>
        <v>128.8</v>
      </c>
      <c r="J1077" s="1270"/>
      <c r="K1077" s="1268">
        <f>CEILING((K1076+25*$Z$1),0.1)</f>
        <v>122.60000000000001</v>
      </c>
      <c r="L1077" s="1270"/>
      <c r="M1077" s="342"/>
      <c r="N1077" s="389"/>
      <c r="O1077" s="335"/>
      <c r="P1077" s="335"/>
      <c r="Q1077" s="335"/>
      <c r="R1077" s="335"/>
      <c r="S1077" s="335"/>
      <c r="T1077" s="335"/>
      <c r="U1077" s="335"/>
      <c r="V1077" s="335"/>
      <c r="W1077" s="335"/>
      <c r="X1077" s="335"/>
      <c r="Y1077" s="335"/>
      <c r="Z1077" s="335"/>
      <c r="AA1077" s="335"/>
      <c r="AB1077" s="335"/>
      <c r="AC1077" s="335"/>
      <c r="AD1077" s="335"/>
      <c r="AE1077" s="335"/>
      <c r="AF1077" s="335"/>
      <c r="AG1077" s="335"/>
      <c r="AH1077" s="335"/>
      <c r="AI1077" s="335"/>
      <c r="AJ1077" s="335"/>
      <c r="AK1077" s="335"/>
      <c r="AL1077" s="335"/>
      <c r="AM1077" s="335"/>
      <c r="AN1077" s="335"/>
      <c r="AO1077" s="335"/>
      <c r="AP1077" s="335"/>
      <c r="AQ1077" s="335"/>
      <c r="AR1077" s="335"/>
      <c r="AS1077" s="335"/>
      <c r="AT1077" s="335"/>
      <c r="AU1077" s="335"/>
      <c r="AV1077" s="335"/>
      <c r="AW1077" s="335"/>
      <c r="AX1077" s="335"/>
      <c r="AY1077" s="335"/>
      <c r="AZ1077" s="335"/>
      <c r="BA1077" s="335"/>
      <c r="BB1077" s="335"/>
      <c r="BC1077" s="335"/>
      <c r="BD1077" s="335"/>
      <c r="BE1077" s="335"/>
      <c r="BF1077" s="335"/>
      <c r="BG1077" s="335"/>
      <c r="BH1077" s="335"/>
      <c r="BI1077" s="335"/>
      <c r="BJ1077" s="335"/>
      <c r="BK1077" s="335"/>
      <c r="BL1077" s="335"/>
      <c r="BM1077" s="335"/>
      <c r="BN1077" s="335"/>
      <c r="BO1077" s="335"/>
      <c r="BP1077" s="335"/>
      <c r="BQ1077" s="335"/>
      <c r="BR1077" s="335"/>
      <c r="BS1077" s="335"/>
    </row>
    <row r="1078" spans="1:71" s="192" customFormat="1" ht="16.5" customHeight="1" thickBot="1">
      <c r="A1078" s="257" t="s">
        <v>1029</v>
      </c>
      <c r="B1078" s="944" t="s">
        <v>56</v>
      </c>
      <c r="C1078" s="1496">
        <f>CEILING(88*$Z$1,0.1)</f>
        <v>110</v>
      </c>
      <c r="D1078" s="1497"/>
      <c r="E1078" s="1496">
        <f>CEILING(108*$Z$1,0.1)</f>
        <v>135</v>
      </c>
      <c r="F1078" s="1497"/>
      <c r="G1078" s="1496">
        <f>CEILING(88*$Z$1,0.1)</f>
        <v>110</v>
      </c>
      <c r="H1078" s="1497"/>
      <c r="I1078" s="1496">
        <f>CEILING(88*$Z$1,0.1)</f>
        <v>110</v>
      </c>
      <c r="J1078" s="1497"/>
      <c r="K1078" s="1496">
        <f>CEILING(838*$Z$1,0.1)</f>
        <v>1047.5</v>
      </c>
      <c r="L1078" s="1497"/>
      <c r="M1078" s="342"/>
      <c r="N1078" s="389"/>
      <c r="O1078" s="335"/>
      <c r="P1078" s="335"/>
      <c r="Q1078" s="335"/>
      <c r="R1078" s="335"/>
      <c r="S1078" s="335"/>
      <c r="T1078" s="335"/>
      <c r="U1078" s="335"/>
      <c r="V1078" s="335"/>
      <c r="W1078" s="335"/>
      <c r="X1078" s="335"/>
      <c r="Y1078" s="335"/>
      <c r="Z1078" s="335"/>
      <c r="AA1078" s="335"/>
      <c r="AB1078" s="335"/>
      <c r="AC1078" s="335"/>
      <c r="AD1078" s="335"/>
      <c r="AE1078" s="335"/>
      <c r="AF1078" s="335"/>
      <c r="AG1078" s="335"/>
      <c r="AH1078" s="335"/>
      <c r="AI1078" s="335"/>
      <c r="AJ1078" s="335"/>
      <c r="AK1078" s="335"/>
      <c r="AL1078" s="335"/>
      <c r="AM1078" s="335"/>
      <c r="AN1078" s="335"/>
      <c r="AO1078" s="335"/>
      <c r="AP1078" s="335"/>
      <c r="AQ1078" s="335"/>
      <c r="AR1078" s="335"/>
      <c r="AS1078" s="335"/>
      <c r="AT1078" s="335"/>
      <c r="AU1078" s="335"/>
      <c r="AV1078" s="335"/>
      <c r="AW1078" s="335"/>
      <c r="AX1078" s="335"/>
      <c r="AY1078" s="335"/>
      <c r="AZ1078" s="335"/>
      <c r="BA1078" s="335"/>
      <c r="BB1078" s="335"/>
      <c r="BC1078" s="335"/>
      <c r="BD1078" s="335"/>
      <c r="BE1078" s="335"/>
      <c r="BF1078" s="335"/>
      <c r="BG1078" s="335"/>
      <c r="BH1078" s="335"/>
      <c r="BI1078" s="335"/>
      <c r="BJ1078" s="335"/>
      <c r="BK1078" s="335"/>
      <c r="BL1078" s="335"/>
      <c r="BM1078" s="335"/>
      <c r="BN1078" s="335"/>
      <c r="BO1078" s="335"/>
      <c r="BP1078" s="335"/>
      <c r="BQ1078" s="335"/>
      <c r="BR1078" s="335"/>
      <c r="BS1078" s="335"/>
    </row>
    <row r="1079" spans="1:56" s="777" customFormat="1" ht="15.75" thickTop="1">
      <c r="A1079" s="1401"/>
      <c r="B1079" s="1402"/>
      <c r="C1079" s="1307"/>
      <c r="D1079" s="1307"/>
      <c r="E1079" s="1402"/>
      <c r="F1079" s="1402"/>
      <c r="G1079" s="1402"/>
      <c r="H1079" s="1402"/>
      <c r="I1079" s="1402"/>
      <c r="J1079" s="1402"/>
      <c r="K1079" s="775"/>
      <c r="L1079" s="775"/>
      <c r="M1079" s="335"/>
      <c r="N1079" s="331"/>
      <c r="O1079" s="331"/>
      <c r="P1079" s="331"/>
      <c r="Q1079" s="331"/>
      <c r="R1079" s="331"/>
      <c r="S1079" s="331"/>
      <c r="T1079" s="331"/>
      <c r="U1079" s="331"/>
      <c r="V1079" s="331"/>
      <c r="W1079" s="331"/>
      <c r="X1079" s="331"/>
      <c r="Y1079" s="331"/>
      <c r="Z1079" s="331"/>
      <c r="AA1079" s="331"/>
      <c r="AB1079" s="331"/>
      <c r="AC1079" s="331"/>
      <c r="AD1079" s="331"/>
      <c r="AE1079" s="331"/>
      <c r="AF1079" s="331"/>
      <c r="AG1079" s="331"/>
      <c r="AH1079" s="331"/>
      <c r="AI1079" s="331"/>
      <c r="AJ1079" s="331"/>
      <c r="AK1079" s="331"/>
      <c r="AL1079" s="331"/>
      <c r="AM1079" s="331"/>
      <c r="AN1079" s="331"/>
      <c r="AO1079" s="331"/>
      <c r="AP1079" s="331"/>
      <c r="AQ1079" s="331"/>
      <c r="AR1079" s="331"/>
      <c r="AS1079" s="331"/>
      <c r="AT1079" s="331"/>
      <c r="AU1079" s="331"/>
      <c r="AV1079" s="331"/>
      <c r="AW1079" s="331"/>
      <c r="AX1079" s="331"/>
      <c r="AY1079" s="331"/>
      <c r="AZ1079" s="331"/>
      <c r="BA1079" s="331"/>
      <c r="BB1079" s="331"/>
      <c r="BC1079" s="331"/>
      <c r="BD1079" s="331"/>
    </row>
    <row r="1080" spans="1:56" s="479" customFormat="1" ht="16.5" customHeight="1">
      <c r="A1080" s="1318" t="s">
        <v>1085</v>
      </c>
      <c r="B1080" s="1318"/>
      <c r="C1080" s="1318"/>
      <c r="D1080" s="1318"/>
      <c r="E1080" s="1318"/>
      <c r="F1080" s="1318"/>
      <c r="G1080" s="1318"/>
      <c r="H1080" s="1318"/>
      <c r="I1080" s="1318"/>
      <c r="J1080" s="1318"/>
      <c r="K1080" s="314"/>
      <c r="L1080" s="314"/>
      <c r="M1080" s="953"/>
      <c r="N1080" s="953"/>
      <c r="O1080" s="331"/>
      <c r="P1080" s="331"/>
      <c r="Q1080" s="331"/>
      <c r="R1080" s="331"/>
      <c r="S1080" s="331"/>
      <c r="T1080" s="331"/>
      <c r="U1080" s="331"/>
      <c r="V1080" s="331"/>
      <c r="W1080" s="331"/>
      <c r="X1080" s="331"/>
      <c r="Y1080" s="331"/>
      <c r="Z1080" s="331"/>
      <c r="AA1080" s="331"/>
      <c r="AB1080" s="331"/>
      <c r="AC1080" s="331"/>
      <c r="AD1080" s="331"/>
      <c r="AE1080" s="331"/>
      <c r="AF1080" s="331"/>
      <c r="AG1080" s="331"/>
      <c r="AH1080" s="331"/>
      <c r="AI1080" s="331"/>
      <c r="AJ1080" s="331"/>
      <c r="AK1080" s="331"/>
      <c r="AL1080" s="331"/>
      <c r="AM1080" s="331"/>
      <c r="AN1080" s="331"/>
      <c r="AO1080" s="331"/>
      <c r="AP1080" s="331"/>
      <c r="AQ1080" s="331"/>
      <c r="AR1080" s="331"/>
      <c r="AS1080" s="331"/>
      <c r="AT1080" s="331"/>
      <c r="AU1080" s="331"/>
      <c r="AV1080" s="331"/>
      <c r="AW1080" s="331"/>
      <c r="AX1080" s="331"/>
      <c r="AY1080" s="331"/>
      <c r="AZ1080" s="331"/>
      <c r="BA1080" s="331"/>
      <c r="BB1080" s="331"/>
      <c r="BC1080" s="331"/>
      <c r="BD1080" s="331"/>
    </row>
    <row r="1081" spans="1:56" s="479" customFormat="1" ht="16.5" customHeight="1">
      <c r="A1081" s="172" t="s">
        <v>1088</v>
      </c>
      <c r="B1081" s="44"/>
      <c r="C1081" s="853"/>
      <c r="D1081" s="853"/>
      <c r="E1081" s="853"/>
      <c r="F1081" s="853"/>
      <c r="G1081" s="853"/>
      <c r="H1081" s="853"/>
      <c r="I1081" s="853"/>
      <c r="J1081" s="853"/>
      <c r="K1081" s="853"/>
      <c r="L1081" s="853"/>
      <c r="M1081" s="954"/>
      <c r="N1081" s="954"/>
      <c r="O1081" s="331"/>
      <c r="P1081" s="331"/>
      <c r="Q1081" s="331"/>
      <c r="R1081" s="331"/>
      <c r="S1081" s="331"/>
      <c r="T1081" s="331"/>
      <c r="U1081" s="331"/>
      <c r="V1081" s="331"/>
      <c r="W1081" s="331"/>
      <c r="X1081" s="331"/>
      <c r="Y1081" s="331"/>
      <c r="Z1081" s="331"/>
      <c r="AA1081" s="331"/>
      <c r="AB1081" s="331"/>
      <c r="AC1081" s="331"/>
      <c r="AD1081" s="331"/>
      <c r="AE1081" s="331"/>
      <c r="AF1081" s="331"/>
      <c r="AG1081" s="331"/>
      <c r="AH1081" s="331"/>
      <c r="AI1081" s="331"/>
      <c r="AJ1081" s="331"/>
      <c r="AK1081" s="331"/>
      <c r="AL1081" s="331"/>
      <c r="AM1081" s="331"/>
      <c r="AN1081" s="331"/>
      <c r="AO1081" s="331"/>
      <c r="AP1081" s="331"/>
      <c r="AQ1081" s="331"/>
      <c r="AR1081" s="331"/>
      <c r="AS1081" s="331"/>
      <c r="AT1081" s="331"/>
      <c r="AU1081" s="331"/>
      <c r="AV1081" s="331"/>
      <c r="AW1081" s="331"/>
      <c r="AX1081" s="331"/>
      <c r="AY1081" s="331"/>
      <c r="AZ1081" s="331"/>
      <c r="BA1081" s="331"/>
      <c r="BB1081" s="331"/>
      <c r="BC1081" s="331"/>
      <c r="BD1081" s="331"/>
    </row>
    <row r="1082" spans="1:71" s="192" customFormat="1" ht="16.5" customHeight="1" thickBot="1">
      <c r="A1082" s="838"/>
      <c r="B1082" s="838"/>
      <c r="C1082" s="838"/>
      <c r="D1082" s="838"/>
      <c r="E1082" s="838"/>
      <c r="F1082" s="838"/>
      <c r="G1082" s="838"/>
      <c r="H1082" s="838"/>
      <c r="I1082" s="484"/>
      <c r="J1082" s="484"/>
      <c r="K1082" s="94"/>
      <c r="L1082" s="94"/>
      <c r="M1082" s="342"/>
      <c r="N1082" s="389"/>
      <c r="O1082" s="335"/>
      <c r="P1082" s="335"/>
      <c r="Q1082" s="335"/>
      <c r="R1082" s="335"/>
      <c r="S1082" s="335"/>
      <c r="T1082" s="335"/>
      <c r="U1082" s="335"/>
      <c r="V1082" s="335"/>
      <c r="W1082" s="335"/>
      <c r="X1082" s="335"/>
      <c r="Y1082" s="335"/>
      <c r="Z1082" s="335"/>
      <c r="AA1082" s="335"/>
      <c r="AB1082" s="335"/>
      <c r="AC1082" s="335"/>
      <c r="AD1082" s="335"/>
      <c r="AE1082" s="335"/>
      <c r="AF1082" s="335"/>
      <c r="AG1082" s="335"/>
      <c r="AH1082" s="335"/>
      <c r="AI1082" s="335"/>
      <c r="AJ1082" s="335"/>
      <c r="AK1082" s="335"/>
      <c r="AL1082" s="335"/>
      <c r="AM1082" s="335"/>
      <c r="AN1082" s="335"/>
      <c r="AO1082" s="335"/>
      <c r="AP1082" s="335"/>
      <c r="AQ1082" s="335"/>
      <c r="AR1082" s="335"/>
      <c r="AS1082" s="335"/>
      <c r="AT1082" s="335"/>
      <c r="AU1082" s="335"/>
      <c r="AV1082" s="335"/>
      <c r="AW1082" s="335"/>
      <c r="AX1082" s="335"/>
      <c r="AY1082" s="335"/>
      <c r="AZ1082" s="335"/>
      <c r="BA1082" s="335"/>
      <c r="BB1082" s="335"/>
      <c r="BC1082" s="335"/>
      <c r="BD1082" s="335"/>
      <c r="BE1082" s="335"/>
      <c r="BF1082" s="335"/>
      <c r="BG1082" s="335"/>
      <c r="BH1082" s="335"/>
      <c r="BI1082" s="335"/>
      <c r="BJ1082" s="335"/>
      <c r="BK1082" s="335"/>
      <c r="BL1082" s="335"/>
      <c r="BM1082" s="335"/>
      <c r="BN1082" s="335"/>
      <c r="BO1082" s="335"/>
      <c r="BP1082" s="335"/>
      <c r="BQ1082" s="335"/>
      <c r="BR1082" s="335"/>
      <c r="BS1082" s="335"/>
    </row>
    <row r="1083" spans="1:71" s="664" customFormat="1" ht="21" customHeight="1" thickTop="1">
      <c r="A1083" s="746" t="s">
        <v>43</v>
      </c>
      <c r="B1083" s="814" t="s">
        <v>961</v>
      </c>
      <c r="C1083" s="747" t="s">
        <v>884</v>
      </c>
      <c r="D1083" s="748"/>
      <c r="E1083" s="749" t="s">
        <v>911</v>
      </c>
      <c r="F1083" s="750"/>
      <c r="G1083" s="749" t="s">
        <v>912</v>
      </c>
      <c r="H1083" s="750"/>
      <c r="I1083" s="1273" t="s">
        <v>1022</v>
      </c>
      <c r="J1083" s="1274"/>
      <c r="K1083" s="1273" t="s">
        <v>1023</v>
      </c>
      <c r="L1083" s="1274"/>
      <c r="M1083" s="827"/>
      <c r="N1083" s="827"/>
      <c r="O1083" s="335"/>
      <c r="P1083" s="335"/>
      <c r="Q1083" s="335"/>
      <c r="R1083" s="335"/>
      <c r="S1083" s="335"/>
      <c r="T1083" s="335"/>
      <c r="U1083" s="335"/>
      <c r="V1083" s="335"/>
      <c r="W1083" s="335"/>
      <c r="X1083" s="335"/>
      <c r="Y1083" s="335"/>
      <c r="Z1083" s="335"/>
      <c r="AA1083" s="335"/>
      <c r="AB1083" s="335"/>
      <c r="AC1083" s="335"/>
      <c r="AD1083" s="335"/>
      <c r="AE1083" s="335"/>
      <c r="AF1083" s="335"/>
      <c r="AG1083" s="335"/>
      <c r="AH1083" s="335"/>
      <c r="AI1083" s="335"/>
      <c r="AJ1083" s="335"/>
      <c r="AK1083" s="335"/>
      <c r="AL1083" s="335"/>
      <c r="AM1083" s="335"/>
      <c r="AN1083" s="335"/>
      <c r="AO1083" s="335"/>
      <c r="AP1083" s="335"/>
      <c r="AQ1083" s="335"/>
      <c r="AR1083" s="335"/>
      <c r="AS1083" s="335"/>
      <c r="AT1083" s="335"/>
      <c r="AU1083" s="335"/>
      <c r="AV1083" s="335"/>
      <c r="AW1083" s="335"/>
      <c r="AX1083" s="335"/>
      <c r="AY1083" s="335"/>
      <c r="AZ1083" s="335"/>
      <c r="BA1083" s="335"/>
      <c r="BB1083" s="335"/>
      <c r="BC1083" s="335"/>
      <c r="BD1083" s="335"/>
      <c r="BE1083" s="335"/>
      <c r="BF1083" s="335"/>
      <c r="BG1083" s="335"/>
      <c r="BH1083" s="335"/>
      <c r="BI1083" s="335"/>
      <c r="BJ1083" s="335"/>
      <c r="BK1083" s="335"/>
      <c r="BL1083" s="335"/>
      <c r="BM1083" s="335"/>
      <c r="BN1083" s="335"/>
      <c r="BO1083" s="335"/>
      <c r="BP1083" s="335"/>
      <c r="BQ1083" s="335"/>
      <c r="BR1083" s="335"/>
      <c r="BS1083" s="335"/>
    </row>
    <row r="1084" spans="1:71" s="192" customFormat="1" ht="15">
      <c r="A1084" s="877" t="s">
        <v>1003</v>
      </c>
      <c r="B1084" s="878" t="s">
        <v>1005</v>
      </c>
      <c r="C1084" s="1266">
        <f>CEILING(58*$Z$1,0.1)</f>
        <v>72.5</v>
      </c>
      <c r="D1084" s="1267"/>
      <c r="E1084" s="1268">
        <f>CEILING(80*$Z$1,0.1)</f>
        <v>100</v>
      </c>
      <c r="F1084" s="1269"/>
      <c r="G1084" s="1268">
        <f>CEILING(68*$Z$1,0.1)</f>
        <v>85</v>
      </c>
      <c r="H1084" s="1269"/>
      <c r="I1084" s="1268">
        <f>CEILING(77*$Z$1,0.1)</f>
        <v>96.30000000000001</v>
      </c>
      <c r="J1084" s="1270"/>
      <c r="K1084" s="1268">
        <f>CEILING(60*$Z$1,0.1)</f>
        <v>75</v>
      </c>
      <c r="L1084" s="1270"/>
      <c r="M1084" s="342"/>
      <c r="N1084" s="389"/>
      <c r="O1084" s="335"/>
      <c r="P1084" s="335"/>
      <c r="Q1084" s="335"/>
      <c r="R1084" s="335"/>
      <c r="S1084" s="335"/>
      <c r="T1084" s="335"/>
      <c r="U1084" s="335"/>
      <c r="V1084" s="335"/>
      <c r="W1084" s="335"/>
      <c r="X1084" s="335"/>
      <c r="Y1084" s="335"/>
      <c r="Z1084" s="335"/>
      <c r="AA1084" s="335"/>
      <c r="AB1084" s="335"/>
      <c r="AC1084" s="335"/>
      <c r="AD1084" s="335"/>
      <c r="AE1084" s="335"/>
      <c r="AF1084" s="335"/>
      <c r="AG1084" s="335"/>
      <c r="AH1084" s="335"/>
      <c r="AI1084" s="335"/>
      <c r="AJ1084" s="335"/>
      <c r="AK1084" s="335"/>
      <c r="AL1084" s="335"/>
      <c r="AM1084" s="335"/>
      <c r="AN1084" s="335"/>
      <c r="AO1084" s="335"/>
      <c r="AP1084" s="335"/>
      <c r="AQ1084" s="335"/>
      <c r="AR1084" s="335"/>
      <c r="AS1084" s="335"/>
      <c r="AT1084" s="335"/>
      <c r="AU1084" s="335"/>
      <c r="AV1084" s="335"/>
      <c r="AW1084" s="335"/>
      <c r="AX1084" s="335"/>
      <c r="AY1084" s="335"/>
      <c r="AZ1084" s="335"/>
      <c r="BA1084" s="335"/>
      <c r="BB1084" s="335"/>
      <c r="BC1084" s="335"/>
      <c r="BD1084" s="335"/>
      <c r="BE1084" s="335"/>
      <c r="BF1084" s="335"/>
      <c r="BG1084" s="335"/>
      <c r="BH1084" s="335"/>
      <c r="BI1084" s="335"/>
      <c r="BJ1084" s="335"/>
      <c r="BK1084" s="335"/>
      <c r="BL1084" s="335"/>
      <c r="BM1084" s="335"/>
      <c r="BN1084" s="335"/>
      <c r="BO1084" s="335"/>
      <c r="BP1084" s="335"/>
      <c r="BQ1084" s="335"/>
      <c r="BR1084" s="335"/>
      <c r="BS1084" s="335"/>
    </row>
    <row r="1085" spans="1:71" s="192" customFormat="1" ht="15">
      <c r="A1085" s="243" t="s">
        <v>1021</v>
      </c>
      <c r="B1085" s="879" t="s">
        <v>1006</v>
      </c>
      <c r="C1085" s="1268">
        <f>CEILING((C1084+20*$Z$1),0.1)</f>
        <v>97.5</v>
      </c>
      <c r="D1085" s="1270"/>
      <c r="E1085" s="1268">
        <f>CEILING((E1084+20*$Z$1),0.1)</f>
        <v>125</v>
      </c>
      <c r="F1085" s="1270"/>
      <c r="G1085" s="1268">
        <f>CEILING((G1084+20*$Z$1),0.1)</f>
        <v>110</v>
      </c>
      <c r="H1085" s="1270"/>
      <c r="I1085" s="1268">
        <f>CEILING((I1084+20*$Z$1),0.1)</f>
        <v>121.30000000000001</v>
      </c>
      <c r="J1085" s="1270"/>
      <c r="K1085" s="1268">
        <f>CEILING((K1084+20*$Z$1),0.1)</f>
        <v>100</v>
      </c>
      <c r="L1085" s="1270"/>
      <c r="M1085" s="342"/>
      <c r="N1085" s="389"/>
      <c r="O1085" s="335"/>
      <c r="P1085" s="335"/>
      <c r="Q1085" s="335"/>
      <c r="R1085" s="335"/>
      <c r="S1085" s="335"/>
      <c r="T1085" s="335"/>
      <c r="U1085" s="335"/>
      <c r="V1085" s="335"/>
      <c r="W1085" s="335"/>
      <c r="X1085" s="335"/>
      <c r="Y1085" s="335"/>
      <c r="Z1085" s="335"/>
      <c r="AA1085" s="335"/>
      <c r="AB1085" s="335"/>
      <c r="AC1085" s="335"/>
      <c r="AD1085" s="335"/>
      <c r="AE1085" s="335"/>
      <c r="AF1085" s="335"/>
      <c r="AG1085" s="335"/>
      <c r="AH1085" s="335"/>
      <c r="AI1085" s="335"/>
      <c r="AJ1085" s="335"/>
      <c r="AK1085" s="335"/>
      <c r="AL1085" s="335"/>
      <c r="AM1085" s="335"/>
      <c r="AN1085" s="335"/>
      <c r="AO1085" s="335"/>
      <c r="AP1085" s="335"/>
      <c r="AQ1085" s="335"/>
      <c r="AR1085" s="335"/>
      <c r="AS1085" s="335"/>
      <c r="AT1085" s="335"/>
      <c r="AU1085" s="335"/>
      <c r="AV1085" s="335"/>
      <c r="AW1085" s="335"/>
      <c r="AX1085" s="335"/>
      <c r="AY1085" s="335"/>
      <c r="AZ1085" s="335"/>
      <c r="BA1085" s="335"/>
      <c r="BB1085" s="335"/>
      <c r="BC1085" s="335"/>
      <c r="BD1085" s="335"/>
      <c r="BE1085" s="335"/>
      <c r="BF1085" s="335"/>
      <c r="BG1085" s="335"/>
      <c r="BH1085" s="335"/>
      <c r="BI1085" s="335"/>
      <c r="BJ1085" s="335"/>
      <c r="BK1085" s="335"/>
      <c r="BL1085" s="335"/>
      <c r="BM1085" s="335"/>
      <c r="BN1085" s="335"/>
      <c r="BO1085" s="335"/>
      <c r="BP1085" s="335"/>
      <c r="BQ1085" s="335"/>
      <c r="BR1085" s="335"/>
      <c r="BS1085" s="335"/>
    </row>
    <row r="1086" spans="1:71" s="192" customFormat="1" ht="15">
      <c r="A1086" s="888" t="s">
        <v>45</v>
      </c>
      <c r="B1086" s="880" t="s">
        <v>47</v>
      </c>
      <c r="C1086" s="1268">
        <f>CEILING((C1084*0.85),0.1)</f>
        <v>61.7</v>
      </c>
      <c r="D1086" s="1270"/>
      <c r="E1086" s="1268">
        <f>CEILING((E1084*0.85),0.1)</f>
        <v>85</v>
      </c>
      <c r="F1086" s="1270"/>
      <c r="G1086" s="1268">
        <f>CEILING((G1084*0.85),0.1)</f>
        <v>72.3</v>
      </c>
      <c r="H1086" s="1270"/>
      <c r="I1086" s="1268">
        <f>CEILING((I1084*0.85),0.1)</f>
        <v>81.9</v>
      </c>
      <c r="J1086" s="1270"/>
      <c r="K1086" s="1268">
        <f>CEILING((K1084*0.85),0.1)</f>
        <v>63.800000000000004</v>
      </c>
      <c r="L1086" s="1270"/>
      <c r="M1086" s="342"/>
      <c r="N1086" s="389"/>
      <c r="O1086" s="335"/>
      <c r="P1086" s="335"/>
      <c r="Q1086" s="335"/>
      <c r="R1086" s="335"/>
      <c r="S1086" s="335"/>
      <c r="T1086" s="335"/>
      <c r="U1086" s="335"/>
      <c r="V1086" s="335"/>
      <c r="W1086" s="335"/>
      <c r="X1086" s="335"/>
      <c r="Y1086" s="335"/>
      <c r="Z1086" s="335"/>
      <c r="AA1086" s="335"/>
      <c r="AB1086" s="335"/>
      <c r="AC1086" s="335"/>
      <c r="AD1086" s="335"/>
      <c r="AE1086" s="335"/>
      <c r="AF1086" s="335"/>
      <c r="AG1086" s="335"/>
      <c r="AH1086" s="335"/>
      <c r="AI1086" s="335"/>
      <c r="AJ1086" s="335"/>
      <c r="AK1086" s="335"/>
      <c r="AL1086" s="335"/>
      <c r="AM1086" s="335"/>
      <c r="AN1086" s="335"/>
      <c r="AO1086" s="335"/>
      <c r="AP1086" s="335"/>
      <c r="AQ1086" s="335"/>
      <c r="AR1086" s="335"/>
      <c r="AS1086" s="335"/>
      <c r="AT1086" s="335"/>
      <c r="AU1086" s="335"/>
      <c r="AV1086" s="335"/>
      <c r="AW1086" s="335"/>
      <c r="AX1086" s="335"/>
      <c r="AY1086" s="335"/>
      <c r="AZ1086" s="335"/>
      <c r="BA1086" s="335"/>
      <c r="BB1086" s="335"/>
      <c r="BC1086" s="335"/>
      <c r="BD1086" s="335"/>
      <c r="BE1086" s="335"/>
      <c r="BF1086" s="335"/>
      <c r="BG1086" s="335"/>
      <c r="BH1086" s="335"/>
      <c r="BI1086" s="335"/>
      <c r="BJ1086" s="335"/>
      <c r="BK1086" s="335"/>
      <c r="BL1086" s="335"/>
      <c r="BM1086" s="335"/>
      <c r="BN1086" s="335"/>
      <c r="BO1086" s="335"/>
      <c r="BP1086" s="335"/>
      <c r="BQ1086" s="335"/>
      <c r="BR1086" s="335"/>
      <c r="BS1086" s="335"/>
    </row>
    <row r="1087" spans="1:71" s="192" customFormat="1" ht="15.75">
      <c r="A1087" s="668" t="s">
        <v>1025</v>
      </c>
      <c r="B1087" s="881" t="s">
        <v>1007</v>
      </c>
      <c r="C1087" s="1268">
        <f>CEILING((C1084*0),0.1)</f>
        <v>0</v>
      </c>
      <c r="D1087" s="1270"/>
      <c r="E1087" s="1268">
        <f>CEILING((E1084*0),0.1)</f>
        <v>0</v>
      </c>
      <c r="F1087" s="1270"/>
      <c r="G1087" s="1268">
        <f>CEILING((G1084*0),0.1)</f>
        <v>0</v>
      </c>
      <c r="H1087" s="1270"/>
      <c r="I1087" s="1268">
        <f>CEILING((I1084*0),0.1)</f>
        <v>0</v>
      </c>
      <c r="J1087" s="1270"/>
      <c r="K1087" s="1268">
        <f>CEILING((K1084*0),0.1)</f>
        <v>0</v>
      </c>
      <c r="L1087" s="1270"/>
      <c r="M1087" s="342"/>
      <c r="N1087" s="389"/>
      <c r="O1087" s="335"/>
      <c r="P1087" s="335"/>
      <c r="Q1087" s="335"/>
      <c r="R1087" s="335"/>
      <c r="S1087" s="335"/>
      <c r="T1087" s="335"/>
      <c r="U1087" s="335"/>
      <c r="V1087" s="335"/>
      <c r="W1087" s="335"/>
      <c r="X1087" s="335"/>
      <c r="Y1087" s="335"/>
      <c r="Z1087" s="335"/>
      <c r="AA1087" s="335"/>
      <c r="AB1087" s="335"/>
      <c r="AC1087" s="335"/>
      <c r="AD1087" s="335"/>
      <c r="AE1087" s="335"/>
      <c r="AF1087" s="335"/>
      <c r="AG1087" s="335"/>
      <c r="AH1087" s="335"/>
      <c r="AI1087" s="335"/>
      <c r="AJ1087" s="335"/>
      <c r="AK1087" s="335"/>
      <c r="AL1087" s="335"/>
      <c r="AM1087" s="335"/>
      <c r="AN1087" s="335"/>
      <c r="AO1087" s="335"/>
      <c r="AP1087" s="335"/>
      <c r="AQ1087" s="335"/>
      <c r="AR1087" s="335"/>
      <c r="AS1087" s="335"/>
      <c r="AT1087" s="335"/>
      <c r="AU1087" s="335"/>
      <c r="AV1087" s="335"/>
      <c r="AW1087" s="335"/>
      <c r="AX1087" s="335"/>
      <c r="AY1087" s="335"/>
      <c r="AZ1087" s="335"/>
      <c r="BA1087" s="335"/>
      <c r="BB1087" s="335"/>
      <c r="BC1087" s="335"/>
      <c r="BD1087" s="335"/>
      <c r="BE1087" s="335"/>
      <c r="BF1087" s="335"/>
      <c r="BG1087" s="335"/>
      <c r="BH1087" s="335"/>
      <c r="BI1087" s="335"/>
      <c r="BJ1087" s="335"/>
      <c r="BK1087" s="335"/>
      <c r="BL1087" s="335"/>
      <c r="BM1087" s="335"/>
      <c r="BN1087" s="335"/>
      <c r="BO1087" s="335"/>
      <c r="BP1087" s="335"/>
      <c r="BQ1087" s="335"/>
      <c r="BR1087" s="335"/>
      <c r="BS1087" s="335"/>
    </row>
    <row r="1088" spans="1:71" s="192" customFormat="1" ht="15">
      <c r="A1088" s="579"/>
      <c r="B1088" s="875" t="s">
        <v>1008</v>
      </c>
      <c r="C1088" s="1268">
        <f>CEILING(73*$Z$1,0.1)</f>
        <v>91.30000000000001</v>
      </c>
      <c r="D1088" s="1270"/>
      <c r="E1088" s="1268">
        <f>CEILING(95*$Z$1,0.1)</f>
        <v>118.80000000000001</v>
      </c>
      <c r="F1088" s="1270"/>
      <c r="G1088" s="1268">
        <f>CEILING(83*$Z$1,0.1)</f>
        <v>103.80000000000001</v>
      </c>
      <c r="H1088" s="1270"/>
      <c r="I1088" s="1268">
        <f>CEILING(92*$Z$1,0.1)</f>
        <v>115</v>
      </c>
      <c r="J1088" s="1270"/>
      <c r="K1088" s="1268">
        <f>CEILING(75*$Z$1,0.1)</f>
        <v>93.80000000000001</v>
      </c>
      <c r="L1088" s="1270"/>
      <c r="M1088" s="342"/>
      <c r="N1088" s="389"/>
      <c r="O1088" s="335"/>
      <c r="P1088" s="335"/>
      <c r="Q1088" s="335"/>
      <c r="R1088" s="335"/>
      <c r="S1088" s="335"/>
      <c r="T1088" s="335"/>
      <c r="U1088" s="335"/>
      <c r="V1088" s="335"/>
      <c r="W1088" s="335"/>
      <c r="X1088" s="335"/>
      <c r="Y1088" s="335"/>
      <c r="Z1088" s="335"/>
      <c r="AA1088" s="335"/>
      <c r="AB1088" s="335"/>
      <c r="AC1088" s="335"/>
      <c r="AD1088" s="335"/>
      <c r="AE1088" s="335"/>
      <c r="AF1088" s="335"/>
      <c r="AG1088" s="335"/>
      <c r="AH1088" s="335"/>
      <c r="AI1088" s="335"/>
      <c r="AJ1088" s="335"/>
      <c r="AK1088" s="335"/>
      <c r="AL1088" s="335"/>
      <c r="AM1088" s="335"/>
      <c r="AN1088" s="335"/>
      <c r="AO1088" s="335"/>
      <c r="AP1088" s="335"/>
      <c r="AQ1088" s="335"/>
      <c r="AR1088" s="335"/>
      <c r="AS1088" s="335"/>
      <c r="AT1088" s="335"/>
      <c r="AU1088" s="335"/>
      <c r="AV1088" s="335"/>
      <c r="AW1088" s="335"/>
      <c r="AX1088" s="335"/>
      <c r="AY1088" s="335"/>
      <c r="AZ1088" s="335"/>
      <c r="BA1088" s="335"/>
      <c r="BB1088" s="335"/>
      <c r="BC1088" s="335"/>
      <c r="BD1088" s="335"/>
      <c r="BE1088" s="335"/>
      <c r="BF1088" s="335"/>
      <c r="BG1088" s="335"/>
      <c r="BH1088" s="335"/>
      <c r="BI1088" s="335"/>
      <c r="BJ1088" s="335"/>
      <c r="BK1088" s="335"/>
      <c r="BL1088" s="335"/>
      <c r="BM1088" s="335"/>
      <c r="BN1088" s="335"/>
      <c r="BO1088" s="335"/>
      <c r="BP1088" s="335"/>
      <c r="BQ1088" s="335"/>
      <c r="BR1088" s="335"/>
      <c r="BS1088" s="335"/>
    </row>
    <row r="1089" spans="1:71" s="192" customFormat="1" ht="15">
      <c r="A1089" s="718"/>
      <c r="B1089" s="291" t="s">
        <v>1009</v>
      </c>
      <c r="C1089" s="1268">
        <f>CEILING((C1088+20*$Z$1),0.1)</f>
        <v>116.30000000000001</v>
      </c>
      <c r="D1089" s="1270"/>
      <c r="E1089" s="1268">
        <f>CEILING((E1088+20*$Z$1),0.1)</f>
        <v>143.8</v>
      </c>
      <c r="F1089" s="1314"/>
      <c r="G1089" s="1268">
        <f>CEILING((G1088+20*$Z$1),0.1)</f>
        <v>128.8</v>
      </c>
      <c r="H1089" s="1314"/>
      <c r="I1089" s="1268">
        <f>CEILING((I1088+20*$Z$1),0.1)</f>
        <v>140</v>
      </c>
      <c r="J1089" s="1314"/>
      <c r="K1089" s="1268">
        <f>CEILING((K1088+20*$Z$1),0.1)</f>
        <v>118.80000000000001</v>
      </c>
      <c r="L1089" s="1314"/>
      <c r="M1089" s="342"/>
      <c r="N1089" s="389"/>
      <c r="O1089" s="335"/>
      <c r="P1089" s="335"/>
      <c r="Q1089" s="335"/>
      <c r="R1089" s="335"/>
      <c r="S1089" s="335"/>
      <c r="T1089" s="335"/>
      <c r="U1089" s="335"/>
      <c r="V1089" s="335"/>
      <c r="W1089" s="335"/>
      <c r="X1089" s="335"/>
      <c r="Y1089" s="335"/>
      <c r="Z1089" s="335"/>
      <c r="AA1089" s="335"/>
      <c r="AB1089" s="335"/>
      <c r="AC1089" s="335"/>
      <c r="AD1089" s="335"/>
      <c r="AE1089" s="335"/>
      <c r="AF1089" s="335"/>
      <c r="AG1089" s="335"/>
      <c r="AH1089" s="335"/>
      <c r="AI1089" s="335"/>
      <c r="AJ1089" s="335"/>
      <c r="AK1089" s="335"/>
      <c r="AL1089" s="335"/>
      <c r="AM1089" s="335"/>
      <c r="AN1089" s="335"/>
      <c r="AO1089" s="335"/>
      <c r="AP1089" s="335"/>
      <c r="AQ1089" s="335"/>
      <c r="AR1089" s="335"/>
      <c r="AS1089" s="335"/>
      <c r="AT1089" s="335"/>
      <c r="AU1089" s="335"/>
      <c r="AV1089" s="335"/>
      <c r="AW1089" s="335"/>
      <c r="AX1089" s="335"/>
      <c r="AY1089" s="335"/>
      <c r="AZ1089" s="335"/>
      <c r="BA1089" s="335"/>
      <c r="BB1089" s="335"/>
      <c r="BC1089" s="335"/>
      <c r="BD1089" s="335"/>
      <c r="BE1089" s="335"/>
      <c r="BF1089" s="335"/>
      <c r="BG1089" s="335"/>
      <c r="BH1089" s="335"/>
      <c r="BI1089" s="335"/>
      <c r="BJ1089" s="335"/>
      <c r="BK1089" s="335"/>
      <c r="BL1089" s="335"/>
      <c r="BM1089" s="335"/>
      <c r="BN1089" s="335"/>
      <c r="BO1089" s="335"/>
      <c r="BP1089" s="335"/>
      <c r="BQ1089" s="335"/>
      <c r="BR1089" s="335"/>
      <c r="BS1089" s="335"/>
    </row>
    <row r="1090" spans="1:71" s="192" customFormat="1" ht="15">
      <c r="A1090" s="718"/>
      <c r="B1090" s="147" t="s">
        <v>1010</v>
      </c>
      <c r="C1090" s="1268">
        <f>CEILING(118*$Z$1,0.1)</f>
        <v>147.5</v>
      </c>
      <c r="D1090" s="1270"/>
      <c r="E1090" s="1268">
        <f>CEILING(140*$Z$1,0.1)</f>
        <v>175</v>
      </c>
      <c r="F1090" s="1270"/>
      <c r="G1090" s="1268">
        <f>CEILING(128*$Z$1,0.1)</f>
        <v>160</v>
      </c>
      <c r="H1090" s="1270"/>
      <c r="I1090" s="1268">
        <f>CEILING(137*$Z$1,0.1)</f>
        <v>171.3</v>
      </c>
      <c r="J1090" s="1270"/>
      <c r="K1090" s="1268">
        <f>CEILING(120*$Z$1,0.1)</f>
        <v>150</v>
      </c>
      <c r="L1090" s="1270"/>
      <c r="M1090" s="342"/>
      <c r="N1090" s="389"/>
      <c r="O1090" s="335"/>
      <c r="P1090" s="335"/>
      <c r="Q1090" s="335"/>
      <c r="R1090" s="335"/>
      <c r="S1090" s="335"/>
      <c r="T1090" s="335"/>
      <c r="U1090" s="335"/>
      <c r="V1090" s="335"/>
      <c r="W1090" s="335"/>
      <c r="X1090" s="335"/>
      <c r="Y1090" s="335"/>
      <c r="Z1090" s="335"/>
      <c r="AA1090" s="335"/>
      <c r="AB1090" s="335"/>
      <c r="AC1090" s="335"/>
      <c r="AD1090" s="335"/>
      <c r="AE1090" s="335"/>
      <c r="AF1090" s="335"/>
      <c r="AG1090" s="335"/>
      <c r="AH1090" s="335"/>
      <c r="AI1090" s="335"/>
      <c r="AJ1090" s="335"/>
      <c r="AK1090" s="335"/>
      <c r="AL1090" s="335"/>
      <c r="AM1090" s="335"/>
      <c r="AN1090" s="335"/>
      <c r="AO1090" s="335"/>
      <c r="AP1090" s="335"/>
      <c r="AQ1090" s="335"/>
      <c r="AR1090" s="335"/>
      <c r="AS1090" s="335"/>
      <c r="AT1090" s="335"/>
      <c r="AU1090" s="335"/>
      <c r="AV1090" s="335"/>
      <c r="AW1090" s="335"/>
      <c r="AX1090" s="335"/>
      <c r="AY1090" s="335"/>
      <c r="AZ1090" s="335"/>
      <c r="BA1090" s="335"/>
      <c r="BB1090" s="335"/>
      <c r="BC1090" s="335"/>
      <c r="BD1090" s="335"/>
      <c r="BE1090" s="335"/>
      <c r="BF1090" s="335"/>
      <c r="BG1090" s="335"/>
      <c r="BH1090" s="335"/>
      <c r="BI1090" s="335"/>
      <c r="BJ1090" s="335"/>
      <c r="BK1090" s="335"/>
      <c r="BL1090" s="335"/>
      <c r="BM1090" s="335"/>
      <c r="BN1090" s="335"/>
      <c r="BO1090" s="335"/>
      <c r="BP1090" s="335"/>
      <c r="BQ1090" s="335"/>
      <c r="BR1090" s="335"/>
      <c r="BS1090" s="335"/>
    </row>
    <row r="1091" spans="1:71" s="192" customFormat="1" ht="15">
      <c r="A1091" s="579"/>
      <c r="B1091" s="148" t="s">
        <v>1011</v>
      </c>
      <c r="C1091" s="1268">
        <f>CEILING((C1090+20*$Z$1),0.1)</f>
        <v>172.5</v>
      </c>
      <c r="D1091" s="1270"/>
      <c r="E1091" s="1268">
        <f>CEILING((E1090+20*$Z$1),0.1)</f>
        <v>200</v>
      </c>
      <c r="F1091" s="1270"/>
      <c r="G1091" s="1268">
        <f>CEILING((G1090+20*$Z$1),0.1)</f>
        <v>185</v>
      </c>
      <c r="H1091" s="1270"/>
      <c r="I1091" s="1268">
        <f>CEILING((I1090+20*$Z$1),0.1)</f>
        <v>196.3</v>
      </c>
      <c r="J1091" s="1270"/>
      <c r="K1091" s="1268">
        <f>CEILING((K1090+20*$Z$1),0.1)</f>
        <v>175</v>
      </c>
      <c r="L1091" s="1270"/>
      <c r="M1091" s="342"/>
      <c r="N1091" s="389"/>
      <c r="O1091" s="335"/>
      <c r="P1091" s="335"/>
      <c r="Q1091" s="335"/>
      <c r="R1091" s="335"/>
      <c r="S1091" s="335"/>
      <c r="T1091" s="335"/>
      <c r="U1091" s="335"/>
      <c r="V1091" s="335"/>
      <c r="W1091" s="335"/>
      <c r="X1091" s="335"/>
      <c r="Y1091" s="335"/>
      <c r="Z1091" s="335"/>
      <c r="AA1091" s="335"/>
      <c r="AB1091" s="335"/>
      <c r="AC1091" s="335"/>
      <c r="AD1091" s="335"/>
      <c r="AE1091" s="335"/>
      <c r="AF1091" s="335"/>
      <c r="AG1091" s="335"/>
      <c r="AH1091" s="335"/>
      <c r="AI1091" s="335"/>
      <c r="AJ1091" s="335"/>
      <c r="AK1091" s="335"/>
      <c r="AL1091" s="335"/>
      <c r="AM1091" s="335"/>
      <c r="AN1091" s="335"/>
      <c r="AO1091" s="335"/>
      <c r="AP1091" s="335"/>
      <c r="AQ1091" s="335"/>
      <c r="AR1091" s="335"/>
      <c r="AS1091" s="335"/>
      <c r="AT1091" s="335"/>
      <c r="AU1091" s="335"/>
      <c r="AV1091" s="335"/>
      <c r="AW1091" s="335"/>
      <c r="AX1091" s="335"/>
      <c r="AY1091" s="335"/>
      <c r="AZ1091" s="335"/>
      <c r="BA1091" s="335"/>
      <c r="BB1091" s="335"/>
      <c r="BC1091" s="335"/>
      <c r="BD1091" s="335"/>
      <c r="BE1091" s="335"/>
      <c r="BF1091" s="335"/>
      <c r="BG1091" s="335"/>
      <c r="BH1091" s="335"/>
      <c r="BI1091" s="335"/>
      <c r="BJ1091" s="335"/>
      <c r="BK1091" s="335"/>
      <c r="BL1091" s="335"/>
      <c r="BM1091" s="335"/>
      <c r="BN1091" s="335"/>
      <c r="BO1091" s="335"/>
      <c r="BP1091" s="335"/>
      <c r="BQ1091" s="335"/>
      <c r="BR1091" s="335"/>
      <c r="BS1091" s="335"/>
    </row>
    <row r="1092" spans="1:71" s="667" customFormat="1" ht="17.25" customHeight="1">
      <c r="A1092" s="886"/>
      <c r="B1092" s="887" t="s">
        <v>1012</v>
      </c>
      <c r="C1092" s="1284">
        <f>CEILING(201*$Z$1,0.1)</f>
        <v>251.3</v>
      </c>
      <c r="D1092" s="1285"/>
      <c r="E1092" s="1268">
        <f>CEILING(238*$Z$1,0.1)</f>
        <v>297.5</v>
      </c>
      <c r="F1092" s="1270"/>
      <c r="G1092" s="1268">
        <f>CEILING(218*$Z$1,0.1)</f>
        <v>272.5</v>
      </c>
      <c r="H1092" s="1270"/>
      <c r="I1092" s="1268">
        <f>CEILING(233*$Z$1,0.1)</f>
        <v>291.3</v>
      </c>
      <c r="J1092" s="1270"/>
      <c r="K1092" s="1268">
        <f>CEILING(204*$Z$1,0.1)</f>
        <v>255</v>
      </c>
      <c r="L1092" s="1270"/>
      <c r="M1092" s="342"/>
      <c r="N1092" s="389"/>
      <c r="O1092" s="335"/>
      <c r="P1092" s="335"/>
      <c r="Q1092" s="335"/>
      <c r="R1092" s="335"/>
      <c r="S1092" s="335"/>
      <c r="T1092" s="335"/>
      <c r="U1092" s="335"/>
      <c r="V1092" s="335"/>
      <c r="W1092" s="335"/>
      <c r="X1092" s="335"/>
      <c r="Y1092" s="335"/>
      <c r="Z1092" s="335"/>
      <c r="AA1092" s="335"/>
      <c r="AB1092" s="335"/>
      <c r="AC1092" s="335"/>
      <c r="AD1092" s="335"/>
      <c r="AE1092" s="335"/>
      <c r="AF1092" s="335"/>
      <c r="AG1092" s="335"/>
      <c r="AH1092" s="335"/>
      <c r="AI1092" s="335"/>
      <c r="AJ1092" s="335"/>
      <c r="AK1092" s="335"/>
      <c r="AL1092" s="335"/>
      <c r="AM1092" s="335"/>
      <c r="AN1092" s="335"/>
      <c r="AO1092" s="335"/>
      <c r="AP1092" s="335"/>
      <c r="AQ1092" s="335"/>
      <c r="AR1092" s="335"/>
      <c r="AS1092" s="335"/>
      <c r="AT1092" s="335"/>
      <c r="AU1092" s="335"/>
      <c r="AV1092" s="335"/>
      <c r="AW1092" s="335"/>
      <c r="AX1092" s="335"/>
      <c r="AY1092" s="335"/>
      <c r="AZ1092" s="335"/>
      <c r="BA1092" s="335"/>
      <c r="BB1092" s="335"/>
      <c r="BC1092" s="335"/>
      <c r="BD1092" s="335"/>
      <c r="BE1092" s="335"/>
      <c r="BF1092" s="335"/>
      <c r="BG1092" s="335"/>
      <c r="BH1092" s="335"/>
      <c r="BI1092" s="335"/>
      <c r="BJ1092" s="335"/>
      <c r="BK1092" s="335"/>
      <c r="BL1092" s="335"/>
      <c r="BM1092" s="335"/>
      <c r="BN1092" s="335"/>
      <c r="BO1092" s="335"/>
      <c r="BP1092" s="335"/>
      <c r="BQ1092" s="335"/>
      <c r="BR1092" s="335"/>
      <c r="BS1092" s="335"/>
    </row>
    <row r="1093" spans="1:71" s="192" customFormat="1" ht="15">
      <c r="A1093" s="212"/>
      <c r="B1093" s="213" t="s">
        <v>1005</v>
      </c>
      <c r="C1093" s="1266">
        <f>CEILING(65*$Z$1,0.1)</f>
        <v>81.30000000000001</v>
      </c>
      <c r="D1093" s="1267"/>
      <c r="E1093" s="1326">
        <f>CEILING(87*$Z$1,0.1)</f>
        <v>108.80000000000001</v>
      </c>
      <c r="F1093" s="1267"/>
      <c r="G1093" s="1326">
        <f>CEILING(75*$Z$1,0.1)</f>
        <v>93.80000000000001</v>
      </c>
      <c r="H1093" s="1267"/>
      <c r="I1093" s="1326">
        <f>CEILING(84*$Z$1,0.1)</f>
        <v>105</v>
      </c>
      <c r="J1093" s="1267"/>
      <c r="K1093" s="1326">
        <f>CEILING(67*$Z$1,0.1)</f>
        <v>83.80000000000001</v>
      </c>
      <c r="L1093" s="1267"/>
      <c r="M1093" s="342"/>
      <c r="N1093" s="389"/>
      <c r="O1093" s="335"/>
      <c r="P1093" s="335"/>
      <c r="Q1093" s="335"/>
      <c r="R1093" s="335"/>
      <c r="S1093" s="335"/>
      <c r="T1093" s="335"/>
      <c r="U1093" s="335"/>
      <c r="V1093" s="335"/>
      <c r="W1093" s="335"/>
      <c r="X1093" s="335"/>
      <c r="Y1093" s="335"/>
      <c r="Z1093" s="335"/>
      <c r="AA1093" s="335"/>
      <c r="AB1093" s="335"/>
      <c r="AC1093" s="335"/>
      <c r="AD1093" s="335"/>
      <c r="AE1093" s="335"/>
      <c r="AF1093" s="335"/>
      <c r="AG1093" s="335"/>
      <c r="AH1093" s="335"/>
      <c r="AI1093" s="335"/>
      <c r="AJ1093" s="335"/>
      <c r="AK1093" s="335"/>
      <c r="AL1093" s="335"/>
      <c r="AM1093" s="335"/>
      <c r="AN1093" s="335"/>
      <c r="AO1093" s="335"/>
      <c r="AP1093" s="335"/>
      <c r="AQ1093" s="335"/>
      <c r="AR1093" s="335"/>
      <c r="AS1093" s="335"/>
      <c r="AT1093" s="335"/>
      <c r="AU1093" s="335"/>
      <c r="AV1093" s="335"/>
      <c r="AW1093" s="335"/>
      <c r="AX1093" s="335"/>
      <c r="AY1093" s="335"/>
      <c r="AZ1093" s="335"/>
      <c r="BA1093" s="335"/>
      <c r="BB1093" s="335"/>
      <c r="BC1093" s="335"/>
      <c r="BD1093" s="335"/>
      <c r="BE1093" s="335"/>
      <c r="BF1093" s="335"/>
      <c r="BG1093" s="335"/>
      <c r="BH1093" s="335"/>
      <c r="BI1093" s="335"/>
      <c r="BJ1093" s="335"/>
      <c r="BK1093" s="335"/>
      <c r="BL1093" s="335"/>
      <c r="BM1093" s="335"/>
      <c r="BN1093" s="335"/>
      <c r="BO1093" s="335"/>
      <c r="BP1093" s="335"/>
      <c r="BQ1093" s="335"/>
      <c r="BR1093" s="335"/>
      <c r="BS1093" s="335"/>
    </row>
    <row r="1094" spans="1:71" s="192" customFormat="1" ht="15">
      <c r="A1094" s="214"/>
      <c r="B1094" s="138" t="s">
        <v>1006</v>
      </c>
      <c r="C1094" s="1268">
        <f>CEILING((C1093+20*$Z$1),0.1)</f>
        <v>106.30000000000001</v>
      </c>
      <c r="D1094" s="1270"/>
      <c r="E1094" s="1269">
        <f>CEILING((E1093+20*$Z$1),0.1)</f>
        <v>133.8</v>
      </c>
      <c r="F1094" s="1270"/>
      <c r="G1094" s="1269">
        <f>CEILING((G1093+20*$Z$1),0.1)</f>
        <v>118.80000000000001</v>
      </c>
      <c r="H1094" s="1270"/>
      <c r="I1094" s="1269">
        <f>CEILING((I1093+20*$Z$1),0.1)</f>
        <v>130</v>
      </c>
      <c r="J1094" s="1270"/>
      <c r="K1094" s="1269">
        <f>CEILING((K1093+20*$Z$1),0.1)</f>
        <v>108.80000000000001</v>
      </c>
      <c r="L1094" s="1270"/>
      <c r="M1094" s="342"/>
      <c r="N1094" s="389"/>
      <c r="O1094" s="335"/>
      <c r="P1094" s="335"/>
      <c r="Q1094" s="335"/>
      <c r="R1094" s="335"/>
      <c r="S1094" s="335"/>
      <c r="T1094" s="335"/>
      <c r="U1094" s="335"/>
      <c r="V1094" s="335"/>
      <c r="W1094" s="335"/>
      <c r="X1094" s="335"/>
      <c r="Y1094" s="335"/>
      <c r="Z1094" s="335"/>
      <c r="AA1094" s="335"/>
      <c r="AB1094" s="335"/>
      <c r="AC1094" s="335"/>
      <c r="AD1094" s="335"/>
      <c r="AE1094" s="335"/>
      <c r="AF1094" s="335"/>
      <c r="AG1094" s="335"/>
      <c r="AH1094" s="335"/>
      <c r="AI1094" s="335"/>
      <c r="AJ1094" s="335"/>
      <c r="AK1094" s="335"/>
      <c r="AL1094" s="335"/>
      <c r="AM1094" s="335"/>
      <c r="AN1094" s="335"/>
      <c r="AO1094" s="335"/>
      <c r="AP1094" s="335"/>
      <c r="AQ1094" s="335"/>
      <c r="AR1094" s="335"/>
      <c r="AS1094" s="335"/>
      <c r="AT1094" s="335"/>
      <c r="AU1094" s="335"/>
      <c r="AV1094" s="335"/>
      <c r="AW1094" s="335"/>
      <c r="AX1094" s="335"/>
      <c r="AY1094" s="335"/>
      <c r="AZ1094" s="335"/>
      <c r="BA1094" s="335"/>
      <c r="BB1094" s="335"/>
      <c r="BC1094" s="335"/>
      <c r="BD1094" s="335"/>
      <c r="BE1094" s="335"/>
      <c r="BF1094" s="335"/>
      <c r="BG1094" s="335"/>
      <c r="BH1094" s="335"/>
      <c r="BI1094" s="335"/>
      <c r="BJ1094" s="335"/>
      <c r="BK1094" s="335"/>
      <c r="BL1094" s="335"/>
      <c r="BM1094" s="335"/>
      <c r="BN1094" s="335"/>
      <c r="BO1094" s="335"/>
      <c r="BP1094" s="335"/>
      <c r="BQ1094" s="335"/>
      <c r="BR1094" s="335"/>
      <c r="BS1094" s="335"/>
    </row>
    <row r="1095" spans="1:71" s="192" customFormat="1" ht="15.75">
      <c r="A1095" s="889" t="s">
        <v>1026</v>
      </c>
      <c r="B1095" s="141" t="s">
        <v>47</v>
      </c>
      <c r="C1095" s="1268">
        <f>CEILING((C1093*0.85),0.1)</f>
        <v>69.2</v>
      </c>
      <c r="D1095" s="1270"/>
      <c r="E1095" s="1269">
        <f>CEILING((E1093*0.85),0.1)</f>
        <v>92.5</v>
      </c>
      <c r="F1095" s="1270"/>
      <c r="G1095" s="1269">
        <f>CEILING((G1093*0.85),0.1)</f>
        <v>79.80000000000001</v>
      </c>
      <c r="H1095" s="1270"/>
      <c r="I1095" s="1269">
        <f>CEILING((I1093*0.85),0.1)</f>
        <v>89.30000000000001</v>
      </c>
      <c r="J1095" s="1270"/>
      <c r="K1095" s="1269">
        <f>CEILING((K1093*0.85),0.1)</f>
        <v>71.3</v>
      </c>
      <c r="L1095" s="1270"/>
      <c r="M1095" s="342"/>
      <c r="N1095" s="389"/>
      <c r="O1095" s="335"/>
      <c r="P1095" s="335"/>
      <c r="Q1095" s="335"/>
      <c r="R1095" s="335"/>
      <c r="S1095" s="335"/>
      <c r="T1095" s="335"/>
      <c r="U1095" s="335"/>
      <c r="V1095" s="335"/>
      <c r="W1095" s="335"/>
      <c r="X1095" s="335"/>
      <c r="Y1095" s="335"/>
      <c r="Z1095" s="335"/>
      <c r="AA1095" s="335"/>
      <c r="AB1095" s="335"/>
      <c r="AC1095" s="335"/>
      <c r="AD1095" s="335"/>
      <c r="AE1095" s="335"/>
      <c r="AF1095" s="335"/>
      <c r="AG1095" s="335"/>
      <c r="AH1095" s="335"/>
      <c r="AI1095" s="335"/>
      <c r="AJ1095" s="335"/>
      <c r="AK1095" s="335"/>
      <c r="AL1095" s="335"/>
      <c r="AM1095" s="335"/>
      <c r="AN1095" s="335"/>
      <c r="AO1095" s="335"/>
      <c r="AP1095" s="335"/>
      <c r="AQ1095" s="335"/>
      <c r="AR1095" s="335"/>
      <c r="AS1095" s="335"/>
      <c r="AT1095" s="335"/>
      <c r="AU1095" s="335"/>
      <c r="AV1095" s="335"/>
      <c r="AW1095" s="335"/>
      <c r="AX1095" s="335"/>
      <c r="AY1095" s="335"/>
      <c r="AZ1095" s="335"/>
      <c r="BA1095" s="335"/>
      <c r="BB1095" s="335"/>
      <c r="BC1095" s="335"/>
      <c r="BD1095" s="335"/>
      <c r="BE1095" s="335"/>
      <c r="BF1095" s="335"/>
      <c r="BG1095" s="335"/>
      <c r="BH1095" s="335"/>
      <c r="BI1095" s="335"/>
      <c r="BJ1095" s="335"/>
      <c r="BK1095" s="335"/>
      <c r="BL1095" s="335"/>
      <c r="BM1095" s="335"/>
      <c r="BN1095" s="335"/>
      <c r="BO1095" s="335"/>
      <c r="BP1095" s="335"/>
      <c r="BQ1095" s="335"/>
      <c r="BR1095" s="335"/>
      <c r="BS1095" s="335"/>
    </row>
    <row r="1096" spans="1:71" s="192" customFormat="1" ht="15">
      <c r="A1096" s="718"/>
      <c r="B1096" s="143" t="s">
        <v>1008</v>
      </c>
      <c r="C1096" s="1268">
        <f>CEILING(80*$Z$1,0.1)</f>
        <v>100</v>
      </c>
      <c r="D1096" s="1270"/>
      <c r="E1096" s="1269">
        <f>CEILING(102*$Z$1,0.1)</f>
        <v>127.5</v>
      </c>
      <c r="F1096" s="1270"/>
      <c r="G1096" s="1269">
        <f>CEILING(90*$Z$1,0.1)</f>
        <v>112.5</v>
      </c>
      <c r="H1096" s="1270"/>
      <c r="I1096" s="1269">
        <f>CEILING(99*$Z$1,0.1)</f>
        <v>123.80000000000001</v>
      </c>
      <c r="J1096" s="1270"/>
      <c r="K1096" s="1269">
        <f>CEILING(82*$Z$1,0.1)</f>
        <v>102.5</v>
      </c>
      <c r="L1096" s="1270"/>
      <c r="M1096" s="342"/>
      <c r="N1096" s="389"/>
      <c r="O1096" s="335"/>
      <c r="P1096" s="335"/>
      <c r="Q1096" s="335"/>
      <c r="R1096" s="335"/>
      <c r="S1096" s="335"/>
      <c r="T1096" s="335"/>
      <c r="U1096" s="335"/>
      <c r="V1096" s="335"/>
      <c r="W1096" s="335"/>
      <c r="X1096" s="335"/>
      <c r="Y1096" s="335"/>
      <c r="Z1096" s="335"/>
      <c r="AA1096" s="335"/>
      <c r="AB1096" s="335"/>
      <c r="AC1096" s="335"/>
      <c r="AD1096" s="335"/>
      <c r="AE1096" s="335"/>
      <c r="AF1096" s="335"/>
      <c r="AG1096" s="335"/>
      <c r="AH1096" s="335"/>
      <c r="AI1096" s="335"/>
      <c r="AJ1096" s="335"/>
      <c r="AK1096" s="335"/>
      <c r="AL1096" s="335"/>
      <c r="AM1096" s="335"/>
      <c r="AN1096" s="335"/>
      <c r="AO1096" s="335"/>
      <c r="AP1096" s="335"/>
      <c r="AQ1096" s="335"/>
      <c r="AR1096" s="335"/>
      <c r="AS1096" s="335"/>
      <c r="AT1096" s="335"/>
      <c r="AU1096" s="335"/>
      <c r="AV1096" s="335"/>
      <c r="AW1096" s="335"/>
      <c r="AX1096" s="335"/>
      <c r="AY1096" s="335"/>
      <c r="AZ1096" s="335"/>
      <c r="BA1096" s="335"/>
      <c r="BB1096" s="335"/>
      <c r="BC1096" s="335"/>
      <c r="BD1096" s="335"/>
      <c r="BE1096" s="335"/>
      <c r="BF1096" s="335"/>
      <c r="BG1096" s="335"/>
      <c r="BH1096" s="335"/>
      <c r="BI1096" s="335"/>
      <c r="BJ1096" s="335"/>
      <c r="BK1096" s="335"/>
      <c r="BL1096" s="335"/>
      <c r="BM1096" s="335"/>
      <c r="BN1096" s="335"/>
      <c r="BO1096" s="335"/>
      <c r="BP1096" s="335"/>
      <c r="BQ1096" s="335"/>
      <c r="BR1096" s="335"/>
      <c r="BS1096" s="335"/>
    </row>
    <row r="1097" spans="1:71" s="192" customFormat="1" ht="15">
      <c r="A1097" s="718"/>
      <c r="B1097" s="143" t="s">
        <v>1009</v>
      </c>
      <c r="C1097" s="1268">
        <f>CEILING((C1096+20*$Z$1),0.1)</f>
        <v>125</v>
      </c>
      <c r="D1097" s="1270"/>
      <c r="E1097" s="1269">
        <f>CEILING((E1096+20*$Z$1),0.1)</f>
        <v>152.5</v>
      </c>
      <c r="F1097" s="1314"/>
      <c r="G1097" s="1269">
        <f>CEILING((G1096+20*$Z$1),0.1)</f>
        <v>137.5</v>
      </c>
      <c r="H1097" s="1314"/>
      <c r="I1097" s="1269">
        <f>CEILING((I1096+20*$Z$1),0.1)</f>
        <v>148.8</v>
      </c>
      <c r="J1097" s="1314"/>
      <c r="K1097" s="1269">
        <f>CEILING((K1096+20*$Z$1),0.1)</f>
        <v>127.5</v>
      </c>
      <c r="L1097" s="1314"/>
      <c r="M1097" s="342"/>
      <c r="N1097" s="389"/>
      <c r="O1097" s="335"/>
      <c r="P1097" s="335"/>
      <c r="Q1097" s="335"/>
      <c r="R1097" s="335"/>
      <c r="S1097" s="335"/>
      <c r="T1097" s="335"/>
      <c r="U1097" s="335"/>
      <c r="V1097" s="335"/>
      <c r="W1097" s="335"/>
      <c r="X1097" s="335"/>
      <c r="Y1097" s="335"/>
      <c r="Z1097" s="335"/>
      <c r="AA1097" s="335"/>
      <c r="AB1097" s="335"/>
      <c r="AC1097" s="335"/>
      <c r="AD1097" s="335"/>
      <c r="AE1097" s="335"/>
      <c r="AF1097" s="335"/>
      <c r="AG1097" s="335"/>
      <c r="AH1097" s="335"/>
      <c r="AI1097" s="335"/>
      <c r="AJ1097" s="335"/>
      <c r="AK1097" s="335"/>
      <c r="AL1097" s="335"/>
      <c r="AM1097" s="335"/>
      <c r="AN1097" s="335"/>
      <c r="AO1097" s="335"/>
      <c r="AP1097" s="335"/>
      <c r="AQ1097" s="335"/>
      <c r="AR1097" s="335"/>
      <c r="AS1097" s="335"/>
      <c r="AT1097" s="335"/>
      <c r="AU1097" s="335"/>
      <c r="AV1097" s="335"/>
      <c r="AW1097" s="335"/>
      <c r="AX1097" s="335"/>
      <c r="AY1097" s="335"/>
      <c r="AZ1097" s="335"/>
      <c r="BA1097" s="335"/>
      <c r="BB1097" s="335"/>
      <c r="BC1097" s="335"/>
      <c r="BD1097" s="335"/>
      <c r="BE1097" s="335"/>
      <c r="BF1097" s="335"/>
      <c r="BG1097" s="335"/>
      <c r="BH1097" s="335"/>
      <c r="BI1097" s="335"/>
      <c r="BJ1097" s="335"/>
      <c r="BK1097" s="335"/>
      <c r="BL1097" s="335"/>
      <c r="BM1097" s="335"/>
      <c r="BN1097" s="335"/>
      <c r="BO1097" s="335"/>
      <c r="BP1097" s="335"/>
      <c r="BQ1097" s="335"/>
      <c r="BR1097" s="335"/>
      <c r="BS1097" s="335"/>
    </row>
    <row r="1098" spans="1:71" s="192" customFormat="1" ht="15">
      <c r="A1098" s="718"/>
      <c r="B1098" s="138" t="s">
        <v>1010</v>
      </c>
      <c r="C1098" s="1268">
        <f>CEILING(115*$Z$1,0.1)</f>
        <v>143.8</v>
      </c>
      <c r="D1098" s="1270"/>
      <c r="E1098" s="1269">
        <f>CEILING(137*$Z$1,0.1)</f>
        <v>171.3</v>
      </c>
      <c r="F1098" s="1270"/>
      <c r="G1098" s="1269">
        <f>CEILING(125*$Z$1,0.1)</f>
        <v>156.3</v>
      </c>
      <c r="H1098" s="1270"/>
      <c r="I1098" s="1269">
        <f>CEILING(134*$Z$1,0.1)</f>
        <v>167.5</v>
      </c>
      <c r="J1098" s="1270"/>
      <c r="K1098" s="1269">
        <f>CEILING(117*$Z$1,0.1)</f>
        <v>146.3</v>
      </c>
      <c r="L1098" s="1270"/>
      <c r="M1098" s="342"/>
      <c r="N1098" s="389"/>
      <c r="O1098" s="335"/>
      <c r="P1098" s="335"/>
      <c r="Q1098" s="335"/>
      <c r="R1098" s="335"/>
      <c r="S1098" s="335"/>
      <c r="T1098" s="335"/>
      <c r="U1098" s="335"/>
      <c r="V1098" s="335"/>
      <c r="W1098" s="335"/>
      <c r="X1098" s="335"/>
      <c r="Y1098" s="335"/>
      <c r="Z1098" s="335"/>
      <c r="AA1098" s="335"/>
      <c r="AB1098" s="335"/>
      <c r="AC1098" s="335"/>
      <c r="AD1098" s="335"/>
      <c r="AE1098" s="335"/>
      <c r="AF1098" s="335"/>
      <c r="AG1098" s="335"/>
      <c r="AH1098" s="335"/>
      <c r="AI1098" s="335"/>
      <c r="AJ1098" s="335"/>
      <c r="AK1098" s="335"/>
      <c r="AL1098" s="335"/>
      <c r="AM1098" s="335"/>
      <c r="AN1098" s="335"/>
      <c r="AO1098" s="335"/>
      <c r="AP1098" s="335"/>
      <c r="AQ1098" s="335"/>
      <c r="AR1098" s="335"/>
      <c r="AS1098" s="335"/>
      <c r="AT1098" s="335"/>
      <c r="AU1098" s="335"/>
      <c r="AV1098" s="335"/>
      <c r="AW1098" s="335"/>
      <c r="AX1098" s="335"/>
      <c r="AY1098" s="335"/>
      <c r="AZ1098" s="335"/>
      <c r="BA1098" s="335"/>
      <c r="BB1098" s="335"/>
      <c r="BC1098" s="335"/>
      <c r="BD1098" s="335"/>
      <c r="BE1098" s="335"/>
      <c r="BF1098" s="335"/>
      <c r="BG1098" s="335"/>
      <c r="BH1098" s="335"/>
      <c r="BI1098" s="335"/>
      <c r="BJ1098" s="335"/>
      <c r="BK1098" s="335"/>
      <c r="BL1098" s="335"/>
      <c r="BM1098" s="335"/>
      <c r="BN1098" s="335"/>
      <c r="BO1098" s="335"/>
      <c r="BP1098" s="335"/>
      <c r="BQ1098" s="335"/>
      <c r="BR1098" s="335"/>
      <c r="BS1098" s="335"/>
    </row>
    <row r="1099" spans="1:71" s="192" customFormat="1" ht="15">
      <c r="A1099" s="718"/>
      <c r="B1099" s="138" t="s">
        <v>1011</v>
      </c>
      <c r="C1099" s="1268">
        <f>CEILING((C1098+20*$Z$1),0.1)</f>
        <v>168.8</v>
      </c>
      <c r="D1099" s="1270"/>
      <c r="E1099" s="1269">
        <f>CEILING((E1098+20*$Z$1),0.1)</f>
        <v>196.3</v>
      </c>
      <c r="F1099" s="1270"/>
      <c r="G1099" s="1269">
        <f>CEILING((G1098+20*$Z$1),0.1)</f>
        <v>181.3</v>
      </c>
      <c r="H1099" s="1270"/>
      <c r="I1099" s="1269">
        <f>CEILING((I1098+20*$Z$1),0.1)</f>
        <v>192.5</v>
      </c>
      <c r="J1099" s="1270"/>
      <c r="K1099" s="1269">
        <f>CEILING((K1098+20*$Z$1),0.1)</f>
        <v>171.3</v>
      </c>
      <c r="L1099" s="1270"/>
      <c r="M1099" s="342"/>
      <c r="N1099" s="389"/>
      <c r="O1099" s="335"/>
      <c r="P1099" s="335"/>
      <c r="Q1099" s="335"/>
      <c r="R1099" s="335"/>
      <c r="S1099" s="335"/>
      <c r="T1099" s="335"/>
      <c r="U1099" s="335"/>
      <c r="V1099" s="335"/>
      <c r="W1099" s="335"/>
      <c r="X1099" s="335"/>
      <c r="Y1099" s="335"/>
      <c r="Z1099" s="335"/>
      <c r="AA1099" s="335"/>
      <c r="AB1099" s="335"/>
      <c r="AC1099" s="335"/>
      <c r="AD1099" s="335"/>
      <c r="AE1099" s="335"/>
      <c r="AF1099" s="335"/>
      <c r="AG1099" s="335"/>
      <c r="AH1099" s="335"/>
      <c r="AI1099" s="335"/>
      <c r="AJ1099" s="335"/>
      <c r="AK1099" s="335"/>
      <c r="AL1099" s="335"/>
      <c r="AM1099" s="335"/>
      <c r="AN1099" s="335"/>
      <c r="AO1099" s="335"/>
      <c r="AP1099" s="335"/>
      <c r="AQ1099" s="335"/>
      <c r="AR1099" s="335"/>
      <c r="AS1099" s="335"/>
      <c r="AT1099" s="335"/>
      <c r="AU1099" s="335"/>
      <c r="AV1099" s="335"/>
      <c r="AW1099" s="335"/>
      <c r="AX1099" s="335"/>
      <c r="AY1099" s="335"/>
      <c r="AZ1099" s="335"/>
      <c r="BA1099" s="335"/>
      <c r="BB1099" s="335"/>
      <c r="BC1099" s="335"/>
      <c r="BD1099" s="335"/>
      <c r="BE1099" s="335"/>
      <c r="BF1099" s="335"/>
      <c r="BG1099" s="335"/>
      <c r="BH1099" s="335"/>
      <c r="BI1099" s="335"/>
      <c r="BJ1099" s="335"/>
      <c r="BK1099" s="335"/>
      <c r="BL1099" s="335"/>
      <c r="BM1099" s="335"/>
      <c r="BN1099" s="335"/>
      <c r="BO1099" s="335"/>
      <c r="BP1099" s="335"/>
      <c r="BQ1099" s="335"/>
      <c r="BR1099" s="335"/>
      <c r="BS1099" s="335"/>
    </row>
    <row r="1100" spans="1:71" s="667" customFormat="1" ht="14.25" customHeight="1">
      <c r="A1100" s="890"/>
      <c r="B1100" s="143" t="s">
        <v>1014</v>
      </c>
      <c r="C1100" s="1284">
        <f>CEILING(196*$Z$1,0.1)</f>
        <v>245</v>
      </c>
      <c r="D1100" s="1285"/>
      <c r="E1100" s="1269">
        <f>CEILING(233*$Z$1,0.1)</f>
        <v>291.3</v>
      </c>
      <c r="F1100" s="1270"/>
      <c r="G1100" s="1269">
        <f>CEILING(213*$Z$1,0.1)</f>
        <v>266.3</v>
      </c>
      <c r="H1100" s="1270"/>
      <c r="I1100" s="1269">
        <f>CEILING(228*$Z$1,0.1)</f>
        <v>285</v>
      </c>
      <c r="J1100" s="1270"/>
      <c r="K1100" s="1269">
        <f>CEILING(199*$Z$1,0.1)</f>
        <v>248.8</v>
      </c>
      <c r="L1100" s="1270"/>
      <c r="M1100" s="342"/>
      <c r="N1100" s="389"/>
      <c r="O1100" s="335"/>
      <c r="P1100" s="335"/>
      <c r="Q1100" s="335"/>
      <c r="R1100" s="335"/>
      <c r="S1100" s="335"/>
      <c r="T1100" s="335"/>
      <c r="U1100" s="335"/>
      <c r="V1100" s="335"/>
      <c r="W1100" s="335"/>
      <c r="X1100" s="335"/>
      <c r="Y1100" s="335"/>
      <c r="Z1100" s="335"/>
      <c r="AA1100" s="335"/>
      <c r="AB1100" s="335"/>
      <c r="AC1100" s="335"/>
      <c r="AD1100" s="335"/>
      <c r="AE1100" s="335"/>
      <c r="AF1100" s="335"/>
      <c r="AG1100" s="335"/>
      <c r="AH1100" s="335"/>
      <c r="AI1100" s="335"/>
      <c r="AJ1100" s="335"/>
      <c r="AK1100" s="335"/>
      <c r="AL1100" s="335"/>
      <c r="AM1100" s="335"/>
      <c r="AN1100" s="335"/>
      <c r="AO1100" s="335"/>
      <c r="AP1100" s="335"/>
      <c r="AQ1100" s="335"/>
      <c r="AR1100" s="335"/>
      <c r="AS1100" s="335"/>
      <c r="AT1100" s="335"/>
      <c r="AU1100" s="335"/>
      <c r="AV1100" s="335"/>
      <c r="AW1100" s="335"/>
      <c r="AX1100" s="335"/>
      <c r="AY1100" s="335"/>
      <c r="AZ1100" s="335"/>
      <c r="BA1100" s="335"/>
      <c r="BB1100" s="335"/>
      <c r="BC1100" s="335"/>
      <c r="BD1100" s="335"/>
      <c r="BE1100" s="335"/>
      <c r="BF1100" s="335"/>
      <c r="BG1100" s="335"/>
      <c r="BH1100" s="335"/>
      <c r="BI1100" s="335"/>
      <c r="BJ1100" s="335"/>
      <c r="BK1100" s="335"/>
      <c r="BL1100" s="335"/>
      <c r="BM1100" s="335"/>
      <c r="BN1100" s="335"/>
      <c r="BO1100" s="335"/>
      <c r="BP1100" s="335"/>
      <c r="BQ1100" s="335"/>
      <c r="BR1100" s="335"/>
      <c r="BS1100" s="335"/>
    </row>
    <row r="1101" spans="1:71" s="192" customFormat="1" ht="15">
      <c r="A1101" s="212"/>
      <c r="B1101" s="800" t="s">
        <v>1015</v>
      </c>
      <c r="C1101" s="1266">
        <f>CEILING(78*$Z$1,0.1)</f>
        <v>97.5</v>
      </c>
      <c r="D1101" s="1267"/>
      <c r="E1101" s="1266">
        <f>CEILING(95*$Z$1,0.1)</f>
        <v>118.80000000000001</v>
      </c>
      <c r="F1101" s="1267"/>
      <c r="G1101" s="1266">
        <f>CEILING(83*$Z$1,0.1)</f>
        <v>103.80000000000001</v>
      </c>
      <c r="H1101" s="1267"/>
      <c r="I1101" s="1266">
        <f>CEILING(88*$Z$1,0.1)</f>
        <v>110</v>
      </c>
      <c r="J1101" s="1267"/>
      <c r="K1101" s="1266">
        <f>CEILING(76*$Z$1,0.1)</f>
        <v>95</v>
      </c>
      <c r="L1101" s="1267"/>
      <c r="M1101" s="342"/>
      <c r="N1101" s="389"/>
      <c r="O1101" s="335"/>
      <c r="P1101" s="335"/>
      <c r="Q1101" s="335"/>
      <c r="R1101" s="335"/>
      <c r="S1101" s="335"/>
      <c r="T1101" s="335"/>
      <c r="U1101" s="335"/>
      <c r="V1101" s="335"/>
      <c r="W1101" s="335"/>
      <c r="X1101" s="335"/>
      <c r="Y1101" s="335"/>
      <c r="Z1101" s="335"/>
      <c r="AA1101" s="335"/>
      <c r="AB1101" s="335"/>
      <c r="AC1101" s="335"/>
      <c r="AD1101" s="335"/>
      <c r="AE1101" s="335"/>
      <c r="AF1101" s="335"/>
      <c r="AG1101" s="335"/>
      <c r="AH1101" s="335"/>
      <c r="AI1101" s="335"/>
      <c r="AJ1101" s="335"/>
      <c r="AK1101" s="335"/>
      <c r="AL1101" s="335"/>
      <c r="AM1101" s="335"/>
      <c r="AN1101" s="335"/>
      <c r="AO1101" s="335"/>
      <c r="AP1101" s="335"/>
      <c r="AQ1101" s="335"/>
      <c r="AR1101" s="335"/>
      <c r="AS1101" s="335"/>
      <c r="AT1101" s="335"/>
      <c r="AU1101" s="335"/>
      <c r="AV1101" s="335"/>
      <c r="AW1101" s="335"/>
      <c r="AX1101" s="335"/>
      <c r="AY1101" s="335"/>
      <c r="AZ1101" s="335"/>
      <c r="BA1101" s="335"/>
      <c r="BB1101" s="335"/>
      <c r="BC1101" s="335"/>
      <c r="BD1101" s="335"/>
      <c r="BE1101" s="335"/>
      <c r="BF1101" s="335"/>
      <c r="BG1101" s="335"/>
      <c r="BH1101" s="335"/>
      <c r="BI1101" s="335"/>
      <c r="BJ1101" s="335"/>
      <c r="BK1101" s="335"/>
      <c r="BL1101" s="335"/>
      <c r="BM1101" s="335"/>
      <c r="BN1101" s="335"/>
      <c r="BO1101" s="335"/>
      <c r="BP1101" s="335"/>
      <c r="BQ1101" s="335"/>
      <c r="BR1101" s="335"/>
      <c r="BS1101" s="335"/>
    </row>
    <row r="1102" spans="1:71" s="192" customFormat="1" ht="15">
      <c r="A1102" s="214"/>
      <c r="B1102" s="147" t="s">
        <v>1016</v>
      </c>
      <c r="C1102" s="1268">
        <f>CEILING((C1101+39*$Z$1),0.1)</f>
        <v>146.3</v>
      </c>
      <c r="D1102" s="1270"/>
      <c r="E1102" s="1268">
        <f>CEILING((E1101+48*$Z$1),0.1)</f>
        <v>178.8</v>
      </c>
      <c r="F1102" s="1270"/>
      <c r="G1102" s="1268">
        <f>CEILING((G1101+42*$Z$1),0.1)</f>
        <v>156.3</v>
      </c>
      <c r="H1102" s="1270"/>
      <c r="I1102" s="1268">
        <f>CEILING((I1101+44*$Z$1),0.1)</f>
        <v>165</v>
      </c>
      <c r="J1102" s="1270"/>
      <c r="K1102" s="1268">
        <f>CEILING((K1101+38*$Z$1),0.1)</f>
        <v>142.5</v>
      </c>
      <c r="L1102" s="1270"/>
      <c r="M1102" s="342"/>
      <c r="N1102" s="389"/>
      <c r="O1102" s="335"/>
      <c r="P1102" s="335"/>
      <c r="Q1102" s="335"/>
      <c r="R1102" s="335"/>
      <c r="S1102" s="335"/>
      <c r="T1102" s="335"/>
      <c r="U1102" s="335"/>
      <c r="V1102" s="335"/>
      <c r="W1102" s="335"/>
      <c r="X1102" s="335"/>
      <c r="Y1102" s="335"/>
      <c r="Z1102" s="335"/>
      <c r="AA1102" s="335"/>
      <c r="AB1102" s="335"/>
      <c r="AC1102" s="335"/>
      <c r="AD1102" s="335"/>
      <c r="AE1102" s="335"/>
      <c r="AF1102" s="335"/>
      <c r="AG1102" s="335"/>
      <c r="AH1102" s="335"/>
      <c r="AI1102" s="335"/>
      <c r="AJ1102" s="335"/>
      <c r="AK1102" s="335"/>
      <c r="AL1102" s="335"/>
      <c r="AM1102" s="335"/>
      <c r="AN1102" s="335"/>
      <c r="AO1102" s="335"/>
      <c r="AP1102" s="335"/>
      <c r="AQ1102" s="335"/>
      <c r="AR1102" s="335"/>
      <c r="AS1102" s="335"/>
      <c r="AT1102" s="335"/>
      <c r="AU1102" s="335"/>
      <c r="AV1102" s="335"/>
      <c r="AW1102" s="335"/>
      <c r="AX1102" s="335"/>
      <c r="AY1102" s="335"/>
      <c r="AZ1102" s="335"/>
      <c r="BA1102" s="335"/>
      <c r="BB1102" s="335"/>
      <c r="BC1102" s="335"/>
      <c r="BD1102" s="335"/>
      <c r="BE1102" s="335"/>
      <c r="BF1102" s="335"/>
      <c r="BG1102" s="335"/>
      <c r="BH1102" s="335"/>
      <c r="BI1102" s="335"/>
      <c r="BJ1102" s="335"/>
      <c r="BK1102" s="335"/>
      <c r="BL1102" s="335"/>
      <c r="BM1102" s="335"/>
      <c r="BN1102" s="335"/>
      <c r="BO1102" s="335"/>
      <c r="BP1102" s="335"/>
      <c r="BQ1102" s="335"/>
      <c r="BR1102" s="335"/>
      <c r="BS1102" s="335"/>
    </row>
    <row r="1103" spans="1:71" s="192" customFormat="1" ht="15.75">
      <c r="A1103" s="889" t="s">
        <v>1013</v>
      </c>
      <c r="B1103" s="291" t="s">
        <v>1017</v>
      </c>
      <c r="C1103" s="1268">
        <f>CEILING(107*$Z$1,0.1)</f>
        <v>133.8</v>
      </c>
      <c r="D1103" s="1270"/>
      <c r="E1103" s="1268">
        <f>CEILING(124*$Z$1,0.1)</f>
        <v>155</v>
      </c>
      <c r="F1103" s="1270"/>
      <c r="G1103" s="1268">
        <f>CEILING(112*$Z$1,0.1)</f>
        <v>140</v>
      </c>
      <c r="H1103" s="1270"/>
      <c r="I1103" s="1268">
        <f>CEILING(117*$Z$1,0.1)</f>
        <v>146.3</v>
      </c>
      <c r="J1103" s="1270"/>
      <c r="K1103" s="1268">
        <f>CEILING(105*$Z$1,0.1)</f>
        <v>131.3</v>
      </c>
      <c r="L1103" s="1270"/>
      <c r="M1103" s="342"/>
      <c r="N1103" s="389"/>
      <c r="O1103" s="335"/>
      <c r="P1103" s="335"/>
      <c r="Q1103" s="335"/>
      <c r="R1103" s="335"/>
      <c r="S1103" s="335"/>
      <c r="T1103" s="335"/>
      <c r="U1103" s="335"/>
      <c r="V1103" s="335"/>
      <c r="W1103" s="335"/>
      <c r="X1103" s="335"/>
      <c r="Y1103" s="335"/>
      <c r="Z1103" s="335"/>
      <c r="AA1103" s="335"/>
      <c r="AB1103" s="335"/>
      <c r="AC1103" s="335"/>
      <c r="AD1103" s="335"/>
      <c r="AE1103" s="335"/>
      <c r="AF1103" s="335"/>
      <c r="AG1103" s="335"/>
      <c r="AH1103" s="335"/>
      <c r="AI1103" s="335"/>
      <c r="AJ1103" s="335"/>
      <c r="AK1103" s="335"/>
      <c r="AL1103" s="335"/>
      <c r="AM1103" s="335"/>
      <c r="AN1103" s="335"/>
      <c r="AO1103" s="335"/>
      <c r="AP1103" s="335"/>
      <c r="AQ1103" s="335"/>
      <c r="AR1103" s="335"/>
      <c r="AS1103" s="335"/>
      <c r="AT1103" s="335"/>
      <c r="AU1103" s="335"/>
      <c r="AV1103" s="335"/>
      <c r="AW1103" s="335"/>
      <c r="AX1103" s="335"/>
      <c r="AY1103" s="335"/>
      <c r="AZ1103" s="335"/>
      <c r="BA1103" s="335"/>
      <c r="BB1103" s="335"/>
      <c r="BC1103" s="335"/>
      <c r="BD1103" s="335"/>
      <c r="BE1103" s="335"/>
      <c r="BF1103" s="335"/>
      <c r="BG1103" s="335"/>
      <c r="BH1103" s="335"/>
      <c r="BI1103" s="335"/>
      <c r="BJ1103" s="335"/>
      <c r="BK1103" s="335"/>
      <c r="BL1103" s="335"/>
      <c r="BM1103" s="335"/>
      <c r="BN1103" s="335"/>
      <c r="BO1103" s="335"/>
      <c r="BP1103" s="335"/>
      <c r="BQ1103" s="335"/>
      <c r="BR1103" s="335"/>
      <c r="BS1103" s="335"/>
    </row>
    <row r="1104" spans="1:71" s="192" customFormat="1" ht="15">
      <c r="A1104" s="718"/>
      <c r="B1104" s="291" t="s">
        <v>1018</v>
      </c>
      <c r="C1104" s="1268">
        <f>CEILING((C1103+54*$Z$1),0.1)</f>
        <v>201.3</v>
      </c>
      <c r="D1104" s="1270"/>
      <c r="E1104" s="1268">
        <f>CEILING((E1103+61*$Z$1),0.1)</f>
        <v>231.3</v>
      </c>
      <c r="F1104" s="1314"/>
      <c r="G1104" s="1268">
        <f>CEILING((G1103+56*$Z$1),0.1)</f>
        <v>210</v>
      </c>
      <c r="H1104" s="1314"/>
      <c r="I1104" s="1268">
        <f>CEILING((I1103+58*$Z$1),0.1)</f>
        <v>218.8</v>
      </c>
      <c r="J1104" s="1314"/>
      <c r="K1104" s="1268">
        <f>CEILING((K1103+53*$Z$1),0.1)</f>
        <v>197.60000000000002</v>
      </c>
      <c r="L1104" s="1314"/>
      <c r="M1104" s="342"/>
      <c r="N1104" s="389"/>
      <c r="O1104" s="335"/>
      <c r="P1104" s="335"/>
      <c r="Q1104" s="335"/>
      <c r="R1104" s="335"/>
      <c r="S1104" s="335"/>
      <c r="T1104" s="335"/>
      <c r="U1104" s="335"/>
      <c r="V1104" s="335"/>
      <c r="W1104" s="335"/>
      <c r="X1104" s="335"/>
      <c r="Y1104" s="335"/>
      <c r="Z1104" s="335"/>
      <c r="AA1104" s="335"/>
      <c r="AB1104" s="335"/>
      <c r="AC1104" s="335"/>
      <c r="AD1104" s="335"/>
      <c r="AE1104" s="335"/>
      <c r="AF1104" s="335"/>
      <c r="AG1104" s="335"/>
      <c r="AH1104" s="335"/>
      <c r="AI1104" s="335"/>
      <c r="AJ1104" s="335"/>
      <c r="AK1104" s="335"/>
      <c r="AL1104" s="335"/>
      <c r="AM1104" s="335"/>
      <c r="AN1104" s="335"/>
      <c r="AO1104" s="335"/>
      <c r="AP1104" s="335"/>
      <c r="AQ1104" s="335"/>
      <c r="AR1104" s="335"/>
      <c r="AS1104" s="335"/>
      <c r="AT1104" s="335"/>
      <c r="AU1104" s="335"/>
      <c r="AV1104" s="335"/>
      <c r="AW1104" s="335"/>
      <c r="AX1104" s="335"/>
      <c r="AY1104" s="335"/>
      <c r="AZ1104" s="335"/>
      <c r="BA1104" s="335"/>
      <c r="BB1104" s="335"/>
      <c r="BC1104" s="335"/>
      <c r="BD1104" s="335"/>
      <c r="BE1104" s="335"/>
      <c r="BF1104" s="335"/>
      <c r="BG1104" s="335"/>
      <c r="BH1104" s="335"/>
      <c r="BI1104" s="335"/>
      <c r="BJ1104" s="335"/>
      <c r="BK1104" s="335"/>
      <c r="BL1104" s="335"/>
      <c r="BM1104" s="335"/>
      <c r="BN1104" s="335"/>
      <c r="BO1104" s="335"/>
      <c r="BP1104" s="335"/>
      <c r="BQ1104" s="335"/>
      <c r="BR1104" s="335"/>
      <c r="BS1104" s="335"/>
    </row>
    <row r="1105" spans="1:71" s="192" customFormat="1" ht="15">
      <c r="A1105" s="718"/>
      <c r="B1105" s="147" t="s">
        <v>1019</v>
      </c>
      <c r="C1105" s="1268">
        <f>CEILING(129*$Z$1,0.1)</f>
        <v>161.3</v>
      </c>
      <c r="D1105" s="1270"/>
      <c r="E1105" s="1268">
        <f>CEILING(148*$Z$1,0.1)</f>
        <v>185</v>
      </c>
      <c r="F1105" s="1270"/>
      <c r="G1105" s="1268">
        <f>CEILING(135*$Z$1,0.1)</f>
        <v>168.8</v>
      </c>
      <c r="H1105" s="1270"/>
      <c r="I1105" s="1268">
        <f>CEILING(140*$Z$1,0.1)</f>
        <v>175</v>
      </c>
      <c r="J1105" s="1270"/>
      <c r="K1105" s="1268">
        <f>CEILING(127*$Z$1,0.1)</f>
        <v>158.8</v>
      </c>
      <c r="L1105" s="1270"/>
      <c r="M1105" s="342"/>
      <c r="N1105" s="389"/>
      <c r="O1105" s="335"/>
      <c r="P1105" s="335"/>
      <c r="Q1105" s="335"/>
      <c r="R1105" s="335"/>
      <c r="S1105" s="335"/>
      <c r="T1105" s="335"/>
      <c r="U1105" s="335"/>
      <c r="V1105" s="335"/>
      <c r="W1105" s="335"/>
      <c r="X1105" s="335"/>
      <c r="Y1105" s="335"/>
      <c r="Z1105" s="335"/>
      <c r="AA1105" s="335"/>
      <c r="AB1105" s="335"/>
      <c r="AC1105" s="335"/>
      <c r="AD1105" s="335"/>
      <c r="AE1105" s="335"/>
      <c r="AF1105" s="335"/>
      <c r="AG1105" s="335"/>
      <c r="AH1105" s="335"/>
      <c r="AI1105" s="335"/>
      <c r="AJ1105" s="335"/>
      <c r="AK1105" s="335"/>
      <c r="AL1105" s="335"/>
      <c r="AM1105" s="335"/>
      <c r="AN1105" s="335"/>
      <c r="AO1105" s="335"/>
      <c r="AP1105" s="335"/>
      <c r="AQ1105" s="335"/>
      <c r="AR1105" s="335"/>
      <c r="AS1105" s="335"/>
      <c r="AT1105" s="335"/>
      <c r="AU1105" s="335"/>
      <c r="AV1105" s="335"/>
      <c r="AW1105" s="335"/>
      <c r="AX1105" s="335"/>
      <c r="AY1105" s="335"/>
      <c r="AZ1105" s="335"/>
      <c r="BA1105" s="335"/>
      <c r="BB1105" s="335"/>
      <c r="BC1105" s="335"/>
      <c r="BD1105" s="335"/>
      <c r="BE1105" s="335"/>
      <c r="BF1105" s="335"/>
      <c r="BG1105" s="335"/>
      <c r="BH1105" s="335"/>
      <c r="BI1105" s="335"/>
      <c r="BJ1105" s="335"/>
      <c r="BK1105" s="335"/>
      <c r="BL1105" s="335"/>
      <c r="BM1105" s="335"/>
      <c r="BN1105" s="335"/>
      <c r="BO1105" s="335"/>
      <c r="BP1105" s="335"/>
      <c r="BQ1105" s="335"/>
      <c r="BR1105" s="335"/>
      <c r="BS1105" s="335"/>
    </row>
    <row r="1106" spans="1:71" s="667" customFormat="1" ht="15.75" thickBot="1">
      <c r="A1106" s="891" t="s">
        <v>1004</v>
      </c>
      <c r="B1106" s="892" t="s">
        <v>1020</v>
      </c>
      <c r="C1106" s="1284">
        <f>CEILING((C1105+64*$Z$1),0.1)</f>
        <v>241.3</v>
      </c>
      <c r="D1106" s="1285"/>
      <c r="E1106" s="1284">
        <f>CEILING((E1105+74*$Z$1),0.1)</f>
        <v>277.5</v>
      </c>
      <c r="F1106" s="1285"/>
      <c r="G1106" s="1284">
        <f>CEILING((G1105+67*$Z$1),0.1)</f>
        <v>252.60000000000002</v>
      </c>
      <c r="H1106" s="1285"/>
      <c r="I1106" s="1284">
        <f>CEILING((I1105+70*$Z$1),0.1)</f>
        <v>262.5</v>
      </c>
      <c r="J1106" s="1285"/>
      <c r="K1106" s="1284">
        <f>CEILING((K1105+63*$Z$1),0.1)</f>
        <v>237.60000000000002</v>
      </c>
      <c r="L1106" s="1285"/>
      <c r="M1106" s="342"/>
      <c r="N1106" s="389"/>
      <c r="O1106" s="335"/>
      <c r="P1106" s="335"/>
      <c r="Q1106" s="335"/>
      <c r="R1106" s="335"/>
      <c r="S1106" s="335"/>
      <c r="T1106" s="335"/>
      <c r="U1106" s="335"/>
      <c r="V1106" s="335"/>
      <c r="W1106" s="335"/>
      <c r="X1106" s="335"/>
      <c r="Y1106" s="335"/>
      <c r="Z1106" s="335"/>
      <c r="AA1106" s="335"/>
      <c r="AB1106" s="335"/>
      <c r="AC1106" s="335"/>
      <c r="AD1106" s="335"/>
      <c r="AE1106" s="335"/>
      <c r="AF1106" s="335"/>
      <c r="AG1106" s="335"/>
      <c r="AH1106" s="335"/>
      <c r="AI1106" s="335"/>
      <c r="AJ1106" s="335"/>
      <c r="AK1106" s="335"/>
      <c r="AL1106" s="335"/>
      <c r="AM1106" s="335"/>
      <c r="AN1106" s="335"/>
      <c r="AO1106" s="335"/>
      <c r="AP1106" s="335"/>
      <c r="AQ1106" s="335"/>
      <c r="AR1106" s="335"/>
      <c r="AS1106" s="335"/>
      <c r="AT1106" s="335"/>
      <c r="AU1106" s="335"/>
      <c r="AV1106" s="335"/>
      <c r="AW1106" s="335"/>
      <c r="AX1106" s="335"/>
      <c r="AY1106" s="335"/>
      <c r="AZ1106" s="335"/>
      <c r="BA1106" s="335"/>
      <c r="BB1106" s="335"/>
      <c r="BC1106" s="335"/>
      <c r="BD1106" s="335"/>
      <c r="BE1106" s="335"/>
      <c r="BF1106" s="335"/>
      <c r="BG1106" s="335"/>
      <c r="BH1106" s="335"/>
      <c r="BI1106" s="335"/>
      <c r="BJ1106" s="335"/>
      <c r="BK1106" s="852"/>
      <c r="BL1106" s="852"/>
      <c r="BM1106" s="852"/>
      <c r="BN1106" s="852"/>
      <c r="BO1106" s="852"/>
      <c r="BP1106" s="852"/>
      <c r="BQ1106" s="852"/>
      <c r="BR1106" s="852"/>
      <c r="BS1106" s="852"/>
    </row>
    <row r="1107" spans="1:70" s="777" customFormat="1" ht="15.75" thickTop="1">
      <c r="A1107" s="1401"/>
      <c r="B1107" s="1402"/>
      <c r="C1107" s="1307"/>
      <c r="D1107" s="1307"/>
      <c r="E1107" s="1402"/>
      <c r="F1107" s="1402"/>
      <c r="G1107" s="1402"/>
      <c r="H1107" s="1402"/>
      <c r="I1107" s="1402"/>
      <c r="J1107" s="1402"/>
      <c r="K1107" s="775"/>
      <c r="L1107" s="775"/>
      <c r="M1107" s="335"/>
      <c r="N1107" s="331"/>
      <c r="O1107" s="331"/>
      <c r="P1107" s="331"/>
      <c r="Q1107" s="331"/>
      <c r="R1107" s="331"/>
      <c r="S1107" s="331"/>
      <c r="T1107" s="331"/>
      <c r="U1107" s="331"/>
      <c r="V1107" s="331"/>
      <c r="W1107" s="331"/>
      <c r="X1107" s="331"/>
      <c r="Y1107" s="331"/>
      <c r="Z1107" s="331"/>
      <c r="AA1107" s="331"/>
      <c r="AB1107" s="331"/>
      <c r="AC1107" s="331"/>
      <c r="AD1107" s="331"/>
      <c r="AE1107" s="331"/>
      <c r="AF1107" s="331"/>
      <c r="AG1107" s="331"/>
      <c r="AH1107" s="331"/>
      <c r="AI1107" s="331"/>
      <c r="AJ1107" s="331"/>
      <c r="AK1107" s="331"/>
      <c r="AL1107" s="331"/>
      <c r="AM1107" s="331"/>
      <c r="AN1107" s="331"/>
      <c r="AO1107" s="331"/>
      <c r="AP1107" s="331"/>
      <c r="AQ1107" s="331"/>
      <c r="AR1107" s="331"/>
      <c r="AS1107" s="331"/>
      <c r="AT1107" s="331"/>
      <c r="AU1107" s="331"/>
      <c r="AV1107" s="331"/>
      <c r="AW1107" s="331"/>
      <c r="AX1107" s="331"/>
      <c r="AY1107" s="331"/>
      <c r="AZ1107" s="331"/>
      <c r="BA1107" s="331"/>
      <c r="BB1107" s="331"/>
      <c r="BC1107" s="331"/>
      <c r="BD1107" s="331"/>
      <c r="BE1107" s="331"/>
      <c r="BF1107" s="331"/>
      <c r="BG1107" s="331"/>
      <c r="BH1107" s="331"/>
      <c r="BI1107" s="331"/>
      <c r="BJ1107" s="331"/>
      <c r="BK1107" s="331"/>
      <c r="BL1107" s="331"/>
      <c r="BM1107" s="331"/>
      <c r="BN1107" s="331"/>
      <c r="BO1107" s="331"/>
      <c r="BP1107" s="331"/>
      <c r="BQ1107" s="331"/>
      <c r="BR1107" s="331"/>
    </row>
    <row r="1108" spans="1:25" s="479" customFormat="1" ht="15">
      <c r="A1108" s="53" t="s">
        <v>1024</v>
      </c>
      <c r="B1108" s="53"/>
      <c r="C1108" s="53"/>
      <c r="D1108" s="53"/>
      <c r="E1108" s="53"/>
      <c r="F1108" s="53"/>
      <c r="G1108" s="53"/>
      <c r="H1108" s="53"/>
      <c r="I1108" s="99"/>
      <c r="J1108" s="99"/>
      <c r="K1108" s="318"/>
      <c r="L1108" s="318"/>
      <c r="M1108" s="480"/>
      <c r="N1108" s="480"/>
      <c r="O1108" s="480"/>
      <c r="P1108" s="480"/>
      <c r="Q1108" s="480"/>
      <c r="R1108" s="480"/>
      <c r="S1108" s="480"/>
      <c r="T1108" s="480"/>
      <c r="U1108" s="480"/>
      <c r="V1108" s="480"/>
      <c r="W1108" s="480"/>
      <c r="X1108" s="480"/>
      <c r="Y1108" s="480"/>
    </row>
    <row r="1109" spans="1:25" s="479" customFormat="1" ht="15">
      <c r="A1109" s="53" t="s">
        <v>1027</v>
      </c>
      <c r="B1109" s="53"/>
      <c r="C1109" s="53"/>
      <c r="D1109" s="53"/>
      <c r="E1109" s="53"/>
      <c r="F1109" s="53"/>
      <c r="G1109" s="53"/>
      <c r="H1109" s="53"/>
      <c r="I1109" s="99"/>
      <c r="J1109" s="99"/>
      <c r="K1109" s="318"/>
      <c r="L1109" s="318"/>
      <c r="M1109" s="480"/>
      <c r="N1109" s="480"/>
      <c r="O1109" s="480"/>
      <c r="P1109" s="480"/>
      <c r="Q1109" s="480"/>
      <c r="R1109" s="480"/>
      <c r="S1109" s="480"/>
      <c r="T1109" s="480"/>
      <c r="U1109" s="480"/>
      <c r="V1109" s="480"/>
      <c r="W1109" s="480"/>
      <c r="X1109" s="480"/>
      <c r="Y1109" s="480"/>
    </row>
    <row r="1110" spans="1:25" s="479" customFormat="1" ht="18" customHeight="1">
      <c r="A1110" s="172"/>
      <c r="B1110" s="838"/>
      <c r="C1110" s="22"/>
      <c r="D1110" s="22"/>
      <c r="E1110" s="22"/>
      <c r="F1110" s="22"/>
      <c r="G1110" s="22"/>
      <c r="H1110" s="22"/>
      <c r="I1110" s="22"/>
      <c r="J1110" s="22"/>
      <c r="K1110" s="166"/>
      <c r="L1110" s="166"/>
      <c r="M1110" s="3"/>
      <c r="N1110" s="3"/>
      <c r="O1110" s="480"/>
      <c r="P1110" s="480"/>
      <c r="Q1110" s="480"/>
      <c r="R1110" s="480"/>
      <c r="S1110" s="480"/>
      <c r="T1110" s="480"/>
      <c r="U1110" s="480"/>
      <c r="V1110" s="480"/>
      <c r="W1110" s="480"/>
      <c r="X1110" s="480"/>
      <c r="Y1110" s="480"/>
    </row>
    <row r="1111" spans="1:25" s="192" customFormat="1" ht="16.5" customHeight="1">
      <c r="A1111" s="838"/>
      <c r="B1111" s="838"/>
      <c r="C1111" s="838"/>
      <c r="D1111" s="838"/>
      <c r="E1111" s="838"/>
      <c r="F1111" s="838"/>
      <c r="G1111" s="838"/>
      <c r="H1111" s="838"/>
      <c r="I1111" s="484"/>
      <c r="J1111" s="484"/>
      <c r="K1111" s="94"/>
      <c r="L1111" s="94"/>
      <c r="M1111" s="20"/>
      <c r="N1111" s="234"/>
      <c r="O1111" s="481"/>
      <c r="P1111" s="481"/>
      <c r="Q1111" s="481"/>
      <c r="R1111" s="481"/>
      <c r="S1111" s="481"/>
      <c r="T1111" s="481"/>
      <c r="U1111" s="481"/>
      <c r="V1111" s="481"/>
      <c r="W1111" s="481"/>
      <c r="X1111" s="481"/>
      <c r="Y1111" s="481"/>
    </row>
    <row r="1112" spans="1:14" ht="15">
      <c r="A1112" s="1300" t="s">
        <v>1222</v>
      </c>
      <c r="B1112" s="1300"/>
      <c r="C1112" s="1300"/>
      <c r="D1112" s="1300"/>
      <c r="E1112" s="1300"/>
      <c r="F1112" s="1300"/>
      <c r="G1112" s="1300"/>
      <c r="H1112" s="1300"/>
      <c r="I1112" s="615"/>
      <c r="J1112" s="149"/>
      <c r="K1112" s="94"/>
      <c r="L1112" s="332"/>
      <c r="M1112" s="342"/>
      <c r="N1112" s="158"/>
    </row>
    <row r="1113" spans="1:14" ht="15">
      <c r="A1113" s="1300" t="s">
        <v>1223</v>
      </c>
      <c r="B1113" s="1300"/>
      <c r="C1113" s="1300"/>
      <c r="D1113" s="1300"/>
      <c r="E1113" s="1300"/>
      <c r="F1113" s="1300"/>
      <c r="G1113" s="1300"/>
      <c r="H1113" s="1300"/>
      <c r="I1113" s="393"/>
      <c r="J1113" s="146"/>
      <c r="K1113" s="313"/>
      <c r="L1113" s="332"/>
      <c r="M1113" s="342"/>
      <c r="N1113" s="158"/>
    </row>
    <row r="1114" spans="1:14" ht="15">
      <c r="A1114" s="1300" t="s">
        <v>344</v>
      </c>
      <c r="B1114" s="1300"/>
      <c r="C1114" s="1300"/>
      <c r="D1114" s="1300"/>
      <c r="E1114" s="1300"/>
      <c r="F1114" s="1300"/>
      <c r="G1114" s="1300"/>
      <c r="H1114" s="1300"/>
      <c r="I1114" s="393"/>
      <c r="J1114" s="146"/>
      <c r="K1114" s="313"/>
      <c r="L1114" s="332"/>
      <c r="M1114" s="342"/>
      <c r="N1114" s="158"/>
    </row>
    <row r="1115" spans="1:14" ht="15">
      <c r="A1115" s="1300" t="s">
        <v>1240</v>
      </c>
      <c r="B1115" s="1300"/>
      <c r="C1115" s="1300"/>
      <c r="D1115" s="1300"/>
      <c r="E1115" s="1300"/>
      <c r="F1115" s="1300"/>
      <c r="G1115" s="1300"/>
      <c r="H1115" s="1300"/>
      <c r="I1115" s="1300"/>
      <c r="J1115" s="104"/>
      <c r="K1115" s="313"/>
      <c r="L1115" s="332"/>
      <c r="M1115" s="342"/>
      <c r="N1115" s="158"/>
    </row>
    <row r="1116" spans="1:14" ht="15">
      <c r="A1116" s="1300" t="s">
        <v>1241</v>
      </c>
      <c r="B1116" s="1300"/>
      <c r="C1116" s="1300"/>
      <c r="D1116" s="1300"/>
      <c r="E1116" s="1300"/>
      <c r="F1116" s="1300"/>
      <c r="G1116" s="1300"/>
      <c r="H1116" s="1300"/>
      <c r="I1116" s="395"/>
      <c r="J1116" s="104"/>
      <c r="K1116" s="313"/>
      <c r="L1116" s="332"/>
      <c r="M1116" s="342"/>
      <c r="N1116" s="158"/>
    </row>
    <row r="1117" spans="1:14" ht="15">
      <c r="A1117" s="625" t="s">
        <v>757</v>
      </c>
      <c r="B1117" s="625"/>
      <c r="C1117" s="625"/>
      <c r="D1117" s="625"/>
      <c r="E1117" s="625"/>
      <c r="F1117" s="625"/>
      <c r="G1117" s="625"/>
      <c r="H1117" s="625"/>
      <c r="I1117" s="626"/>
      <c r="J1117" s="626"/>
      <c r="K1117" s="627"/>
      <c r="L1117" s="332"/>
      <c r="M1117" s="342"/>
      <c r="N1117" s="158"/>
    </row>
    <row r="1118" spans="1:14" ht="15">
      <c r="A1118" s="188"/>
      <c r="B1118" s="188"/>
      <c r="C1118" s="188"/>
      <c r="D1118" s="188"/>
      <c r="E1118" s="188"/>
      <c r="F1118" s="188"/>
      <c r="G1118" s="188"/>
      <c r="H1118" s="188"/>
      <c r="I1118" s="1"/>
      <c r="J1118" s="1"/>
      <c r="K1118" s="313"/>
      <c r="L1118" s="332"/>
      <c r="M1118" s="342"/>
      <c r="N1118" s="158"/>
    </row>
    <row r="1119" spans="1:25" s="479" customFormat="1" ht="15.75">
      <c r="A1119" s="1375" t="s">
        <v>123</v>
      </c>
      <c r="B1119" s="1375"/>
      <c r="C1119" s="1375"/>
      <c r="D1119" s="1375"/>
      <c r="E1119" s="1375"/>
      <c r="F1119" s="1375"/>
      <c r="G1119" s="1375"/>
      <c r="H1119" s="1375"/>
      <c r="I1119" s="109"/>
      <c r="J1119" s="109"/>
      <c r="K1119" s="313"/>
      <c r="L1119" s="313"/>
      <c r="M1119" s="20"/>
      <c r="N1119" s="158"/>
      <c r="O1119" s="480"/>
      <c r="P1119" s="480"/>
      <c r="Q1119" s="480"/>
      <c r="R1119" s="480"/>
      <c r="S1119" s="480"/>
      <c r="T1119" s="480"/>
      <c r="U1119" s="480"/>
      <c r="V1119" s="480"/>
      <c r="W1119" s="480"/>
      <c r="X1119" s="480"/>
      <c r="Y1119" s="480"/>
    </row>
    <row r="1120" spans="1:14" ht="15.75" thickBot="1">
      <c r="A1120" s="110"/>
      <c r="B1120" s="110"/>
      <c r="C1120" s="110"/>
      <c r="D1120" s="110"/>
      <c r="E1120" s="110"/>
      <c r="F1120" s="110"/>
      <c r="G1120" s="110"/>
      <c r="H1120" s="110"/>
      <c r="I1120" s="110"/>
      <c r="J1120" s="110"/>
      <c r="K1120" s="313"/>
      <c r="L1120" s="313"/>
      <c r="M1120" s="16"/>
      <c r="N1120" s="158"/>
    </row>
    <row r="1121" spans="1:41" s="672" customFormat="1" ht="21" customHeight="1" thickTop="1">
      <c r="A1121" s="746" t="s">
        <v>43</v>
      </c>
      <c r="B1121" s="814" t="s">
        <v>961</v>
      </c>
      <c r="C1121" s="747" t="s">
        <v>884</v>
      </c>
      <c r="D1121" s="748"/>
      <c r="E1121" s="749" t="s">
        <v>883</v>
      </c>
      <c r="F1121" s="750"/>
      <c r="G1121" s="749" t="s">
        <v>880</v>
      </c>
      <c r="H1121" s="750"/>
      <c r="I1121" s="1273" t="s">
        <v>881</v>
      </c>
      <c r="J1121" s="1274"/>
      <c r="K1121" s="1273" t="s">
        <v>882</v>
      </c>
      <c r="L1121" s="1274"/>
      <c r="M1121" s="855"/>
      <c r="N1121" s="855"/>
      <c r="O1121" s="331"/>
      <c r="P1121" s="331"/>
      <c r="Q1121" s="331"/>
      <c r="R1121" s="331"/>
      <c r="S1121" s="331"/>
      <c r="T1121" s="331"/>
      <c r="U1121" s="331"/>
      <c r="V1121" s="331"/>
      <c r="W1121" s="331"/>
      <c r="X1121" s="331"/>
      <c r="Y1121" s="331"/>
      <c r="Z1121" s="331"/>
      <c r="AA1121" s="331"/>
      <c r="AB1121" s="331"/>
      <c r="AC1121" s="331"/>
      <c r="AD1121" s="331"/>
      <c r="AE1121" s="331"/>
      <c r="AF1121" s="331"/>
      <c r="AG1121" s="331"/>
      <c r="AH1121" s="331"/>
      <c r="AI1121" s="331"/>
      <c r="AJ1121" s="331"/>
      <c r="AK1121" s="331"/>
      <c r="AL1121" s="331"/>
      <c r="AM1121" s="331"/>
      <c r="AN1121" s="331"/>
      <c r="AO1121" s="331"/>
    </row>
    <row r="1122" spans="1:25" s="404" customFormat="1" ht="15">
      <c r="A1122" s="98" t="s">
        <v>124</v>
      </c>
      <c r="B1122" s="29" t="s">
        <v>293</v>
      </c>
      <c r="C1122" s="1266">
        <f>CEILING(90*$Z$1,0.1)</f>
        <v>112.5</v>
      </c>
      <c r="D1122" s="1267"/>
      <c r="E1122" s="1302">
        <f>CEILING(100*$Z$1,0.1)</f>
        <v>125</v>
      </c>
      <c r="F1122" s="1369"/>
      <c r="G1122" s="1302">
        <f>CEILING(92*$Z$1,0.1)</f>
        <v>115</v>
      </c>
      <c r="H1122" s="1369"/>
      <c r="I1122" s="1302">
        <f>CEILING(94*$Z$1,0.1)</f>
        <v>117.5</v>
      </c>
      <c r="J1122" s="1369"/>
      <c r="K1122" s="1302">
        <f>CEILING(72*$Z$1,0.1)</f>
        <v>90</v>
      </c>
      <c r="L1122" s="1303"/>
      <c r="M1122" s="3"/>
      <c r="N1122" s="3"/>
      <c r="O1122" s="169"/>
      <c r="P1122" s="169"/>
      <c r="Q1122" s="169"/>
      <c r="R1122" s="169"/>
      <c r="S1122" s="169"/>
      <c r="T1122" s="169"/>
      <c r="U1122" s="169"/>
      <c r="V1122" s="169"/>
      <c r="W1122" s="169"/>
      <c r="X1122" s="169"/>
      <c r="Y1122" s="169"/>
    </row>
    <row r="1123" spans="1:25" s="479" customFormat="1" ht="15">
      <c r="A1123" s="28" t="s">
        <v>45</v>
      </c>
      <c r="B1123" s="50" t="s">
        <v>294</v>
      </c>
      <c r="C1123" s="1268">
        <f>CEILING((C1122+55*$Z$1),0.1)</f>
        <v>181.3</v>
      </c>
      <c r="D1123" s="1270"/>
      <c r="E1123" s="1302">
        <f>CEILING((E1122+55*$Z$1),0.1)</f>
        <v>193.8</v>
      </c>
      <c r="F1123" s="1303"/>
      <c r="G1123" s="1302">
        <f>CEILING((G1122+55*$Z$1),0.1)</f>
        <v>183.8</v>
      </c>
      <c r="H1123" s="1303"/>
      <c r="I1123" s="1302">
        <f>CEILING((I1122+55*$Z$1),0.1)</f>
        <v>186.3</v>
      </c>
      <c r="J1123" s="1303"/>
      <c r="K1123" s="1302">
        <f>CEILING((K1122+55*$Z$1),0.1)</f>
        <v>158.8</v>
      </c>
      <c r="L1123" s="1303"/>
      <c r="M1123" s="3"/>
      <c r="N1123" s="3"/>
      <c r="O1123" s="480"/>
      <c r="P1123" s="480"/>
      <c r="Q1123" s="480"/>
      <c r="R1123" s="480"/>
      <c r="S1123" s="480"/>
      <c r="T1123" s="480"/>
      <c r="U1123" s="480"/>
      <c r="V1123" s="480"/>
      <c r="W1123" s="480"/>
      <c r="X1123" s="480"/>
      <c r="Y1123" s="480"/>
    </row>
    <row r="1124" spans="1:25" s="479" customFormat="1" ht="24" customHeight="1">
      <c r="A1124" s="35"/>
      <c r="B1124" s="29" t="s">
        <v>79</v>
      </c>
      <c r="C1124" s="1268">
        <f>CEILING((C1122*0.85),0.1)</f>
        <v>95.7</v>
      </c>
      <c r="D1124" s="1270"/>
      <c r="E1124" s="1302">
        <f>CEILING((E1122*0.85),0.1)</f>
        <v>106.30000000000001</v>
      </c>
      <c r="F1124" s="1303"/>
      <c r="G1124" s="1302">
        <f>CEILING((G1122*0.85),0.1)</f>
        <v>97.80000000000001</v>
      </c>
      <c r="H1124" s="1303"/>
      <c r="I1124" s="1302">
        <f>CEILING((I1122*0.85),0.1)</f>
        <v>99.9</v>
      </c>
      <c r="J1124" s="1303"/>
      <c r="K1124" s="1302">
        <f>CEILING((K1122*0.85),0.1)</f>
        <v>76.5</v>
      </c>
      <c r="L1124" s="1303"/>
      <c r="M1124" s="20"/>
      <c r="N1124" s="158"/>
      <c r="O1124" s="480"/>
      <c r="P1124" s="480"/>
      <c r="Q1124" s="480"/>
      <c r="R1124" s="480"/>
      <c r="S1124" s="480"/>
      <c r="T1124" s="480"/>
      <c r="U1124" s="480"/>
      <c r="V1124" s="480"/>
      <c r="W1124" s="480"/>
      <c r="X1124" s="480"/>
      <c r="Y1124" s="480"/>
    </row>
    <row r="1125" spans="1:25" s="479" customFormat="1" ht="17.25" customHeight="1">
      <c r="A1125" s="35"/>
      <c r="B1125" s="68" t="s">
        <v>4</v>
      </c>
      <c r="C1125" s="1268">
        <f>CEILING(115*$Z$1,0.1)</f>
        <v>143.8</v>
      </c>
      <c r="D1125" s="1270"/>
      <c r="E1125" s="1302">
        <f>CEILING(120*$Z$1,0.1)</f>
        <v>150</v>
      </c>
      <c r="F1125" s="1303"/>
      <c r="G1125" s="1302">
        <f>CEILING(112*$Z$1,0.1)</f>
        <v>140</v>
      </c>
      <c r="H1125" s="1303"/>
      <c r="I1125" s="1302">
        <f>CEILING(113*$Z$1,0.1)</f>
        <v>141.3</v>
      </c>
      <c r="J1125" s="1303"/>
      <c r="K1125" s="1302">
        <f>CEILING(90*$Z$1,0.1)</f>
        <v>112.5</v>
      </c>
      <c r="L1125" s="1303"/>
      <c r="M1125" s="20"/>
      <c r="N1125" s="158"/>
      <c r="O1125" s="480"/>
      <c r="P1125" s="480"/>
      <c r="Q1125" s="480"/>
      <c r="R1125" s="480"/>
      <c r="S1125" s="480"/>
      <c r="T1125" s="480"/>
      <c r="U1125" s="480"/>
      <c r="V1125" s="480"/>
      <c r="W1125" s="480"/>
      <c r="X1125" s="480"/>
      <c r="Y1125" s="480"/>
    </row>
    <row r="1126" spans="1:25" s="479" customFormat="1" ht="17.25" customHeight="1">
      <c r="A1126" s="1242" t="s">
        <v>1313</v>
      </c>
      <c r="B1126" s="68" t="s">
        <v>5</v>
      </c>
      <c r="C1126" s="1268">
        <f>CEILING((C1125+60*$Z$1),0.1)</f>
        <v>218.8</v>
      </c>
      <c r="D1126" s="1270"/>
      <c r="E1126" s="1302">
        <f>CEILING((E1125+60*$Z$1),0.1)</f>
        <v>225</v>
      </c>
      <c r="F1126" s="1352"/>
      <c r="G1126" s="1302">
        <f>CEILING((G1125+60*$Z$1),0.1)</f>
        <v>215</v>
      </c>
      <c r="H1126" s="1352"/>
      <c r="I1126" s="1302">
        <f>CEILING((I1125+60*$Z$1),0.1)</f>
        <v>216.3</v>
      </c>
      <c r="J1126" s="1352"/>
      <c r="K1126" s="1302">
        <f>CEILING((K1125+60*$Z$1),0.1)</f>
        <v>187.5</v>
      </c>
      <c r="L1126" s="1352"/>
      <c r="M1126" s="20"/>
      <c r="N1126" s="158"/>
      <c r="O1126" s="480"/>
      <c r="P1126" s="480"/>
      <c r="Q1126" s="480"/>
      <c r="R1126" s="480"/>
      <c r="S1126" s="480"/>
      <c r="T1126" s="480"/>
      <c r="U1126" s="480"/>
      <c r="V1126" s="480"/>
      <c r="W1126" s="480"/>
      <c r="X1126" s="480"/>
      <c r="Y1126" s="480"/>
    </row>
    <row r="1127" spans="1:25" s="479" customFormat="1" ht="18" customHeight="1">
      <c r="A1127" s="35"/>
      <c r="B1127" s="68" t="s">
        <v>1052</v>
      </c>
      <c r="C1127" s="1268">
        <f>CEILING(130*$Z$1,0.1)</f>
        <v>162.5</v>
      </c>
      <c r="D1127" s="1270"/>
      <c r="E1127" s="1302">
        <f>CEILING(132*$Z$1,0.1)</f>
        <v>165</v>
      </c>
      <c r="F1127" s="1303"/>
      <c r="G1127" s="1302">
        <f>CEILING(124*$Z$1,0.1)</f>
        <v>155</v>
      </c>
      <c r="H1127" s="1303"/>
      <c r="I1127" s="1302">
        <f>CEILING(124*$Z$1,0.1)</f>
        <v>155</v>
      </c>
      <c r="J1127" s="1303"/>
      <c r="K1127" s="1302">
        <f>CEILING(102*$Z$1,0.1)</f>
        <v>127.5</v>
      </c>
      <c r="L1127" s="1303"/>
      <c r="M1127" s="20"/>
      <c r="N1127" s="158"/>
      <c r="O1127" s="480"/>
      <c r="P1127" s="480"/>
      <c r="Q1127" s="480"/>
      <c r="R1127" s="480"/>
      <c r="S1127" s="480"/>
      <c r="T1127" s="480"/>
      <c r="U1127" s="480"/>
      <c r="V1127" s="480"/>
      <c r="W1127" s="480"/>
      <c r="X1127" s="480"/>
      <c r="Y1127" s="480"/>
    </row>
    <row r="1128" spans="1:25" s="479" customFormat="1" ht="15.75" customHeight="1">
      <c r="A1128" s="35"/>
      <c r="B1128" s="68" t="s">
        <v>1053</v>
      </c>
      <c r="C1128" s="1268">
        <f>CEILING((C1127+75*$Z$1),0.1)</f>
        <v>256.3</v>
      </c>
      <c r="D1128" s="1270"/>
      <c r="E1128" s="1302">
        <f>CEILING((E1127+75*$Z$1),0.1)</f>
        <v>258.8</v>
      </c>
      <c r="F1128" s="1352"/>
      <c r="G1128" s="1302">
        <f>CEILING((G1127+75*$Z$1),0.1)</f>
        <v>248.8</v>
      </c>
      <c r="H1128" s="1352"/>
      <c r="I1128" s="1302">
        <f>CEILING((I1127+75*$Z$1),0.1)</f>
        <v>248.8</v>
      </c>
      <c r="J1128" s="1352"/>
      <c r="K1128" s="1302">
        <f>CEILING((K1127+75*$Z$1),0.1)</f>
        <v>221.3</v>
      </c>
      <c r="L1128" s="1352"/>
      <c r="M1128" s="20"/>
      <c r="N1128" s="158"/>
      <c r="O1128" s="480"/>
      <c r="P1128" s="480"/>
      <c r="Q1128" s="480"/>
      <c r="R1128" s="480"/>
      <c r="S1128" s="480"/>
      <c r="T1128" s="480"/>
      <c r="U1128" s="480"/>
      <c r="V1128" s="480"/>
      <c r="W1128" s="480"/>
      <c r="X1128" s="480"/>
      <c r="Y1128" s="480"/>
    </row>
    <row r="1129" spans="1:25" s="479" customFormat="1" ht="15">
      <c r="A1129" s="35"/>
      <c r="B1129" s="185" t="s">
        <v>1054</v>
      </c>
      <c r="C1129" s="1268">
        <f>CEILING(140*$Z$1,0.1)</f>
        <v>175</v>
      </c>
      <c r="D1129" s="1270"/>
      <c r="E1129" s="1302">
        <f>CEILING(140*$Z$1,0.1)</f>
        <v>175</v>
      </c>
      <c r="F1129" s="1303"/>
      <c r="G1129" s="1302">
        <f>CEILING(132*$Z$1,0.1)</f>
        <v>165</v>
      </c>
      <c r="H1129" s="1303"/>
      <c r="I1129" s="1302">
        <f>CEILING(132*$Z$1,0.1)</f>
        <v>165</v>
      </c>
      <c r="J1129" s="1303"/>
      <c r="K1129" s="1302">
        <f>CEILING(109*$Z$1,0.1)</f>
        <v>136.3</v>
      </c>
      <c r="L1129" s="1303"/>
      <c r="M1129" s="92"/>
      <c r="N1129" s="92"/>
      <c r="O1129" s="480"/>
      <c r="P1129" s="480"/>
      <c r="Q1129" s="480"/>
      <c r="R1129" s="480"/>
      <c r="S1129" s="480"/>
      <c r="T1129" s="480"/>
      <c r="U1129" s="480"/>
      <c r="V1129" s="480"/>
      <c r="W1129" s="480"/>
      <c r="X1129" s="480"/>
      <c r="Y1129" s="480"/>
    </row>
    <row r="1130" spans="1:25" s="479" customFormat="1" ht="16.5" customHeight="1">
      <c r="A1130" s="84"/>
      <c r="B1130" s="185" t="s">
        <v>1055</v>
      </c>
      <c r="C1130" s="1268">
        <f>CEILING((C1129+75*$Z$1),0.1)</f>
        <v>268.8</v>
      </c>
      <c r="D1130" s="1270"/>
      <c r="E1130" s="1302">
        <f>CEILING((E1129+75*$Z$1),0.1)</f>
        <v>268.8</v>
      </c>
      <c r="F1130" s="1352"/>
      <c r="G1130" s="1302">
        <f>CEILING((G1129+75*$Z$1),0.1)</f>
        <v>258.8</v>
      </c>
      <c r="H1130" s="1352"/>
      <c r="I1130" s="1302">
        <f>CEILING((I1129+75*$Z$1),0.1)</f>
        <v>258.8</v>
      </c>
      <c r="J1130" s="1352"/>
      <c r="K1130" s="1302">
        <f>CEILING((K1129+75*$Z$1),0.1)</f>
        <v>230.10000000000002</v>
      </c>
      <c r="L1130" s="1352"/>
      <c r="M1130" s="3"/>
      <c r="N1130" s="3"/>
      <c r="O1130" s="480"/>
      <c r="P1130" s="480"/>
      <c r="Q1130" s="480"/>
      <c r="R1130" s="480"/>
      <c r="S1130" s="480"/>
      <c r="T1130" s="480"/>
      <c r="U1130" s="480"/>
      <c r="V1130" s="480"/>
      <c r="W1130" s="480"/>
      <c r="X1130" s="480"/>
      <c r="Y1130" s="480"/>
    </row>
    <row r="1131" spans="1:25" s="479" customFormat="1" ht="18.75" customHeight="1" thickBot="1">
      <c r="A1131" s="254" t="s">
        <v>424</v>
      </c>
      <c r="B1131" s="38" t="s">
        <v>511</v>
      </c>
      <c r="C1131" s="1278">
        <v>0.15</v>
      </c>
      <c r="D1131" s="1279"/>
      <c r="E1131" s="1278">
        <v>0.15</v>
      </c>
      <c r="F1131" s="1279"/>
      <c r="G1131" s="1278">
        <v>0.15</v>
      </c>
      <c r="H1131" s="1279"/>
      <c r="I1131" s="1278">
        <v>0.15</v>
      </c>
      <c r="J1131" s="1279"/>
      <c r="K1131" s="1278">
        <v>0.15</v>
      </c>
      <c r="L1131" s="1279"/>
      <c r="M1131" s="3"/>
      <c r="N1131" s="3"/>
      <c r="O1131" s="480"/>
      <c r="P1131" s="480"/>
      <c r="Q1131" s="480"/>
      <c r="R1131" s="480"/>
      <c r="S1131" s="480"/>
      <c r="T1131" s="480"/>
      <c r="U1131" s="480"/>
      <c r="V1131" s="480"/>
      <c r="W1131" s="480"/>
      <c r="X1131" s="480"/>
      <c r="Y1131" s="480"/>
    </row>
    <row r="1132" spans="1:25" s="479" customFormat="1" ht="18.75" customHeight="1" thickTop="1">
      <c r="A1132" s="1444" t="s">
        <v>125</v>
      </c>
      <c r="B1132" s="1445"/>
      <c r="C1132" s="1445"/>
      <c r="D1132" s="1445"/>
      <c r="E1132" s="1445"/>
      <c r="F1132" s="1445"/>
      <c r="G1132" s="1445"/>
      <c r="H1132" s="1445"/>
      <c r="I1132" s="1445"/>
      <c r="J1132" s="1445"/>
      <c r="K1132" s="1446"/>
      <c r="L1132" s="1446"/>
      <c r="M1132" s="3"/>
      <c r="N1132" s="3"/>
      <c r="O1132" s="480"/>
      <c r="P1132" s="480"/>
      <c r="Q1132" s="480"/>
      <c r="R1132" s="480"/>
      <c r="S1132" s="480"/>
      <c r="T1132" s="480"/>
      <c r="U1132" s="480"/>
      <c r="V1132" s="480"/>
      <c r="W1132" s="480"/>
      <c r="X1132" s="480"/>
      <c r="Y1132" s="480"/>
    </row>
    <row r="1133" spans="1:25" s="479" customFormat="1" ht="15">
      <c r="A1133" s="172" t="s">
        <v>550</v>
      </c>
      <c r="B1133" s="22"/>
      <c r="C1133" s="22"/>
      <c r="D1133" s="22"/>
      <c r="E1133" s="22"/>
      <c r="F1133" s="22"/>
      <c r="G1133" s="22"/>
      <c r="H1133" s="22"/>
      <c r="I1133" s="22"/>
      <c r="J1133" s="22"/>
      <c r="K1133" s="313"/>
      <c r="L1133" s="313"/>
      <c r="M1133" s="3"/>
      <c r="N1133" s="3"/>
      <c r="O1133" s="480"/>
      <c r="P1133" s="480"/>
      <c r="Q1133" s="480"/>
      <c r="R1133" s="480"/>
      <c r="S1133" s="480"/>
      <c r="T1133" s="480"/>
      <c r="U1133" s="480"/>
      <c r="V1133" s="480"/>
      <c r="W1133" s="480"/>
      <c r="X1133" s="480"/>
      <c r="Y1133" s="480"/>
    </row>
    <row r="1134" spans="1:14" ht="21" customHeight="1" thickBot="1">
      <c r="A1134" s="263"/>
      <c r="B1134" s="22"/>
      <c r="C1134" s="32"/>
      <c r="D1134" s="22"/>
      <c r="E1134" s="22"/>
      <c r="F1134" s="22"/>
      <c r="G1134" s="22"/>
      <c r="H1134" s="22"/>
      <c r="I1134" s="22"/>
      <c r="J1134" s="22"/>
      <c r="K1134" s="313"/>
      <c r="L1134" s="94"/>
      <c r="M1134" s="3"/>
      <c r="N1134" s="3"/>
    </row>
    <row r="1135" spans="1:41" s="672" customFormat="1" ht="21" customHeight="1" thickTop="1">
      <c r="A1135" s="746" t="s">
        <v>43</v>
      </c>
      <c r="B1135" s="814" t="s">
        <v>961</v>
      </c>
      <c r="C1135" s="747" t="s">
        <v>884</v>
      </c>
      <c r="D1135" s="748"/>
      <c r="E1135" s="749" t="s">
        <v>883</v>
      </c>
      <c r="F1135" s="750"/>
      <c r="G1135" s="749" t="s">
        <v>880</v>
      </c>
      <c r="H1135" s="750"/>
      <c r="I1135" s="1273" t="s">
        <v>881</v>
      </c>
      <c r="J1135" s="1274"/>
      <c r="K1135" s="1280" t="s">
        <v>882</v>
      </c>
      <c r="L1135" s="1281"/>
      <c r="M1135" s="855"/>
      <c r="N1135" s="855"/>
      <c r="O1135" s="331"/>
      <c r="P1135" s="331"/>
      <c r="Q1135" s="331"/>
      <c r="R1135" s="331"/>
      <c r="S1135" s="331"/>
      <c r="T1135" s="331"/>
      <c r="U1135" s="331"/>
      <c r="V1135" s="331"/>
      <c r="W1135" s="331"/>
      <c r="X1135" s="331"/>
      <c r="Y1135" s="331"/>
      <c r="Z1135" s="331"/>
      <c r="AA1135" s="331"/>
      <c r="AB1135" s="331"/>
      <c r="AC1135" s="331"/>
      <c r="AD1135" s="331"/>
      <c r="AE1135" s="331"/>
      <c r="AF1135" s="331"/>
      <c r="AG1135" s="331"/>
      <c r="AH1135" s="331"/>
      <c r="AI1135" s="331"/>
      <c r="AJ1135" s="331"/>
      <c r="AK1135" s="331"/>
      <c r="AL1135" s="331"/>
      <c r="AM1135" s="331"/>
      <c r="AN1135" s="331"/>
      <c r="AO1135" s="331"/>
    </row>
    <row r="1136" spans="1:14" ht="15">
      <c r="A1136" s="1172" t="s">
        <v>212</v>
      </c>
      <c r="B1136" s="1173" t="s">
        <v>293</v>
      </c>
      <c r="C1136" s="1409">
        <f>CEILING(50*$Z$1,0.1)</f>
        <v>62.5</v>
      </c>
      <c r="D1136" s="1410"/>
      <c r="E1136" s="1381">
        <f>CEILING(66*$Z$1,0.1)</f>
        <v>82.5</v>
      </c>
      <c r="F1136" s="1392"/>
      <c r="G1136" s="1381">
        <f>CEILING(50*$Z$1,0.1)</f>
        <v>62.5</v>
      </c>
      <c r="H1136" s="1392"/>
      <c r="I1136" s="1381">
        <f>CEILING(55*$Z$1,0.1)</f>
        <v>68.8</v>
      </c>
      <c r="J1136" s="1392"/>
      <c r="K1136" s="1381">
        <f>CEILING(48*$Z$1,0.1)</f>
        <v>60</v>
      </c>
      <c r="L1136" s="1392"/>
      <c r="M1136" s="63"/>
      <c r="N1136" s="24"/>
    </row>
    <row r="1137" spans="1:14" ht="15">
      <c r="A1137" s="1174" t="s">
        <v>45</v>
      </c>
      <c r="B1137" s="1175" t="s">
        <v>294</v>
      </c>
      <c r="C1137" s="1381">
        <f>CEILING((C1136+30*$Z$1),0.1)</f>
        <v>100</v>
      </c>
      <c r="D1137" s="1382"/>
      <c r="E1137" s="1381">
        <f>CEILING((E1136+30*$Z$1),0.1)</f>
        <v>120</v>
      </c>
      <c r="F1137" s="1382"/>
      <c r="G1137" s="1381">
        <f>CEILING((G1136+30*$Z$1),0.1)</f>
        <v>100</v>
      </c>
      <c r="H1137" s="1382"/>
      <c r="I1137" s="1381">
        <f>CEILING((I1136+30*$Z$1),0.1)</f>
        <v>106.30000000000001</v>
      </c>
      <c r="J1137" s="1382"/>
      <c r="K1137" s="1381">
        <f>CEILING((K1136+30*$Z$1),0.1)</f>
        <v>97.5</v>
      </c>
      <c r="L1137" s="1382"/>
      <c r="M1137" s="24"/>
      <c r="N1137" s="24"/>
    </row>
    <row r="1138" spans="1:14" ht="15">
      <c r="A1138" s="1174"/>
      <c r="B1138" s="1175" t="s">
        <v>79</v>
      </c>
      <c r="C1138" s="1381">
        <f>CEILING((C1136*0.85),0.1)</f>
        <v>53.2</v>
      </c>
      <c r="D1138" s="1382"/>
      <c r="E1138" s="1381">
        <f>CEILING((E1136*0.85),0.1)</f>
        <v>70.2</v>
      </c>
      <c r="F1138" s="1382"/>
      <c r="G1138" s="1381">
        <f>CEILING((G1136*0.85),0.1)</f>
        <v>53.2</v>
      </c>
      <c r="H1138" s="1382"/>
      <c r="I1138" s="1381">
        <f>CEILING((I1136*0.85),0.1)</f>
        <v>58.5</v>
      </c>
      <c r="J1138" s="1382"/>
      <c r="K1138" s="1381">
        <f>CEILING((K1136*0.85),0.1)</f>
        <v>51</v>
      </c>
      <c r="L1138" s="1382"/>
      <c r="M1138" s="24"/>
      <c r="N1138" s="24"/>
    </row>
    <row r="1139" spans="1:14" ht="15">
      <c r="A1139" s="1180" t="s">
        <v>1284</v>
      </c>
      <c r="B1139" s="1176" t="s">
        <v>1184</v>
      </c>
      <c r="C1139" s="1381">
        <f>CEILING((C1136*0.5),0.1)</f>
        <v>31.3</v>
      </c>
      <c r="D1139" s="1382"/>
      <c r="E1139" s="1381">
        <f>CEILING((E1136*0.5),0.1)</f>
        <v>41.300000000000004</v>
      </c>
      <c r="F1139" s="1382"/>
      <c r="G1139" s="1381">
        <f>CEILING((G1136*0.5),0.1)</f>
        <v>31.3</v>
      </c>
      <c r="H1139" s="1382"/>
      <c r="I1139" s="1381">
        <f>CEILING((I1136*0.5),0.1)</f>
        <v>34.4</v>
      </c>
      <c r="J1139" s="1382"/>
      <c r="K1139" s="1381">
        <f>CEILING((K1136*0.5),0.1)</f>
        <v>30</v>
      </c>
      <c r="L1139" s="1382"/>
      <c r="M1139" s="24"/>
      <c r="N1139" s="24"/>
    </row>
    <row r="1140" spans="1:25" s="479" customFormat="1" ht="15">
      <c r="A1140" s="1174"/>
      <c r="B1140" s="1177" t="s">
        <v>529</v>
      </c>
      <c r="C1140" s="1381">
        <f>CEILING(80*$Z$1,0.1)</f>
        <v>100</v>
      </c>
      <c r="D1140" s="1382"/>
      <c r="E1140" s="1381">
        <f>CEILING(96*$Z$1,0.1)</f>
        <v>120</v>
      </c>
      <c r="F1140" s="1382"/>
      <c r="G1140" s="1381">
        <f>CEILING(80*$Z$1,0.1)</f>
        <v>100</v>
      </c>
      <c r="H1140" s="1382"/>
      <c r="I1140" s="1381">
        <f>CEILING(85*$Z$1,0.1)</f>
        <v>106.30000000000001</v>
      </c>
      <c r="J1140" s="1382"/>
      <c r="K1140" s="1381">
        <f>CEILING(78*$Z$1,0.1)</f>
        <v>97.5</v>
      </c>
      <c r="L1140" s="1382"/>
      <c r="M1140" s="24"/>
      <c r="N1140" s="24"/>
      <c r="O1140" s="480"/>
      <c r="P1140" s="480"/>
      <c r="Q1140" s="480"/>
      <c r="R1140" s="480"/>
      <c r="S1140" s="480"/>
      <c r="T1140" s="480"/>
      <c r="U1140" s="480"/>
      <c r="V1140" s="480"/>
      <c r="W1140" s="480"/>
      <c r="X1140" s="480"/>
      <c r="Y1140" s="480"/>
    </row>
    <row r="1141" spans="1:13" ht="16.5" thickBot="1">
      <c r="A1141" s="1178" t="s">
        <v>432</v>
      </c>
      <c r="B1141" s="1179" t="s">
        <v>530</v>
      </c>
      <c r="C1141" s="1383">
        <f>CEILING((C1140+50*$Z$1),0.1)</f>
        <v>162.5</v>
      </c>
      <c r="D1141" s="1495"/>
      <c r="E1141" s="1383">
        <f>CEILING((E1140+50*$Z$1),0.1)</f>
        <v>182.5</v>
      </c>
      <c r="F1141" s="1384"/>
      <c r="G1141" s="1383">
        <f>CEILING((G1140+50*$Z$1),0.1)</f>
        <v>162.5</v>
      </c>
      <c r="H1141" s="1384"/>
      <c r="I1141" s="1383">
        <f>CEILING((I1140+50*$Z$1),0.1)</f>
        <v>168.8</v>
      </c>
      <c r="J1141" s="1384"/>
      <c r="K1141" s="1383">
        <f>CEILING((K1140+50*$Z$1),0.1)</f>
        <v>160</v>
      </c>
      <c r="L1141" s="1384"/>
      <c r="M1141" s="169"/>
    </row>
    <row r="1142" spans="1:14" ht="16.5" customHeight="1" thickTop="1">
      <c r="A1142" s="1318" t="s">
        <v>229</v>
      </c>
      <c r="B1142" s="1318"/>
      <c r="C1142" s="1318"/>
      <c r="D1142" s="1318"/>
      <c r="E1142" s="1318"/>
      <c r="F1142" s="1318"/>
      <c r="G1142" s="1318"/>
      <c r="H1142" s="1318"/>
      <c r="I1142" s="1318"/>
      <c r="J1142" s="1318"/>
      <c r="K1142" s="314"/>
      <c r="L1142" s="314"/>
      <c r="M1142" s="50"/>
      <c r="N1142" s="50"/>
    </row>
    <row r="1143" spans="1:25" s="404" customFormat="1" ht="16.5" customHeight="1">
      <c r="A1143" s="172" t="s">
        <v>1056</v>
      </c>
      <c r="B1143" s="477"/>
      <c r="C1143" s="477"/>
      <c r="D1143" s="477"/>
      <c r="E1143" s="477"/>
      <c r="F1143" s="477"/>
      <c r="G1143" s="477"/>
      <c r="H1143" s="477"/>
      <c r="I1143" s="477"/>
      <c r="J1143" s="477"/>
      <c r="K1143" s="314"/>
      <c r="L1143" s="314"/>
      <c r="M1143" s="50"/>
      <c r="N1143" s="50"/>
      <c r="O1143" s="169"/>
      <c r="P1143" s="169"/>
      <c r="Q1143" s="169"/>
      <c r="R1143" s="169"/>
      <c r="S1143" s="169"/>
      <c r="T1143" s="169"/>
      <c r="U1143" s="169"/>
      <c r="V1143" s="169"/>
      <c r="W1143" s="169"/>
      <c r="X1143" s="169"/>
      <c r="Y1143" s="169"/>
    </row>
    <row r="1144" spans="1:14" ht="17.25" customHeight="1" thickBot="1">
      <c r="A1144" s="263"/>
      <c r="B1144" s="32"/>
      <c r="C1144" s="32"/>
      <c r="D1144" s="22"/>
      <c r="E1144" s="22"/>
      <c r="F1144" s="22"/>
      <c r="G1144" s="22"/>
      <c r="H1144" s="22"/>
      <c r="I1144" s="22"/>
      <c r="J1144" s="22"/>
      <c r="K1144" s="313"/>
      <c r="L1144" s="313"/>
      <c r="M1144" s="16"/>
      <c r="N1144" s="158"/>
    </row>
    <row r="1145" spans="1:41" s="672" customFormat="1" ht="21" customHeight="1" thickTop="1">
      <c r="A1145" s="746" t="s">
        <v>43</v>
      </c>
      <c r="B1145" s="814" t="s">
        <v>961</v>
      </c>
      <c r="C1145" s="747" t="s">
        <v>884</v>
      </c>
      <c r="D1145" s="748"/>
      <c r="E1145" s="749" t="s">
        <v>883</v>
      </c>
      <c r="F1145" s="750"/>
      <c r="G1145" s="749" t="s">
        <v>880</v>
      </c>
      <c r="H1145" s="750"/>
      <c r="I1145" s="1273" t="s">
        <v>881</v>
      </c>
      <c r="J1145" s="1274"/>
      <c r="K1145" s="1273" t="s">
        <v>882</v>
      </c>
      <c r="L1145" s="1274"/>
      <c r="M1145" s="855"/>
      <c r="N1145" s="855"/>
      <c r="O1145" s="331"/>
      <c r="P1145" s="331"/>
      <c r="Q1145" s="331"/>
      <c r="R1145" s="331"/>
      <c r="S1145" s="331"/>
      <c r="T1145" s="331"/>
      <c r="U1145" s="331"/>
      <c r="V1145" s="331"/>
      <c r="W1145" s="331"/>
      <c r="X1145" s="331"/>
      <c r="Y1145" s="331"/>
      <c r="Z1145" s="331"/>
      <c r="AA1145" s="331"/>
      <c r="AB1145" s="331"/>
      <c r="AC1145" s="331"/>
      <c r="AD1145" s="331"/>
      <c r="AE1145" s="331"/>
      <c r="AF1145" s="331"/>
      <c r="AG1145" s="331"/>
      <c r="AH1145" s="331"/>
      <c r="AI1145" s="331"/>
      <c r="AJ1145" s="331"/>
      <c r="AK1145" s="331"/>
      <c r="AL1145" s="331"/>
      <c r="AM1145" s="331"/>
      <c r="AN1145" s="331"/>
      <c r="AO1145" s="331"/>
    </row>
    <row r="1146" spans="1:14" ht="15.75" customHeight="1">
      <c r="A1146" s="34" t="s">
        <v>126</v>
      </c>
      <c r="B1146" s="40" t="s">
        <v>51</v>
      </c>
      <c r="C1146" s="1266">
        <f>CEILING(45*$Z$1,0.1)</f>
        <v>56.300000000000004</v>
      </c>
      <c r="D1146" s="1267"/>
      <c r="E1146" s="1266">
        <f>CEILING(65*$Z$1,0.1)</f>
        <v>81.30000000000001</v>
      </c>
      <c r="F1146" s="1267"/>
      <c r="G1146" s="1266">
        <f>CEILING(50*$Z$1,0.1)</f>
        <v>62.5</v>
      </c>
      <c r="H1146" s="1267"/>
      <c r="I1146" s="1266">
        <f>CEILING(60*$Z$1,0.1)</f>
        <v>75</v>
      </c>
      <c r="J1146" s="1267"/>
      <c r="K1146" s="1266">
        <f>CEILING(45*$Z$1,0.1)</f>
        <v>56.300000000000004</v>
      </c>
      <c r="L1146" s="1267"/>
      <c r="M1146" s="63"/>
      <c r="N1146" s="24"/>
    </row>
    <row r="1147" spans="1:14" ht="15">
      <c r="A1147" s="35" t="s">
        <v>59</v>
      </c>
      <c r="B1147" s="12" t="s">
        <v>52</v>
      </c>
      <c r="C1147" s="1268">
        <f>CEILING((C1146+30*$Z$1),0.1)</f>
        <v>93.80000000000001</v>
      </c>
      <c r="D1147" s="1270"/>
      <c r="E1147" s="1268">
        <f>CEILING((E1146+30*$Z$1),0.1)</f>
        <v>118.80000000000001</v>
      </c>
      <c r="F1147" s="1270"/>
      <c r="G1147" s="1268">
        <f>CEILING((G1146+30*$Z$1),0.1)</f>
        <v>100</v>
      </c>
      <c r="H1147" s="1270"/>
      <c r="I1147" s="1268">
        <f>CEILING((I1146+30*$Z$1),0.1)</f>
        <v>112.5</v>
      </c>
      <c r="J1147" s="1270"/>
      <c r="K1147" s="1268">
        <f>CEILING((K1146+30*$Z$1),0.1)</f>
        <v>93.80000000000001</v>
      </c>
      <c r="L1147" s="1270"/>
      <c r="M1147" s="63"/>
      <c r="N1147" s="24"/>
    </row>
    <row r="1148" spans="1:14" ht="17.25" customHeight="1">
      <c r="A1148" s="35"/>
      <c r="B1148" s="12" t="s">
        <v>79</v>
      </c>
      <c r="C1148" s="1268">
        <f>CEILING((C1146*0.85),0.1)</f>
        <v>47.900000000000006</v>
      </c>
      <c r="D1148" s="1270"/>
      <c r="E1148" s="1268">
        <f>CEILING((E1146*0.85),0.1)</f>
        <v>69.2</v>
      </c>
      <c r="F1148" s="1270"/>
      <c r="G1148" s="1268">
        <f>CEILING((G1146*0.85),0.1)</f>
        <v>53.2</v>
      </c>
      <c r="H1148" s="1270"/>
      <c r="I1148" s="1268">
        <f>CEILING((I1146*0.85),0.1)</f>
        <v>63.800000000000004</v>
      </c>
      <c r="J1148" s="1270"/>
      <c r="K1148" s="1268">
        <f>CEILING((K1146*0.85),0.1)</f>
        <v>47.900000000000006</v>
      </c>
      <c r="L1148" s="1270"/>
      <c r="M1148" s="63"/>
      <c r="N1148" s="24"/>
    </row>
    <row r="1149" spans="1:14" ht="16.5" customHeight="1">
      <c r="A1149" s="35"/>
      <c r="B1149" s="142" t="s">
        <v>1184</v>
      </c>
      <c r="C1149" s="1268">
        <f>CEILING((C1146*0.5),0.1)</f>
        <v>28.200000000000003</v>
      </c>
      <c r="D1149" s="1270"/>
      <c r="E1149" s="1268">
        <f>CEILING((E1146*0.5),0.1)</f>
        <v>40.7</v>
      </c>
      <c r="F1149" s="1270"/>
      <c r="G1149" s="1268">
        <f>CEILING((G1146*0.5),0.1)</f>
        <v>31.3</v>
      </c>
      <c r="H1149" s="1270"/>
      <c r="I1149" s="1268">
        <f>CEILING((I1146*0.5),0.1)</f>
        <v>37.5</v>
      </c>
      <c r="J1149" s="1270"/>
      <c r="K1149" s="1268">
        <f>CEILING((K1146*0.5),0.1)</f>
        <v>28.200000000000003</v>
      </c>
      <c r="L1149" s="1270"/>
      <c r="M1149" s="21"/>
      <c r="N1149" s="158"/>
    </row>
    <row r="1150" spans="1:16" ht="16.5" customHeight="1">
      <c r="A1150" s="35"/>
      <c r="B1150" s="11" t="s">
        <v>53</v>
      </c>
      <c r="C1150" s="1268">
        <f>CEILING(55*$Z$1,0.1)</f>
        <v>68.8</v>
      </c>
      <c r="D1150" s="1270"/>
      <c r="E1150" s="1268">
        <f>CEILING(75*$Z$1,0.1)</f>
        <v>93.80000000000001</v>
      </c>
      <c r="F1150" s="1270"/>
      <c r="G1150" s="1268">
        <f>CEILING(60*$Z$1,0.1)</f>
        <v>75</v>
      </c>
      <c r="H1150" s="1270"/>
      <c r="I1150" s="1268">
        <f>CEILING(70*$Z$1,0.1)</f>
        <v>87.5</v>
      </c>
      <c r="J1150" s="1270"/>
      <c r="K1150" s="1268">
        <f>CEILING(55*$Z$1,0.1)</f>
        <v>68.8</v>
      </c>
      <c r="L1150" s="1270"/>
      <c r="M1150" s="21"/>
      <c r="N1150" s="158"/>
      <c r="O1150" s="279"/>
      <c r="P1150" s="279"/>
    </row>
    <row r="1151" spans="1:16" ht="16.5" customHeight="1">
      <c r="A1151" s="84"/>
      <c r="B1151" s="11" t="s">
        <v>54</v>
      </c>
      <c r="C1151" s="1268">
        <f>CEILING((C1150+30*$Z$1),0.1)</f>
        <v>106.30000000000001</v>
      </c>
      <c r="D1151" s="1270"/>
      <c r="E1151" s="1268">
        <f>CEILING((E1150+30*$Z$1),0.1)</f>
        <v>131.3</v>
      </c>
      <c r="F1151" s="1270"/>
      <c r="G1151" s="1268">
        <f>CEILING((G1150+30*$Z$1),0.1)</f>
        <v>112.5</v>
      </c>
      <c r="H1151" s="1270"/>
      <c r="I1151" s="1268">
        <f>CEILING((I1150+30*$Z$1),0.1)</f>
        <v>125</v>
      </c>
      <c r="J1151" s="1270"/>
      <c r="K1151" s="1268">
        <f>CEILING((K1150+30*$Z$1),0.1)</f>
        <v>106.30000000000001</v>
      </c>
      <c r="L1151" s="1314"/>
      <c r="M1151" s="21"/>
      <c r="N1151" s="158"/>
      <c r="O1151" s="279"/>
      <c r="P1151" s="279"/>
    </row>
    <row r="1152" spans="1:16" ht="18.75" customHeight="1" thickBot="1">
      <c r="A1152" s="254" t="s">
        <v>433</v>
      </c>
      <c r="B1152" s="38" t="s">
        <v>511</v>
      </c>
      <c r="C1152" s="1278">
        <v>0.15</v>
      </c>
      <c r="D1152" s="1279"/>
      <c r="E1152" s="1278">
        <v>0.15</v>
      </c>
      <c r="F1152" s="1279"/>
      <c r="G1152" s="1278">
        <v>0.15</v>
      </c>
      <c r="H1152" s="1279"/>
      <c r="I1152" s="1278">
        <v>0.15</v>
      </c>
      <c r="J1152" s="1279"/>
      <c r="K1152" s="1278">
        <v>0.15</v>
      </c>
      <c r="L1152" s="1279"/>
      <c r="M1152" s="21"/>
      <c r="N1152" s="158"/>
      <c r="O1152" s="279"/>
      <c r="P1152" s="166"/>
    </row>
    <row r="1153" spans="1:25" s="479" customFormat="1" ht="20.25" customHeight="1" thickTop="1">
      <c r="A1153" s="1318" t="s">
        <v>6</v>
      </c>
      <c r="B1153" s="1318"/>
      <c r="C1153" s="1318"/>
      <c r="D1153" s="1318"/>
      <c r="E1153" s="1318"/>
      <c r="F1153" s="1318"/>
      <c r="G1153" s="1318"/>
      <c r="H1153" s="1318"/>
      <c r="I1153" s="1318"/>
      <c r="J1153" s="1318"/>
      <c r="K1153" s="279"/>
      <c r="L1153" s="279"/>
      <c r="M1153" s="20"/>
      <c r="N1153" s="158"/>
      <c r="O1153" s="279"/>
      <c r="P1153" s="166"/>
      <c r="Q1153" s="480"/>
      <c r="R1153" s="480"/>
      <c r="S1153" s="480"/>
      <c r="T1153" s="480"/>
      <c r="U1153" s="480"/>
      <c r="V1153" s="480"/>
      <c r="W1153" s="480"/>
      <c r="X1153" s="480"/>
      <c r="Y1153" s="480"/>
    </row>
    <row r="1154" spans="1:16" ht="21" customHeight="1">
      <c r="A1154" s="172" t="s">
        <v>510</v>
      </c>
      <c r="B1154" s="409"/>
      <c r="C1154" s="409"/>
      <c r="D1154" s="409"/>
      <c r="E1154" s="409"/>
      <c r="F1154" s="409"/>
      <c r="G1154" s="409"/>
      <c r="H1154" s="409"/>
      <c r="I1154" s="409"/>
      <c r="J1154" s="409"/>
      <c r="K1154" s="279"/>
      <c r="L1154" s="279"/>
      <c r="M1154" s="20"/>
      <c r="N1154" s="158"/>
      <c r="O1154" s="279"/>
      <c r="P1154" s="166"/>
    </row>
    <row r="1155" spans="1:14" ht="18.75" customHeight="1" thickBot="1">
      <c r="A1155" s="1494"/>
      <c r="B1155" s="1494"/>
      <c r="C1155" s="1494"/>
      <c r="D1155" s="1494"/>
      <c r="E1155" s="1494"/>
      <c r="F1155" s="1494"/>
      <c r="G1155" s="1494"/>
      <c r="H1155" s="1494"/>
      <c r="I1155" s="1494"/>
      <c r="J1155" s="1494"/>
      <c r="K1155" s="166"/>
      <c r="L1155" s="166"/>
      <c r="M1155" s="114"/>
      <c r="N1155" s="114"/>
    </row>
    <row r="1156" spans="1:41" s="672" customFormat="1" ht="21" customHeight="1" thickTop="1">
      <c r="A1156" s="746" t="s">
        <v>43</v>
      </c>
      <c r="B1156" s="814" t="s">
        <v>961</v>
      </c>
      <c r="C1156" s="747" t="s">
        <v>884</v>
      </c>
      <c r="D1156" s="748"/>
      <c r="E1156" s="749" t="s">
        <v>883</v>
      </c>
      <c r="F1156" s="750"/>
      <c r="G1156" s="749" t="s">
        <v>880</v>
      </c>
      <c r="H1156" s="750"/>
      <c r="I1156" s="1273" t="s">
        <v>881</v>
      </c>
      <c r="J1156" s="1274"/>
      <c r="K1156" s="1273" t="s">
        <v>882</v>
      </c>
      <c r="L1156" s="1274"/>
      <c r="M1156" s="855"/>
      <c r="N1156" s="855"/>
      <c r="O1156" s="331"/>
      <c r="P1156" s="331"/>
      <c r="Q1156" s="331"/>
      <c r="R1156" s="331"/>
      <c r="S1156" s="331"/>
      <c r="T1156" s="331"/>
      <c r="U1156" s="331"/>
      <c r="V1156" s="331"/>
      <c r="W1156" s="331"/>
      <c r="X1156" s="331"/>
      <c r="Y1156" s="331"/>
      <c r="Z1156" s="331"/>
      <c r="AA1156" s="331"/>
      <c r="AB1156" s="331"/>
      <c r="AC1156" s="331"/>
      <c r="AD1156" s="331"/>
      <c r="AE1156" s="331"/>
      <c r="AF1156" s="331"/>
      <c r="AG1156" s="331"/>
      <c r="AH1156" s="331"/>
      <c r="AI1156" s="331"/>
      <c r="AJ1156" s="331"/>
      <c r="AK1156" s="331"/>
      <c r="AL1156" s="331"/>
      <c r="AM1156" s="331"/>
      <c r="AN1156" s="331"/>
      <c r="AO1156" s="331"/>
    </row>
    <row r="1157" spans="1:14" ht="18.75" customHeight="1">
      <c r="A1157" s="198" t="s">
        <v>127</v>
      </c>
      <c r="B1157" s="40" t="s">
        <v>1057</v>
      </c>
      <c r="C1157" s="1266">
        <f>CEILING(40*$Z$1,0.1)</f>
        <v>50</v>
      </c>
      <c r="D1157" s="1267"/>
      <c r="E1157" s="1302">
        <f>CEILING(51*$Z$1,0.1)</f>
        <v>63.800000000000004</v>
      </c>
      <c r="F1157" s="1369"/>
      <c r="G1157" s="1302">
        <f>CEILING(43*$Z$1,0.1)</f>
        <v>53.800000000000004</v>
      </c>
      <c r="H1157" s="1369"/>
      <c r="I1157" s="1268">
        <f>CEILING(50*$Z$1,0.1)</f>
        <v>62.5</v>
      </c>
      <c r="J1157" s="1269"/>
      <c r="K1157" s="1268">
        <f>CEILING(40*$Z$1,0.1)</f>
        <v>50</v>
      </c>
      <c r="L1157" s="1270"/>
      <c r="M1157" s="114"/>
      <c r="N1157" s="114"/>
    </row>
    <row r="1158" spans="1:14" ht="22.5" customHeight="1">
      <c r="A1158" s="182" t="s">
        <v>59</v>
      </c>
      <c r="B1158" s="12" t="s">
        <v>1058</v>
      </c>
      <c r="C1158" s="1268">
        <f>CEILING((C1157+30*$Z$1),0.1)</f>
        <v>87.5</v>
      </c>
      <c r="D1158" s="1270"/>
      <c r="E1158" s="1302">
        <f>CEILING((E1157+30*$Z$1),0.1)</f>
        <v>101.30000000000001</v>
      </c>
      <c r="F1158" s="1303"/>
      <c r="G1158" s="1302">
        <f>CEILING((G1157+30*$Z$1),0.1)</f>
        <v>91.30000000000001</v>
      </c>
      <c r="H1158" s="1303"/>
      <c r="I1158" s="1268">
        <f>CEILING((I1157+30*$Z$1),0.1)</f>
        <v>100</v>
      </c>
      <c r="J1158" s="1270"/>
      <c r="K1158" s="1268">
        <f>CEILING((K1157+30*$Z$1),0.1)</f>
        <v>87.5</v>
      </c>
      <c r="L1158" s="1270"/>
      <c r="M1158" s="114"/>
      <c r="N1158" s="114"/>
    </row>
    <row r="1159" spans="1:14" ht="23.25" customHeight="1">
      <c r="A1159" s="182"/>
      <c r="B1159" s="12" t="s">
        <v>79</v>
      </c>
      <c r="C1159" s="1268">
        <f>CEILING((C1157*0.85),0.1)</f>
        <v>42.5</v>
      </c>
      <c r="D1159" s="1270"/>
      <c r="E1159" s="1302">
        <f>CEILING((E1157*0.85),0.1)</f>
        <v>54.300000000000004</v>
      </c>
      <c r="F1159" s="1303"/>
      <c r="G1159" s="1302">
        <f>CEILING((G1157*0.85),0.1)</f>
        <v>45.800000000000004</v>
      </c>
      <c r="H1159" s="1303"/>
      <c r="I1159" s="1268">
        <f>CEILING((I1157*0.85),0.1)</f>
        <v>53.2</v>
      </c>
      <c r="J1159" s="1270"/>
      <c r="K1159" s="1268">
        <f>CEILING((K1157*0.85),0.1)</f>
        <v>42.5</v>
      </c>
      <c r="L1159" s="1270"/>
      <c r="M1159" s="114"/>
      <c r="N1159" s="114"/>
    </row>
    <row r="1160" spans="1:14" ht="22.5" customHeight="1">
      <c r="A1160" s="182"/>
      <c r="B1160" s="142" t="s">
        <v>1184</v>
      </c>
      <c r="C1160" s="1268">
        <f>CEILING((C1157*0.5),0.1)</f>
        <v>25</v>
      </c>
      <c r="D1160" s="1270"/>
      <c r="E1160" s="1302">
        <f>CEILING((E1157*0.5),0.1)</f>
        <v>31.900000000000002</v>
      </c>
      <c r="F1160" s="1303"/>
      <c r="G1160" s="1302">
        <f>CEILING((G1157*0.5),0.1)</f>
        <v>26.900000000000002</v>
      </c>
      <c r="H1160" s="1303"/>
      <c r="I1160" s="1268">
        <f>CEILING((I1157*0.5),0.1)</f>
        <v>31.3</v>
      </c>
      <c r="J1160" s="1270"/>
      <c r="K1160" s="1268">
        <f>CEILING((K1157*0.5),0.1)</f>
        <v>25</v>
      </c>
      <c r="L1160" s="1270"/>
      <c r="M1160" s="114"/>
      <c r="N1160" s="114"/>
    </row>
    <row r="1161" spans="1:14" ht="18" customHeight="1">
      <c r="A1161" s="727" t="s">
        <v>1311</v>
      </c>
      <c r="B1161" s="11" t="s">
        <v>1059</v>
      </c>
      <c r="C1161" s="1268">
        <f>CEILING(50*$Z$1,0.1)</f>
        <v>62.5</v>
      </c>
      <c r="D1161" s="1270"/>
      <c r="E1161" s="1302">
        <f>CEILING(60*$Z$1,0.1)</f>
        <v>75</v>
      </c>
      <c r="F1161" s="1303"/>
      <c r="G1161" s="1302">
        <f>CEILING(51*$Z$1,0.1)</f>
        <v>63.800000000000004</v>
      </c>
      <c r="H1161" s="1303"/>
      <c r="I1161" s="1268">
        <f>CEILING(60*$Z$1,0.1)</f>
        <v>75</v>
      </c>
      <c r="J1161" s="1270"/>
      <c r="K1161" s="1268">
        <f>CEILING(50*$Z$1,0.1)</f>
        <v>62.5</v>
      </c>
      <c r="L1161" s="1270"/>
      <c r="M1161" s="114"/>
      <c r="N1161" s="114"/>
    </row>
    <row r="1162" spans="1:14" ht="22.5" customHeight="1">
      <c r="A1162" s="182"/>
      <c r="B1162" s="11" t="s">
        <v>1060</v>
      </c>
      <c r="C1162" s="1268">
        <f>CEILING((C1161+30*$Z$1),0.1)</f>
        <v>100</v>
      </c>
      <c r="D1162" s="1270"/>
      <c r="E1162" s="1302">
        <f>CEILING((E1161+30*$Z$1),0.1)</f>
        <v>112.5</v>
      </c>
      <c r="F1162" s="1352"/>
      <c r="G1162" s="1302">
        <f>CEILING((G1161+30*$Z$1),0.1)</f>
        <v>101.30000000000001</v>
      </c>
      <c r="H1162" s="1352"/>
      <c r="I1162" s="1268">
        <f>CEILING((I1161+30*$Z$1),0.1)</f>
        <v>112.5</v>
      </c>
      <c r="J1162" s="1314"/>
      <c r="K1162" s="1268">
        <f>CEILING((K1161+30*$Z$1),0.1)</f>
        <v>100</v>
      </c>
      <c r="L1162" s="1314"/>
      <c r="M1162" s="114"/>
      <c r="N1162" s="114"/>
    </row>
    <row r="1163" spans="1:14" ht="18.75" customHeight="1">
      <c r="A1163" s="182"/>
      <c r="B1163" s="10" t="s">
        <v>7</v>
      </c>
      <c r="C1163" s="1268">
        <f>CEILING(51*$Z$1,0.1)</f>
        <v>63.800000000000004</v>
      </c>
      <c r="D1163" s="1270"/>
      <c r="E1163" s="1302">
        <f>CEILING(68*$Z$1,0.1)</f>
        <v>85</v>
      </c>
      <c r="F1163" s="1303"/>
      <c r="G1163" s="1302">
        <f>CEILING(60*$Z$1,0.1)</f>
        <v>75</v>
      </c>
      <c r="H1163" s="1303"/>
      <c r="I1163" s="1268">
        <f>CEILING(70*$Z$1,0.1)</f>
        <v>87.5</v>
      </c>
      <c r="J1163" s="1270"/>
      <c r="K1163" s="1268">
        <f>CEILING(60*$Z$1,0.1)</f>
        <v>75</v>
      </c>
      <c r="L1163" s="1270"/>
      <c r="M1163" s="114"/>
      <c r="N1163" s="114"/>
    </row>
    <row r="1164" spans="1:25" s="404" customFormat="1" ht="16.5" customHeight="1">
      <c r="A1164" s="182"/>
      <c r="B1164" s="10" t="s">
        <v>8</v>
      </c>
      <c r="C1164" s="1268">
        <f>CEILING((C1163+30*$Z$1),0.1)</f>
        <v>101.30000000000001</v>
      </c>
      <c r="D1164" s="1270"/>
      <c r="E1164" s="1302">
        <f>CEILING((E1163+30*$Z$1),0.1)</f>
        <v>122.5</v>
      </c>
      <c r="F1164" s="1352"/>
      <c r="G1164" s="1302">
        <f>CEILING((G1163+30*$Z$1),0.1)</f>
        <v>112.5</v>
      </c>
      <c r="H1164" s="1352"/>
      <c r="I1164" s="1268">
        <f>CEILING((I1163+30*$Z$1),0.1)</f>
        <v>125</v>
      </c>
      <c r="J1164" s="1314"/>
      <c r="K1164" s="1268">
        <f>CEILING((K1163+30*$Z$1),0.1)</f>
        <v>112.5</v>
      </c>
      <c r="L1164" s="1314"/>
      <c r="M1164" s="114"/>
      <c r="N1164" s="114"/>
      <c r="O1164" s="169"/>
      <c r="P1164" s="169"/>
      <c r="Q1164" s="169"/>
      <c r="R1164" s="169"/>
      <c r="S1164" s="169"/>
      <c r="T1164" s="169"/>
      <c r="U1164" s="169"/>
      <c r="V1164" s="169"/>
      <c r="W1164" s="169"/>
      <c r="X1164" s="169"/>
      <c r="Y1164" s="169"/>
    </row>
    <row r="1165" spans="1:14" ht="19.5" customHeight="1" thickBot="1">
      <c r="A1165" s="254" t="s">
        <v>422</v>
      </c>
      <c r="B1165" s="38" t="s">
        <v>511</v>
      </c>
      <c r="C1165" s="1278">
        <v>0.15</v>
      </c>
      <c r="D1165" s="1279"/>
      <c r="E1165" s="1278">
        <v>0.15</v>
      </c>
      <c r="F1165" s="1279"/>
      <c r="G1165" s="1278">
        <v>0.15</v>
      </c>
      <c r="H1165" s="1279"/>
      <c r="I1165" s="1278">
        <v>0.15</v>
      </c>
      <c r="J1165" s="1279"/>
      <c r="K1165" s="1278">
        <v>0.15</v>
      </c>
      <c r="L1165" s="1279"/>
      <c r="M1165" s="114"/>
      <c r="N1165" s="114"/>
    </row>
    <row r="1166" spans="1:25" s="404" customFormat="1" ht="19.5" customHeight="1" thickTop="1">
      <c r="A1166" s="1318" t="s">
        <v>6</v>
      </c>
      <c r="B1166" s="1318"/>
      <c r="C1166" s="1318"/>
      <c r="D1166" s="1318"/>
      <c r="E1166" s="1318"/>
      <c r="F1166" s="1318"/>
      <c r="G1166" s="1318"/>
      <c r="H1166" s="1318"/>
      <c r="I1166" s="1318"/>
      <c r="J1166" s="1318"/>
      <c r="K1166" s="314"/>
      <c r="L1166" s="314"/>
      <c r="M1166" s="114"/>
      <c r="N1166" s="114"/>
      <c r="O1166" s="169"/>
      <c r="P1166" s="169"/>
      <c r="Q1166" s="169"/>
      <c r="R1166" s="169"/>
      <c r="S1166" s="169"/>
      <c r="T1166" s="169"/>
      <c r="U1166" s="169"/>
      <c r="V1166" s="169"/>
      <c r="W1166" s="169"/>
      <c r="X1166" s="169"/>
      <c r="Y1166" s="169"/>
    </row>
    <row r="1167" spans="1:14" ht="18.75" customHeight="1">
      <c r="A1167" s="172" t="s">
        <v>510</v>
      </c>
      <c r="B1167" s="409"/>
      <c r="C1167" s="409"/>
      <c r="D1167" s="409"/>
      <c r="E1167" s="409"/>
      <c r="F1167" s="409"/>
      <c r="G1167" s="409"/>
      <c r="H1167" s="409"/>
      <c r="I1167" s="409"/>
      <c r="J1167" s="409"/>
      <c r="K1167" s="314"/>
      <c r="L1167" s="314"/>
      <c r="M1167" s="16"/>
      <c r="N1167" s="158"/>
    </row>
    <row r="1168" spans="1:25" s="479" customFormat="1" ht="18.75" customHeight="1" thickBot="1">
      <c r="A1168" s="172"/>
      <c r="B1168" s="897"/>
      <c r="C1168" s="897"/>
      <c r="D1168" s="897"/>
      <c r="E1168" s="897"/>
      <c r="F1168" s="897"/>
      <c r="G1168" s="897"/>
      <c r="H1168" s="897"/>
      <c r="I1168" s="897"/>
      <c r="J1168" s="897"/>
      <c r="K1168" s="314"/>
      <c r="L1168" s="314"/>
      <c r="M1168" s="16"/>
      <c r="N1168" s="158"/>
      <c r="O1168" s="480"/>
      <c r="P1168" s="480"/>
      <c r="Q1168" s="480"/>
      <c r="R1168" s="480"/>
      <c r="S1168" s="480"/>
      <c r="T1168" s="480"/>
      <c r="U1168" s="480"/>
      <c r="V1168" s="480"/>
      <c r="W1168" s="480"/>
      <c r="X1168" s="480"/>
      <c r="Y1168" s="480"/>
    </row>
    <row r="1169" spans="1:41" s="672" customFormat="1" ht="21" customHeight="1" thickTop="1">
      <c r="A1169" s="746" t="s">
        <v>43</v>
      </c>
      <c r="B1169" s="814" t="s">
        <v>961</v>
      </c>
      <c r="C1169" s="747" t="s">
        <v>884</v>
      </c>
      <c r="D1169" s="748"/>
      <c r="E1169" s="749" t="s">
        <v>911</v>
      </c>
      <c r="F1169" s="750"/>
      <c r="G1169" s="749" t="s">
        <v>912</v>
      </c>
      <c r="H1169" s="750"/>
      <c r="I1169" s="1273" t="s">
        <v>881</v>
      </c>
      <c r="J1169" s="1274"/>
      <c r="K1169" s="1273" t="s">
        <v>882</v>
      </c>
      <c r="L1169" s="1274"/>
      <c r="M1169" s="898"/>
      <c r="N1169" s="898"/>
      <c r="O1169" s="331"/>
      <c r="P1169" s="331"/>
      <c r="Q1169" s="331"/>
      <c r="R1169" s="331"/>
      <c r="S1169" s="331"/>
      <c r="T1169" s="331"/>
      <c r="U1169" s="331"/>
      <c r="V1169" s="331"/>
      <c r="W1169" s="331"/>
      <c r="X1169" s="331"/>
      <c r="Y1169" s="331"/>
      <c r="Z1169" s="331"/>
      <c r="AA1169" s="331"/>
      <c r="AB1169" s="331"/>
      <c r="AC1169" s="331"/>
      <c r="AD1169" s="331"/>
      <c r="AE1169" s="331"/>
      <c r="AF1169" s="331"/>
      <c r="AG1169" s="331"/>
      <c r="AH1169" s="331"/>
      <c r="AI1169" s="331"/>
      <c r="AJ1169" s="331"/>
      <c r="AK1169" s="331"/>
      <c r="AL1169" s="331"/>
      <c r="AM1169" s="331"/>
      <c r="AN1169" s="331"/>
      <c r="AO1169" s="331"/>
    </row>
    <row r="1170" spans="1:25" s="479" customFormat="1" ht="18.75" customHeight="1">
      <c r="A1170" s="981" t="s">
        <v>13</v>
      </c>
      <c r="B1170" s="984" t="s">
        <v>14</v>
      </c>
      <c r="C1170" s="1266">
        <f>CEILING(72*$Z$1,0.1)</f>
        <v>90</v>
      </c>
      <c r="D1170" s="1267"/>
      <c r="E1170" s="1268">
        <f>CEILING(130*$Z$1,0.1)</f>
        <v>162.5</v>
      </c>
      <c r="F1170" s="1270"/>
      <c r="G1170" s="1268">
        <f>CEILING(95*$Z$1,0.1)</f>
        <v>118.80000000000001</v>
      </c>
      <c r="H1170" s="1270"/>
      <c r="I1170" s="1268">
        <f>CEILING(111*$Z$1,0.1)</f>
        <v>138.8</v>
      </c>
      <c r="J1170" s="1270"/>
      <c r="K1170" s="1268">
        <f>CEILING(85*$Z$1,0.1)</f>
        <v>106.30000000000001</v>
      </c>
      <c r="L1170" s="1270"/>
      <c r="M1170" s="975"/>
      <c r="N1170" s="975"/>
      <c r="O1170" s="975"/>
      <c r="P1170" s="480"/>
      <c r="Q1170" s="480"/>
      <c r="R1170" s="480"/>
      <c r="S1170" s="480"/>
      <c r="T1170" s="480"/>
      <c r="U1170" s="480"/>
      <c r="V1170" s="480"/>
      <c r="W1170" s="480"/>
      <c r="X1170" s="480"/>
      <c r="Y1170" s="480"/>
    </row>
    <row r="1171" spans="1:25" s="479" customFormat="1" ht="18.75" customHeight="1">
      <c r="A1171" s="973" t="s">
        <v>45</v>
      </c>
      <c r="B1171" s="979" t="s">
        <v>1120</v>
      </c>
      <c r="C1171" s="1268">
        <f>CEILING((C1170+30*$Z$1),0.1)</f>
        <v>127.5</v>
      </c>
      <c r="D1171" s="1270"/>
      <c r="E1171" s="1268">
        <f>CEILING((E1170+50*$Z$1),0.1)</f>
        <v>225</v>
      </c>
      <c r="F1171" s="1270"/>
      <c r="G1171" s="1268">
        <f>CEILING((G1170+50*$Z$1),0.1)</f>
        <v>181.3</v>
      </c>
      <c r="H1171" s="1270"/>
      <c r="I1171" s="1268">
        <f>CEILING((I1170+50*$Z$1),0.1)</f>
        <v>201.3</v>
      </c>
      <c r="J1171" s="1270"/>
      <c r="K1171" s="1268">
        <f>CEILING((K1170+40*$Z$1),0.1)</f>
        <v>156.3</v>
      </c>
      <c r="L1171" s="1270"/>
      <c r="M1171" s="975"/>
      <c r="N1171" s="975"/>
      <c r="O1171" s="975"/>
      <c r="P1171" s="480"/>
      <c r="Q1171" s="480"/>
      <c r="R1171" s="480"/>
      <c r="S1171" s="480"/>
      <c r="T1171" s="480"/>
      <c r="U1171" s="480"/>
      <c r="V1171" s="480"/>
      <c r="W1171" s="480"/>
      <c r="X1171" s="480"/>
      <c r="Y1171" s="480"/>
    </row>
    <row r="1172" spans="1:25" s="479" customFormat="1" ht="18.75" customHeight="1">
      <c r="A1172" s="974"/>
      <c r="B1172" s="982" t="s">
        <v>1115</v>
      </c>
      <c r="C1172" s="1268">
        <f>CEILING((C1170*0.85),0.1)</f>
        <v>76.5</v>
      </c>
      <c r="D1172" s="1270"/>
      <c r="E1172" s="1268">
        <f>CEILING((E1170*0.85),0.1)</f>
        <v>138.20000000000002</v>
      </c>
      <c r="F1172" s="1270"/>
      <c r="G1172" s="1268">
        <f>CEILING((G1170*0.85),0.1)</f>
        <v>101</v>
      </c>
      <c r="H1172" s="1270"/>
      <c r="I1172" s="1268">
        <f>CEILING((I1170*0.85),0.1)</f>
        <v>118</v>
      </c>
      <c r="J1172" s="1270"/>
      <c r="K1172" s="1268">
        <f>CEILING((K1170*0.85),0.1)</f>
        <v>90.4</v>
      </c>
      <c r="L1172" s="1270"/>
      <c r="M1172" s="975"/>
      <c r="N1172" s="975"/>
      <c r="O1172" s="975"/>
      <c r="P1172" s="480"/>
      <c r="Q1172" s="480"/>
      <c r="R1172" s="480"/>
      <c r="S1172" s="480"/>
      <c r="T1172" s="480"/>
      <c r="U1172" s="480"/>
      <c r="V1172" s="480"/>
      <c r="W1172" s="480"/>
      <c r="X1172" s="480"/>
      <c r="Y1172" s="480"/>
    </row>
    <row r="1173" spans="1:25" s="479" customFormat="1" ht="18.75" customHeight="1">
      <c r="A1173" s="983"/>
      <c r="B1173" s="972" t="s">
        <v>1116</v>
      </c>
      <c r="C1173" s="1268">
        <f>CEILING((C1170*0),0.1)</f>
        <v>0</v>
      </c>
      <c r="D1173" s="1270"/>
      <c r="E1173" s="1268">
        <f>CEILING((E1170*0),0.1)</f>
        <v>0</v>
      </c>
      <c r="F1173" s="1270"/>
      <c r="G1173" s="1268">
        <f>CEILING((G1170*0),0.1)</f>
        <v>0</v>
      </c>
      <c r="H1173" s="1270"/>
      <c r="I1173" s="1268">
        <f>CEILING((I1170*0),0.1)</f>
        <v>0</v>
      </c>
      <c r="J1173" s="1270"/>
      <c r="K1173" s="1268">
        <f>CEILING((K1170*0),0.1)</f>
        <v>0</v>
      </c>
      <c r="L1173" s="1270"/>
      <c r="M1173" s="975"/>
      <c r="N1173" s="975"/>
      <c r="O1173" s="975"/>
      <c r="P1173" s="480"/>
      <c r="Q1173" s="480"/>
      <c r="R1173" s="480"/>
      <c r="S1173" s="480"/>
      <c r="T1173" s="480"/>
      <c r="U1173" s="480"/>
      <c r="V1173" s="480"/>
      <c r="W1173" s="480"/>
      <c r="X1173" s="480"/>
      <c r="Y1173" s="480"/>
    </row>
    <row r="1174" spans="1:25" s="479" customFormat="1" ht="18.75" customHeight="1">
      <c r="A1174" s="983"/>
      <c r="B1174" s="972" t="s">
        <v>1117</v>
      </c>
      <c r="C1174" s="1268">
        <f>CEILING((C1170*0.5),0.1)</f>
        <v>45</v>
      </c>
      <c r="D1174" s="1270"/>
      <c r="E1174" s="1268">
        <f>CEILING((E1170*0.5),0.1)</f>
        <v>81.30000000000001</v>
      </c>
      <c r="F1174" s="1270"/>
      <c r="G1174" s="1268">
        <f>CEILING((G1170*0.5),0.1)</f>
        <v>59.400000000000006</v>
      </c>
      <c r="H1174" s="1270"/>
      <c r="I1174" s="1268">
        <f>CEILING((I1170*0.5),0.1)</f>
        <v>69.4</v>
      </c>
      <c r="J1174" s="1270"/>
      <c r="K1174" s="1268">
        <f>CEILING((K1170*0.5),0.1)</f>
        <v>53.2</v>
      </c>
      <c r="L1174" s="1270"/>
      <c r="M1174" s="975"/>
      <c r="N1174" s="975"/>
      <c r="O1174" s="975"/>
      <c r="P1174" s="480"/>
      <c r="Q1174" s="480"/>
      <c r="R1174" s="480"/>
      <c r="S1174" s="480"/>
      <c r="T1174" s="480"/>
      <c r="U1174" s="480"/>
      <c r="V1174" s="480"/>
      <c r="W1174" s="480"/>
      <c r="X1174" s="480"/>
      <c r="Y1174" s="480"/>
    </row>
    <row r="1175" spans="1:25" s="479" customFormat="1" ht="18.75" customHeight="1">
      <c r="A1175" s="974"/>
      <c r="B1175" s="976" t="s">
        <v>1118</v>
      </c>
      <c r="C1175" s="1268">
        <f>CEILING(77*$Z$1,0.1)</f>
        <v>96.30000000000001</v>
      </c>
      <c r="D1175" s="1270"/>
      <c r="E1175" s="1268">
        <f>CEILING(135*$Z$1,0.1)</f>
        <v>168.8</v>
      </c>
      <c r="F1175" s="1270"/>
      <c r="G1175" s="1268">
        <f>CEILING(100*$Z$1,0.1)</f>
        <v>125</v>
      </c>
      <c r="H1175" s="1270"/>
      <c r="I1175" s="1268">
        <f>CEILING(116*$Z$1,0.1)</f>
        <v>145</v>
      </c>
      <c r="J1175" s="1270"/>
      <c r="K1175" s="1268">
        <f>CEILING(90*$Z$1,0.1)</f>
        <v>112.5</v>
      </c>
      <c r="L1175" s="1270"/>
      <c r="M1175" s="975"/>
      <c r="N1175" s="975"/>
      <c r="O1175" s="975"/>
      <c r="P1175" s="480"/>
      <c r="Q1175" s="480"/>
      <c r="R1175" s="480"/>
      <c r="S1175" s="480"/>
      <c r="T1175" s="480"/>
      <c r="U1175" s="480"/>
      <c r="V1175" s="480"/>
      <c r="W1175" s="480"/>
      <c r="X1175" s="480"/>
      <c r="Y1175" s="480"/>
    </row>
    <row r="1176" spans="1:25" s="479" customFormat="1" ht="18.75" customHeight="1">
      <c r="A1176" s="974"/>
      <c r="B1176" s="976" t="s">
        <v>1119</v>
      </c>
      <c r="C1176" s="1268">
        <f>CEILING((C1175+40*$Z$1),0.1)</f>
        <v>146.3</v>
      </c>
      <c r="D1176" s="1270"/>
      <c r="E1176" s="1268">
        <f>CEILING((E1175+60*$Z$1),0.1)</f>
        <v>243.8</v>
      </c>
      <c r="F1176" s="1270"/>
      <c r="G1176" s="1268">
        <f>CEILING((G1175+60*$Z$1),0.1)</f>
        <v>200</v>
      </c>
      <c r="H1176" s="1270"/>
      <c r="I1176" s="1268">
        <f>CEILING((I1175+60*$Z$1),0.1)</f>
        <v>220</v>
      </c>
      <c r="J1176" s="1270"/>
      <c r="K1176" s="1268">
        <f>CEILING((K1175+50*$Z$1),0.1)</f>
        <v>175</v>
      </c>
      <c r="L1176" s="1270"/>
      <c r="M1176" s="975"/>
      <c r="N1176" s="975"/>
      <c r="O1176" s="975"/>
      <c r="P1176" s="480"/>
      <c r="Q1176" s="480"/>
      <c r="R1176" s="480"/>
      <c r="S1176" s="480"/>
      <c r="T1176" s="480"/>
      <c r="U1176" s="480"/>
      <c r="V1176" s="480"/>
      <c r="W1176" s="480"/>
      <c r="X1176" s="480"/>
      <c r="Y1176" s="480"/>
    </row>
    <row r="1177" spans="1:25" s="479" customFormat="1" ht="18.75" customHeight="1">
      <c r="A1177" s="980"/>
      <c r="B1177" s="976" t="s">
        <v>1123</v>
      </c>
      <c r="C1177" s="1268">
        <f>CEILING(92*$Z$1,0.1)</f>
        <v>115</v>
      </c>
      <c r="D1177" s="1270"/>
      <c r="E1177" s="1268">
        <f>CEILING(150*$Z$1,0.1)</f>
        <v>187.5</v>
      </c>
      <c r="F1177" s="1270"/>
      <c r="G1177" s="1268">
        <f>CEILING(115*$Z$1,0.1)</f>
        <v>143.8</v>
      </c>
      <c r="H1177" s="1270"/>
      <c r="I1177" s="1268">
        <f>CEILING(131*$Z$1,0.1)</f>
        <v>163.8</v>
      </c>
      <c r="J1177" s="1270"/>
      <c r="K1177" s="1268">
        <f>CEILING(105*$Z$1,0.1)</f>
        <v>131.3</v>
      </c>
      <c r="L1177" s="1270"/>
      <c r="M1177" s="975"/>
      <c r="N1177" s="975"/>
      <c r="O1177" s="975"/>
      <c r="P1177" s="480"/>
      <c r="Q1177" s="480"/>
      <c r="R1177" s="480"/>
      <c r="S1177" s="480"/>
      <c r="T1177" s="480"/>
      <c r="U1177" s="480"/>
      <c r="V1177" s="480"/>
      <c r="W1177" s="480"/>
      <c r="X1177" s="480"/>
      <c r="Y1177" s="480"/>
    </row>
    <row r="1178" spans="1:25" s="479" customFormat="1" ht="18.75" customHeight="1">
      <c r="A1178" s="980"/>
      <c r="B1178" s="976" t="s">
        <v>1124</v>
      </c>
      <c r="C1178" s="1268">
        <f>CEILING((C1177+60*$Z$1),0.1)</f>
        <v>190</v>
      </c>
      <c r="D1178" s="1270"/>
      <c r="E1178" s="1268">
        <f>CEILING((E1177+80*$Z$1),0.1)</f>
        <v>287.5</v>
      </c>
      <c r="F1178" s="1270"/>
      <c r="G1178" s="1268">
        <f>CEILING((G1177+80*$Z$1),0.1)</f>
        <v>243.8</v>
      </c>
      <c r="H1178" s="1270"/>
      <c r="I1178" s="1268">
        <f>CEILING((I1177+80*$Z$1),0.1)</f>
        <v>263.8</v>
      </c>
      <c r="J1178" s="1270"/>
      <c r="K1178" s="1268">
        <f>CEILING((K1177+70*$Z$1),0.1)</f>
        <v>218.8</v>
      </c>
      <c r="L1178" s="1270"/>
      <c r="M1178" s="975"/>
      <c r="N1178" s="975"/>
      <c r="O1178" s="975"/>
      <c r="P1178" s="480"/>
      <c r="Q1178" s="480"/>
      <c r="R1178" s="480"/>
      <c r="S1178" s="480"/>
      <c r="T1178" s="480"/>
      <c r="U1178" s="480"/>
      <c r="V1178" s="480"/>
      <c r="W1178" s="480"/>
      <c r="X1178" s="480"/>
      <c r="Y1178" s="480"/>
    </row>
    <row r="1179" spans="1:25" s="479" customFormat="1" ht="18.75" customHeight="1" thickBot="1">
      <c r="A1179" s="978" t="s">
        <v>1121</v>
      </c>
      <c r="B1179" s="977" t="s">
        <v>1122</v>
      </c>
      <c r="C1179" s="1284">
        <f>CEILING(918*$Z$1,0.1)</f>
        <v>1147.5</v>
      </c>
      <c r="D1179" s="1285"/>
      <c r="E1179" s="1284">
        <f>CEILING(1266*$Z$1,0.1)</f>
        <v>1582.5</v>
      </c>
      <c r="F1179" s="1285"/>
      <c r="G1179" s="1284">
        <f>CEILING(1056*$Z$1,0.1)</f>
        <v>1320</v>
      </c>
      <c r="H1179" s="1285"/>
      <c r="I1179" s="1284">
        <f>CEILING(1152*$Z$1,0.1)</f>
        <v>1440</v>
      </c>
      <c r="J1179" s="1285"/>
      <c r="K1179" s="1284">
        <f>CEILING(996*$Z$1,0.1)</f>
        <v>1245</v>
      </c>
      <c r="L1179" s="1285"/>
      <c r="M1179" s="975"/>
      <c r="N1179" s="975"/>
      <c r="O1179" s="975"/>
      <c r="P1179" s="480"/>
      <c r="Q1179" s="480"/>
      <c r="R1179" s="480"/>
      <c r="S1179" s="480"/>
      <c r="T1179" s="480"/>
      <c r="U1179" s="480"/>
      <c r="V1179" s="480"/>
      <c r="W1179" s="480"/>
      <c r="X1179" s="480"/>
      <c r="Y1179" s="480"/>
    </row>
    <row r="1180" spans="1:25" s="479" customFormat="1" ht="18" customHeight="1" thickTop="1">
      <c r="A1180" s="172"/>
      <c r="B1180" s="902"/>
      <c r="C1180" s="22"/>
      <c r="D1180" s="22"/>
      <c r="E1180" s="22"/>
      <c r="F1180" s="22"/>
      <c r="G1180" s="22"/>
      <c r="H1180" s="22"/>
      <c r="I1180" s="22"/>
      <c r="J1180" s="22"/>
      <c r="K1180" s="166"/>
      <c r="L1180" s="166"/>
      <c r="M1180" s="3"/>
      <c r="N1180" s="3"/>
      <c r="O1180" s="480"/>
      <c r="P1180" s="480"/>
      <c r="Q1180" s="480"/>
      <c r="R1180" s="480"/>
      <c r="S1180" s="480"/>
      <c r="T1180" s="480"/>
      <c r="U1180" s="480"/>
      <c r="V1180" s="480"/>
      <c r="W1180" s="480"/>
      <c r="X1180" s="480"/>
      <c r="Y1180" s="480"/>
    </row>
    <row r="1181" spans="1:25" s="479" customFormat="1" ht="15">
      <c r="A1181" s="1311"/>
      <c r="B1181" s="1311"/>
      <c r="C1181" s="1311"/>
      <c r="D1181" s="1311"/>
      <c r="E1181" s="1311"/>
      <c r="F1181" s="1311"/>
      <c r="G1181" s="1311"/>
      <c r="H1181" s="1311"/>
      <c r="I1181" s="1311"/>
      <c r="J1181" s="1311"/>
      <c r="K1181" s="1311"/>
      <c r="L1181" s="1311"/>
      <c r="M1181" s="20"/>
      <c r="N1181" s="20"/>
      <c r="O1181" s="480"/>
      <c r="P1181" s="480"/>
      <c r="Q1181" s="480"/>
      <c r="R1181" s="480"/>
      <c r="S1181" s="480"/>
      <c r="T1181" s="480"/>
      <c r="U1181" s="480"/>
      <c r="V1181" s="480"/>
      <c r="W1181" s="480"/>
      <c r="X1181" s="480"/>
      <c r="Y1181" s="480"/>
    </row>
    <row r="1182" spans="1:14" ht="16.5" customHeight="1" thickBot="1">
      <c r="A1182" s="113"/>
      <c r="B1182" s="97"/>
      <c r="C1182" s="97"/>
      <c r="D1182" s="97"/>
      <c r="E1182" s="97"/>
      <c r="F1182" s="97"/>
      <c r="G1182" s="97"/>
      <c r="H1182" s="97"/>
      <c r="I1182" s="1450"/>
      <c r="J1182" s="1450"/>
      <c r="K1182" s="303"/>
      <c r="L1182" s="303"/>
      <c r="M1182" s="16"/>
      <c r="N1182" s="158"/>
    </row>
    <row r="1183" spans="1:41" s="672" customFormat="1" ht="21" customHeight="1" thickTop="1">
      <c r="A1183" s="746" t="s">
        <v>43</v>
      </c>
      <c r="B1183" s="814" t="s">
        <v>961</v>
      </c>
      <c r="C1183" s="747" t="s">
        <v>884</v>
      </c>
      <c r="D1183" s="748"/>
      <c r="E1183" s="749" t="s">
        <v>911</v>
      </c>
      <c r="F1183" s="750"/>
      <c r="G1183" s="749" t="s">
        <v>912</v>
      </c>
      <c r="H1183" s="750"/>
      <c r="I1183" s="1273" t="s">
        <v>881</v>
      </c>
      <c r="J1183" s="1274"/>
      <c r="K1183" s="1273" t="s">
        <v>882</v>
      </c>
      <c r="L1183" s="1274"/>
      <c r="M1183" s="855"/>
      <c r="N1183" s="855"/>
      <c r="O1183" s="331"/>
      <c r="P1183" s="331"/>
      <c r="Q1183" s="331"/>
      <c r="R1183" s="331"/>
      <c r="S1183" s="331"/>
      <c r="T1183" s="331"/>
      <c r="U1183" s="331"/>
      <c r="V1183" s="331"/>
      <c r="W1183" s="331"/>
      <c r="X1183" s="331"/>
      <c r="Y1183" s="331"/>
      <c r="Z1183" s="331"/>
      <c r="AA1183" s="331"/>
      <c r="AB1183" s="331"/>
      <c r="AC1183" s="331"/>
      <c r="AD1183" s="331"/>
      <c r="AE1183" s="331"/>
      <c r="AF1183" s="331"/>
      <c r="AG1183" s="331"/>
      <c r="AH1183" s="331"/>
      <c r="AI1183" s="331"/>
      <c r="AJ1183" s="331"/>
      <c r="AK1183" s="331"/>
      <c r="AL1183" s="331"/>
      <c r="AM1183" s="331"/>
      <c r="AN1183" s="331"/>
      <c r="AO1183" s="331"/>
    </row>
    <row r="1184" spans="1:14" ht="15">
      <c r="A1184" s="712" t="s">
        <v>129</v>
      </c>
      <c r="B1184" s="713" t="s">
        <v>399</v>
      </c>
      <c r="C1184" s="1266">
        <f>CEILING(47*$Z$1,0.1)</f>
        <v>58.800000000000004</v>
      </c>
      <c r="D1184" s="1267"/>
      <c r="E1184" s="1268">
        <f>CEILING(84*$Z$1,0.1)</f>
        <v>105</v>
      </c>
      <c r="F1184" s="1269"/>
      <c r="G1184" s="1348">
        <f>CEILING(48*$Z$1,0.1)</f>
        <v>60</v>
      </c>
      <c r="H1184" s="1414"/>
      <c r="I1184" s="1348">
        <f>CEILING(52*$Z$1,0.1)</f>
        <v>65</v>
      </c>
      <c r="J1184" s="1414"/>
      <c r="K1184" s="1348">
        <f>CEILING(40*$Z$1,0.1)</f>
        <v>50</v>
      </c>
      <c r="L1184" s="1349"/>
      <c r="M1184" s="16"/>
      <c r="N1184" s="158"/>
    </row>
    <row r="1185" spans="1:14" ht="15">
      <c r="A1185" s="714" t="s">
        <v>59</v>
      </c>
      <c r="B1185" s="469" t="s">
        <v>400</v>
      </c>
      <c r="C1185" s="1268">
        <f>CEILING((C1184+20*$Z$1),0.1)</f>
        <v>83.80000000000001</v>
      </c>
      <c r="D1185" s="1270"/>
      <c r="E1185" s="1268">
        <f>CEILING((E1184+20*$Z$1),0.1)</f>
        <v>130</v>
      </c>
      <c r="F1185" s="1270"/>
      <c r="G1185" s="1348">
        <f>CEILING((G1184+20*$Z$1),0.1)</f>
        <v>85</v>
      </c>
      <c r="H1185" s="1349"/>
      <c r="I1185" s="1348">
        <f>CEILING((I1184+20*$Z$1),0.1)</f>
        <v>90</v>
      </c>
      <c r="J1185" s="1349"/>
      <c r="K1185" s="1348">
        <f>CEILING((K1184+20*$Z$1),0.1)</f>
        <v>75</v>
      </c>
      <c r="L1185" s="1349"/>
      <c r="M1185" s="16"/>
      <c r="N1185" s="158"/>
    </row>
    <row r="1186" spans="1:14" ht="15">
      <c r="A1186" s="715" t="s">
        <v>628</v>
      </c>
      <c r="B1186" s="467" t="s">
        <v>79</v>
      </c>
      <c r="C1186" s="1268">
        <f>CEILING((C1184*0.85),0.1)</f>
        <v>50</v>
      </c>
      <c r="D1186" s="1270"/>
      <c r="E1186" s="1268">
        <f>CEILING((E1184*0.85),0.1)</f>
        <v>89.30000000000001</v>
      </c>
      <c r="F1186" s="1270"/>
      <c r="G1186" s="1348">
        <f>CEILING((G1184*0.85),0.1)</f>
        <v>51</v>
      </c>
      <c r="H1186" s="1349"/>
      <c r="I1186" s="1348">
        <f>CEILING((I1184*0.85),0.1)</f>
        <v>55.300000000000004</v>
      </c>
      <c r="J1186" s="1349"/>
      <c r="K1186" s="1348">
        <f>CEILING((K1184*0.85),0.1)</f>
        <v>42.5</v>
      </c>
      <c r="L1186" s="1349"/>
      <c r="M1186" s="16"/>
      <c r="N1186" s="158"/>
    </row>
    <row r="1187" spans="1:25" s="479" customFormat="1" ht="15">
      <c r="A1187" s="715" t="s">
        <v>1336</v>
      </c>
      <c r="B1187" s="467" t="s">
        <v>215</v>
      </c>
      <c r="C1187" s="1268">
        <f>CEILING(57*$Z$1,0.1)</f>
        <v>71.3</v>
      </c>
      <c r="D1187" s="1270"/>
      <c r="E1187" s="1268">
        <f>CEILING(94*$Z$1,0.1)</f>
        <v>117.5</v>
      </c>
      <c r="F1187" s="1270"/>
      <c r="G1187" s="1348">
        <f>CEILING(56*$Z$1,0.1)</f>
        <v>70</v>
      </c>
      <c r="H1187" s="1349"/>
      <c r="I1187" s="1348">
        <f>CEILING(60*$Z$1,0.1)</f>
        <v>75</v>
      </c>
      <c r="J1187" s="1349"/>
      <c r="K1187" s="1348">
        <f>CEILING(48*$Z$1,0.1)</f>
        <v>60</v>
      </c>
      <c r="L1187" s="1349"/>
      <c r="M1187" s="16"/>
      <c r="N1187" s="158"/>
      <c r="O1187" s="480"/>
      <c r="P1187" s="480"/>
      <c r="Q1187" s="480"/>
      <c r="R1187" s="480"/>
      <c r="S1187" s="480"/>
      <c r="T1187" s="480"/>
      <c r="U1187" s="480"/>
      <c r="V1187" s="480"/>
      <c r="W1187" s="480"/>
      <c r="X1187" s="480"/>
      <c r="Y1187" s="480"/>
    </row>
    <row r="1188" spans="1:14" ht="15.75" thickBot="1">
      <c r="A1188" s="716" t="s">
        <v>844</v>
      </c>
      <c r="B1188" s="717" t="s">
        <v>216</v>
      </c>
      <c r="C1188" s="1275">
        <f>CEILING((C1187+40*$Z$1),0.1)</f>
        <v>121.30000000000001</v>
      </c>
      <c r="D1188" s="1277"/>
      <c r="E1188" s="1275">
        <f>CEILING((E1187+40*$Z$1),0.1)</f>
        <v>167.5</v>
      </c>
      <c r="F1188" s="1277"/>
      <c r="G1188" s="1417">
        <f>CEILING((G1187+40*$Z$1),0.1)</f>
        <v>120</v>
      </c>
      <c r="H1188" s="1418"/>
      <c r="I1188" s="1417">
        <f>CEILING((I1187+40*$Z$1),0.1)</f>
        <v>125</v>
      </c>
      <c r="J1188" s="1418"/>
      <c r="K1188" s="1417">
        <f>CEILING((K1187+40*$Z$1),0.1)</f>
        <v>110</v>
      </c>
      <c r="L1188" s="1418"/>
      <c r="M1188" s="16"/>
      <c r="N1188" s="158"/>
    </row>
    <row r="1189" spans="1:25" s="479" customFormat="1" ht="19.5" customHeight="1" thickTop="1">
      <c r="A1189" s="1318" t="s">
        <v>1062</v>
      </c>
      <c r="B1189" s="1318"/>
      <c r="C1189" s="1318"/>
      <c r="D1189" s="1318"/>
      <c r="E1189" s="1318"/>
      <c r="F1189" s="1318"/>
      <c r="G1189" s="1318"/>
      <c r="H1189" s="1318"/>
      <c r="I1189" s="1318"/>
      <c r="J1189" s="1318"/>
      <c r="K1189" s="314"/>
      <c r="L1189" s="314"/>
      <c r="M1189" s="114"/>
      <c r="N1189" s="114"/>
      <c r="O1189" s="480"/>
      <c r="P1189" s="480"/>
      <c r="Q1189" s="480"/>
      <c r="R1189" s="480"/>
      <c r="S1189" s="480"/>
      <c r="T1189" s="480"/>
      <c r="U1189" s="480"/>
      <c r="V1189" s="480"/>
      <c r="W1189" s="480"/>
      <c r="X1189" s="480"/>
      <c r="Y1189" s="480"/>
    </row>
    <row r="1190" spans="1:25" s="479" customFormat="1" ht="18" customHeight="1">
      <c r="A1190" s="172"/>
      <c r="B1190" s="858"/>
      <c r="C1190" s="22"/>
      <c r="D1190" s="22"/>
      <c r="E1190" s="22"/>
      <c r="F1190" s="22"/>
      <c r="G1190" s="22"/>
      <c r="H1190" s="22"/>
      <c r="I1190" s="22"/>
      <c r="J1190" s="22"/>
      <c r="K1190" s="166"/>
      <c r="L1190" s="166"/>
      <c r="M1190" s="3"/>
      <c r="N1190" s="3"/>
      <c r="O1190" s="480"/>
      <c r="P1190" s="480"/>
      <c r="Q1190" s="480"/>
      <c r="R1190" s="480"/>
      <c r="S1190" s="480"/>
      <c r="T1190" s="480"/>
      <c r="U1190" s="480"/>
      <c r="V1190" s="480"/>
      <c r="W1190" s="480"/>
      <c r="X1190" s="480"/>
      <c r="Y1190" s="480"/>
    </row>
    <row r="1191" spans="1:25" s="479" customFormat="1" ht="15">
      <c r="A1191" s="1311"/>
      <c r="B1191" s="1311"/>
      <c r="C1191" s="1311"/>
      <c r="D1191" s="1311"/>
      <c r="E1191" s="1311"/>
      <c r="F1191" s="1311"/>
      <c r="G1191" s="1311"/>
      <c r="H1191" s="1311"/>
      <c r="I1191" s="1311"/>
      <c r="J1191" s="1311"/>
      <c r="K1191" s="1311"/>
      <c r="L1191" s="1311"/>
      <c r="M1191" s="20"/>
      <c r="N1191" s="20"/>
      <c r="O1191" s="480"/>
      <c r="P1191" s="480"/>
      <c r="Q1191" s="480"/>
      <c r="R1191" s="480"/>
      <c r="S1191" s="480"/>
      <c r="T1191" s="480"/>
      <c r="U1191" s="480"/>
      <c r="V1191" s="480"/>
      <c r="W1191" s="480"/>
      <c r="X1191" s="480"/>
      <c r="Y1191" s="480"/>
    </row>
    <row r="1192" spans="1:14" s="335" customFormat="1" ht="15.75" thickBot="1">
      <c r="A1192" s="1452"/>
      <c r="B1192" s="1452"/>
      <c r="C1192" s="1452"/>
      <c r="D1192" s="1452"/>
      <c r="E1192" s="1452"/>
      <c r="F1192" s="1452"/>
      <c r="G1192" s="1452"/>
      <c r="H1192" s="1452"/>
      <c r="I1192" s="1452"/>
      <c r="J1192" s="1452"/>
      <c r="K1192" s="1452"/>
      <c r="L1192" s="1452"/>
      <c r="M1192" s="342"/>
      <c r="N1192" s="342"/>
    </row>
    <row r="1193" spans="1:41" s="672" customFormat="1" ht="21" customHeight="1" thickTop="1">
      <c r="A1193" s="746" t="s">
        <v>43</v>
      </c>
      <c r="B1193" s="814" t="s">
        <v>961</v>
      </c>
      <c r="C1193" s="747" t="s">
        <v>884</v>
      </c>
      <c r="D1193" s="748"/>
      <c r="E1193" s="749" t="s">
        <v>911</v>
      </c>
      <c r="F1193" s="750"/>
      <c r="G1193" s="749" t="s">
        <v>912</v>
      </c>
      <c r="H1193" s="750"/>
      <c r="I1193" s="1273" t="s">
        <v>881</v>
      </c>
      <c r="J1193" s="1274"/>
      <c r="K1193" s="1273" t="s">
        <v>882</v>
      </c>
      <c r="L1193" s="1274"/>
      <c r="M1193" s="855"/>
      <c r="N1193" s="855"/>
      <c r="O1193" s="331"/>
      <c r="P1193" s="331"/>
      <c r="Q1193" s="331"/>
      <c r="R1193" s="331"/>
      <c r="S1193" s="331"/>
      <c r="T1193" s="331"/>
      <c r="U1193" s="331"/>
      <c r="V1193" s="331"/>
      <c r="W1193" s="331"/>
      <c r="X1193" s="331"/>
      <c r="Y1193" s="331"/>
      <c r="Z1193" s="331"/>
      <c r="AA1193" s="331"/>
      <c r="AB1193" s="331"/>
      <c r="AC1193" s="331"/>
      <c r="AD1193" s="331"/>
      <c r="AE1193" s="331"/>
      <c r="AF1193" s="331"/>
      <c r="AG1193" s="331"/>
      <c r="AH1193" s="331"/>
      <c r="AI1193" s="331"/>
      <c r="AJ1193" s="331"/>
      <c r="AK1193" s="331"/>
      <c r="AL1193" s="331"/>
      <c r="AM1193" s="331"/>
      <c r="AN1193" s="331"/>
      <c r="AO1193" s="331"/>
    </row>
    <row r="1194" spans="1:14" ht="15">
      <c r="A1194" s="216" t="s">
        <v>128</v>
      </c>
      <c r="B1194" s="249" t="s">
        <v>44</v>
      </c>
      <c r="C1194" s="1266">
        <f>CEILING(52*$Z$1,0.1)</f>
        <v>65</v>
      </c>
      <c r="D1194" s="1267"/>
      <c r="E1194" s="1266">
        <f>CEILING(86*$Z$1,0.1)</f>
        <v>107.5</v>
      </c>
      <c r="F1194" s="1267"/>
      <c r="G1194" s="1348">
        <f>CEILING(47*$Z$1,0.1)</f>
        <v>58.800000000000004</v>
      </c>
      <c r="H1194" s="1414"/>
      <c r="I1194" s="1348">
        <f>CEILING(53*$Z$1,0.1)</f>
        <v>66.3</v>
      </c>
      <c r="J1194" s="1414"/>
      <c r="K1194" s="1348">
        <f>CEILING(43*$Z$1,0.1)</f>
        <v>53.800000000000004</v>
      </c>
      <c r="L1194" s="1349"/>
      <c r="M1194" s="16"/>
      <c r="N1194" s="158"/>
    </row>
    <row r="1195" spans="1:14" ht="19.5" customHeight="1">
      <c r="A1195" s="182" t="s">
        <v>45</v>
      </c>
      <c r="B1195" s="68" t="s">
        <v>46</v>
      </c>
      <c r="C1195" s="1268">
        <f>CEILING((C1194+25*$Z$1),0.1)</f>
        <v>96.30000000000001</v>
      </c>
      <c r="D1195" s="1270"/>
      <c r="E1195" s="1517">
        <f>CEILING((E1194+25*$Z$1),0.1)</f>
        <v>138.8</v>
      </c>
      <c r="F1195" s="1518"/>
      <c r="G1195" s="1348">
        <f>CEILING((G1194+25*$Z$1),0.1)</f>
        <v>90.10000000000001</v>
      </c>
      <c r="H1195" s="1349"/>
      <c r="I1195" s="1348">
        <f>CEILING((I1194+25*$Z$1),0.1)</f>
        <v>97.60000000000001</v>
      </c>
      <c r="J1195" s="1349"/>
      <c r="K1195" s="1348">
        <f>CEILING((K1194+25*$Z$1),0.1)</f>
        <v>85.10000000000001</v>
      </c>
      <c r="L1195" s="1349"/>
      <c r="M1195" s="16"/>
      <c r="N1195" s="158"/>
    </row>
    <row r="1196" spans="1:14" ht="20.25" customHeight="1">
      <c r="A1196" s="244"/>
      <c r="B1196" s="12" t="s">
        <v>79</v>
      </c>
      <c r="C1196" s="1268">
        <f>CEILING((C1194*0.85),0.1)</f>
        <v>55.300000000000004</v>
      </c>
      <c r="D1196" s="1270"/>
      <c r="E1196" s="1268">
        <f>CEILING((E1194*0.85),0.1)</f>
        <v>91.4</v>
      </c>
      <c r="F1196" s="1270"/>
      <c r="G1196" s="1348">
        <f>CEILING((G1194*0.85),0.1)</f>
        <v>50</v>
      </c>
      <c r="H1196" s="1349"/>
      <c r="I1196" s="1348">
        <f>CEILING((I1194*0.85),0.1)</f>
        <v>56.400000000000006</v>
      </c>
      <c r="J1196" s="1349"/>
      <c r="K1196" s="1348">
        <f>CEILING((K1194*0.85),0.1)</f>
        <v>45.800000000000004</v>
      </c>
      <c r="L1196" s="1349"/>
      <c r="M1196" s="16"/>
      <c r="N1196" s="158"/>
    </row>
    <row r="1197" spans="1:14" ht="15">
      <c r="A1197" s="715" t="s">
        <v>1336</v>
      </c>
      <c r="B1197" s="142" t="s">
        <v>78</v>
      </c>
      <c r="C1197" s="1268">
        <f>CEILING((C1194*0.5),0.1)</f>
        <v>32.5</v>
      </c>
      <c r="D1197" s="1270"/>
      <c r="E1197" s="1268">
        <f>CEILING((E1194*0.5),0.1)</f>
        <v>53.800000000000004</v>
      </c>
      <c r="F1197" s="1270"/>
      <c r="G1197" s="1348">
        <f>CEILING((G1194*0.5),0.1)</f>
        <v>29.400000000000002</v>
      </c>
      <c r="H1197" s="1349"/>
      <c r="I1197" s="1348">
        <f>CEILING((I1194*0.5),0.1)</f>
        <v>33.2</v>
      </c>
      <c r="J1197" s="1349"/>
      <c r="K1197" s="1348">
        <f>CEILING((K1194*0),0.1)</f>
        <v>0</v>
      </c>
      <c r="L1197" s="1349"/>
      <c r="M1197" s="16"/>
      <c r="N1197" s="158"/>
    </row>
    <row r="1198" spans="1:14" ht="18.75" customHeight="1">
      <c r="A1198" s="285"/>
      <c r="B1198" s="142" t="s">
        <v>1061</v>
      </c>
      <c r="C1198" s="1268">
        <f>CEILING(62*$Z$1,0.1)</f>
        <v>77.5</v>
      </c>
      <c r="D1198" s="1270"/>
      <c r="E1198" s="1268">
        <f>CEILING(96*$Z$1,0.1)</f>
        <v>120</v>
      </c>
      <c r="F1198" s="1270"/>
      <c r="G1198" s="1348">
        <f>CEILING(54*$Z$1,0.1)</f>
        <v>67.5</v>
      </c>
      <c r="H1198" s="1349"/>
      <c r="I1198" s="1348">
        <f>CEILING(60*$Z$1,0.1)</f>
        <v>75</v>
      </c>
      <c r="J1198" s="1349"/>
      <c r="K1198" s="1348">
        <f>CEILING(51*$Z$1,0.1)</f>
        <v>63.800000000000004</v>
      </c>
      <c r="L1198" s="1349"/>
      <c r="M1198" s="16"/>
      <c r="N1198" s="158"/>
    </row>
    <row r="1199" spans="1:14" ht="24.75" customHeight="1" hidden="1" thickTop="1">
      <c r="A1199" s="257" t="s">
        <v>431</v>
      </c>
      <c r="B1199" s="289" t="s">
        <v>56</v>
      </c>
      <c r="C1199" s="1275">
        <f>CEILING(95*$Z$1,0.1)</f>
        <v>118.80000000000001</v>
      </c>
      <c r="D1199" s="1277"/>
      <c r="E1199" s="1275">
        <f>CEILING(134*$Z$1,0.1)</f>
        <v>167.5</v>
      </c>
      <c r="F1199" s="1277"/>
      <c r="G1199" s="1275">
        <f>CEILING(120*$Z$1,0.1)</f>
        <v>150</v>
      </c>
      <c r="H1199" s="1277"/>
      <c r="I1199" s="1275">
        <f>CEILING(105*$Z$1,0.1)</f>
        <v>131.3</v>
      </c>
      <c r="J1199" s="1277"/>
      <c r="K1199" s="329"/>
      <c r="L1199" s="910"/>
      <c r="M1199" s="20"/>
      <c r="N1199" s="158"/>
    </row>
    <row r="1200" spans="1:14" ht="15" customHeight="1" hidden="1">
      <c r="A1200" s="107" t="s">
        <v>592</v>
      </c>
      <c r="B1200" s="234"/>
      <c r="C1200" s="507"/>
      <c r="D1200" s="507"/>
      <c r="E1200" s="507"/>
      <c r="F1200" s="507"/>
      <c r="G1200" s="507"/>
      <c r="H1200" s="507"/>
      <c r="I1200" s="507"/>
      <c r="J1200" s="507"/>
      <c r="K1200" s="329"/>
      <c r="L1200" s="910"/>
      <c r="M1200" s="20"/>
      <c r="N1200" s="158"/>
    </row>
    <row r="1201" spans="1:14" ht="15.75" customHeight="1" hidden="1">
      <c r="A1201" s="172"/>
      <c r="B1201" s="148"/>
      <c r="C1201" s="293"/>
      <c r="D1201" s="293"/>
      <c r="E1201" s="293"/>
      <c r="F1201" s="293"/>
      <c r="G1201" s="293"/>
      <c r="H1201" s="293"/>
      <c r="I1201" s="293"/>
      <c r="J1201" s="293"/>
      <c r="K1201" s="329"/>
      <c r="L1201" s="910"/>
      <c r="M1201" s="20"/>
      <c r="N1201" s="158"/>
    </row>
    <row r="1202" spans="1:14" ht="18" customHeight="1" hidden="1">
      <c r="A1202" s="569" t="s">
        <v>43</v>
      </c>
      <c r="B1202" s="560"/>
      <c r="C1202" s="1562" t="s">
        <v>634</v>
      </c>
      <c r="D1202" s="1563"/>
      <c r="E1202" s="1564" t="s">
        <v>635</v>
      </c>
      <c r="F1202" s="1565"/>
      <c r="G1202" s="1492" t="s">
        <v>639</v>
      </c>
      <c r="H1202" s="1493"/>
      <c r="I1202" s="1492" t="s">
        <v>636</v>
      </c>
      <c r="J1202" s="1493"/>
      <c r="K1202" s="330"/>
      <c r="L1202" s="910"/>
      <c r="M1202" s="20"/>
      <c r="N1202" s="158"/>
    </row>
    <row r="1203" spans="1:14" ht="17.25" customHeight="1" hidden="1">
      <c r="A1203" s="216" t="s">
        <v>129</v>
      </c>
      <c r="B1203" s="249" t="s">
        <v>76</v>
      </c>
      <c r="C1203" s="1266">
        <f>CEILING(47*$Z$1,0.1)</f>
        <v>58.800000000000004</v>
      </c>
      <c r="D1203" s="1267"/>
      <c r="E1203" s="1266">
        <f>CEILING(82*$Z$1,0.1)</f>
        <v>102.5</v>
      </c>
      <c r="F1203" s="1267"/>
      <c r="G1203" s="1266">
        <f>CEILING(73*$Z$1,0.1)</f>
        <v>91.30000000000001</v>
      </c>
      <c r="H1203" s="1267"/>
      <c r="I1203" s="1266">
        <f>CEILING(56*$Z$1,0.1)</f>
        <v>70</v>
      </c>
      <c r="J1203" s="1267"/>
      <c r="K1203" s="316"/>
      <c r="L1203" s="736"/>
      <c r="M1203" s="20"/>
      <c r="N1203" s="158"/>
    </row>
    <row r="1204" spans="1:14" ht="17.25" customHeight="1" hidden="1">
      <c r="A1204" s="182" t="s">
        <v>59</v>
      </c>
      <c r="B1204" s="68" t="s">
        <v>77</v>
      </c>
      <c r="C1204" s="1268">
        <f>CEILING((C1203+25*$Z$1),0.1)</f>
        <v>90.10000000000001</v>
      </c>
      <c r="D1204" s="1270"/>
      <c r="E1204" s="1268">
        <f>CEILING((E1203+25*$Z$1),0.1)</f>
        <v>133.8</v>
      </c>
      <c r="F1204" s="1270"/>
      <c r="G1204" s="1268">
        <f>CEILING((G1203+25*$Z$1),0.1)</f>
        <v>122.60000000000001</v>
      </c>
      <c r="H1204" s="1270"/>
      <c r="I1204" s="1268">
        <f>CEILING((I1203+25*$Z$1),0.1)</f>
        <v>101.30000000000001</v>
      </c>
      <c r="J1204" s="1270"/>
      <c r="K1204" s="316"/>
      <c r="L1204" s="736"/>
      <c r="M1204" s="20"/>
      <c r="N1204" s="158"/>
    </row>
    <row r="1205" spans="1:14" ht="17.25" customHeight="1" hidden="1" thickBot="1">
      <c r="A1205" s="292"/>
      <c r="B1205" s="12" t="s">
        <v>79</v>
      </c>
      <c r="C1205" s="1268">
        <f>CEILING((C1203*0.85),0.1)</f>
        <v>50</v>
      </c>
      <c r="D1205" s="1270"/>
      <c r="E1205" s="1268">
        <f>CEILING((E1203*0.85),0.1)</f>
        <v>87.2</v>
      </c>
      <c r="F1205" s="1270"/>
      <c r="G1205" s="1268">
        <f>CEILING((G1203*0.85),0.1)</f>
        <v>77.7</v>
      </c>
      <c r="H1205" s="1270"/>
      <c r="I1205" s="1268">
        <f>CEILING((I1203*0.85),0.1)</f>
        <v>59.5</v>
      </c>
      <c r="J1205" s="1270"/>
      <c r="K1205" s="316"/>
      <c r="L1205" s="736"/>
      <c r="M1205" s="20"/>
      <c r="N1205" s="158"/>
    </row>
    <row r="1206" spans="1:14" ht="16.5" customHeight="1" hidden="1" thickTop="1">
      <c r="A1206" s="250"/>
      <c r="B1206" s="142" t="s">
        <v>44</v>
      </c>
      <c r="C1206" s="1268">
        <f>CEILING(57*$Z$1,0.1)</f>
        <v>71.3</v>
      </c>
      <c r="D1206" s="1270"/>
      <c r="E1206" s="1268">
        <f>CEILING(92*$Z$1,0.1)</f>
        <v>115</v>
      </c>
      <c r="F1206" s="1270"/>
      <c r="G1206" s="1268">
        <f>CEILING(83*$Z$1,0.1)</f>
        <v>103.80000000000001</v>
      </c>
      <c r="H1206" s="1270"/>
      <c r="I1206" s="1268">
        <f>CEILING(66*$Z$1,0.1)</f>
        <v>82.5</v>
      </c>
      <c r="J1206" s="1270"/>
      <c r="K1206" s="316"/>
      <c r="L1206" s="736"/>
      <c r="M1206" s="16"/>
      <c r="N1206" s="158"/>
    </row>
    <row r="1207" spans="1:14" ht="18.75" customHeight="1" hidden="1" thickBot="1">
      <c r="A1207" s="257" t="s">
        <v>419</v>
      </c>
      <c r="B1207" s="289" t="s">
        <v>46</v>
      </c>
      <c r="C1207" s="1275">
        <f>CEILING((C1206+40*$Z$1),0.1)</f>
        <v>121.30000000000001</v>
      </c>
      <c r="D1207" s="1277"/>
      <c r="E1207" s="1275">
        <f>CEILING((E1206+40*$Z$1),0.1)</f>
        <v>165</v>
      </c>
      <c r="F1207" s="1277"/>
      <c r="G1207" s="1275">
        <f>CEILING((G1206+40*$Z$1),0.1)</f>
        <v>153.8</v>
      </c>
      <c r="H1207" s="1277"/>
      <c r="I1207" s="1275">
        <f>CEILING((I1206+40*$Z$1),0.1)</f>
        <v>132.5</v>
      </c>
      <c r="J1207" s="1277"/>
      <c r="K1207" s="94"/>
      <c r="L1207" s="736"/>
      <c r="M1207" s="16"/>
      <c r="N1207" s="158"/>
    </row>
    <row r="1208" spans="1:14" ht="21.75" customHeight="1" hidden="1" thickTop="1">
      <c r="A1208" s="1559" t="s">
        <v>342</v>
      </c>
      <c r="B1208" s="1560"/>
      <c r="C1208" s="1560"/>
      <c r="D1208" s="1560"/>
      <c r="E1208" s="1560"/>
      <c r="F1208" s="1560"/>
      <c r="G1208" s="1560"/>
      <c r="H1208" s="1560"/>
      <c r="I1208" s="1560"/>
      <c r="J1208" s="1561"/>
      <c r="K1208" s="94"/>
      <c r="L1208" s="736"/>
      <c r="M1208" s="20"/>
      <c r="N1208" s="158"/>
    </row>
    <row r="1209" spans="1:14" ht="16.5" customHeight="1" hidden="1">
      <c r="A1209" s="172"/>
      <c r="B1209" s="148"/>
      <c r="C1209" s="2"/>
      <c r="D1209" s="2"/>
      <c r="E1209" s="2"/>
      <c r="F1209" s="2"/>
      <c r="G1209" s="2"/>
      <c r="H1209" s="2"/>
      <c r="I1209" s="2"/>
      <c r="J1209" s="2"/>
      <c r="K1209" s="296"/>
      <c r="L1209" s="911"/>
      <c r="M1209" s="16"/>
      <c r="N1209" s="158"/>
    </row>
    <row r="1210" spans="1:14" ht="17.25" customHeight="1" hidden="1">
      <c r="A1210" s="71" t="s">
        <v>43</v>
      </c>
      <c r="B1210" s="48"/>
      <c r="C1210" s="1557" t="s">
        <v>477</v>
      </c>
      <c r="D1210" s="1558"/>
      <c r="E1210" s="1321" t="s">
        <v>478</v>
      </c>
      <c r="F1210" s="1322"/>
      <c r="G1210" s="1319" t="s">
        <v>481</v>
      </c>
      <c r="H1210" s="1320"/>
      <c r="I1210" s="1319" t="s">
        <v>491</v>
      </c>
      <c r="J1210" s="1320"/>
      <c r="K1210" s="1319" t="s">
        <v>480</v>
      </c>
      <c r="L1210" s="1320"/>
      <c r="M1210" s="16"/>
      <c r="N1210" s="158"/>
    </row>
    <row r="1211" spans="1:14" ht="16.5" customHeight="1" hidden="1">
      <c r="A1211" s="198" t="s">
        <v>17</v>
      </c>
      <c r="B1211" s="40" t="s">
        <v>51</v>
      </c>
      <c r="C1211" s="1266">
        <f>CEILING(62*$Z$1,0.1)</f>
        <v>77.5</v>
      </c>
      <c r="D1211" s="1267"/>
      <c r="E1211" s="1266">
        <f>CEILING(79*$Z$1,0.1)</f>
        <v>98.80000000000001</v>
      </c>
      <c r="F1211" s="1267"/>
      <c r="G1211" s="1266">
        <f>CEILING(72*$Z$1,0.1)</f>
        <v>90</v>
      </c>
      <c r="H1211" s="1267"/>
      <c r="I1211" s="1266">
        <f>CEILING(75*$Z$1,0.1)</f>
        <v>93.80000000000001</v>
      </c>
      <c r="J1211" s="1267"/>
      <c r="K1211" s="1266">
        <f>CEILING(53*$Z$1,0.1)</f>
        <v>66.3</v>
      </c>
      <c r="L1211" s="1267"/>
      <c r="M1211" s="16"/>
      <c r="N1211" s="158"/>
    </row>
    <row r="1212" spans="1:14" ht="21.75" customHeight="1" thickBot="1">
      <c r="A1212" s="215" t="s">
        <v>661</v>
      </c>
      <c r="B1212" s="115" t="s">
        <v>137</v>
      </c>
      <c r="C1212" s="1275">
        <f>CEILING(87*$Z$1,0.1)</f>
        <v>108.80000000000001</v>
      </c>
      <c r="D1212" s="1277"/>
      <c r="E1212" s="1275">
        <f>CEILING(121*$Z$1,0.1)</f>
        <v>151.3</v>
      </c>
      <c r="F1212" s="1277"/>
      <c r="G1212" s="1417">
        <f>CEILING(73*$Z$1,0.1)</f>
        <v>91.30000000000001</v>
      </c>
      <c r="H1212" s="1418"/>
      <c r="I1212" s="1417">
        <f>CEILING(79*$Z$1,0.1)</f>
        <v>98.80000000000001</v>
      </c>
      <c r="J1212" s="1418"/>
      <c r="K1212" s="1417">
        <f>CEILING(72*$Z$1,0.1)</f>
        <v>90</v>
      </c>
      <c r="L1212" s="1418"/>
      <c r="M1212" s="16"/>
      <c r="N1212" s="158"/>
    </row>
    <row r="1213" spans="1:25" s="479" customFormat="1" ht="19.5" customHeight="1" thickTop="1">
      <c r="A1213" s="1318" t="s">
        <v>1063</v>
      </c>
      <c r="B1213" s="1318"/>
      <c r="C1213" s="1318"/>
      <c r="D1213" s="1318"/>
      <c r="E1213" s="1318"/>
      <c r="F1213" s="1318"/>
      <c r="G1213" s="1318"/>
      <c r="H1213" s="1318"/>
      <c r="I1213" s="1318"/>
      <c r="J1213" s="1318"/>
      <c r="K1213" s="314"/>
      <c r="L1213" s="314"/>
      <c r="M1213" s="114"/>
      <c r="N1213" s="114"/>
      <c r="O1213" s="480"/>
      <c r="P1213" s="480"/>
      <c r="Q1213" s="480"/>
      <c r="R1213" s="480"/>
      <c r="S1213" s="480"/>
      <c r="T1213" s="480"/>
      <c r="U1213" s="480"/>
      <c r="V1213" s="480"/>
      <c r="W1213" s="480"/>
      <c r="X1213" s="480"/>
      <c r="Y1213" s="480"/>
    </row>
    <row r="1214" spans="1:25" s="479" customFormat="1" ht="18" customHeight="1">
      <c r="A1214" s="172"/>
      <c r="B1214" s="858"/>
      <c r="C1214" s="22"/>
      <c r="D1214" s="22"/>
      <c r="E1214" s="22"/>
      <c r="F1214" s="22"/>
      <c r="G1214" s="22"/>
      <c r="H1214" s="22"/>
      <c r="I1214" s="22"/>
      <c r="J1214" s="22"/>
      <c r="K1214" s="166"/>
      <c r="L1214" s="166"/>
      <c r="M1214" s="3"/>
      <c r="N1214" s="3"/>
      <c r="O1214" s="480"/>
      <c r="P1214" s="480"/>
      <c r="Q1214" s="480"/>
      <c r="R1214" s="480"/>
      <c r="S1214" s="480"/>
      <c r="T1214" s="480"/>
      <c r="U1214" s="480"/>
      <c r="V1214" s="480"/>
      <c r="W1214" s="480"/>
      <c r="X1214" s="480"/>
      <c r="Y1214" s="480"/>
    </row>
    <row r="1215" spans="1:25" s="479" customFormat="1" ht="15">
      <c r="A1215" s="1311"/>
      <c r="B1215" s="1311"/>
      <c r="C1215" s="1311"/>
      <c r="D1215" s="1311"/>
      <c r="E1215" s="1311"/>
      <c r="F1215" s="1311"/>
      <c r="G1215" s="1311"/>
      <c r="H1215" s="1311"/>
      <c r="I1215" s="1311"/>
      <c r="J1215" s="1311"/>
      <c r="K1215" s="1311"/>
      <c r="L1215" s="1311"/>
      <c r="M1215" s="20"/>
      <c r="N1215" s="20"/>
      <c r="O1215" s="480"/>
      <c r="P1215" s="480"/>
      <c r="Q1215" s="480"/>
      <c r="R1215" s="480"/>
      <c r="S1215" s="480"/>
      <c r="T1215" s="480"/>
      <c r="U1215" s="480"/>
      <c r="V1215" s="480"/>
      <c r="W1215" s="480"/>
      <c r="X1215" s="480"/>
      <c r="Y1215" s="480"/>
    </row>
    <row r="1216" spans="1:14" s="331" customFormat="1" ht="15.75" thickBot="1">
      <c r="A1216" s="586"/>
      <c r="B1216" s="586"/>
      <c r="C1216" s="586"/>
      <c r="D1216" s="586"/>
      <c r="E1216" s="586"/>
      <c r="F1216" s="586"/>
      <c r="G1216" s="586"/>
      <c r="H1216" s="586"/>
      <c r="I1216" s="586"/>
      <c r="J1216" s="586"/>
      <c r="K1216" s="586"/>
      <c r="L1216" s="586"/>
      <c r="M1216" s="342"/>
      <c r="N1216" s="342"/>
    </row>
    <row r="1217" spans="1:71" s="664" customFormat="1" ht="21" customHeight="1" thickTop="1">
      <c r="A1217" s="746" t="s">
        <v>43</v>
      </c>
      <c r="B1217" s="814" t="s">
        <v>961</v>
      </c>
      <c r="C1217" s="747" t="s">
        <v>884</v>
      </c>
      <c r="D1217" s="748"/>
      <c r="E1217" s="808" t="s">
        <v>911</v>
      </c>
      <c r="F1217" s="750"/>
      <c r="G1217" s="749" t="s">
        <v>912</v>
      </c>
      <c r="H1217" s="750"/>
      <c r="I1217" s="1273" t="s">
        <v>881</v>
      </c>
      <c r="J1217" s="1274"/>
      <c r="K1217" s="1273" t="s">
        <v>882</v>
      </c>
      <c r="L1217" s="1274"/>
      <c r="M1217" s="855"/>
      <c r="N1217" s="855"/>
      <c r="O1217" s="335"/>
      <c r="P1217" s="335"/>
      <c r="Q1217" s="335"/>
      <c r="R1217" s="335"/>
      <c r="S1217" s="335"/>
      <c r="T1217" s="335"/>
      <c r="U1217" s="335"/>
      <c r="V1217" s="335"/>
      <c r="W1217" s="335"/>
      <c r="X1217" s="335"/>
      <c r="Y1217" s="335"/>
      <c r="Z1217" s="335"/>
      <c r="AA1217" s="335"/>
      <c r="AB1217" s="335"/>
      <c r="AC1217" s="335"/>
      <c r="AD1217" s="335"/>
      <c r="AE1217" s="335"/>
      <c r="AF1217" s="335"/>
      <c r="AG1217" s="335"/>
      <c r="AH1217" s="335"/>
      <c r="AI1217" s="335"/>
      <c r="AJ1217" s="335"/>
      <c r="AK1217" s="335"/>
      <c r="AL1217" s="335"/>
      <c r="AM1217" s="335"/>
      <c r="AN1217" s="335"/>
      <c r="AO1217" s="335"/>
      <c r="AP1217" s="335"/>
      <c r="AQ1217" s="335"/>
      <c r="AR1217" s="335"/>
      <c r="AS1217" s="335"/>
      <c r="AT1217" s="335"/>
      <c r="AU1217" s="335"/>
      <c r="AV1217" s="335"/>
      <c r="AW1217" s="335"/>
      <c r="AX1217" s="335"/>
      <c r="AY1217" s="335"/>
      <c r="AZ1217" s="335"/>
      <c r="BA1217" s="335"/>
      <c r="BB1217" s="335"/>
      <c r="BC1217" s="335"/>
      <c r="BD1217" s="335"/>
      <c r="BE1217" s="335"/>
      <c r="BF1217" s="335"/>
      <c r="BG1217" s="335"/>
      <c r="BH1217" s="335"/>
      <c r="BI1217" s="335"/>
      <c r="BJ1217" s="335"/>
      <c r="BK1217" s="335"/>
      <c r="BL1217" s="335"/>
      <c r="BM1217" s="335"/>
      <c r="BN1217" s="335"/>
      <c r="BO1217" s="335"/>
      <c r="BP1217" s="335"/>
      <c r="BQ1217" s="335"/>
      <c r="BR1217" s="335"/>
      <c r="BS1217" s="335"/>
    </row>
    <row r="1218" spans="1:71" s="192" customFormat="1" ht="16.5" customHeight="1">
      <c r="A1218" s="198" t="s">
        <v>1086</v>
      </c>
      <c r="B1218" s="245" t="s">
        <v>1080</v>
      </c>
      <c r="C1218" s="1266">
        <f>CEILING(63*$Z$1,0.1)</f>
        <v>78.80000000000001</v>
      </c>
      <c r="D1218" s="1267"/>
      <c r="E1218" s="1266">
        <f>CEILING(78*$Z$1,0.1)</f>
        <v>97.5</v>
      </c>
      <c r="F1218" s="1267"/>
      <c r="G1218" s="1266">
        <f>CEILING(68*$Z$1,0.1)</f>
        <v>85</v>
      </c>
      <c r="H1218" s="1267"/>
      <c r="I1218" s="1266">
        <f>CEILING(73*$Z$1,0.1)</f>
        <v>91.30000000000001</v>
      </c>
      <c r="J1218" s="1267"/>
      <c r="K1218" s="1266">
        <f>CEILING(63*$Z$1,0.1)</f>
        <v>78.80000000000001</v>
      </c>
      <c r="L1218" s="1267"/>
      <c r="M1218" s="342"/>
      <c r="N1218" s="389"/>
      <c r="O1218" s="335"/>
      <c r="P1218" s="335"/>
      <c r="Q1218" s="335"/>
      <c r="R1218" s="335"/>
      <c r="S1218" s="335"/>
      <c r="T1218" s="335"/>
      <c r="U1218" s="335"/>
      <c r="V1218" s="335"/>
      <c r="W1218" s="335"/>
      <c r="X1218" s="335"/>
      <c r="Y1218" s="335"/>
      <c r="Z1218" s="335"/>
      <c r="AA1218" s="335"/>
      <c r="AB1218" s="335"/>
      <c r="AC1218" s="335"/>
      <c r="AD1218" s="335"/>
      <c r="AE1218" s="335"/>
      <c r="AF1218" s="335"/>
      <c r="AG1218" s="335"/>
      <c r="AH1218" s="335"/>
      <c r="AI1218" s="335"/>
      <c r="AJ1218" s="335"/>
      <c r="AK1218" s="335"/>
      <c r="AL1218" s="335"/>
      <c r="AM1218" s="335"/>
      <c r="AN1218" s="335"/>
      <c r="AO1218" s="335"/>
      <c r="AP1218" s="335"/>
      <c r="AQ1218" s="335"/>
      <c r="AR1218" s="335"/>
      <c r="AS1218" s="335"/>
      <c r="AT1218" s="335"/>
      <c r="AU1218" s="335"/>
      <c r="AV1218" s="335"/>
      <c r="AW1218" s="335"/>
      <c r="AX1218" s="335"/>
      <c r="AY1218" s="335"/>
      <c r="AZ1218" s="335"/>
      <c r="BA1218" s="335"/>
      <c r="BB1218" s="335"/>
      <c r="BC1218" s="335"/>
      <c r="BD1218" s="335"/>
      <c r="BE1218" s="335"/>
      <c r="BF1218" s="335"/>
      <c r="BG1218" s="335"/>
      <c r="BH1218" s="335"/>
      <c r="BI1218" s="335"/>
      <c r="BJ1218" s="335"/>
      <c r="BK1218" s="335"/>
      <c r="BL1218" s="335"/>
      <c r="BM1218" s="335"/>
      <c r="BN1218" s="335"/>
      <c r="BO1218" s="335"/>
      <c r="BP1218" s="335"/>
      <c r="BQ1218" s="335"/>
      <c r="BR1218" s="335"/>
      <c r="BS1218" s="335"/>
    </row>
    <row r="1219" spans="1:71" s="192" customFormat="1" ht="16.5" customHeight="1">
      <c r="A1219" s="227" t="s">
        <v>1087</v>
      </c>
      <c r="B1219" s="68" t="s">
        <v>1081</v>
      </c>
      <c r="C1219" s="1268">
        <f>CEILING((C1218+20*$Z$1),0.1)</f>
        <v>103.80000000000001</v>
      </c>
      <c r="D1219" s="1270"/>
      <c r="E1219" s="1268">
        <f>CEILING((E1218+20*$Z$1),0.1)</f>
        <v>122.5</v>
      </c>
      <c r="F1219" s="1270"/>
      <c r="G1219" s="1268">
        <f>CEILING((G1218+20*$Z$1),0.1)</f>
        <v>110</v>
      </c>
      <c r="H1219" s="1270"/>
      <c r="I1219" s="1268">
        <f>CEILING((I1218+20*$Z$1),0.1)</f>
        <v>116.30000000000001</v>
      </c>
      <c r="J1219" s="1270"/>
      <c r="K1219" s="1268">
        <f>CEILING((K1218+20*$Z$1),0.1)</f>
        <v>103.80000000000001</v>
      </c>
      <c r="L1219" s="1270"/>
      <c r="M1219" s="342"/>
      <c r="N1219" s="389"/>
      <c r="O1219" s="335"/>
      <c r="P1219" s="335"/>
      <c r="Q1219" s="335"/>
      <c r="R1219" s="335"/>
      <c r="S1219" s="335"/>
      <c r="T1219" s="335"/>
      <c r="U1219" s="335"/>
      <c r="V1219" s="335"/>
      <c r="W1219" s="335"/>
      <c r="X1219" s="335"/>
      <c r="Y1219" s="335"/>
      <c r="Z1219" s="335"/>
      <c r="AA1219" s="335"/>
      <c r="AB1219" s="335"/>
      <c r="AC1219" s="335"/>
      <c r="AD1219" s="335"/>
      <c r="AE1219" s="335"/>
      <c r="AF1219" s="335"/>
      <c r="AG1219" s="335"/>
      <c r="AH1219" s="335"/>
      <c r="AI1219" s="335"/>
      <c r="AJ1219" s="335"/>
      <c r="AK1219" s="335"/>
      <c r="AL1219" s="335"/>
      <c r="AM1219" s="335"/>
      <c r="AN1219" s="335"/>
      <c r="AO1219" s="335"/>
      <c r="AP1219" s="335"/>
      <c r="AQ1219" s="335"/>
      <c r="AR1219" s="335"/>
      <c r="AS1219" s="335"/>
      <c r="AT1219" s="335"/>
      <c r="AU1219" s="335"/>
      <c r="AV1219" s="335"/>
      <c r="AW1219" s="335"/>
      <c r="AX1219" s="335"/>
      <c r="AY1219" s="335"/>
      <c r="AZ1219" s="335"/>
      <c r="BA1219" s="335"/>
      <c r="BB1219" s="335"/>
      <c r="BC1219" s="335"/>
      <c r="BD1219" s="335"/>
      <c r="BE1219" s="335"/>
      <c r="BF1219" s="335"/>
      <c r="BG1219" s="335"/>
      <c r="BH1219" s="335"/>
      <c r="BI1219" s="335"/>
      <c r="BJ1219" s="335"/>
      <c r="BK1219" s="335"/>
      <c r="BL1219" s="335"/>
      <c r="BM1219" s="335"/>
      <c r="BN1219" s="335"/>
      <c r="BO1219" s="335"/>
      <c r="BP1219" s="335"/>
      <c r="BQ1219" s="335"/>
      <c r="BR1219" s="335"/>
      <c r="BS1219" s="335"/>
    </row>
    <row r="1220" spans="1:71" s="192" customFormat="1" ht="16.5" customHeight="1">
      <c r="A1220" s="21"/>
      <c r="B1220" s="37" t="s">
        <v>47</v>
      </c>
      <c r="C1220" s="1268">
        <f>CEILING((C1218*0.856),0.1)</f>
        <v>67.5</v>
      </c>
      <c r="D1220" s="1270"/>
      <c r="E1220" s="1268">
        <f>CEILING((E1218*0.85),0.1)</f>
        <v>82.9</v>
      </c>
      <c r="F1220" s="1270"/>
      <c r="G1220" s="1268">
        <f>CEILING((G1218*0.855),0.1)</f>
        <v>72.7</v>
      </c>
      <c r="H1220" s="1270"/>
      <c r="I1220" s="1268">
        <f>CEILING((I1218*0.855),0.1)</f>
        <v>78.10000000000001</v>
      </c>
      <c r="J1220" s="1270"/>
      <c r="K1220" s="1268">
        <f>CEILING((K1218*0.856),0.1)</f>
        <v>67.5</v>
      </c>
      <c r="L1220" s="1270"/>
      <c r="M1220" s="342"/>
      <c r="N1220" s="389"/>
      <c r="O1220" s="335"/>
      <c r="P1220" s="335"/>
      <c r="Q1220" s="335"/>
      <c r="R1220" s="335"/>
      <c r="S1220" s="335"/>
      <c r="T1220" s="335"/>
      <c r="U1220" s="335"/>
      <c r="V1220" s="335"/>
      <c r="W1220" s="335"/>
      <c r="X1220" s="335"/>
      <c r="Y1220" s="335"/>
      <c r="Z1220" s="335"/>
      <c r="AA1220" s="335"/>
      <c r="AB1220" s="335"/>
      <c r="AC1220" s="335"/>
      <c r="AD1220" s="335"/>
      <c r="AE1220" s="335"/>
      <c r="AF1220" s="335"/>
      <c r="AG1220" s="335"/>
      <c r="AH1220" s="335"/>
      <c r="AI1220" s="335"/>
      <c r="AJ1220" s="335"/>
      <c r="AK1220" s="335"/>
      <c r="AL1220" s="335"/>
      <c r="AM1220" s="335"/>
      <c r="AN1220" s="335"/>
      <c r="AO1220" s="335"/>
      <c r="AP1220" s="335"/>
      <c r="AQ1220" s="335"/>
      <c r="AR1220" s="335"/>
      <c r="AS1220" s="335"/>
      <c r="AT1220" s="335"/>
      <c r="AU1220" s="335"/>
      <c r="AV1220" s="335"/>
      <c r="AW1220" s="335"/>
      <c r="AX1220" s="335"/>
      <c r="AY1220" s="335"/>
      <c r="AZ1220" s="335"/>
      <c r="BA1220" s="335"/>
      <c r="BB1220" s="335"/>
      <c r="BC1220" s="335"/>
      <c r="BD1220" s="335"/>
      <c r="BE1220" s="335"/>
      <c r="BF1220" s="335"/>
      <c r="BG1220" s="335"/>
      <c r="BH1220" s="335"/>
      <c r="BI1220" s="335"/>
      <c r="BJ1220" s="335"/>
      <c r="BK1220" s="335"/>
      <c r="BL1220" s="335"/>
      <c r="BM1220" s="335"/>
      <c r="BN1220" s="335"/>
      <c r="BO1220" s="335"/>
      <c r="BP1220" s="335"/>
      <c r="BQ1220" s="335"/>
      <c r="BR1220" s="335"/>
      <c r="BS1220" s="335"/>
    </row>
    <row r="1221" spans="1:71" s="192" customFormat="1" ht="16.5" customHeight="1">
      <c r="A1221" s="21"/>
      <c r="B1221" s="37" t="s">
        <v>1082</v>
      </c>
      <c r="C1221" s="1268">
        <f>CEILING((C1218*0.5),0.1)</f>
        <v>39.400000000000006</v>
      </c>
      <c r="D1221" s="1270"/>
      <c r="E1221" s="1268">
        <f>CEILING((E1218*0.5),0.1)</f>
        <v>48.800000000000004</v>
      </c>
      <c r="F1221" s="1270"/>
      <c r="G1221" s="1268">
        <f>CEILING((G1218*0.5),0.1)</f>
        <v>42.5</v>
      </c>
      <c r="H1221" s="1270"/>
      <c r="I1221" s="1268">
        <f>CEILING((I1218*0.5),0.1)</f>
        <v>45.7</v>
      </c>
      <c r="J1221" s="1270"/>
      <c r="K1221" s="1268">
        <f>CEILING((K1218*0.5),0.1)</f>
        <v>39.400000000000006</v>
      </c>
      <c r="L1221" s="1270"/>
      <c r="M1221" s="342"/>
      <c r="N1221" s="389"/>
      <c r="O1221" s="335"/>
      <c r="P1221" s="335"/>
      <c r="Q1221" s="335"/>
      <c r="R1221" s="335"/>
      <c r="S1221" s="335"/>
      <c r="T1221" s="335"/>
      <c r="U1221" s="335"/>
      <c r="V1221" s="335"/>
      <c r="W1221" s="335"/>
      <c r="X1221" s="335"/>
      <c r="Y1221" s="335"/>
      <c r="Z1221" s="335"/>
      <c r="AA1221" s="335"/>
      <c r="AB1221" s="335"/>
      <c r="AC1221" s="335"/>
      <c r="AD1221" s="335"/>
      <c r="AE1221" s="335"/>
      <c r="AF1221" s="335"/>
      <c r="AG1221" s="335"/>
      <c r="AH1221" s="335"/>
      <c r="AI1221" s="335"/>
      <c r="AJ1221" s="335"/>
      <c r="AK1221" s="335"/>
      <c r="AL1221" s="335"/>
      <c r="AM1221" s="335"/>
      <c r="AN1221" s="335"/>
      <c r="AO1221" s="335"/>
      <c r="AP1221" s="335"/>
      <c r="AQ1221" s="335"/>
      <c r="AR1221" s="335"/>
      <c r="AS1221" s="335"/>
      <c r="AT1221" s="335"/>
      <c r="AU1221" s="335"/>
      <c r="AV1221" s="335"/>
      <c r="AW1221" s="335"/>
      <c r="AX1221" s="335"/>
      <c r="AY1221" s="335"/>
      <c r="AZ1221" s="335"/>
      <c r="BA1221" s="335"/>
      <c r="BB1221" s="335"/>
      <c r="BC1221" s="335"/>
      <c r="BD1221" s="335"/>
      <c r="BE1221" s="335"/>
      <c r="BF1221" s="335"/>
      <c r="BG1221" s="335"/>
      <c r="BH1221" s="335"/>
      <c r="BI1221" s="335"/>
      <c r="BJ1221" s="335"/>
      <c r="BK1221" s="335"/>
      <c r="BL1221" s="335"/>
      <c r="BM1221" s="335"/>
      <c r="BN1221" s="335"/>
      <c r="BO1221" s="335"/>
      <c r="BP1221" s="335"/>
      <c r="BQ1221" s="335"/>
      <c r="BR1221" s="335"/>
      <c r="BS1221" s="335"/>
    </row>
    <row r="1222" spans="1:71" s="192" customFormat="1" ht="21" customHeight="1">
      <c r="A1222" s="670"/>
      <c r="B1222" s="37" t="s">
        <v>1083</v>
      </c>
      <c r="C1222" s="1268">
        <f>CEILING(73*$Z$1,0.1)</f>
        <v>91.30000000000001</v>
      </c>
      <c r="D1222" s="1270"/>
      <c r="E1222" s="1268">
        <f>CEILING(88*$Z$1,0.1)</f>
        <v>110</v>
      </c>
      <c r="F1222" s="1270"/>
      <c r="G1222" s="1268">
        <f>CEILING(78*$Z$1,0.1)</f>
        <v>97.5</v>
      </c>
      <c r="H1222" s="1270"/>
      <c r="I1222" s="1268">
        <f>CEILING(83*$Z$1,0.1)</f>
        <v>103.80000000000001</v>
      </c>
      <c r="J1222" s="1270"/>
      <c r="K1222" s="1268">
        <f>CEILING(73*$Z$1,0.1)</f>
        <v>91.30000000000001</v>
      </c>
      <c r="L1222" s="1270"/>
      <c r="M1222" s="342"/>
      <c r="N1222" s="389"/>
      <c r="O1222" s="335"/>
      <c r="P1222" s="335"/>
      <c r="Q1222" s="335"/>
      <c r="R1222" s="335"/>
      <c r="S1222" s="335"/>
      <c r="T1222" s="335"/>
      <c r="U1222" s="335"/>
      <c r="V1222" s="335"/>
      <c r="W1222" s="335"/>
      <c r="X1222" s="335"/>
      <c r="Y1222" s="335"/>
      <c r="Z1222" s="335"/>
      <c r="AA1222" s="335"/>
      <c r="AB1222" s="335"/>
      <c r="AC1222" s="335"/>
      <c r="AD1222" s="335"/>
      <c r="AE1222" s="335"/>
      <c r="AF1222" s="335"/>
      <c r="AG1222" s="335"/>
      <c r="AH1222" s="335"/>
      <c r="AI1222" s="335"/>
      <c r="AJ1222" s="335"/>
      <c r="AK1222" s="335"/>
      <c r="AL1222" s="335"/>
      <c r="AM1222" s="335"/>
      <c r="AN1222" s="335"/>
      <c r="AO1222" s="335"/>
      <c r="AP1222" s="335"/>
      <c r="AQ1222" s="335"/>
      <c r="AR1222" s="335"/>
      <c r="AS1222" s="335"/>
      <c r="AT1222" s="335"/>
      <c r="AU1222" s="335"/>
      <c r="AV1222" s="335"/>
      <c r="AW1222" s="335"/>
      <c r="AX1222" s="335"/>
      <c r="AY1222" s="335"/>
      <c r="AZ1222" s="335"/>
      <c r="BA1222" s="335"/>
      <c r="BB1222" s="335"/>
      <c r="BC1222" s="335"/>
      <c r="BD1222" s="335"/>
      <c r="BE1222" s="335"/>
      <c r="BF1222" s="335"/>
      <c r="BG1222" s="335"/>
      <c r="BH1222" s="335"/>
      <c r="BI1222" s="335"/>
      <c r="BJ1222" s="335"/>
      <c r="BK1222" s="335"/>
      <c r="BL1222" s="335"/>
      <c r="BM1222" s="335"/>
      <c r="BN1222" s="335"/>
      <c r="BO1222" s="335"/>
      <c r="BP1222" s="335"/>
      <c r="BQ1222" s="335"/>
      <c r="BR1222" s="335"/>
      <c r="BS1222" s="335"/>
    </row>
    <row r="1223" spans="1:71" s="192" customFormat="1" ht="16.5" customHeight="1">
      <c r="A1223" s="21"/>
      <c r="B1223" s="26" t="s">
        <v>1084</v>
      </c>
      <c r="C1223" s="1268">
        <f>CEILING((C1222+20*$Z$1),0.1)</f>
        <v>116.30000000000001</v>
      </c>
      <c r="D1223" s="1270"/>
      <c r="E1223" s="1268">
        <f>CEILING((E1222+20*$Z$1),0.1)</f>
        <v>135</v>
      </c>
      <c r="F1223" s="1270"/>
      <c r="G1223" s="1268">
        <f>CEILING((G1222+20*$Z$1),0.1)</f>
        <v>122.5</v>
      </c>
      <c r="H1223" s="1270"/>
      <c r="I1223" s="1268">
        <f>CEILING((I1222+20*$Z$1),0.1)</f>
        <v>128.8</v>
      </c>
      <c r="J1223" s="1270"/>
      <c r="K1223" s="1268">
        <f>CEILING((K1222+20*$Z$1),0.1)</f>
        <v>116.30000000000001</v>
      </c>
      <c r="L1223" s="1270"/>
      <c r="M1223" s="342"/>
      <c r="N1223" s="389"/>
      <c r="O1223" s="335"/>
      <c r="P1223" s="335"/>
      <c r="Q1223" s="335"/>
      <c r="R1223" s="335"/>
      <c r="S1223" s="335"/>
      <c r="T1223" s="335"/>
      <c r="U1223" s="335"/>
      <c r="V1223" s="335"/>
      <c r="W1223" s="335"/>
      <c r="X1223" s="335"/>
      <c r="Y1223" s="335"/>
      <c r="Z1223" s="335"/>
      <c r="AA1223" s="335"/>
      <c r="AB1223" s="335"/>
      <c r="AC1223" s="335"/>
      <c r="AD1223" s="335"/>
      <c r="AE1223" s="335"/>
      <c r="AF1223" s="335"/>
      <c r="AG1223" s="335"/>
      <c r="AH1223" s="335"/>
      <c r="AI1223" s="335"/>
      <c r="AJ1223" s="335"/>
      <c r="AK1223" s="335"/>
      <c r="AL1223" s="335"/>
      <c r="AM1223" s="335"/>
      <c r="AN1223" s="335"/>
      <c r="AO1223" s="335"/>
      <c r="AP1223" s="335"/>
      <c r="AQ1223" s="335"/>
      <c r="AR1223" s="335"/>
      <c r="AS1223" s="335"/>
      <c r="AT1223" s="335"/>
      <c r="AU1223" s="335"/>
      <c r="AV1223" s="335"/>
      <c r="AW1223" s="335"/>
      <c r="AX1223" s="335"/>
      <c r="AY1223" s="335"/>
      <c r="AZ1223" s="335"/>
      <c r="BA1223" s="335"/>
      <c r="BB1223" s="335"/>
      <c r="BC1223" s="335"/>
      <c r="BD1223" s="335"/>
      <c r="BE1223" s="335"/>
      <c r="BF1223" s="335"/>
      <c r="BG1223" s="335"/>
      <c r="BH1223" s="335"/>
      <c r="BI1223" s="335"/>
      <c r="BJ1223" s="335"/>
      <c r="BK1223" s="335"/>
      <c r="BL1223" s="335"/>
      <c r="BM1223" s="335"/>
      <c r="BN1223" s="335"/>
      <c r="BO1223" s="335"/>
      <c r="BP1223" s="335"/>
      <c r="BQ1223" s="335"/>
      <c r="BR1223" s="335"/>
      <c r="BS1223" s="335"/>
    </row>
    <row r="1224" spans="1:71" s="192" customFormat="1" ht="16.5" customHeight="1" thickBot="1">
      <c r="A1224" s="257" t="s">
        <v>1029</v>
      </c>
      <c r="B1224" s="944" t="s">
        <v>56</v>
      </c>
      <c r="C1224" s="1496">
        <f>CEILING(83*$Z$1,0.1)</f>
        <v>103.80000000000001</v>
      </c>
      <c r="D1224" s="1497"/>
      <c r="E1224" s="1496">
        <f>CEILING(98*$Z$1,0.1)</f>
        <v>122.5</v>
      </c>
      <c r="F1224" s="1497"/>
      <c r="G1224" s="1496">
        <f>CEILING(88*$Z$1,0.1)</f>
        <v>110</v>
      </c>
      <c r="H1224" s="1497"/>
      <c r="I1224" s="1496">
        <f>CEILING(93*$Z$1,0.1)</f>
        <v>116.30000000000001</v>
      </c>
      <c r="J1224" s="1497"/>
      <c r="K1224" s="1496">
        <f>CEILING(83*$Z$1,0.1)</f>
        <v>103.80000000000001</v>
      </c>
      <c r="L1224" s="1497"/>
      <c r="M1224" s="342"/>
      <c r="N1224" s="389"/>
      <c r="O1224" s="335"/>
      <c r="P1224" s="335"/>
      <c r="Q1224" s="335"/>
      <c r="R1224" s="335"/>
      <c r="S1224" s="335"/>
      <c r="T1224" s="335"/>
      <c r="U1224" s="335"/>
      <c r="V1224" s="335"/>
      <c r="W1224" s="335"/>
      <c r="X1224" s="335"/>
      <c r="Y1224" s="335"/>
      <c r="Z1224" s="335"/>
      <c r="AA1224" s="335"/>
      <c r="AB1224" s="335"/>
      <c r="AC1224" s="335"/>
      <c r="AD1224" s="335"/>
      <c r="AE1224" s="335"/>
      <c r="AF1224" s="335"/>
      <c r="AG1224" s="335"/>
      <c r="AH1224" s="335"/>
      <c r="AI1224" s="335"/>
      <c r="AJ1224" s="335"/>
      <c r="AK1224" s="335"/>
      <c r="AL1224" s="335"/>
      <c r="AM1224" s="335"/>
      <c r="AN1224" s="335"/>
      <c r="AO1224" s="335"/>
      <c r="AP1224" s="335"/>
      <c r="AQ1224" s="335"/>
      <c r="AR1224" s="335"/>
      <c r="AS1224" s="335"/>
      <c r="AT1224" s="335"/>
      <c r="AU1224" s="335"/>
      <c r="AV1224" s="335"/>
      <c r="AW1224" s="335"/>
      <c r="AX1224" s="335"/>
      <c r="AY1224" s="335"/>
      <c r="AZ1224" s="335"/>
      <c r="BA1224" s="335"/>
      <c r="BB1224" s="335"/>
      <c r="BC1224" s="335"/>
      <c r="BD1224" s="335"/>
      <c r="BE1224" s="335"/>
      <c r="BF1224" s="335"/>
      <c r="BG1224" s="335"/>
      <c r="BH1224" s="335"/>
      <c r="BI1224" s="335"/>
      <c r="BJ1224" s="335"/>
      <c r="BK1224" s="335"/>
      <c r="BL1224" s="335"/>
      <c r="BM1224" s="335"/>
      <c r="BN1224" s="335"/>
      <c r="BO1224" s="335"/>
      <c r="BP1224" s="335"/>
      <c r="BQ1224" s="335"/>
      <c r="BR1224" s="335"/>
      <c r="BS1224" s="335"/>
    </row>
    <row r="1225" spans="1:84" s="777" customFormat="1" ht="15.75" thickTop="1">
      <c r="A1225" s="1401"/>
      <c r="B1225" s="1402"/>
      <c r="C1225" s="1307"/>
      <c r="D1225" s="1307"/>
      <c r="E1225" s="1402"/>
      <c r="F1225" s="1402"/>
      <c r="G1225" s="1402"/>
      <c r="H1225" s="1402"/>
      <c r="I1225" s="1402"/>
      <c r="J1225" s="1402"/>
      <c r="K1225" s="775"/>
      <c r="L1225" s="775"/>
      <c r="M1225" s="335"/>
      <c r="N1225" s="331"/>
      <c r="O1225" s="331"/>
      <c r="P1225" s="331"/>
      <c r="Q1225" s="331"/>
      <c r="R1225" s="331"/>
      <c r="S1225" s="331"/>
      <c r="T1225" s="331"/>
      <c r="U1225" s="331"/>
      <c r="V1225" s="331"/>
      <c r="W1225" s="331"/>
      <c r="X1225" s="331"/>
      <c r="Y1225" s="331"/>
      <c r="Z1225" s="331"/>
      <c r="AA1225" s="331"/>
      <c r="AB1225" s="331"/>
      <c r="AC1225" s="331"/>
      <c r="AD1225" s="331"/>
      <c r="AE1225" s="331"/>
      <c r="AF1225" s="331"/>
      <c r="AG1225" s="331"/>
      <c r="AH1225" s="331"/>
      <c r="AI1225" s="331"/>
      <c r="AJ1225" s="331"/>
      <c r="AK1225" s="331"/>
      <c r="AL1225" s="331"/>
      <c r="AM1225" s="331"/>
      <c r="AN1225" s="331"/>
      <c r="AO1225" s="331"/>
      <c r="AP1225" s="331"/>
      <c r="AQ1225" s="331"/>
      <c r="AR1225" s="331"/>
      <c r="AS1225" s="331"/>
      <c r="AT1225" s="331"/>
      <c r="AU1225" s="331"/>
      <c r="AV1225" s="331"/>
      <c r="AW1225" s="331"/>
      <c r="AX1225" s="331"/>
      <c r="AY1225" s="331"/>
      <c r="AZ1225" s="331"/>
      <c r="BA1225" s="331"/>
      <c r="BB1225" s="331"/>
      <c r="BC1225" s="331"/>
      <c r="BD1225" s="331"/>
      <c r="BE1225" s="331"/>
      <c r="BF1225" s="331"/>
      <c r="BG1225" s="331"/>
      <c r="BH1225" s="331"/>
      <c r="BI1225" s="331"/>
      <c r="BJ1225" s="331"/>
      <c r="BK1225" s="331"/>
      <c r="BL1225" s="331"/>
      <c r="BM1225" s="331"/>
      <c r="BN1225" s="331"/>
      <c r="BO1225" s="331"/>
      <c r="BP1225" s="331"/>
      <c r="BQ1225" s="331"/>
      <c r="BR1225" s="331"/>
      <c r="BS1225" s="331"/>
      <c r="BT1225" s="331"/>
      <c r="BU1225" s="331"/>
      <c r="BV1225" s="331"/>
      <c r="BW1225" s="331"/>
      <c r="BX1225" s="331"/>
      <c r="BY1225" s="331"/>
      <c r="BZ1225" s="331"/>
      <c r="CA1225" s="331"/>
      <c r="CB1225" s="331"/>
      <c r="CC1225" s="331"/>
      <c r="CD1225" s="331"/>
      <c r="CE1225" s="331"/>
      <c r="CF1225" s="331"/>
    </row>
    <row r="1226" spans="1:84" s="479" customFormat="1" ht="16.5" customHeight="1">
      <c r="A1226" s="1318" t="s">
        <v>1085</v>
      </c>
      <c r="B1226" s="1318"/>
      <c r="C1226" s="1318"/>
      <c r="D1226" s="1318"/>
      <c r="E1226" s="1318"/>
      <c r="F1226" s="1318"/>
      <c r="G1226" s="1318"/>
      <c r="H1226" s="1318"/>
      <c r="I1226" s="1318"/>
      <c r="J1226" s="1318"/>
      <c r="K1226" s="314"/>
      <c r="L1226" s="314"/>
      <c r="M1226" s="953"/>
      <c r="N1226" s="953"/>
      <c r="O1226" s="331"/>
      <c r="P1226" s="331"/>
      <c r="Q1226" s="331"/>
      <c r="R1226" s="331"/>
      <c r="S1226" s="331"/>
      <c r="T1226" s="331"/>
      <c r="U1226" s="331"/>
      <c r="V1226" s="331"/>
      <c r="W1226" s="331"/>
      <c r="X1226" s="331"/>
      <c r="Y1226" s="331"/>
      <c r="Z1226" s="331"/>
      <c r="AA1226" s="331"/>
      <c r="AB1226" s="331"/>
      <c r="AC1226" s="331"/>
      <c r="AD1226" s="331"/>
      <c r="AE1226" s="331"/>
      <c r="AF1226" s="331"/>
      <c r="AG1226" s="331"/>
      <c r="AH1226" s="331"/>
      <c r="AI1226" s="331"/>
      <c r="AJ1226" s="331"/>
      <c r="AK1226" s="331"/>
      <c r="AL1226" s="331"/>
      <c r="AM1226" s="331"/>
      <c r="AN1226" s="331"/>
      <c r="AO1226" s="331"/>
      <c r="AP1226" s="331"/>
      <c r="AQ1226" s="331"/>
      <c r="AR1226" s="331"/>
      <c r="AS1226" s="331"/>
      <c r="AT1226" s="331"/>
      <c r="AU1226" s="331"/>
      <c r="AV1226" s="331"/>
      <c r="AW1226" s="331"/>
      <c r="AX1226" s="331"/>
      <c r="AY1226" s="331"/>
      <c r="AZ1226" s="331"/>
      <c r="BA1226" s="331"/>
      <c r="BB1226" s="331"/>
      <c r="BC1226" s="331"/>
      <c r="BD1226" s="331"/>
      <c r="BE1226" s="331"/>
      <c r="BF1226" s="331"/>
      <c r="BG1226" s="331"/>
      <c r="BH1226" s="331"/>
      <c r="BI1226" s="331"/>
      <c r="BJ1226" s="331"/>
      <c r="BK1226" s="331"/>
      <c r="BL1226" s="331"/>
      <c r="BM1226" s="331"/>
      <c r="BN1226" s="331"/>
      <c r="BO1226" s="331"/>
      <c r="BP1226" s="331"/>
      <c r="BQ1226" s="331"/>
      <c r="BR1226" s="331"/>
      <c r="BS1226" s="331"/>
      <c r="BT1226" s="331"/>
      <c r="BU1226" s="331"/>
      <c r="BV1226" s="331"/>
      <c r="BW1226" s="331"/>
      <c r="BX1226" s="331"/>
      <c r="BY1226" s="331"/>
      <c r="BZ1226" s="331"/>
      <c r="CA1226" s="331"/>
      <c r="CB1226" s="331"/>
      <c r="CC1226" s="331"/>
      <c r="CD1226" s="331"/>
      <c r="CE1226" s="331"/>
      <c r="CF1226" s="331"/>
    </row>
    <row r="1227" spans="1:25" s="479" customFormat="1" ht="16.5" customHeight="1">
      <c r="A1227" s="172" t="s">
        <v>1088</v>
      </c>
      <c r="B1227" s="44"/>
      <c r="C1227" s="853"/>
      <c r="D1227" s="853"/>
      <c r="E1227" s="853"/>
      <c r="F1227" s="853"/>
      <c r="G1227" s="853"/>
      <c r="H1227" s="853"/>
      <c r="I1227" s="853"/>
      <c r="J1227" s="853"/>
      <c r="K1227" s="853"/>
      <c r="L1227" s="853"/>
      <c r="M1227" s="92"/>
      <c r="N1227" s="92"/>
      <c r="O1227" s="480"/>
      <c r="P1227" s="480"/>
      <c r="Q1227" s="480"/>
      <c r="R1227" s="480"/>
      <c r="S1227" s="480"/>
      <c r="T1227" s="480"/>
      <c r="U1227" s="480"/>
      <c r="V1227" s="480"/>
      <c r="W1227" s="480"/>
      <c r="X1227" s="480"/>
      <c r="Y1227" s="480"/>
    </row>
    <row r="1228" spans="1:25" s="479" customFormat="1" ht="16.5" customHeight="1" thickBot="1">
      <c r="A1228" s="172"/>
      <c r="B1228" s="44"/>
      <c r="C1228" s="853"/>
      <c r="D1228" s="853"/>
      <c r="E1228" s="853"/>
      <c r="F1228" s="853"/>
      <c r="G1228" s="853"/>
      <c r="H1228" s="853"/>
      <c r="I1228" s="853"/>
      <c r="J1228" s="853"/>
      <c r="K1228" s="853"/>
      <c r="L1228" s="853"/>
      <c r="M1228" s="92"/>
      <c r="N1228" s="92"/>
      <c r="O1228" s="480"/>
      <c r="P1228" s="480"/>
      <c r="Q1228" s="480"/>
      <c r="R1228" s="480"/>
      <c r="S1228" s="480"/>
      <c r="T1228" s="480"/>
      <c r="U1228" s="480"/>
      <c r="V1228" s="480"/>
      <c r="W1228" s="480"/>
      <c r="X1228" s="480"/>
      <c r="Y1228" s="480"/>
    </row>
    <row r="1229" spans="1:25" s="479" customFormat="1" ht="16.5" customHeight="1" thickTop="1">
      <c r="A1229" s="746" t="s">
        <v>43</v>
      </c>
      <c r="B1229" s="814" t="s">
        <v>961</v>
      </c>
      <c r="C1229" s="747" t="s">
        <v>884</v>
      </c>
      <c r="D1229" s="748"/>
      <c r="E1229" s="808" t="s">
        <v>911</v>
      </c>
      <c r="F1229" s="750"/>
      <c r="G1229" s="749" t="s">
        <v>912</v>
      </c>
      <c r="H1229" s="750"/>
      <c r="I1229" s="1273" t="s">
        <v>881</v>
      </c>
      <c r="J1229" s="1274"/>
      <c r="K1229" s="1273" t="s">
        <v>882</v>
      </c>
      <c r="L1229" s="1274"/>
      <c r="M1229" s="92"/>
      <c r="N1229" s="92"/>
      <c r="O1229" s="480"/>
      <c r="P1229" s="480"/>
      <c r="Q1229" s="480"/>
      <c r="R1229" s="480"/>
      <c r="S1229" s="480"/>
      <c r="T1229" s="480"/>
      <c r="U1229" s="480"/>
      <c r="V1229" s="480"/>
      <c r="W1229" s="480"/>
      <c r="X1229" s="480"/>
      <c r="Y1229" s="480"/>
    </row>
    <row r="1230" spans="1:25" s="479" customFormat="1" ht="16.5" customHeight="1">
      <c r="A1230" s="198" t="s">
        <v>1089</v>
      </c>
      <c r="B1230" s="245" t="s">
        <v>1080</v>
      </c>
      <c r="C1230" s="1266">
        <f>CEILING(54*$Z$1,0.1)</f>
        <v>67.5</v>
      </c>
      <c r="D1230" s="1267"/>
      <c r="E1230" s="1266">
        <f>CEILING(79*$Z$1,0.1)</f>
        <v>98.80000000000001</v>
      </c>
      <c r="F1230" s="1267"/>
      <c r="G1230" s="1266">
        <f>CEILING(63*$Z$1,0.1)</f>
        <v>78.80000000000001</v>
      </c>
      <c r="H1230" s="1267"/>
      <c r="I1230" s="1266">
        <f>CEILING(75*$Z$1,0.1)</f>
        <v>93.80000000000001</v>
      </c>
      <c r="J1230" s="1267"/>
      <c r="K1230" s="1266">
        <f>CEILING(54*$Z$1,0.1)</f>
        <v>67.5</v>
      </c>
      <c r="L1230" s="1267"/>
      <c r="M1230" s="92"/>
      <c r="N1230" s="92"/>
      <c r="O1230" s="480"/>
      <c r="P1230" s="480"/>
      <c r="Q1230" s="480"/>
      <c r="R1230" s="480"/>
      <c r="S1230" s="480"/>
      <c r="T1230" s="480"/>
      <c r="U1230" s="480"/>
      <c r="V1230" s="480"/>
      <c r="W1230" s="480"/>
      <c r="X1230" s="480"/>
      <c r="Y1230" s="480"/>
    </row>
    <row r="1231" spans="1:25" s="479" customFormat="1" ht="16.5" customHeight="1">
      <c r="A1231" s="227" t="s">
        <v>1087</v>
      </c>
      <c r="B1231" s="68" t="s">
        <v>1081</v>
      </c>
      <c r="C1231" s="1268">
        <f>CEILING((C1230+31*$Z$1),0.1)</f>
        <v>106.30000000000001</v>
      </c>
      <c r="D1231" s="1270"/>
      <c r="E1231" s="1268">
        <f>CEILING((E1230+22*$Z$1),0.1)</f>
        <v>126.30000000000001</v>
      </c>
      <c r="F1231" s="1270"/>
      <c r="G1231" s="1268">
        <f>CEILING((G1230+32*$Z$1),0.1)</f>
        <v>118.80000000000001</v>
      </c>
      <c r="H1231" s="1270"/>
      <c r="I1231" s="1268">
        <f>CEILING((I1230+22*$Z$1),0.1)</f>
        <v>121.30000000000001</v>
      </c>
      <c r="J1231" s="1270"/>
      <c r="K1231" s="1268">
        <f>CEILING((K1230+21*$Z$1),0.1)</f>
        <v>93.80000000000001</v>
      </c>
      <c r="L1231" s="1270"/>
      <c r="M1231" s="92"/>
      <c r="N1231" s="92"/>
      <c r="O1231" s="480"/>
      <c r="P1231" s="480"/>
      <c r="Q1231" s="480"/>
      <c r="R1231" s="480"/>
      <c r="S1231" s="480"/>
      <c r="T1231" s="480"/>
      <c r="U1231" s="480"/>
      <c r="V1231" s="480"/>
      <c r="W1231" s="480"/>
      <c r="X1231" s="480"/>
      <c r="Y1231" s="480"/>
    </row>
    <row r="1232" spans="1:25" s="479" customFormat="1" ht="16.5" customHeight="1">
      <c r="A1232" s="21"/>
      <c r="B1232" s="37" t="s">
        <v>47</v>
      </c>
      <c r="C1232" s="1268">
        <f>CEILING((C1230*0.87),0.1)</f>
        <v>58.800000000000004</v>
      </c>
      <c r="D1232" s="1270"/>
      <c r="E1232" s="1268">
        <f>CEILING((E1230*0.87),0.1)</f>
        <v>86</v>
      </c>
      <c r="F1232" s="1270"/>
      <c r="G1232" s="1268">
        <f>CEILING((G1230*0.85),0.1)</f>
        <v>67</v>
      </c>
      <c r="H1232" s="1270"/>
      <c r="I1232" s="1268">
        <f>CEILING((I1230*0.87),0.1)</f>
        <v>81.7</v>
      </c>
      <c r="J1232" s="1270"/>
      <c r="K1232" s="1268">
        <f>CEILING((K1230*0.87),0.1)</f>
        <v>58.800000000000004</v>
      </c>
      <c r="L1232" s="1270"/>
      <c r="M1232" s="92"/>
      <c r="N1232" s="92"/>
      <c r="O1232" s="480"/>
      <c r="P1232" s="480"/>
      <c r="Q1232" s="480"/>
      <c r="R1232" s="480"/>
      <c r="S1232" s="480"/>
      <c r="T1232" s="480"/>
      <c r="U1232" s="480"/>
      <c r="V1232" s="480"/>
      <c r="W1232" s="480"/>
      <c r="X1232" s="480"/>
      <c r="Y1232" s="480"/>
    </row>
    <row r="1233" spans="1:25" s="479" customFormat="1" ht="16.5" customHeight="1">
      <c r="A1233" s="21"/>
      <c r="B1233" s="37" t="s">
        <v>1082</v>
      </c>
      <c r="C1233" s="1268">
        <f>CEILING((C1230*0.5),0.1)</f>
        <v>33.800000000000004</v>
      </c>
      <c r="D1233" s="1270"/>
      <c r="E1233" s="1268">
        <f>CEILING((E1230*0.5),0.1)</f>
        <v>49.400000000000006</v>
      </c>
      <c r="F1233" s="1270"/>
      <c r="G1233" s="1268">
        <f>CEILING((G1230*0.5),0.1)</f>
        <v>39.400000000000006</v>
      </c>
      <c r="H1233" s="1270"/>
      <c r="I1233" s="1268">
        <f>CEILING((I1230*0.5),0.1)</f>
        <v>46.900000000000006</v>
      </c>
      <c r="J1233" s="1270"/>
      <c r="K1233" s="1268">
        <f>CEILING((K1230*0.5),0.1)</f>
        <v>33.800000000000004</v>
      </c>
      <c r="L1233" s="1270"/>
      <c r="M1233" s="92"/>
      <c r="N1233" s="92"/>
      <c r="O1233" s="480"/>
      <c r="P1233" s="480"/>
      <c r="Q1233" s="480"/>
      <c r="R1233" s="480"/>
      <c r="S1233" s="480"/>
      <c r="T1233" s="480"/>
      <c r="U1233" s="480"/>
      <c r="V1233" s="480"/>
      <c r="W1233" s="480"/>
      <c r="X1233" s="480"/>
      <c r="Y1233" s="480"/>
    </row>
    <row r="1234" spans="1:25" s="479" customFormat="1" ht="16.5" customHeight="1">
      <c r="A1234" s="670"/>
      <c r="B1234" s="37" t="s">
        <v>1083</v>
      </c>
      <c r="C1234" s="1268">
        <f>CEILING(75*$Z$1,0.1)</f>
        <v>93.80000000000001</v>
      </c>
      <c r="D1234" s="1270"/>
      <c r="E1234" s="1268">
        <f>CEILING(91*$Z$1,0.1)</f>
        <v>113.80000000000001</v>
      </c>
      <c r="F1234" s="1270"/>
      <c r="G1234" s="1268">
        <f>CEILING(85*$Z$1,0.1)</f>
        <v>106.30000000000001</v>
      </c>
      <c r="H1234" s="1270"/>
      <c r="I1234" s="1268">
        <f>CEILING(87*$Z$1,0.1)</f>
        <v>108.80000000000001</v>
      </c>
      <c r="J1234" s="1270"/>
      <c r="K1234" s="1268">
        <f>CEILING(65*$Z$1,0.1)</f>
        <v>81.30000000000001</v>
      </c>
      <c r="L1234" s="1270"/>
      <c r="M1234" s="92"/>
      <c r="N1234" s="92"/>
      <c r="O1234" s="480"/>
      <c r="P1234" s="480"/>
      <c r="Q1234" s="480"/>
      <c r="R1234" s="480"/>
      <c r="S1234" s="480"/>
      <c r="T1234" s="480"/>
      <c r="U1234" s="480"/>
      <c r="V1234" s="480"/>
      <c r="W1234" s="480"/>
      <c r="X1234" s="480"/>
      <c r="Y1234" s="480"/>
    </row>
    <row r="1235" spans="1:25" s="479" customFormat="1" ht="16.5" customHeight="1">
      <c r="A1235" s="21"/>
      <c r="B1235" s="26" t="s">
        <v>1084</v>
      </c>
      <c r="C1235" s="1268">
        <f>CEILING((C1234+20*$Z$1),0.1)</f>
        <v>118.80000000000001</v>
      </c>
      <c r="D1235" s="1270"/>
      <c r="E1235" s="1268">
        <f>CEILING((E1234+20*$Z$1),0.1)</f>
        <v>138.8</v>
      </c>
      <c r="F1235" s="1270"/>
      <c r="G1235" s="1268">
        <f>CEILING((G1234+20*$Z$1),0.1)</f>
        <v>131.3</v>
      </c>
      <c r="H1235" s="1270"/>
      <c r="I1235" s="1268">
        <f>CEILING((I1234+20*$Z$1),0.1)</f>
        <v>133.8</v>
      </c>
      <c r="J1235" s="1270"/>
      <c r="K1235" s="1268">
        <f>CEILING((K1234+20*$Z$1),0.1)</f>
        <v>106.30000000000001</v>
      </c>
      <c r="L1235" s="1270"/>
      <c r="M1235" s="92"/>
      <c r="N1235" s="92"/>
      <c r="O1235" s="480"/>
      <c r="P1235" s="480"/>
      <c r="Q1235" s="480"/>
      <c r="R1235" s="480"/>
      <c r="S1235" s="480"/>
      <c r="T1235" s="480"/>
      <c r="U1235" s="480"/>
      <c r="V1235" s="480"/>
      <c r="W1235" s="480"/>
      <c r="X1235" s="480"/>
      <c r="Y1235" s="480"/>
    </row>
    <row r="1236" spans="1:25" s="479" customFormat="1" ht="16.5" customHeight="1" thickBot="1">
      <c r="A1236" s="257" t="s">
        <v>1029</v>
      </c>
      <c r="B1236" s="944" t="s">
        <v>56</v>
      </c>
      <c r="C1236" s="1496">
        <f>CEILING(85*$Z$1,0.1)</f>
        <v>106.30000000000001</v>
      </c>
      <c r="D1236" s="1497"/>
      <c r="E1236" s="1496">
        <f>CEILING(101*$Z$1,0.1)</f>
        <v>126.30000000000001</v>
      </c>
      <c r="F1236" s="1497"/>
      <c r="G1236" s="1496">
        <f>CEILING(115*$Z$1,0.1)</f>
        <v>143.8</v>
      </c>
      <c r="H1236" s="1497"/>
      <c r="I1236" s="1496">
        <f>CEILING(97*$Z$1,0.1)</f>
        <v>121.30000000000001</v>
      </c>
      <c r="J1236" s="1497"/>
      <c r="K1236" s="1496">
        <f>CEILING(75*$Z$1,0.1)</f>
        <v>93.80000000000001</v>
      </c>
      <c r="L1236" s="1497"/>
      <c r="M1236" s="92"/>
      <c r="N1236" s="92"/>
      <c r="O1236" s="480"/>
      <c r="P1236" s="480"/>
      <c r="Q1236" s="480"/>
      <c r="R1236" s="480"/>
      <c r="S1236" s="480"/>
      <c r="T1236" s="480"/>
      <c r="U1236" s="480"/>
      <c r="V1236" s="480"/>
      <c r="W1236" s="480"/>
      <c r="X1236" s="480"/>
      <c r="Y1236" s="480"/>
    </row>
    <row r="1237" spans="1:25" s="479" customFormat="1" ht="16.5" customHeight="1" thickTop="1">
      <c r="A1237" s="1401"/>
      <c r="B1237" s="1402"/>
      <c r="C1237" s="1307"/>
      <c r="D1237" s="1307"/>
      <c r="E1237" s="1402"/>
      <c r="F1237" s="1402"/>
      <c r="G1237" s="1402"/>
      <c r="H1237" s="1402"/>
      <c r="I1237" s="1402"/>
      <c r="J1237" s="1402"/>
      <c r="K1237" s="853"/>
      <c r="L1237" s="853"/>
      <c r="M1237" s="92"/>
      <c r="N1237" s="92"/>
      <c r="O1237" s="480"/>
      <c r="P1237" s="480"/>
      <c r="Q1237" s="480"/>
      <c r="R1237" s="480"/>
      <c r="S1237" s="480"/>
      <c r="T1237" s="480"/>
      <c r="U1237" s="480"/>
      <c r="V1237" s="480"/>
      <c r="W1237" s="480"/>
      <c r="X1237" s="480"/>
      <c r="Y1237" s="480"/>
    </row>
    <row r="1238" spans="1:25" s="479" customFormat="1" ht="16.5" customHeight="1">
      <c r="A1238" s="1318" t="s">
        <v>1085</v>
      </c>
      <c r="B1238" s="1318"/>
      <c r="C1238" s="1318"/>
      <c r="D1238" s="1318"/>
      <c r="E1238" s="1318"/>
      <c r="F1238" s="1318"/>
      <c r="G1238" s="1318"/>
      <c r="H1238" s="1318"/>
      <c r="I1238" s="1318"/>
      <c r="J1238" s="1318"/>
      <c r="K1238" s="853"/>
      <c r="L1238" s="853"/>
      <c r="M1238" s="92"/>
      <c r="N1238" s="92"/>
      <c r="O1238" s="480"/>
      <c r="P1238" s="480"/>
      <c r="Q1238" s="480"/>
      <c r="R1238" s="480"/>
      <c r="S1238" s="480"/>
      <c r="T1238" s="480"/>
      <c r="U1238" s="480"/>
      <c r="V1238" s="480"/>
      <c r="W1238" s="480"/>
      <c r="X1238" s="480"/>
      <c r="Y1238" s="480"/>
    </row>
    <row r="1239" spans="1:25" s="479" customFormat="1" ht="16.5" customHeight="1">
      <c r="A1239" s="172" t="s">
        <v>1088</v>
      </c>
      <c r="B1239" s="44"/>
      <c r="C1239" s="853"/>
      <c r="D1239" s="853"/>
      <c r="E1239" s="853"/>
      <c r="F1239" s="853"/>
      <c r="G1239" s="853"/>
      <c r="H1239" s="853"/>
      <c r="I1239" s="853"/>
      <c r="J1239" s="853"/>
      <c r="K1239" s="853"/>
      <c r="L1239" s="853"/>
      <c r="M1239" s="92"/>
      <c r="N1239" s="92"/>
      <c r="O1239" s="480"/>
      <c r="P1239" s="480"/>
      <c r="Q1239" s="480"/>
      <c r="R1239" s="480"/>
      <c r="S1239" s="480"/>
      <c r="T1239" s="480"/>
      <c r="U1239" s="480"/>
      <c r="V1239" s="480"/>
      <c r="W1239" s="480"/>
      <c r="X1239" s="480"/>
      <c r="Y1239" s="480"/>
    </row>
    <row r="1240" spans="1:14" s="331" customFormat="1" ht="15">
      <c r="A1240" s="586"/>
      <c r="B1240" s="586"/>
      <c r="C1240" s="586"/>
      <c r="D1240" s="586"/>
      <c r="E1240" s="586"/>
      <c r="F1240" s="586"/>
      <c r="G1240" s="586"/>
      <c r="H1240" s="586"/>
      <c r="I1240" s="586"/>
      <c r="J1240" s="586"/>
      <c r="K1240" s="586"/>
      <c r="L1240" s="586"/>
      <c r="M1240" s="342"/>
      <c r="N1240" s="342"/>
    </row>
    <row r="1241" spans="1:25" s="479" customFormat="1" ht="15.75" customHeight="1">
      <c r="A1241" s="1451" t="s">
        <v>760</v>
      </c>
      <c r="B1241" s="1451"/>
      <c r="C1241" s="1451"/>
      <c r="D1241" s="1451"/>
      <c r="E1241" s="1451"/>
      <c r="F1241" s="1451"/>
      <c r="G1241" s="1451"/>
      <c r="H1241" s="1451"/>
      <c r="I1241" s="24"/>
      <c r="J1241" s="24"/>
      <c r="K1241" s="24"/>
      <c r="L1241" s="24"/>
      <c r="M1241" s="20"/>
      <c r="N1241" s="234"/>
      <c r="O1241" s="481"/>
      <c r="P1241" s="480"/>
      <c r="Q1241" s="480"/>
      <c r="R1241" s="480"/>
      <c r="S1241" s="480"/>
      <c r="T1241" s="480"/>
      <c r="U1241" s="480"/>
      <c r="V1241" s="480"/>
      <c r="W1241" s="480"/>
      <c r="X1241" s="480"/>
      <c r="Y1241" s="480"/>
    </row>
    <row r="1242" spans="1:25" s="479" customFormat="1" ht="15.75" customHeight="1">
      <c r="A1242" s="1451" t="s">
        <v>755</v>
      </c>
      <c r="B1242" s="1451"/>
      <c r="C1242" s="1451"/>
      <c r="D1242" s="1451"/>
      <c r="E1242" s="1451"/>
      <c r="F1242" s="1451"/>
      <c r="G1242" s="1451"/>
      <c r="H1242" s="1451"/>
      <c r="I1242" s="24"/>
      <c r="J1242" s="24"/>
      <c r="K1242" s="24"/>
      <c r="L1242" s="24"/>
      <c r="M1242" s="20"/>
      <c r="N1242" s="234"/>
      <c r="O1242" s="481"/>
      <c r="P1242" s="480"/>
      <c r="Q1242" s="480"/>
      <c r="R1242" s="480"/>
      <c r="S1242" s="480"/>
      <c r="T1242" s="480"/>
      <c r="U1242" s="480"/>
      <c r="V1242" s="480"/>
      <c r="W1242" s="480"/>
      <c r="X1242" s="480"/>
      <c r="Y1242" s="480"/>
    </row>
    <row r="1243" spans="1:25" s="479" customFormat="1" ht="17.25" customHeight="1">
      <c r="A1243" s="509" t="s">
        <v>756</v>
      </c>
      <c r="B1243" s="509"/>
      <c r="C1243" s="509"/>
      <c r="D1243" s="509"/>
      <c r="E1243" s="509"/>
      <c r="F1243" s="509"/>
      <c r="G1243" s="509"/>
      <c r="H1243" s="509"/>
      <c r="I1243" s="856"/>
      <c r="J1243" s="856"/>
      <c r="K1243" s="24"/>
      <c r="L1243" s="24"/>
      <c r="M1243" s="25"/>
      <c r="N1243" s="25"/>
      <c r="O1243" s="481"/>
      <c r="P1243" s="480"/>
      <c r="Q1243" s="480"/>
      <c r="R1243" s="480"/>
      <c r="S1243" s="480"/>
      <c r="T1243" s="480"/>
      <c r="U1243" s="480"/>
      <c r="V1243" s="480"/>
      <c r="W1243" s="480"/>
      <c r="X1243" s="480"/>
      <c r="Y1243" s="480"/>
    </row>
    <row r="1244" spans="1:25" s="479" customFormat="1" ht="18.75" customHeight="1">
      <c r="A1244" s="1300" t="s">
        <v>1238</v>
      </c>
      <c r="B1244" s="1300"/>
      <c r="C1244" s="1300"/>
      <c r="D1244" s="1300"/>
      <c r="E1244" s="1300"/>
      <c r="F1244" s="1300"/>
      <c r="G1244" s="1300"/>
      <c r="H1244" s="1300"/>
      <c r="I1244" s="24"/>
      <c r="J1244" s="24"/>
      <c r="K1244" s="24"/>
      <c r="L1244" s="24"/>
      <c r="M1244" s="114"/>
      <c r="N1244" s="114"/>
      <c r="O1244" s="481"/>
      <c r="P1244" s="480"/>
      <c r="Q1244" s="480"/>
      <c r="R1244" s="480"/>
      <c r="S1244" s="480"/>
      <c r="T1244" s="480"/>
      <c r="U1244" s="480"/>
      <c r="V1244" s="480"/>
      <c r="W1244" s="480"/>
      <c r="X1244" s="480"/>
      <c r="Y1244" s="480"/>
    </row>
    <row r="1245" spans="1:25" s="479" customFormat="1" ht="19.5" customHeight="1">
      <c r="A1245" s="1300" t="s">
        <v>1239</v>
      </c>
      <c r="B1245" s="1300"/>
      <c r="C1245" s="1300"/>
      <c r="D1245" s="1300"/>
      <c r="E1245" s="1300"/>
      <c r="F1245" s="1300"/>
      <c r="G1245" s="1300"/>
      <c r="H1245" s="1300"/>
      <c r="I1245" s="24"/>
      <c r="J1245" s="24"/>
      <c r="K1245" s="24"/>
      <c r="L1245" s="24"/>
      <c r="M1245" s="20"/>
      <c r="N1245" s="234"/>
      <c r="O1245" s="481"/>
      <c r="P1245" s="480"/>
      <c r="Q1245" s="480"/>
      <c r="R1245" s="480"/>
      <c r="S1245" s="480"/>
      <c r="T1245" s="480"/>
      <c r="U1245" s="480"/>
      <c r="V1245" s="480"/>
      <c r="W1245" s="480"/>
      <c r="X1245" s="480"/>
      <c r="Y1245" s="480"/>
    </row>
    <row r="1246" spans="1:25" s="192" customFormat="1" ht="33.75" customHeight="1" thickBot="1">
      <c r="A1246" s="197"/>
      <c r="B1246" s="44"/>
      <c r="C1246" s="853"/>
      <c r="D1246" s="853"/>
      <c r="E1246" s="853"/>
      <c r="F1246" s="853"/>
      <c r="G1246" s="853"/>
      <c r="H1246" s="853"/>
      <c r="I1246" s="853"/>
      <c r="J1246" s="853"/>
      <c r="K1246" s="853"/>
      <c r="L1246" s="853"/>
      <c r="M1246" s="20"/>
      <c r="N1246" s="234"/>
      <c r="O1246" s="481"/>
      <c r="P1246" s="481"/>
      <c r="Q1246" s="481"/>
      <c r="R1246" s="481"/>
      <c r="S1246" s="481"/>
      <c r="T1246" s="481"/>
      <c r="U1246" s="481"/>
      <c r="V1246" s="481"/>
      <c r="W1246" s="481"/>
      <c r="X1246" s="481"/>
      <c r="Y1246" s="481"/>
    </row>
    <row r="1247" spans="1:25" s="192" customFormat="1" ht="21" customHeight="1" thickTop="1">
      <c r="A1247" s="1315" t="s">
        <v>845</v>
      </c>
      <c r="B1247" s="1316"/>
      <c r="C1247" s="1316"/>
      <c r="D1247" s="1316"/>
      <c r="E1247" s="1316"/>
      <c r="F1247" s="1316"/>
      <c r="G1247" s="1316"/>
      <c r="H1247" s="1316"/>
      <c r="I1247" s="1316"/>
      <c r="J1247" s="1316"/>
      <c r="K1247" s="94"/>
      <c r="L1247" s="94"/>
      <c r="M1247" s="20"/>
      <c r="N1247" s="234"/>
      <c r="O1247" s="481"/>
      <c r="P1247" s="481"/>
      <c r="Q1247" s="481"/>
      <c r="R1247" s="481"/>
      <c r="S1247" s="481"/>
      <c r="T1247" s="481"/>
      <c r="U1247" s="481"/>
      <c r="V1247" s="481"/>
      <c r="W1247" s="481"/>
      <c r="X1247" s="481"/>
      <c r="Y1247" s="481"/>
    </row>
    <row r="1248" spans="1:15" ht="15.75" customHeight="1" thickBot="1">
      <c r="A1248" s="1317"/>
      <c r="B1248" s="1317"/>
      <c r="C1248" s="1317"/>
      <c r="D1248" s="1317"/>
      <c r="E1248" s="1317"/>
      <c r="F1248" s="1317"/>
      <c r="G1248" s="1317"/>
      <c r="H1248" s="1317"/>
      <c r="I1248" s="1317"/>
      <c r="J1248" s="1317"/>
      <c r="K1248" s="94"/>
      <c r="L1248" s="94"/>
      <c r="M1248" s="20"/>
      <c r="N1248" s="234"/>
      <c r="O1248" s="481"/>
    </row>
    <row r="1249" spans="1:41" s="672" customFormat="1" ht="21" customHeight="1" thickTop="1">
      <c r="A1249" s="746" t="s">
        <v>43</v>
      </c>
      <c r="B1249" s="814" t="s">
        <v>961</v>
      </c>
      <c r="C1249" s="747" t="s">
        <v>884</v>
      </c>
      <c r="D1249" s="748"/>
      <c r="E1249" s="749" t="s">
        <v>911</v>
      </c>
      <c r="F1249" s="750"/>
      <c r="G1249" s="749" t="s">
        <v>912</v>
      </c>
      <c r="H1249" s="750"/>
      <c r="I1249" s="1273" t="s">
        <v>881</v>
      </c>
      <c r="J1249" s="1274"/>
      <c r="K1249" s="1273" t="s">
        <v>882</v>
      </c>
      <c r="L1249" s="1274"/>
      <c r="M1249" s="855"/>
      <c r="N1249" s="855"/>
      <c r="O1249" s="331"/>
      <c r="P1249" s="331"/>
      <c r="Q1249" s="331"/>
      <c r="R1249" s="331"/>
      <c r="S1249" s="331"/>
      <c r="T1249" s="331"/>
      <c r="U1249" s="331"/>
      <c r="V1249" s="331"/>
      <c r="W1249" s="331"/>
      <c r="X1249" s="331"/>
      <c r="Y1249" s="331"/>
      <c r="Z1249" s="331"/>
      <c r="AA1249" s="331"/>
      <c r="AB1249" s="331"/>
      <c r="AC1249" s="331"/>
      <c r="AD1249" s="331"/>
      <c r="AE1249" s="331"/>
      <c r="AF1249" s="331"/>
      <c r="AG1249" s="331"/>
      <c r="AH1249" s="331"/>
      <c r="AI1249" s="331"/>
      <c r="AJ1249" s="331"/>
      <c r="AK1249" s="331"/>
      <c r="AL1249" s="331"/>
      <c r="AM1249" s="331"/>
      <c r="AN1249" s="331"/>
      <c r="AO1249" s="331"/>
    </row>
    <row r="1250" spans="1:15" ht="18.75" customHeight="1">
      <c r="A1250" s="198"/>
      <c r="B1250" s="40" t="s">
        <v>847</v>
      </c>
      <c r="C1250" s="1266">
        <f>CEILING(100*$Z$1,0.1)</f>
        <v>125</v>
      </c>
      <c r="D1250" s="1267"/>
      <c r="E1250" s="1266">
        <f>CEILING(150*$Z$1,0.1)</f>
        <v>187.5</v>
      </c>
      <c r="F1250" s="1267"/>
      <c r="G1250" s="1266">
        <f>CEILING(115*$Z$1,0.1)</f>
        <v>143.8</v>
      </c>
      <c r="H1250" s="1326"/>
      <c r="I1250" s="1266">
        <f>CEILING(125*$Z$1,0.1)</f>
        <v>156.3</v>
      </c>
      <c r="J1250" s="1267"/>
      <c r="K1250" s="1266">
        <f>CEILING(110*$Z$1,0.1)</f>
        <v>137.5</v>
      </c>
      <c r="L1250" s="1267"/>
      <c r="M1250" s="20"/>
      <c r="N1250" s="234"/>
      <c r="O1250" s="481"/>
    </row>
    <row r="1251" spans="1:25" s="192" customFormat="1" ht="15" customHeight="1">
      <c r="A1251" s="182" t="s">
        <v>846</v>
      </c>
      <c r="B1251" s="12" t="s">
        <v>848</v>
      </c>
      <c r="C1251" s="1268">
        <f>CEILING(150*$Z$1,0.1)</f>
        <v>187.5</v>
      </c>
      <c r="D1251" s="1270"/>
      <c r="E1251" s="1268">
        <f>CEILING(225*$Z$1,0.1)</f>
        <v>281.3</v>
      </c>
      <c r="F1251" s="1270"/>
      <c r="G1251" s="1268">
        <f>CEILING(173*$Z$1,0.1)</f>
        <v>216.3</v>
      </c>
      <c r="H1251" s="1269"/>
      <c r="I1251" s="1268">
        <f>CEILING(188*$Z$1,0.1)</f>
        <v>235</v>
      </c>
      <c r="J1251" s="1270"/>
      <c r="K1251" s="1268">
        <f>CEILING(165*$Z$1,0.1)</f>
        <v>206.3</v>
      </c>
      <c r="L1251" s="1270"/>
      <c r="M1251" s="20"/>
      <c r="N1251" s="234"/>
      <c r="O1251" s="481"/>
      <c r="P1251" s="481"/>
      <c r="Q1251" s="481"/>
      <c r="R1251" s="481"/>
      <c r="S1251" s="481"/>
      <c r="T1251" s="481"/>
      <c r="U1251" s="481"/>
      <c r="V1251" s="481"/>
      <c r="W1251" s="481"/>
      <c r="X1251" s="481"/>
      <c r="Y1251" s="481"/>
    </row>
    <row r="1252" spans="1:25" s="192" customFormat="1" ht="18" customHeight="1">
      <c r="A1252" s="182" t="s">
        <v>45</v>
      </c>
      <c r="B1252" s="12"/>
      <c r="C1252" s="721"/>
      <c r="D1252" s="722"/>
      <c r="E1252" s="721"/>
      <c r="F1252" s="722"/>
      <c r="G1252" s="721"/>
      <c r="H1252" s="914"/>
      <c r="I1252" s="721"/>
      <c r="J1252" s="722"/>
      <c r="K1252" s="721"/>
      <c r="L1252" s="722"/>
      <c r="M1252" s="20"/>
      <c r="N1252" s="234"/>
      <c r="O1252" s="481"/>
      <c r="P1252" s="481"/>
      <c r="Q1252" s="481"/>
      <c r="R1252" s="481"/>
      <c r="S1252" s="481"/>
      <c r="T1252" s="481"/>
      <c r="U1252" s="481"/>
      <c r="V1252" s="481"/>
      <c r="W1252" s="481"/>
      <c r="X1252" s="481"/>
      <c r="Y1252" s="481"/>
    </row>
    <row r="1253" spans="1:25" s="192" customFormat="1" ht="16.5" customHeight="1">
      <c r="A1253" s="720" t="s">
        <v>850</v>
      </c>
      <c r="B1253" s="142" t="s">
        <v>849</v>
      </c>
      <c r="C1253" s="1268">
        <f>CEILING(105*$Z$1,0.1)</f>
        <v>131.3</v>
      </c>
      <c r="D1253" s="1270"/>
      <c r="E1253" s="1268">
        <f>CEILING(158*$Z$1,0.1)</f>
        <v>197.5</v>
      </c>
      <c r="F1253" s="1270"/>
      <c r="G1253" s="1268">
        <f>CEILING(121*$Z$1,0.1)</f>
        <v>151.3</v>
      </c>
      <c r="H1253" s="1269"/>
      <c r="I1253" s="1268">
        <f>CEILING(131*$Z$1,0.1)</f>
        <v>163.8</v>
      </c>
      <c r="J1253" s="1270"/>
      <c r="K1253" s="1268">
        <f>CEILING(116*$Z$1,0.1)</f>
        <v>145</v>
      </c>
      <c r="L1253" s="1270"/>
      <c r="M1253" s="20"/>
      <c r="N1253" s="234"/>
      <c r="O1253" s="481"/>
      <c r="P1253" s="481"/>
      <c r="Q1253" s="481"/>
      <c r="R1253" s="481"/>
      <c r="S1253" s="481"/>
      <c r="T1253" s="481"/>
      <c r="U1253" s="481"/>
      <c r="V1253" s="481"/>
      <c r="W1253" s="481"/>
      <c r="X1253" s="481"/>
      <c r="Y1253" s="481"/>
    </row>
    <row r="1254" spans="1:25" s="916" customFormat="1" ht="15.75" customHeight="1">
      <c r="A1254" s="915" t="s">
        <v>852</v>
      </c>
      <c r="B1254" s="142" t="s">
        <v>851</v>
      </c>
      <c r="C1254" s="1268">
        <f>CEILING(158*$Z$1,0.1)</f>
        <v>197.5</v>
      </c>
      <c r="D1254" s="1270"/>
      <c r="E1254" s="1268">
        <f>CEILING(237*$Z$1,0.1)</f>
        <v>296.3</v>
      </c>
      <c r="F1254" s="1270"/>
      <c r="G1254" s="1268">
        <f>CEILING(182*$Z$1,0.1)</f>
        <v>227.5</v>
      </c>
      <c r="H1254" s="1269"/>
      <c r="I1254" s="1268">
        <f>CEILING(197*$Z$1,0.1)</f>
        <v>246.3</v>
      </c>
      <c r="J1254" s="1270"/>
      <c r="K1254" s="1268">
        <f>CEILING(174*$Z$1,0.1)</f>
        <v>217.5</v>
      </c>
      <c r="L1254" s="1270"/>
      <c r="M1254" s="642"/>
      <c r="N1254" s="912"/>
      <c r="O1254" s="913"/>
      <c r="P1254" s="913"/>
      <c r="Q1254" s="913"/>
      <c r="R1254" s="913"/>
      <c r="S1254" s="913"/>
      <c r="T1254" s="913"/>
      <c r="U1254" s="913"/>
      <c r="V1254" s="913"/>
      <c r="W1254" s="913"/>
      <c r="X1254" s="913"/>
      <c r="Y1254" s="913"/>
    </row>
    <row r="1255" spans="1:25" s="192" customFormat="1" ht="21" customHeight="1" hidden="1" thickTop="1">
      <c r="A1255" s="197" t="s">
        <v>430</v>
      </c>
      <c r="B1255" s="10" t="s">
        <v>137</v>
      </c>
      <c r="C1255" s="721">
        <f>CEILING(83*$Z$1,0.1)</f>
        <v>103.80000000000001</v>
      </c>
      <c r="D1255" s="722"/>
      <c r="E1255" s="721">
        <f>CEILING(83*$Z$1,0.1)</f>
        <v>103.80000000000001</v>
      </c>
      <c r="F1255" s="722"/>
      <c r="G1255" s="721">
        <f>CEILING(83*$Z$1,0.1)</f>
        <v>103.80000000000001</v>
      </c>
      <c r="H1255" s="914"/>
      <c r="I1255" s="721">
        <f>CEILING(83*$Z$1,0.1)</f>
        <v>103.80000000000001</v>
      </c>
      <c r="J1255" s="722"/>
      <c r="K1255" s="721">
        <f>CEILING(83*$Z$1,0.1)</f>
        <v>103.80000000000001</v>
      </c>
      <c r="L1255" s="722"/>
      <c r="M1255" s="20"/>
      <c r="N1255" s="234"/>
      <c r="O1255" s="481"/>
      <c r="P1255" s="481"/>
      <c r="Q1255" s="481"/>
      <c r="R1255" s="481"/>
      <c r="S1255" s="481"/>
      <c r="T1255" s="481"/>
      <c r="U1255" s="481"/>
      <c r="V1255" s="481"/>
      <c r="W1255" s="481"/>
      <c r="X1255" s="481"/>
      <c r="Y1255" s="481"/>
    </row>
    <row r="1256" spans="1:25" s="192" customFormat="1" ht="17.25" customHeight="1" hidden="1">
      <c r="A1256" s="107" t="s">
        <v>593</v>
      </c>
      <c r="B1256" s="927"/>
      <c r="C1256" s="929"/>
      <c r="D1256" s="930"/>
      <c r="E1256" s="929"/>
      <c r="F1256" s="930"/>
      <c r="G1256" s="929"/>
      <c r="H1256" s="917"/>
      <c r="I1256" s="929"/>
      <c r="J1256" s="930"/>
      <c r="K1256" s="929"/>
      <c r="L1256" s="930"/>
      <c r="M1256" s="20"/>
      <c r="N1256" s="234"/>
      <c r="O1256" s="481"/>
      <c r="P1256" s="481"/>
      <c r="Q1256" s="481"/>
      <c r="R1256" s="481"/>
      <c r="S1256" s="481"/>
      <c r="T1256" s="481"/>
      <c r="U1256" s="481"/>
      <c r="V1256" s="481"/>
      <c r="W1256" s="481"/>
      <c r="X1256" s="481"/>
      <c r="Y1256" s="481"/>
    </row>
    <row r="1257" spans="1:25" s="192" customFormat="1" ht="16.5" customHeight="1" hidden="1">
      <c r="A1257" s="293"/>
      <c r="B1257" s="142"/>
      <c r="C1257" s="931"/>
      <c r="D1257" s="932"/>
      <c r="E1257" s="931"/>
      <c r="F1257" s="932"/>
      <c r="G1257" s="931"/>
      <c r="H1257" s="918"/>
      <c r="I1257" s="931"/>
      <c r="J1257" s="932"/>
      <c r="K1257" s="931"/>
      <c r="L1257" s="932"/>
      <c r="M1257" s="20"/>
      <c r="N1257" s="234"/>
      <c r="O1257" s="481"/>
      <c r="P1257" s="481"/>
      <c r="Q1257" s="481"/>
      <c r="R1257" s="481"/>
      <c r="S1257" s="481"/>
      <c r="T1257" s="481"/>
      <c r="U1257" s="481"/>
      <c r="V1257" s="481"/>
      <c r="W1257" s="481"/>
      <c r="X1257" s="481"/>
      <c r="Y1257" s="481"/>
    </row>
    <row r="1258" spans="1:25" s="192" customFormat="1" ht="15.75" customHeight="1" hidden="1">
      <c r="A1258" s="919" t="s">
        <v>43</v>
      </c>
      <c r="B1258" s="928"/>
      <c r="C1258" s="933" t="s">
        <v>634</v>
      </c>
      <c r="D1258" s="934"/>
      <c r="E1258" s="933" t="s">
        <v>634</v>
      </c>
      <c r="F1258" s="934"/>
      <c r="G1258" s="933" t="s">
        <v>634</v>
      </c>
      <c r="H1258" s="920"/>
      <c r="I1258" s="933" t="s">
        <v>634</v>
      </c>
      <c r="J1258" s="934"/>
      <c r="K1258" s="933" t="s">
        <v>634</v>
      </c>
      <c r="L1258" s="934"/>
      <c r="M1258" s="20"/>
      <c r="N1258" s="234"/>
      <c r="O1258" s="481"/>
      <c r="P1258" s="481"/>
      <c r="Q1258" s="481"/>
      <c r="R1258" s="481"/>
      <c r="S1258" s="481"/>
      <c r="T1258" s="481"/>
      <c r="U1258" s="481"/>
      <c r="V1258" s="481"/>
      <c r="W1258" s="481"/>
      <c r="X1258" s="481"/>
      <c r="Y1258" s="481"/>
    </row>
    <row r="1259" spans="1:25" s="192" customFormat="1" ht="15.75" customHeight="1" hidden="1" thickBot="1">
      <c r="A1259" s="921" t="s">
        <v>13</v>
      </c>
      <c r="B1259" s="143" t="s">
        <v>14</v>
      </c>
      <c r="C1259" s="721">
        <f>CEILING(82*$Z$1,0.1)</f>
        <v>102.5</v>
      </c>
      <c r="D1259" s="722"/>
      <c r="E1259" s="721">
        <f>CEILING(82*$Z$1,0.1)</f>
        <v>102.5</v>
      </c>
      <c r="F1259" s="722"/>
      <c r="G1259" s="721">
        <f>CEILING(82*$Z$1,0.1)</f>
        <v>102.5</v>
      </c>
      <c r="H1259" s="914"/>
      <c r="I1259" s="721">
        <f>CEILING(82*$Z$1,0.1)</f>
        <v>102.5</v>
      </c>
      <c r="J1259" s="722"/>
      <c r="K1259" s="721">
        <f>CEILING(82*$Z$1,0.1)</f>
        <v>102.5</v>
      </c>
      <c r="L1259" s="722"/>
      <c r="M1259" s="20"/>
      <c r="N1259" s="234"/>
      <c r="O1259" s="481"/>
      <c r="P1259" s="481"/>
      <c r="Q1259" s="481"/>
      <c r="R1259" s="481"/>
      <c r="S1259" s="481"/>
      <c r="T1259" s="481"/>
      <c r="U1259" s="481"/>
      <c r="V1259" s="481"/>
      <c r="W1259" s="481"/>
      <c r="X1259" s="481"/>
      <c r="Y1259" s="481"/>
    </row>
    <row r="1260" spans="1:25" s="192" customFormat="1" ht="18.75" customHeight="1" hidden="1" thickTop="1">
      <c r="A1260" s="922" t="s">
        <v>45</v>
      </c>
      <c r="B1260" s="143" t="s">
        <v>343</v>
      </c>
      <c r="C1260" s="721">
        <f>CEILING((C1259+30*$Z$1),0.1)</f>
        <v>140</v>
      </c>
      <c r="D1260" s="722"/>
      <c r="E1260" s="721">
        <f>CEILING((E1259+30*$Z$1),0.1)</f>
        <v>140</v>
      </c>
      <c r="F1260" s="722"/>
      <c r="G1260" s="721">
        <f>CEILING((G1259+30*$Z$1),0.1)</f>
        <v>140</v>
      </c>
      <c r="H1260" s="914"/>
      <c r="I1260" s="721">
        <f>CEILING((I1259+30*$Z$1),0.1)</f>
        <v>140</v>
      </c>
      <c r="J1260" s="722"/>
      <c r="K1260" s="721">
        <f>CEILING((K1259+30*$Z$1),0.1)</f>
        <v>140</v>
      </c>
      <c r="L1260" s="722"/>
      <c r="M1260" s="20"/>
      <c r="N1260" s="234"/>
      <c r="O1260" s="481"/>
      <c r="P1260" s="481"/>
      <c r="Q1260" s="481"/>
      <c r="R1260" s="481"/>
      <c r="S1260" s="481"/>
      <c r="T1260" s="481"/>
      <c r="U1260" s="481"/>
      <c r="V1260" s="481"/>
      <c r="W1260" s="481"/>
      <c r="X1260" s="481"/>
      <c r="Y1260" s="481"/>
    </row>
    <row r="1261" spans="1:25" s="192" customFormat="1" ht="18.75" customHeight="1" hidden="1">
      <c r="A1261" s="274"/>
      <c r="B1261" s="141" t="s">
        <v>47</v>
      </c>
      <c r="C1261" s="721">
        <f>CEILING(68*$Z$1,0.1)</f>
        <v>85</v>
      </c>
      <c r="D1261" s="722"/>
      <c r="E1261" s="721">
        <f>CEILING(68*$Z$1,0.1)</f>
        <v>85</v>
      </c>
      <c r="F1261" s="722"/>
      <c r="G1261" s="721">
        <f>CEILING(68*$Z$1,0.1)</f>
        <v>85</v>
      </c>
      <c r="H1261" s="914"/>
      <c r="I1261" s="721">
        <f>CEILING(68*$Z$1,0.1)</f>
        <v>85</v>
      </c>
      <c r="J1261" s="722"/>
      <c r="K1261" s="721">
        <f>CEILING(68*$Z$1,0.1)</f>
        <v>85</v>
      </c>
      <c r="L1261" s="722"/>
      <c r="M1261" s="20"/>
      <c r="N1261" s="234"/>
      <c r="O1261" s="481"/>
      <c r="P1261" s="481"/>
      <c r="Q1261" s="481"/>
      <c r="R1261" s="481"/>
      <c r="S1261" s="481"/>
      <c r="T1261" s="481"/>
      <c r="U1261" s="481"/>
      <c r="V1261" s="481"/>
      <c r="W1261" s="481"/>
      <c r="X1261" s="481"/>
      <c r="Y1261" s="481"/>
    </row>
    <row r="1262" spans="1:25" s="192" customFormat="1" ht="18.75" customHeight="1" hidden="1">
      <c r="A1262" s="923"/>
      <c r="B1262" s="12" t="s">
        <v>223</v>
      </c>
      <c r="C1262" s="723">
        <v>0</v>
      </c>
      <c r="D1262" s="724"/>
      <c r="E1262" s="723">
        <v>0</v>
      </c>
      <c r="F1262" s="724"/>
      <c r="G1262" s="723">
        <v>0</v>
      </c>
      <c r="H1262" s="924"/>
      <c r="I1262" s="723">
        <v>0</v>
      </c>
      <c r="J1262" s="724"/>
      <c r="K1262" s="723">
        <v>0</v>
      </c>
      <c r="L1262" s="724"/>
      <c r="M1262" s="20"/>
      <c r="N1262" s="234"/>
      <c r="O1262" s="481"/>
      <c r="P1262" s="481"/>
      <c r="Q1262" s="481"/>
      <c r="R1262" s="481"/>
      <c r="S1262" s="481"/>
      <c r="T1262" s="481"/>
      <c r="U1262" s="481"/>
      <c r="V1262" s="481"/>
      <c r="W1262" s="481"/>
      <c r="X1262" s="481"/>
      <c r="Y1262" s="481"/>
    </row>
    <row r="1263" spans="1:25" s="192" customFormat="1" ht="18.75" customHeight="1" hidden="1">
      <c r="A1263" s="197" t="s">
        <v>429</v>
      </c>
      <c r="B1263" s="12" t="s">
        <v>224</v>
      </c>
      <c r="C1263" s="721">
        <f>CEILING((C1259*0.5),0.1)</f>
        <v>51.300000000000004</v>
      </c>
      <c r="D1263" s="722"/>
      <c r="E1263" s="721">
        <f>CEILING((E1259*0.5),0.1)</f>
        <v>51.300000000000004</v>
      </c>
      <c r="F1263" s="722"/>
      <c r="G1263" s="721">
        <f>CEILING((G1259*0.5),0.1)</f>
        <v>51.300000000000004</v>
      </c>
      <c r="H1263" s="914"/>
      <c r="I1263" s="721">
        <f>CEILING((I1259*0.5),0.1)</f>
        <v>51.300000000000004</v>
      </c>
      <c r="J1263" s="722"/>
      <c r="K1263" s="721">
        <f>CEILING((K1259*0.5),0.1)</f>
        <v>51.300000000000004</v>
      </c>
      <c r="L1263" s="722"/>
      <c r="M1263" s="20"/>
      <c r="N1263" s="234"/>
      <c r="O1263" s="481"/>
      <c r="P1263" s="481"/>
      <c r="Q1263" s="481"/>
      <c r="R1263" s="481"/>
      <c r="S1263" s="481"/>
      <c r="T1263" s="481"/>
      <c r="U1263" s="481"/>
      <c r="V1263" s="481"/>
      <c r="W1263" s="481"/>
      <c r="X1263" s="481"/>
      <c r="Y1263" s="481"/>
    </row>
    <row r="1264" spans="1:25" s="192" customFormat="1" ht="18.75" customHeight="1">
      <c r="A1264" s="87"/>
      <c r="B1264" s="12" t="s">
        <v>853</v>
      </c>
      <c r="C1264" s="1268">
        <f>CEILING(110*$Z$1,0.1)</f>
        <v>137.5</v>
      </c>
      <c r="D1264" s="1270"/>
      <c r="E1264" s="1268">
        <f>CEILING(165*$Z$1,0.1)</f>
        <v>206.3</v>
      </c>
      <c r="F1264" s="1270"/>
      <c r="G1264" s="1268">
        <f>CEILING(127*$Z$1,0.1)</f>
        <v>158.8</v>
      </c>
      <c r="H1264" s="1269"/>
      <c r="I1264" s="1268">
        <f>CEILING(138*$Z$1,0.1)</f>
        <v>172.5</v>
      </c>
      <c r="J1264" s="1270"/>
      <c r="K1264" s="1268">
        <f>CEILING(121*$Z$1,0.1)</f>
        <v>151.3</v>
      </c>
      <c r="L1264" s="1270"/>
      <c r="M1264" s="20"/>
      <c r="N1264" s="234"/>
      <c r="O1264" s="481"/>
      <c r="P1264" s="481"/>
      <c r="Q1264" s="481"/>
      <c r="R1264" s="481"/>
      <c r="S1264" s="481"/>
      <c r="T1264" s="481"/>
      <c r="U1264" s="481"/>
      <c r="V1264" s="481"/>
      <c r="W1264" s="481"/>
      <c r="X1264" s="481"/>
      <c r="Y1264" s="481"/>
    </row>
    <row r="1265" spans="1:25" s="192" customFormat="1" ht="18.75" customHeight="1">
      <c r="A1265" s="727" t="s">
        <v>855</v>
      </c>
      <c r="B1265" s="12" t="s">
        <v>854</v>
      </c>
      <c r="C1265" s="1268">
        <f>CEILING(165*$Z$1,0.1)</f>
        <v>206.3</v>
      </c>
      <c r="D1265" s="1270"/>
      <c r="E1265" s="1268">
        <f>CEILING(248*$Z$1,0.1)</f>
        <v>310</v>
      </c>
      <c r="F1265" s="1270"/>
      <c r="G1265" s="1268">
        <f>CEILING(191*$Z$1,0.1)</f>
        <v>238.8</v>
      </c>
      <c r="H1265" s="1269"/>
      <c r="I1265" s="1268">
        <f>CEILING(207*$Z$1,0.1)</f>
        <v>258.8</v>
      </c>
      <c r="J1265" s="1270"/>
      <c r="K1265" s="1268">
        <f>CEILING(182*$Z$1,0.1)</f>
        <v>227.5</v>
      </c>
      <c r="L1265" s="1270"/>
      <c r="M1265" s="20"/>
      <c r="N1265" s="234"/>
      <c r="O1265" s="481"/>
      <c r="P1265" s="481"/>
      <c r="Q1265" s="481"/>
      <c r="R1265" s="481"/>
      <c r="S1265" s="481"/>
      <c r="T1265" s="481"/>
      <c r="U1265" s="481"/>
      <c r="V1265" s="481"/>
      <c r="W1265" s="481"/>
      <c r="X1265" s="481"/>
      <c r="Y1265" s="481"/>
    </row>
    <row r="1266" spans="1:25" s="192" customFormat="1" ht="15.75" customHeight="1">
      <c r="A1266" s="183"/>
      <c r="B1266" s="12"/>
      <c r="C1266" s="721"/>
      <c r="D1266" s="722"/>
      <c r="E1266" s="721"/>
      <c r="F1266" s="722"/>
      <c r="G1266" s="721"/>
      <c r="H1266" s="914"/>
      <c r="I1266" s="721"/>
      <c r="J1266" s="722"/>
      <c r="K1266" s="721"/>
      <c r="L1266" s="722"/>
      <c r="M1266" s="20"/>
      <c r="N1266" s="234"/>
      <c r="O1266" s="481"/>
      <c r="P1266" s="481"/>
      <c r="Q1266" s="481"/>
      <c r="R1266" s="481"/>
      <c r="S1266" s="481"/>
      <c r="T1266" s="481"/>
      <c r="U1266" s="481"/>
      <c r="V1266" s="481"/>
      <c r="W1266" s="481"/>
      <c r="X1266" s="481"/>
      <c r="Y1266" s="481"/>
    </row>
    <row r="1267" spans="1:40" s="667" customFormat="1" ht="16.5" customHeight="1">
      <c r="A1267" s="925" t="s">
        <v>428</v>
      </c>
      <c r="B1267" s="561"/>
      <c r="C1267" s="725"/>
      <c r="D1267" s="726"/>
      <c r="E1267" s="725"/>
      <c r="F1267" s="726"/>
      <c r="G1267" s="725"/>
      <c r="H1267" s="926"/>
      <c r="I1267" s="725"/>
      <c r="J1267" s="726"/>
      <c r="K1267" s="725"/>
      <c r="L1267" s="926"/>
      <c r="M1267" s="342"/>
      <c r="N1267" s="389"/>
      <c r="O1267" s="335"/>
      <c r="P1267" s="335"/>
      <c r="Q1267" s="335"/>
      <c r="R1267" s="335"/>
      <c r="S1267" s="335"/>
      <c r="T1267" s="335"/>
      <c r="U1267" s="335"/>
      <c r="V1267" s="335"/>
      <c r="W1267" s="335"/>
      <c r="X1267" s="335"/>
      <c r="Y1267" s="335"/>
      <c r="Z1267" s="335"/>
      <c r="AA1267" s="335"/>
      <c r="AB1267" s="335"/>
      <c r="AC1267" s="335"/>
      <c r="AD1267" s="335"/>
      <c r="AE1267" s="335"/>
      <c r="AF1267" s="335"/>
      <c r="AG1267" s="335"/>
      <c r="AH1267" s="335"/>
      <c r="AI1267" s="335"/>
      <c r="AJ1267" s="335"/>
      <c r="AK1267" s="335"/>
      <c r="AL1267" s="335"/>
      <c r="AM1267" s="335"/>
      <c r="AN1267" s="335"/>
    </row>
    <row r="1268" spans="1:40" s="192" customFormat="1" ht="19.5" customHeight="1">
      <c r="A1268" s="1318" t="s">
        <v>1064</v>
      </c>
      <c r="B1268" s="1318"/>
      <c r="C1268" s="1318"/>
      <c r="D1268" s="1318"/>
      <c r="E1268" s="1318"/>
      <c r="F1268" s="1318"/>
      <c r="G1268" s="1318"/>
      <c r="H1268" s="1318"/>
      <c r="I1268" s="1318"/>
      <c r="J1268" s="1318"/>
      <c r="K1268" s="166"/>
      <c r="L1268" s="166"/>
      <c r="M1268" s="1096"/>
      <c r="N1268" s="1096"/>
      <c r="O1268" s="335"/>
      <c r="P1268" s="335"/>
      <c r="Q1268" s="335"/>
      <c r="R1268" s="335"/>
      <c r="S1268" s="335"/>
      <c r="T1268" s="335"/>
      <c r="U1268" s="335"/>
      <c r="V1268" s="335"/>
      <c r="W1268" s="335"/>
      <c r="X1268" s="335"/>
      <c r="Y1268" s="335"/>
      <c r="Z1268" s="335"/>
      <c r="AA1268" s="335"/>
      <c r="AB1268" s="335"/>
      <c r="AC1268" s="335"/>
      <c r="AD1268" s="335"/>
      <c r="AE1268" s="335"/>
      <c r="AF1268" s="335"/>
      <c r="AG1268" s="335"/>
      <c r="AH1268" s="335"/>
      <c r="AI1268" s="335"/>
      <c r="AJ1268" s="335"/>
      <c r="AK1268" s="335"/>
      <c r="AL1268" s="335"/>
      <c r="AM1268" s="335"/>
      <c r="AN1268" s="335"/>
    </row>
    <row r="1269" spans="1:40" s="776" customFormat="1" ht="15">
      <c r="A1269" s="1306"/>
      <c r="B1269" s="1307"/>
      <c r="C1269" s="1307"/>
      <c r="D1269" s="1307"/>
      <c r="E1269" s="1307"/>
      <c r="F1269" s="1307"/>
      <c r="G1269" s="1307"/>
      <c r="H1269" s="1307"/>
      <c r="I1269" s="1307"/>
      <c r="J1269" s="1307"/>
      <c r="K1269" s="775"/>
      <c r="L1269" s="775"/>
      <c r="M1269" s="335"/>
      <c r="N1269" s="335"/>
      <c r="O1269" s="335"/>
      <c r="P1269" s="335"/>
      <c r="Q1269" s="335"/>
      <c r="R1269" s="335"/>
      <c r="S1269" s="335"/>
      <c r="T1269" s="335"/>
      <c r="U1269" s="335"/>
      <c r="V1269" s="335"/>
      <c r="W1269" s="335"/>
      <c r="X1269" s="335"/>
      <c r="Y1269" s="335"/>
      <c r="Z1269" s="335"/>
      <c r="AA1269" s="335"/>
      <c r="AB1269" s="335"/>
      <c r="AC1269" s="335"/>
      <c r="AD1269" s="335"/>
      <c r="AE1269" s="335"/>
      <c r="AF1269" s="335"/>
      <c r="AG1269" s="335"/>
      <c r="AH1269" s="335"/>
      <c r="AI1269" s="335"/>
      <c r="AJ1269" s="335"/>
      <c r="AK1269" s="335"/>
      <c r="AL1269" s="335"/>
      <c r="AM1269" s="335"/>
      <c r="AN1269" s="335"/>
    </row>
    <row r="1270" spans="1:25" s="479" customFormat="1" ht="18" customHeight="1">
      <c r="A1270" s="172"/>
      <c r="B1270" s="858"/>
      <c r="C1270" s="22"/>
      <c r="D1270" s="22"/>
      <c r="E1270" s="22"/>
      <c r="F1270" s="22"/>
      <c r="G1270" s="22"/>
      <c r="H1270" s="22"/>
      <c r="I1270" s="22"/>
      <c r="J1270" s="22"/>
      <c r="K1270" s="166"/>
      <c r="L1270" s="166"/>
      <c r="M1270" s="3"/>
      <c r="N1270" s="3"/>
      <c r="O1270" s="480"/>
      <c r="P1270" s="480"/>
      <c r="Q1270" s="480"/>
      <c r="R1270" s="480"/>
      <c r="S1270" s="480"/>
      <c r="T1270" s="480"/>
      <c r="U1270" s="480"/>
      <c r="V1270" s="480"/>
      <c r="W1270" s="480"/>
      <c r="X1270" s="480"/>
      <c r="Y1270" s="480"/>
    </row>
    <row r="1271" spans="1:25" s="479" customFormat="1" ht="18" customHeight="1" thickBot="1">
      <c r="A1271" s="172"/>
      <c r="B1271" s="858"/>
      <c r="C1271" s="22"/>
      <c r="D1271" s="22"/>
      <c r="E1271" s="22"/>
      <c r="F1271" s="22"/>
      <c r="G1271" s="22"/>
      <c r="H1271" s="22"/>
      <c r="I1271" s="22"/>
      <c r="J1271" s="22"/>
      <c r="K1271" s="166"/>
      <c r="L1271" s="166"/>
      <c r="M1271" s="3"/>
      <c r="N1271" s="3"/>
      <c r="O1271" s="480"/>
      <c r="P1271" s="480"/>
      <c r="Q1271" s="480"/>
      <c r="R1271" s="480"/>
      <c r="S1271" s="480"/>
      <c r="T1271" s="480"/>
      <c r="U1271" s="480"/>
      <c r="V1271" s="480"/>
      <c r="W1271" s="480"/>
      <c r="X1271" s="480"/>
      <c r="Y1271" s="480"/>
    </row>
    <row r="1272" spans="1:41" s="664" customFormat="1" ht="28.5" customHeight="1" thickTop="1">
      <c r="A1272" s="746" t="s">
        <v>43</v>
      </c>
      <c r="B1272" s="814" t="s">
        <v>961</v>
      </c>
      <c r="C1272" s="747" t="s">
        <v>884</v>
      </c>
      <c r="D1272" s="748"/>
      <c r="E1272" s="749" t="s">
        <v>911</v>
      </c>
      <c r="F1272" s="750"/>
      <c r="G1272" s="749" t="s">
        <v>912</v>
      </c>
      <c r="H1272" s="750"/>
      <c r="I1272" s="1273" t="s">
        <v>881</v>
      </c>
      <c r="J1272" s="1274"/>
      <c r="K1272" s="1273" t="s">
        <v>882</v>
      </c>
      <c r="L1272" s="1274"/>
      <c r="M1272" s="855"/>
      <c r="N1272" s="855"/>
      <c r="O1272" s="335"/>
      <c r="P1272" s="335"/>
      <c r="Q1272" s="335"/>
      <c r="R1272" s="335"/>
      <c r="S1272" s="335"/>
      <c r="T1272" s="335"/>
      <c r="U1272" s="335"/>
      <c r="V1272" s="335"/>
      <c r="W1272" s="335"/>
      <c r="X1272" s="335"/>
      <c r="Y1272" s="335"/>
      <c r="Z1272" s="335"/>
      <c r="AA1272" s="335"/>
      <c r="AB1272" s="335"/>
      <c r="AC1272" s="335"/>
      <c r="AD1272" s="335"/>
      <c r="AE1272" s="335"/>
      <c r="AF1272" s="335"/>
      <c r="AG1272" s="335"/>
      <c r="AH1272" s="335"/>
      <c r="AI1272" s="335"/>
      <c r="AJ1272" s="335"/>
      <c r="AK1272" s="335"/>
      <c r="AL1272" s="335"/>
      <c r="AM1272" s="335"/>
      <c r="AN1272" s="335"/>
      <c r="AO1272" s="335"/>
    </row>
    <row r="1273" spans="1:25" s="192" customFormat="1" ht="15">
      <c r="A1273" s="877" t="s">
        <v>846</v>
      </c>
      <c r="B1273" s="878" t="s">
        <v>1065</v>
      </c>
      <c r="C1273" s="1266">
        <f>CEILING(75*$Z$1,0.1)</f>
        <v>93.80000000000001</v>
      </c>
      <c r="D1273" s="1267"/>
      <c r="E1273" s="1268">
        <f>CEILING(105*$Z$1,0.1)</f>
        <v>131.3</v>
      </c>
      <c r="F1273" s="1269"/>
      <c r="G1273" s="1268">
        <f>CEILING(95*$Z$1,0.1)</f>
        <v>118.80000000000001</v>
      </c>
      <c r="H1273" s="1269"/>
      <c r="I1273" s="1268">
        <f>CEILING(105*$Z$1,0.1)</f>
        <v>131.3</v>
      </c>
      <c r="J1273" s="1269"/>
      <c r="K1273" s="1268">
        <f>CEILING(80*$Z$1,0.1)</f>
        <v>100</v>
      </c>
      <c r="L1273" s="1270"/>
      <c r="M1273" s="20"/>
      <c r="N1273" s="234"/>
      <c r="O1273" s="481"/>
      <c r="P1273" s="481"/>
      <c r="Q1273" s="481"/>
      <c r="R1273" s="481"/>
      <c r="S1273" s="481"/>
      <c r="T1273" s="481"/>
      <c r="U1273" s="481"/>
      <c r="V1273" s="481"/>
      <c r="W1273" s="481"/>
      <c r="X1273" s="481"/>
      <c r="Y1273" s="481"/>
    </row>
    <row r="1274" spans="1:25" s="192" customFormat="1" ht="15">
      <c r="A1274" s="243" t="s">
        <v>45</v>
      </c>
      <c r="B1274" s="879" t="s">
        <v>1066</v>
      </c>
      <c r="C1274" s="1268">
        <f>CEILING((C1273+26.5*$Z$1),0.1)</f>
        <v>127</v>
      </c>
      <c r="D1274" s="1270"/>
      <c r="E1274" s="1268">
        <f>CEILING((E1273+36.5*$Z$1),0.1)</f>
        <v>177</v>
      </c>
      <c r="F1274" s="1270"/>
      <c r="G1274" s="1268">
        <f>CEILING((G1273+33*$Z$1),0.1)</f>
        <v>160.10000000000002</v>
      </c>
      <c r="H1274" s="1270"/>
      <c r="I1274" s="1268">
        <f>CEILING((I1273+36.5*$Z$1),0.1)</f>
        <v>177</v>
      </c>
      <c r="J1274" s="1270"/>
      <c r="K1274" s="1268">
        <f>CEILING((K1273+28*$Z$1),0.1)</f>
        <v>135</v>
      </c>
      <c r="L1274" s="1270"/>
      <c r="M1274" s="20"/>
      <c r="N1274" s="234"/>
      <c r="O1274" s="481"/>
      <c r="P1274" s="481"/>
      <c r="Q1274" s="481"/>
      <c r="R1274" s="481"/>
      <c r="S1274" s="481"/>
      <c r="T1274" s="481"/>
      <c r="U1274" s="481"/>
      <c r="V1274" s="481"/>
      <c r="W1274" s="481"/>
      <c r="X1274" s="481"/>
      <c r="Y1274" s="481"/>
    </row>
    <row r="1275" spans="1:25" s="192" customFormat="1" ht="15.75">
      <c r="A1275" s="668"/>
      <c r="B1275" s="881" t="s">
        <v>1007</v>
      </c>
      <c r="C1275" s="1268">
        <f>CEILING((C1273*0),0.1)</f>
        <v>0</v>
      </c>
      <c r="D1275" s="1270"/>
      <c r="E1275" s="1268">
        <f>CEILING((E1273*0.5),0.1)</f>
        <v>65.7</v>
      </c>
      <c r="F1275" s="1270"/>
      <c r="G1275" s="1268">
        <f>CEILING((G1273*0.5),0.1)</f>
        <v>59.400000000000006</v>
      </c>
      <c r="H1275" s="1270"/>
      <c r="I1275" s="1268">
        <f>CEILING((I1273*0.5),0.1)</f>
        <v>65.7</v>
      </c>
      <c r="J1275" s="1270"/>
      <c r="K1275" s="1268">
        <f>CEILING((K1273*0),0.1)</f>
        <v>0</v>
      </c>
      <c r="L1275" s="1270"/>
      <c r="M1275" s="20"/>
      <c r="N1275" s="234"/>
      <c r="O1275" s="481"/>
      <c r="P1275" s="481"/>
      <c r="Q1275" s="481"/>
      <c r="R1275" s="481"/>
      <c r="S1275" s="481"/>
      <c r="T1275" s="481"/>
      <c r="U1275" s="481"/>
      <c r="V1275" s="481"/>
      <c r="W1275" s="481"/>
      <c r="X1275" s="481"/>
      <c r="Y1275" s="481"/>
    </row>
    <row r="1276" spans="1:25" s="192" customFormat="1" ht="15">
      <c r="A1276" s="579"/>
      <c r="B1276" s="875" t="s">
        <v>1067</v>
      </c>
      <c r="C1276" s="1268">
        <f>CEILING(86*$Z$1,0.1)</f>
        <v>107.5</v>
      </c>
      <c r="D1276" s="1270"/>
      <c r="E1276" s="1268">
        <f>CEILING(121*$Z$1,0.1)</f>
        <v>151.3</v>
      </c>
      <c r="F1276" s="1270"/>
      <c r="G1276" s="1268">
        <f>CEILING(109*$Z$1,0.1)</f>
        <v>136.3</v>
      </c>
      <c r="H1276" s="1270"/>
      <c r="I1276" s="1268">
        <f>CEILING(121*$Z$1,0.1)</f>
        <v>151.3</v>
      </c>
      <c r="J1276" s="1270"/>
      <c r="K1276" s="1268">
        <f>CEILING(92*$Z$1,0.1)</f>
        <v>115</v>
      </c>
      <c r="L1276" s="1270"/>
      <c r="M1276" s="20"/>
      <c r="N1276" s="234"/>
      <c r="O1276" s="481"/>
      <c r="P1276" s="481"/>
      <c r="Q1276" s="481"/>
      <c r="R1276" s="481"/>
      <c r="S1276" s="481"/>
      <c r="T1276" s="481"/>
      <c r="U1276" s="481"/>
      <c r="V1276" s="481"/>
      <c r="W1276" s="481"/>
      <c r="X1276" s="481"/>
      <c r="Y1276" s="481"/>
    </row>
    <row r="1277" spans="1:25" s="192" customFormat="1" ht="15">
      <c r="A1277" s="935" t="s">
        <v>1073</v>
      </c>
      <c r="B1277" s="882" t="s">
        <v>1068</v>
      </c>
      <c r="C1277" s="1284">
        <f>CEILING((C1276+30*$Z$1),0.1)</f>
        <v>145</v>
      </c>
      <c r="D1277" s="1285"/>
      <c r="E1277" s="1284">
        <f>CEILING((E1276+42.3*$Z$1),0.1)</f>
        <v>204.20000000000002</v>
      </c>
      <c r="F1277" s="1425"/>
      <c r="G1277" s="1284">
        <f>CEILING((G1276+38*$Z$1),0.1)</f>
        <v>183.8</v>
      </c>
      <c r="H1277" s="1425"/>
      <c r="I1277" s="1284">
        <f>CEILING((I1276+42.3*$Z$1),0.1)</f>
        <v>204.20000000000002</v>
      </c>
      <c r="J1277" s="1425"/>
      <c r="K1277" s="1284">
        <f>CEILING((K1276+32*$Z$1),0.1)</f>
        <v>155</v>
      </c>
      <c r="L1277" s="1425"/>
      <c r="M1277" s="20"/>
      <c r="N1277" s="234"/>
      <c r="O1277" s="481"/>
      <c r="P1277" s="481"/>
      <c r="Q1277" s="481"/>
      <c r="R1277" s="481"/>
      <c r="S1277" s="481"/>
      <c r="T1277" s="481"/>
      <c r="U1277" s="481"/>
      <c r="V1277" s="481"/>
      <c r="W1277" s="481"/>
      <c r="X1277" s="481"/>
      <c r="Y1277" s="481"/>
    </row>
    <row r="1278" spans="1:25" s="192" customFormat="1" ht="15">
      <c r="A1278" s="579"/>
      <c r="B1278" s="878" t="s">
        <v>44</v>
      </c>
      <c r="C1278" s="1266">
        <f>CEILING(90*$Z$1,0.1)</f>
        <v>112.5</v>
      </c>
      <c r="D1278" s="1267"/>
      <c r="E1278" s="1266">
        <f>CEILING(126*$Z$1,0.1)</f>
        <v>157.5</v>
      </c>
      <c r="F1278" s="1326"/>
      <c r="G1278" s="1266">
        <f>CEILING(114*$Z$1,0.1)</f>
        <v>142.5</v>
      </c>
      <c r="H1278" s="1326"/>
      <c r="I1278" s="1266">
        <f>CEILING(126*$Z$1,0.1)</f>
        <v>157.5</v>
      </c>
      <c r="J1278" s="1326"/>
      <c r="K1278" s="1266">
        <f>CEILING(96*$Z$1,0.1)</f>
        <v>120</v>
      </c>
      <c r="L1278" s="1267"/>
      <c r="M1278" s="20"/>
      <c r="N1278" s="234"/>
      <c r="O1278" s="481"/>
      <c r="P1278" s="481"/>
      <c r="Q1278" s="481"/>
      <c r="R1278" s="481"/>
      <c r="S1278" s="481"/>
      <c r="T1278" s="481"/>
      <c r="U1278" s="481"/>
      <c r="V1278" s="481"/>
      <c r="W1278" s="481"/>
      <c r="X1278" s="481"/>
      <c r="Y1278" s="481"/>
    </row>
    <row r="1279" spans="1:25" s="192" customFormat="1" ht="15">
      <c r="A1279" s="579"/>
      <c r="B1279" s="879" t="s">
        <v>236</v>
      </c>
      <c r="C1279" s="1284">
        <f>CEILING((C1278+31.5*$Z$1),0.1)</f>
        <v>151.9</v>
      </c>
      <c r="D1279" s="1285"/>
      <c r="E1279" s="1268">
        <f>CEILING((E1278+44*$Z$1),0.1)</f>
        <v>212.5</v>
      </c>
      <c r="F1279" s="1270"/>
      <c r="G1279" s="1268">
        <f>CEILING((G1278+40*$Z$1),0.1)</f>
        <v>192.5</v>
      </c>
      <c r="H1279" s="1270"/>
      <c r="I1279" s="1268">
        <f>CEILING((I1278+44*$Z$1),0.1)</f>
        <v>212.5</v>
      </c>
      <c r="J1279" s="1270"/>
      <c r="K1279" s="1268">
        <f>CEILING((K1278+33.5*$Z$1),0.1)</f>
        <v>161.9</v>
      </c>
      <c r="L1279" s="1270"/>
      <c r="M1279" s="20"/>
      <c r="N1279" s="234"/>
      <c r="O1279" s="481"/>
      <c r="P1279" s="481"/>
      <c r="Q1279" s="481"/>
      <c r="R1279" s="481"/>
      <c r="S1279" s="481"/>
      <c r="T1279" s="481"/>
      <c r="U1279" s="481"/>
      <c r="V1279" s="481"/>
      <c r="W1279" s="481"/>
      <c r="X1279" s="481"/>
      <c r="Y1279" s="481"/>
    </row>
    <row r="1280" spans="1:25" s="192" customFormat="1" ht="15">
      <c r="A1280" s="579"/>
      <c r="B1280" s="875" t="s">
        <v>1069</v>
      </c>
      <c r="C1280" s="1266">
        <f>CEILING(94*$Z$1,0.1)</f>
        <v>117.5</v>
      </c>
      <c r="D1280" s="1267"/>
      <c r="E1280" s="1266">
        <f>CEILING(131*$Z$1,0.1)</f>
        <v>163.8</v>
      </c>
      <c r="F1280" s="1326"/>
      <c r="G1280" s="1266">
        <f>CEILING(119*$Z$1,0.1)</f>
        <v>148.8</v>
      </c>
      <c r="H1280" s="1326"/>
      <c r="I1280" s="1266">
        <f>CEILING(131*$Z$1,0.1)</f>
        <v>163.8</v>
      </c>
      <c r="J1280" s="1326"/>
      <c r="K1280" s="1266">
        <f>CEILING(100*$Z$1,0.1)</f>
        <v>125</v>
      </c>
      <c r="L1280" s="1267"/>
      <c r="M1280" s="20"/>
      <c r="N1280" s="234"/>
      <c r="O1280" s="481"/>
      <c r="P1280" s="481"/>
      <c r="Q1280" s="481"/>
      <c r="R1280" s="481"/>
      <c r="S1280" s="481"/>
      <c r="T1280" s="481"/>
      <c r="U1280" s="481"/>
      <c r="V1280" s="481"/>
      <c r="W1280" s="481"/>
      <c r="X1280" s="481"/>
      <c r="Y1280" s="481"/>
    </row>
    <row r="1281" spans="1:59" s="667" customFormat="1" ht="15">
      <c r="A1281" s="580" t="s">
        <v>694</v>
      </c>
      <c r="B1281" s="882" t="s">
        <v>1070</v>
      </c>
      <c r="C1281" s="1284">
        <f>CEILING((C1280+33*$Z$1),0.1)</f>
        <v>158.8</v>
      </c>
      <c r="D1281" s="1285"/>
      <c r="E1281" s="1284">
        <f>CEILING((E1280+46*$Z$1),0.1)</f>
        <v>221.3</v>
      </c>
      <c r="F1281" s="1285"/>
      <c r="G1281" s="1284">
        <f>CEILING((G1280+41*$Z$1),0.1)</f>
        <v>200.10000000000002</v>
      </c>
      <c r="H1281" s="1285"/>
      <c r="I1281" s="1284">
        <f>CEILING((I1280+46*$Z$1),0.1)</f>
        <v>221.3</v>
      </c>
      <c r="J1281" s="1285"/>
      <c r="K1281" s="1284">
        <f>CEILING((K1280+35*$Z$1),0.1)</f>
        <v>168.8</v>
      </c>
      <c r="L1281" s="1285"/>
      <c r="M1281" s="342"/>
      <c r="N1281" s="389"/>
      <c r="O1281" s="335"/>
      <c r="P1281" s="335"/>
      <c r="Q1281" s="335"/>
      <c r="R1281" s="335"/>
      <c r="S1281" s="335"/>
      <c r="T1281" s="335"/>
      <c r="U1281" s="335"/>
      <c r="V1281" s="335"/>
      <c r="W1281" s="335"/>
      <c r="X1281" s="335"/>
      <c r="Y1281" s="335"/>
      <c r="Z1281" s="335"/>
      <c r="AA1281" s="335"/>
      <c r="AB1281" s="335"/>
      <c r="AC1281" s="335"/>
      <c r="AD1281" s="335"/>
      <c r="AE1281" s="335"/>
      <c r="AF1281" s="335"/>
      <c r="AG1281" s="335"/>
      <c r="AH1281" s="335"/>
      <c r="AI1281" s="335"/>
      <c r="AJ1281" s="335"/>
      <c r="AK1281" s="335"/>
      <c r="AL1281" s="335"/>
      <c r="AM1281" s="335"/>
      <c r="AN1281" s="335"/>
      <c r="AO1281" s="335"/>
      <c r="AP1281" s="335"/>
      <c r="AQ1281" s="335"/>
      <c r="AR1281" s="335"/>
      <c r="AS1281" s="335"/>
      <c r="AT1281" s="335"/>
      <c r="AU1281" s="335"/>
      <c r="AV1281" s="335"/>
      <c r="AW1281" s="335"/>
      <c r="AX1281" s="335"/>
      <c r="AY1281" s="335"/>
      <c r="AZ1281" s="335"/>
      <c r="BA1281" s="335"/>
      <c r="BB1281" s="335"/>
      <c r="BC1281" s="335"/>
      <c r="BD1281" s="335"/>
      <c r="BE1281" s="335"/>
      <c r="BF1281" s="335"/>
      <c r="BG1281" s="335"/>
    </row>
    <row r="1282" spans="1:59" s="192" customFormat="1" ht="19.5" customHeight="1">
      <c r="A1282" s="1318" t="s">
        <v>1071</v>
      </c>
      <c r="B1282" s="1318"/>
      <c r="C1282" s="1318"/>
      <c r="D1282" s="1318"/>
      <c r="E1282" s="1318"/>
      <c r="F1282" s="1318"/>
      <c r="G1282" s="1318"/>
      <c r="H1282" s="1318"/>
      <c r="I1282" s="1318"/>
      <c r="J1282" s="1318"/>
      <c r="K1282" s="166"/>
      <c r="L1282" s="166"/>
      <c r="M1282" s="1096"/>
      <c r="N1282" s="1096"/>
      <c r="O1282" s="335"/>
      <c r="P1282" s="335"/>
      <c r="Q1282" s="335"/>
      <c r="R1282" s="335"/>
      <c r="S1282" s="335"/>
      <c r="T1282" s="335"/>
      <c r="U1282" s="335"/>
      <c r="V1282" s="335"/>
      <c r="W1282" s="335"/>
      <c r="X1282" s="335"/>
      <c r="Y1282" s="335"/>
      <c r="Z1282" s="335"/>
      <c r="AA1282" s="335"/>
      <c r="AB1282" s="335"/>
      <c r="AC1282" s="335"/>
      <c r="AD1282" s="335"/>
      <c r="AE1282" s="335"/>
      <c r="AF1282" s="335"/>
      <c r="AG1282" s="335"/>
      <c r="AH1282" s="335"/>
      <c r="AI1282" s="335"/>
      <c r="AJ1282" s="335"/>
      <c r="AK1282" s="335"/>
      <c r="AL1282" s="335"/>
      <c r="AM1282" s="335"/>
      <c r="AN1282" s="335"/>
      <c r="AO1282" s="335"/>
      <c r="AP1282" s="335"/>
      <c r="AQ1282" s="335"/>
      <c r="AR1282" s="335"/>
      <c r="AS1282" s="335"/>
      <c r="AT1282" s="335"/>
      <c r="AU1282" s="335"/>
      <c r="AV1282" s="335"/>
      <c r="AW1282" s="335"/>
      <c r="AX1282" s="335"/>
      <c r="AY1282" s="335"/>
      <c r="AZ1282" s="335"/>
      <c r="BA1282" s="335"/>
      <c r="BB1282" s="335"/>
      <c r="BC1282" s="335"/>
      <c r="BD1282" s="335"/>
      <c r="BE1282" s="335"/>
      <c r="BF1282" s="335"/>
      <c r="BG1282" s="335"/>
    </row>
    <row r="1283" spans="1:59" s="776" customFormat="1" ht="15" customHeight="1">
      <c r="A1283" s="1306"/>
      <c r="B1283" s="1307"/>
      <c r="C1283" s="1307"/>
      <c r="D1283" s="1307"/>
      <c r="E1283" s="1307"/>
      <c r="F1283" s="1307"/>
      <c r="G1283" s="1307"/>
      <c r="H1283" s="1307"/>
      <c r="I1283" s="1307"/>
      <c r="J1283" s="1307"/>
      <c r="K1283" s="775"/>
      <c r="L1283" s="775"/>
      <c r="M1283" s="335"/>
      <c r="N1283" s="335"/>
      <c r="O1283" s="335"/>
      <c r="P1283" s="335"/>
      <c r="Q1283" s="335"/>
      <c r="R1283" s="335"/>
      <c r="S1283" s="335"/>
      <c r="T1283" s="335"/>
      <c r="U1283" s="335"/>
      <c r="V1283" s="335"/>
      <c r="W1283" s="335"/>
      <c r="X1283" s="335"/>
      <c r="Y1283" s="335"/>
      <c r="Z1283" s="335"/>
      <c r="AA1283" s="335"/>
      <c r="AB1283" s="335"/>
      <c r="AC1283" s="335"/>
      <c r="AD1283" s="335"/>
      <c r="AE1283" s="335"/>
      <c r="AF1283" s="335"/>
      <c r="AG1283" s="335"/>
      <c r="AH1283" s="335"/>
      <c r="AI1283" s="335"/>
      <c r="AJ1283" s="335"/>
      <c r="AK1283" s="335"/>
      <c r="AL1283" s="335"/>
      <c r="AM1283" s="335"/>
      <c r="AN1283" s="335"/>
      <c r="AO1283" s="335"/>
      <c r="AP1283" s="335"/>
      <c r="AQ1283" s="335"/>
      <c r="AR1283" s="335"/>
      <c r="AS1283" s="335"/>
      <c r="AT1283" s="335"/>
      <c r="AU1283" s="335"/>
      <c r="AV1283" s="335"/>
      <c r="AW1283" s="335"/>
      <c r="AX1283" s="335"/>
      <c r="AY1283" s="335"/>
      <c r="AZ1283" s="335"/>
      <c r="BA1283" s="335"/>
      <c r="BB1283" s="335"/>
      <c r="BC1283" s="335"/>
      <c r="BD1283" s="335"/>
      <c r="BE1283" s="335"/>
      <c r="BF1283" s="335"/>
      <c r="BG1283" s="335"/>
    </row>
    <row r="1284" spans="1:25" s="479" customFormat="1" ht="18" customHeight="1" thickBot="1">
      <c r="A1284" s="172"/>
      <c r="B1284" s="902"/>
      <c r="C1284" s="22"/>
      <c r="D1284" s="22"/>
      <c r="E1284" s="22"/>
      <c r="F1284" s="22"/>
      <c r="G1284" s="22"/>
      <c r="H1284" s="22"/>
      <c r="I1284" s="22"/>
      <c r="J1284" s="22"/>
      <c r="K1284" s="166"/>
      <c r="L1284" s="166"/>
      <c r="M1284" s="3"/>
      <c r="N1284" s="3"/>
      <c r="O1284" s="480"/>
      <c r="P1284" s="480"/>
      <c r="Q1284" s="480"/>
      <c r="R1284" s="480"/>
      <c r="S1284" s="480"/>
      <c r="T1284" s="480"/>
      <c r="U1284" s="480"/>
      <c r="V1284" s="480"/>
      <c r="W1284" s="480"/>
      <c r="X1284" s="480"/>
      <c r="Y1284" s="480"/>
    </row>
    <row r="1285" spans="1:71" s="664" customFormat="1" ht="21" customHeight="1" thickTop="1">
      <c r="A1285" s="746" t="s">
        <v>43</v>
      </c>
      <c r="B1285" s="814" t="s">
        <v>961</v>
      </c>
      <c r="C1285" s="747" t="s">
        <v>884</v>
      </c>
      <c r="D1285" s="748"/>
      <c r="E1285" s="749" t="s">
        <v>911</v>
      </c>
      <c r="F1285" s="750"/>
      <c r="G1285" s="749" t="s">
        <v>912</v>
      </c>
      <c r="H1285" s="750"/>
      <c r="I1285" s="1273" t="s">
        <v>1095</v>
      </c>
      <c r="J1285" s="1274"/>
      <c r="K1285" s="1273" t="s">
        <v>1096</v>
      </c>
      <c r="L1285" s="1274"/>
      <c r="M1285" s="898"/>
      <c r="N1285" s="898"/>
      <c r="O1285" s="335"/>
      <c r="P1285" s="335"/>
      <c r="Q1285" s="335"/>
      <c r="R1285" s="335"/>
      <c r="S1285" s="335"/>
      <c r="T1285" s="335"/>
      <c r="U1285" s="335"/>
      <c r="V1285" s="335"/>
      <c r="W1285" s="335"/>
      <c r="X1285" s="335"/>
      <c r="Y1285" s="335"/>
      <c r="Z1285" s="335"/>
      <c r="AA1285" s="335"/>
      <c r="AB1285" s="335"/>
      <c r="AC1285" s="335"/>
      <c r="AD1285" s="335"/>
      <c r="AE1285" s="335"/>
      <c r="AF1285" s="335"/>
      <c r="AG1285" s="335"/>
      <c r="AH1285" s="335"/>
      <c r="AI1285" s="335"/>
      <c r="AJ1285" s="335"/>
      <c r="AK1285" s="335"/>
      <c r="AL1285" s="335"/>
      <c r="AM1285" s="335"/>
      <c r="AN1285" s="335"/>
      <c r="AO1285" s="335"/>
      <c r="AP1285" s="335"/>
      <c r="AQ1285" s="335"/>
      <c r="AR1285" s="335"/>
      <c r="AS1285" s="335"/>
      <c r="AT1285" s="335"/>
      <c r="AU1285" s="335"/>
      <c r="AV1285" s="335"/>
      <c r="AW1285" s="335"/>
      <c r="AX1285" s="335"/>
      <c r="AY1285" s="335"/>
      <c r="AZ1285" s="335"/>
      <c r="BA1285" s="335"/>
      <c r="BB1285" s="335"/>
      <c r="BC1285" s="335"/>
      <c r="BD1285" s="335"/>
      <c r="BE1285" s="335"/>
      <c r="BF1285" s="335"/>
      <c r="BG1285" s="335"/>
      <c r="BH1285" s="335"/>
      <c r="BI1285" s="335"/>
      <c r="BJ1285" s="335"/>
      <c r="BK1285" s="335"/>
      <c r="BL1285" s="335"/>
      <c r="BM1285" s="335"/>
      <c r="BN1285" s="335"/>
      <c r="BO1285" s="335"/>
      <c r="BP1285" s="335"/>
      <c r="BQ1285" s="335"/>
      <c r="BR1285" s="335"/>
      <c r="BS1285" s="335"/>
    </row>
    <row r="1286" spans="1:71" s="192" customFormat="1" ht="15">
      <c r="A1286" s="877" t="s">
        <v>1090</v>
      </c>
      <c r="B1286" s="213" t="s">
        <v>1091</v>
      </c>
      <c r="C1286" s="1312">
        <f>CEILING(47*$Z$1,0.1)</f>
        <v>58.800000000000004</v>
      </c>
      <c r="D1286" s="1313"/>
      <c r="E1286" s="1312">
        <f>CEILING(72*$Z$1,0.1)</f>
        <v>90</v>
      </c>
      <c r="F1286" s="1313"/>
      <c r="G1286" s="1312">
        <f>CEILING(56*$Z$1,0.1)</f>
        <v>70</v>
      </c>
      <c r="H1286" s="1313"/>
      <c r="I1286" s="1312">
        <f>CEILING(60*$Z$1,0.1)</f>
        <v>75</v>
      </c>
      <c r="J1286" s="1313"/>
      <c r="K1286" s="1266">
        <f>CEILING(52*$Z$1,0.1)</f>
        <v>65</v>
      </c>
      <c r="L1286" s="1267"/>
      <c r="M1286" s="342"/>
      <c r="N1286" s="389"/>
      <c r="O1286" s="335"/>
      <c r="P1286" s="335"/>
      <c r="Q1286" s="335"/>
      <c r="R1286" s="335"/>
      <c r="S1286" s="335"/>
      <c r="T1286" s="335"/>
      <c r="U1286" s="335"/>
      <c r="V1286" s="335"/>
      <c r="W1286" s="335"/>
      <c r="X1286" s="335"/>
      <c r="Y1286" s="335"/>
      <c r="Z1286" s="335"/>
      <c r="AA1286" s="335"/>
      <c r="AB1286" s="335"/>
      <c r="AC1286" s="335"/>
      <c r="AD1286" s="335"/>
      <c r="AE1286" s="335"/>
      <c r="AF1286" s="335"/>
      <c r="AG1286" s="335"/>
      <c r="AH1286" s="335"/>
      <c r="AI1286" s="335"/>
      <c r="AJ1286" s="335"/>
      <c r="AK1286" s="335"/>
      <c r="AL1286" s="335"/>
      <c r="AM1286" s="335"/>
      <c r="AN1286" s="335"/>
      <c r="AO1286" s="335"/>
      <c r="AP1286" s="335"/>
      <c r="AQ1286" s="335"/>
      <c r="AR1286" s="335"/>
      <c r="AS1286" s="335"/>
      <c r="AT1286" s="335"/>
      <c r="AU1286" s="335"/>
      <c r="AV1286" s="335"/>
      <c r="AW1286" s="335"/>
      <c r="AX1286" s="335"/>
      <c r="AY1286" s="335"/>
      <c r="AZ1286" s="335"/>
      <c r="BA1286" s="335"/>
      <c r="BB1286" s="335"/>
      <c r="BC1286" s="335"/>
      <c r="BD1286" s="335"/>
      <c r="BE1286" s="335"/>
      <c r="BF1286" s="335"/>
      <c r="BG1286" s="335"/>
      <c r="BH1286" s="335"/>
      <c r="BI1286" s="335"/>
      <c r="BJ1286" s="335"/>
      <c r="BK1286" s="335"/>
      <c r="BL1286" s="335"/>
      <c r="BM1286" s="335"/>
      <c r="BN1286" s="335"/>
      <c r="BO1286" s="335"/>
      <c r="BP1286" s="335"/>
      <c r="BQ1286" s="335"/>
      <c r="BR1286" s="335"/>
      <c r="BS1286" s="335"/>
    </row>
    <row r="1287" spans="1:71" s="192" customFormat="1" ht="15">
      <c r="A1287" s="243"/>
      <c r="B1287" s="138" t="s">
        <v>343</v>
      </c>
      <c r="C1287" s="1308">
        <f>CEILING((C1286+23.5*$Z$1),0.1)</f>
        <v>88.2</v>
      </c>
      <c r="D1287" s="1309"/>
      <c r="E1287" s="1308">
        <f>CEILING((E1286+36*$Z$1),0.1)</f>
        <v>135</v>
      </c>
      <c r="F1287" s="1309"/>
      <c r="G1287" s="1308">
        <f>CEILING((G1286+28*$Z$1),0.1)</f>
        <v>105</v>
      </c>
      <c r="H1287" s="1309"/>
      <c r="I1287" s="1308">
        <f>CEILING((I1286+30*$Z$1),0.1)</f>
        <v>112.5</v>
      </c>
      <c r="J1287" s="1309"/>
      <c r="K1287" s="1268">
        <f>CEILING((K1286+26*$Z$1),0.1)</f>
        <v>97.5</v>
      </c>
      <c r="L1287" s="1270"/>
      <c r="M1287" s="342"/>
      <c r="N1287" s="389"/>
      <c r="O1287" s="335"/>
      <c r="P1287" s="335"/>
      <c r="Q1287" s="335"/>
      <c r="R1287" s="335"/>
      <c r="S1287" s="335"/>
      <c r="T1287" s="335"/>
      <c r="U1287" s="335"/>
      <c r="V1287" s="335"/>
      <c r="W1287" s="335"/>
      <c r="X1287" s="335"/>
      <c r="Y1287" s="335"/>
      <c r="Z1287" s="335"/>
      <c r="AA1287" s="335"/>
      <c r="AB1287" s="335"/>
      <c r="AC1287" s="335"/>
      <c r="AD1287" s="335"/>
      <c r="AE1287" s="335"/>
      <c r="AF1287" s="335"/>
      <c r="AG1287" s="335"/>
      <c r="AH1287" s="335"/>
      <c r="AI1287" s="335"/>
      <c r="AJ1287" s="335"/>
      <c r="AK1287" s="335"/>
      <c r="AL1287" s="335"/>
      <c r="AM1287" s="335"/>
      <c r="AN1287" s="335"/>
      <c r="AO1287" s="335"/>
      <c r="AP1287" s="335"/>
      <c r="AQ1287" s="335"/>
      <c r="AR1287" s="335"/>
      <c r="AS1287" s="335"/>
      <c r="AT1287" s="335"/>
      <c r="AU1287" s="335"/>
      <c r="AV1287" s="335"/>
      <c r="AW1287" s="335"/>
      <c r="AX1287" s="335"/>
      <c r="AY1287" s="335"/>
      <c r="AZ1287" s="335"/>
      <c r="BA1287" s="335"/>
      <c r="BB1287" s="335"/>
      <c r="BC1287" s="335"/>
      <c r="BD1287" s="335"/>
      <c r="BE1287" s="335"/>
      <c r="BF1287" s="335"/>
      <c r="BG1287" s="335"/>
      <c r="BH1287" s="335"/>
      <c r="BI1287" s="335"/>
      <c r="BJ1287" s="335"/>
      <c r="BK1287" s="335"/>
      <c r="BL1287" s="335"/>
      <c r="BM1287" s="335"/>
      <c r="BN1287" s="335"/>
      <c r="BO1287" s="335"/>
      <c r="BP1287" s="335"/>
      <c r="BQ1287" s="335"/>
      <c r="BR1287" s="335"/>
      <c r="BS1287" s="335"/>
    </row>
    <row r="1288" spans="1:71" s="192" customFormat="1" ht="15">
      <c r="A1288" s="888" t="s">
        <v>45</v>
      </c>
      <c r="B1288" s="141" t="s">
        <v>47</v>
      </c>
      <c r="C1288" s="1308">
        <f>CEILING((C1286*0.95),0.1)</f>
        <v>55.900000000000006</v>
      </c>
      <c r="D1288" s="1309"/>
      <c r="E1288" s="1308">
        <f>CEILING((E1286*0.95),0.1)</f>
        <v>85.5</v>
      </c>
      <c r="F1288" s="1309"/>
      <c r="G1288" s="1308">
        <f>CEILING((G1286*0.95),0.1)</f>
        <v>66.5</v>
      </c>
      <c r="H1288" s="1309"/>
      <c r="I1288" s="1308">
        <f>CEILING((I1286*0.95),0.1)</f>
        <v>71.3</v>
      </c>
      <c r="J1288" s="1309"/>
      <c r="K1288" s="1268">
        <f>CEILING((K1286*0.95),0.1)</f>
        <v>61.800000000000004</v>
      </c>
      <c r="L1288" s="1270"/>
      <c r="M1288" s="342"/>
      <c r="N1288" s="389"/>
      <c r="O1288" s="335"/>
      <c r="P1288" s="335"/>
      <c r="Q1288" s="335"/>
      <c r="R1288" s="335"/>
      <c r="S1288" s="335"/>
      <c r="T1288" s="335"/>
      <c r="U1288" s="335"/>
      <c r="V1288" s="335"/>
      <c r="W1288" s="335"/>
      <c r="X1288" s="335"/>
      <c r="Y1288" s="335"/>
      <c r="Z1288" s="335"/>
      <c r="AA1288" s="335"/>
      <c r="AB1288" s="335"/>
      <c r="AC1288" s="335"/>
      <c r="AD1288" s="335"/>
      <c r="AE1288" s="335"/>
      <c r="AF1288" s="335"/>
      <c r="AG1288" s="335"/>
      <c r="AH1288" s="335"/>
      <c r="AI1288" s="335"/>
      <c r="AJ1288" s="335"/>
      <c r="AK1288" s="335"/>
      <c r="AL1288" s="335"/>
      <c r="AM1288" s="335"/>
      <c r="AN1288" s="335"/>
      <c r="AO1288" s="335"/>
      <c r="AP1288" s="335"/>
      <c r="AQ1288" s="335"/>
      <c r="AR1288" s="335"/>
      <c r="AS1288" s="335"/>
      <c r="AT1288" s="335"/>
      <c r="AU1288" s="335"/>
      <c r="AV1288" s="335"/>
      <c r="AW1288" s="335"/>
      <c r="AX1288" s="335"/>
      <c r="AY1288" s="335"/>
      <c r="AZ1288" s="335"/>
      <c r="BA1288" s="335"/>
      <c r="BB1288" s="335"/>
      <c r="BC1288" s="335"/>
      <c r="BD1288" s="335"/>
      <c r="BE1288" s="335"/>
      <c r="BF1288" s="335"/>
      <c r="BG1288" s="335"/>
      <c r="BH1288" s="335"/>
      <c r="BI1288" s="335"/>
      <c r="BJ1288" s="335"/>
      <c r="BK1288" s="335"/>
      <c r="BL1288" s="335"/>
      <c r="BM1288" s="335"/>
      <c r="BN1288" s="335"/>
      <c r="BO1288" s="335"/>
      <c r="BP1288" s="335"/>
      <c r="BQ1288" s="335"/>
      <c r="BR1288" s="335"/>
      <c r="BS1288" s="335"/>
    </row>
    <row r="1289" spans="1:71" s="192" customFormat="1" ht="15">
      <c r="A1289" s="579"/>
      <c r="B1289" s="143" t="s">
        <v>2</v>
      </c>
      <c r="C1289" s="1308">
        <f>CEILING(62*$Z$1,0.1)</f>
        <v>77.5</v>
      </c>
      <c r="D1289" s="1309"/>
      <c r="E1289" s="1308">
        <f>CEILING(87*$Z$1,0.1)</f>
        <v>108.80000000000001</v>
      </c>
      <c r="F1289" s="1309"/>
      <c r="G1289" s="1308">
        <f>CEILING(71*$Z$1,0.1)</f>
        <v>88.80000000000001</v>
      </c>
      <c r="H1289" s="1309"/>
      <c r="I1289" s="1308">
        <f>CEILING(75*$Z$1,0.1)</f>
        <v>93.80000000000001</v>
      </c>
      <c r="J1289" s="1309"/>
      <c r="K1289" s="1268">
        <f>CEILING(67*$Z$1,0.1)</f>
        <v>83.80000000000001</v>
      </c>
      <c r="L1289" s="1270"/>
      <c r="M1289" s="342"/>
      <c r="N1289" s="389"/>
      <c r="O1289" s="335"/>
      <c r="P1289" s="335"/>
      <c r="Q1289" s="335"/>
      <c r="R1289" s="335"/>
      <c r="S1289" s="335"/>
      <c r="T1289" s="335"/>
      <c r="U1289" s="335"/>
      <c r="V1289" s="335"/>
      <c r="W1289" s="335"/>
      <c r="X1289" s="335"/>
      <c r="Y1289" s="335"/>
      <c r="Z1289" s="335"/>
      <c r="AA1289" s="335"/>
      <c r="AB1289" s="335"/>
      <c r="AC1289" s="335"/>
      <c r="AD1289" s="335"/>
      <c r="AE1289" s="335"/>
      <c r="AF1289" s="335"/>
      <c r="AG1289" s="335"/>
      <c r="AH1289" s="335"/>
      <c r="AI1289" s="335"/>
      <c r="AJ1289" s="335"/>
      <c r="AK1289" s="335"/>
      <c r="AL1289" s="335"/>
      <c r="AM1289" s="335"/>
      <c r="AN1289" s="335"/>
      <c r="AO1289" s="335"/>
      <c r="AP1289" s="335"/>
      <c r="AQ1289" s="335"/>
      <c r="AR1289" s="335"/>
      <c r="AS1289" s="335"/>
      <c r="AT1289" s="335"/>
      <c r="AU1289" s="335"/>
      <c r="AV1289" s="335"/>
      <c r="AW1289" s="335"/>
      <c r="AX1289" s="335"/>
      <c r="AY1289" s="335"/>
      <c r="AZ1289" s="335"/>
      <c r="BA1289" s="335"/>
      <c r="BB1289" s="335"/>
      <c r="BC1289" s="335"/>
      <c r="BD1289" s="335"/>
      <c r="BE1289" s="335"/>
      <c r="BF1289" s="335"/>
      <c r="BG1289" s="335"/>
      <c r="BH1289" s="335"/>
      <c r="BI1289" s="335"/>
      <c r="BJ1289" s="335"/>
      <c r="BK1289" s="335"/>
      <c r="BL1289" s="335"/>
      <c r="BM1289" s="335"/>
      <c r="BN1289" s="335"/>
      <c r="BO1289" s="335"/>
      <c r="BP1289" s="335"/>
      <c r="BQ1289" s="335"/>
      <c r="BR1289" s="335"/>
      <c r="BS1289" s="335"/>
    </row>
    <row r="1290" spans="1:71" s="192" customFormat="1" ht="15">
      <c r="A1290" s="718"/>
      <c r="B1290" s="291" t="s">
        <v>3</v>
      </c>
      <c r="C1290" s="1308">
        <f>CEILING((C1289+31*$Z$1),0.1)</f>
        <v>116.30000000000001</v>
      </c>
      <c r="D1290" s="1309"/>
      <c r="E1290" s="1308">
        <f>CEILING((E1289+43.5*$Z$1),0.1)</f>
        <v>163.20000000000002</v>
      </c>
      <c r="F1290" s="1310"/>
      <c r="G1290" s="1308">
        <f>CEILING((G1289+35.5*$Z$1),0.1)</f>
        <v>133.20000000000002</v>
      </c>
      <c r="H1290" s="1310"/>
      <c r="I1290" s="1308">
        <f>CEILING((I1289+37.5*$Z$1),0.1)</f>
        <v>140.70000000000002</v>
      </c>
      <c r="J1290" s="1310"/>
      <c r="K1290" s="1268">
        <f>CEILING((K1289+33.5*$Z$1),0.1)</f>
        <v>125.7</v>
      </c>
      <c r="L1290" s="1314"/>
      <c r="M1290" s="342"/>
      <c r="N1290" s="389"/>
      <c r="O1290" s="335"/>
      <c r="P1290" s="335"/>
      <c r="Q1290" s="335"/>
      <c r="R1290" s="335"/>
      <c r="S1290" s="335"/>
      <c r="T1290" s="335"/>
      <c r="U1290" s="335"/>
      <c r="V1290" s="335"/>
      <c r="W1290" s="335"/>
      <c r="X1290" s="335"/>
      <c r="Y1290" s="335"/>
      <c r="Z1290" s="335"/>
      <c r="AA1290" s="335"/>
      <c r="AB1290" s="335"/>
      <c r="AC1290" s="335"/>
      <c r="AD1290" s="335"/>
      <c r="AE1290" s="335"/>
      <c r="AF1290" s="335"/>
      <c r="AG1290" s="335"/>
      <c r="AH1290" s="335"/>
      <c r="AI1290" s="335"/>
      <c r="AJ1290" s="335"/>
      <c r="AK1290" s="335"/>
      <c r="AL1290" s="335"/>
      <c r="AM1290" s="335"/>
      <c r="AN1290" s="335"/>
      <c r="AO1290" s="335"/>
      <c r="AP1290" s="335"/>
      <c r="AQ1290" s="335"/>
      <c r="AR1290" s="335"/>
      <c r="AS1290" s="335"/>
      <c r="AT1290" s="335"/>
      <c r="AU1290" s="335"/>
      <c r="AV1290" s="335"/>
      <c r="AW1290" s="335"/>
      <c r="AX1290" s="335"/>
      <c r="AY1290" s="335"/>
      <c r="AZ1290" s="335"/>
      <c r="BA1290" s="335"/>
      <c r="BB1290" s="335"/>
      <c r="BC1290" s="335"/>
      <c r="BD1290" s="335"/>
      <c r="BE1290" s="335"/>
      <c r="BF1290" s="335"/>
      <c r="BG1290" s="335"/>
      <c r="BH1290" s="335"/>
      <c r="BI1290" s="335"/>
      <c r="BJ1290" s="335"/>
      <c r="BK1290" s="335"/>
      <c r="BL1290" s="335"/>
      <c r="BM1290" s="335"/>
      <c r="BN1290" s="335"/>
      <c r="BO1290" s="335"/>
      <c r="BP1290" s="335"/>
      <c r="BQ1290" s="335"/>
      <c r="BR1290" s="335"/>
      <c r="BS1290" s="335"/>
    </row>
    <row r="1291" spans="1:71" s="192" customFormat="1" ht="15">
      <c r="A1291" s="718" t="s">
        <v>1283</v>
      </c>
      <c r="B1291" s="147" t="s">
        <v>1092</v>
      </c>
      <c r="C1291" s="1308">
        <f>CEILING(82*$Z$1,0.1)</f>
        <v>102.5</v>
      </c>
      <c r="D1291" s="1309"/>
      <c r="E1291" s="1308">
        <f>CEILING(107*$Z$1,0.1)</f>
        <v>133.8</v>
      </c>
      <c r="F1291" s="1309"/>
      <c r="G1291" s="1308">
        <f>CEILING(91*$Z$1,0.1)</f>
        <v>113.80000000000001</v>
      </c>
      <c r="H1291" s="1309"/>
      <c r="I1291" s="1308">
        <f>CEILING(95*$Z$1,0.1)</f>
        <v>118.80000000000001</v>
      </c>
      <c r="J1291" s="1309"/>
      <c r="K1291" s="1268">
        <f>CEILING(87*$Z$1,0.1)</f>
        <v>108.80000000000001</v>
      </c>
      <c r="L1291" s="1270"/>
      <c r="M1291" s="342"/>
      <c r="N1291" s="389"/>
      <c r="O1291" s="335"/>
      <c r="P1291" s="335"/>
      <c r="Q1291" s="335"/>
      <c r="R1291" s="335"/>
      <c r="S1291" s="335"/>
      <c r="T1291" s="335"/>
      <c r="U1291" s="335"/>
      <c r="V1291" s="335"/>
      <c r="W1291" s="335"/>
      <c r="X1291" s="335"/>
      <c r="Y1291" s="335"/>
      <c r="Z1291" s="335"/>
      <c r="AA1291" s="335"/>
      <c r="AB1291" s="335"/>
      <c r="AC1291" s="335"/>
      <c r="AD1291" s="335"/>
      <c r="AE1291" s="335"/>
      <c r="AF1291" s="335"/>
      <c r="AG1291" s="335"/>
      <c r="AH1291" s="335"/>
      <c r="AI1291" s="335"/>
      <c r="AJ1291" s="335"/>
      <c r="AK1291" s="335"/>
      <c r="AL1291" s="335"/>
      <c r="AM1291" s="335"/>
      <c r="AN1291" s="335"/>
      <c r="AO1291" s="335"/>
      <c r="AP1291" s="335"/>
      <c r="AQ1291" s="335"/>
      <c r="AR1291" s="335"/>
      <c r="AS1291" s="335"/>
      <c r="AT1291" s="335"/>
      <c r="AU1291" s="335"/>
      <c r="AV1291" s="335"/>
      <c r="AW1291" s="335"/>
      <c r="AX1291" s="335"/>
      <c r="AY1291" s="335"/>
      <c r="AZ1291" s="335"/>
      <c r="BA1291" s="335"/>
      <c r="BB1291" s="335"/>
      <c r="BC1291" s="335"/>
      <c r="BD1291" s="335"/>
      <c r="BE1291" s="335"/>
      <c r="BF1291" s="335"/>
      <c r="BG1291" s="335"/>
      <c r="BH1291" s="335"/>
      <c r="BI1291" s="335"/>
      <c r="BJ1291" s="335"/>
      <c r="BK1291" s="335"/>
      <c r="BL1291" s="335"/>
      <c r="BM1291" s="335"/>
      <c r="BN1291" s="335"/>
      <c r="BO1291" s="335"/>
      <c r="BP1291" s="335"/>
      <c r="BQ1291" s="335"/>
      <c r="BR1291" s="335"/>
      <c r="BS1291" s="335"/>
    </row>
    <row r="1292" spans="1:71" s="192" customFormat="1" ht="15">
      <c r="A1292" s="579"/>
      <c r="B1292" s="147" t="s">
        <v>1093</v>
      </c>
      <c r="C1292" s="1308">
        <f>CEILING(112*$Z$1,0.1)</f>
        <v>140</v>
      </c>
      <c r="D1292" s="1309"/>
      <c r="E1292" s="1308">
        <f>CEILING(137*$Z$1,0.1)</f>
        <v>171.3</v>
      </c>
      <c r="F1292" s="1309"/>
      <c r="G1292" s="1308">
        <f>CEILING(121*$Z$1,0.1)</f>
        <v>151.3</v>
      </c>
      <c r="H1292" s="1309"/>
      <c r="I1292" s="1308">
        <f>CEILING(125*$Z$1,0.1)</f>
        <v>156.3</v>
      </c>
      <c r="J1292" s="1309"/>
      <c r="K1292" s="1268">
        <f>CEILING(117*$Z$1,0.1)</f>
        <v>146.3</v>
      </c>
      <c r="L1292" s="1270"/>
      <c r="M1292" s="342"/>
      <c r="N1292" s="389"/>
      <c r="O1292" s="335"/>
      <c r="P1292" s="335"/>
      <c r="Q1292" s="335"/>
      <c r="R1292" s="335"/>
      <c r="S1292" s="335"/>
      <c r="T1292" s="335"/>
      <c r="U1292" s="335"/>
      <c r="V1292" s="335"/>
      <c r="W1292" s="335"/>
      <c r="X1292" s="335"/>
      <c r="Y1292" s="335"/>
      <c r="Z1292" s="335"/>
      <c r="AA1292" s="335"/>
      <c r="AB1292" s="335"/>
      <c r="AC1292" s="335"/>
      <c r="AD1292" s="335"/>
      <c r="AE1292" s="335"/>
      <c r="AF1292" s="335"/>
      <c r="AG1292" s="335"/>
      <c r="AH1292" s="335"/>
      <c r="AI1292" s="335"/>
      <c r="AJ1292" s="335"/>
      <c r="AK1292" s="335"/>
      <c r="AL1292" s="335"/>
      <c r="AM1292" s="335"/>
      <c r="AN1292" s="335"/>
      <c r="AO1292" s="335"/>
      <c r="AP1292" s="335"/>
      <c r="AQ1292" s="335"/>
      <c r="AR1292" s="335"/>
      <c r="AS1292" s="335"/>
      <c r="AT1292" s="335"/>
      <c r="AU1292" s="335"/>
      <c r="AV1292" s="335"/>
      <c r="AW1292" s="335"/>
      <c r="AX1292" s="335"/>
      <c r="AY1292" s="335"/>
      <c r="AZ1292" s="335"/>
      <c r="BA1292" s="335"/>
      <c r="BB1292" s="335"/>
      <c r="BC1292" s="335"/>
      <c r="BD1292" s="335"/>
      <c r="BE1292" s="335"/>
      <c r="BF1292" s="335"/>
      <c r="BG1292" s="335"/>
      <c r="BH1292" s="335"/>
      <c r="BI1292" s="335"/>
      <c r="BJ1292" s="335"/>
      <c r="BK1292" s="335"/>
      <c r="BL1292" s="335"/>
      <c r="BM1292" s="335"/>
      <c r="BN1292" s="335"/>
      <c r="BO1292" s="335"/>
      <c r="BP1292" s="335"/>
      <c r="BQ1292" s="335"/>
      <c r="BR1292" s="335"/>
      <c r="BS1292" s="335"/>
    </row>
    <row r="1293" spans="1:71" s="667" customFormat="1" ht="17.25" customHeight="1">
      <c r="A1293" s="950" t="s">
        <v>843</v>
      </c>
      <c r="B1293" s="951" t="s">
        <v>1094</v>
      </c>
      <c r="C1293" s="1296">
        <f>CEILING(162*$Z$1,0.1)</f>
        <v>202.5</v>
      </c>
      <c r="D1293" s="1297"/>
      <c r="E1293" s="1296">
        <f>CEILING(187*$Z$1,0.1)</f>
        <v>233.8</v>
      </c>
      <c r="F1293" s="1297"/>
      <c r="G1293" s="1296">
        <f>CEILING(171*$Z$1,0.1)</f>
        <v>213.8</v>
      </c>
      <c r="H1293" s="1297"/>
      <c r="I1293" s="1296">
        <f>CEILING(175*$Z$1,0.1)</f>
        <v>218.8</v>
      </c>
      <c r="J1293" s="1297"/>
      <c r="K1293" s="1284">
        <f>CEILING(167*$Z$1,0.1)</f>
        <v>208.8</v>
      </c>
      <c r="L1293" s="1285"/>
      <c r="M1293" s="342"/>
      <c r="N1293" s="389"/>
      <c r="O1293" s="335"/>
      <c r="P1293" s="335"/>
      <c r="Q1293" s="335"/>
      <c r="R1293" s="335"/>
      <c r="S1293" s="335"/>
      <c r="T1293" s="335"/>
      <c r="U1293" s="335"/>
      <c r="V1293" s="335"/>
      <c r="W1293" s="335"/>
      <c r="X1293" s="335"/>
      <c r="Y1293" s="335"/>
      <c r="Z1293" s="335"/>
      <c r="AA1293" s="335"/>
      <c r="AB1293" s="335"/>
      <c r="AC1293" s="335"/>
      <c r="AD1293" s="335"/>
      <c r="AE1293" s="335"/>
      <c r="AF1293" s="335"/>
      <c r="AG1293" s="335"/>
      <c r="AH1293" s="335"/>
      <c r="AI1293" s="335"/>
      <c r="AJ1293" s="335"/>
      <c r="AK1293" s="335"/>
      <c r="AL1293" s="335"/>
      <c r="AM1293" s="335"/>
      <c r="AN1293" s="335"/>
      <c r="AO1293" s="335"/>
      <c r="AP1293" s="335"/>
      <c r="AQ1293" s="335"/>
      <c r="AR1293" s="335"/>
      <c r="AS1293" s="335"/>
      <c r="AT1293" s="335"/>
      <c r="AU1293" s="335"/>
      <c r="AV1293" s="335"/>
      <c r="AW1293" s="335"/>
      <c r="AX1293" s="335"/>
      <c r="AY1293" s="335"/>
      <c r="AZ1293" s="335"/>
      <c r="BA1293" s="335"/>
      <c r="BB1293" s="335"/>
      <c r="BC1293" s="335"/>
      <c r="BD1293" s="335"/>
      <c r="BE1293" s="335"/>
      <c r="BF1293" s="335"/>
      <c r="BG1293" s="335"/>
      <c r="BH1293" s="335"/>
      <c r="BI1293" s="335"/>
      <c r="BJ1293" s="335"/>
      <c r="BK1293" s="335"/>
      <c r="BL1293" s="335"/>
      <c r="BM1293" s="335"/>
      <c r="BN1293" s="335"/>
      <c r="BO1293" s="335"/>
      <c r="BP1293" s="335"/>
      <c r="BQ1293" s="335"/>
      <c r="BR1293" s="335"/>
      <c r="BS1293" s="335"/>
    </row>
    <row r="1294" spans="1:14" s="937" customFormat="1" ht="18" customHeight="1">
      <c r="A1294" s="897" t="s">
        <v>841</v>
      </c>
      <c r="B1294" s="897"/>
      <c r="C1294" s="897"/>
      <c r="D1294" s="897"/>
      <c r="E1294" s="897"/>
      <c r="F1294" s="897"/>
      <c r="G1294" s="897"/>
      <c r="H1294" s="897"/>
      <c r="I1294" s="897"/>
      <c r="J1294" s="897"/>
      <c r="K1294" s="960"/>
      <c r="L1294" s="960"/>
      <c r="M1294" s="1016"/>
      <c r="N1294" s="947"/>
    </row>
    <row r="1295" spans="1:58" s="776" customFormat="1" ht="15" customHeight="1">
      <c r="A1295" s="1306"/>
      <c r="B1295" s="1307"/>
      <c r="C1295" s="1307"/>
      <c r="D1295" s="1307"/>
      <c r="E1295" s="1307"/>
      <c r="F1295" s="1307"/>
      <c r="G1295" s="1307"/>
      <c r="H1295" s="1307"/>
      <c r="I1295" s="1307"/>
      <c r="J1295" s="1307"/>
      <c r="K1295" s="775"/>
      <c r="L1295" s="775"/>
      <c r="M1295" s="335"/>
      <c r="N1295" s="335"/>
      <c r="O1295" s="335"/>
      <c r="P1295" s="335"/>
      <c r="Q1295" s="335"/>
      <c r="R1295" s="335"/>
      <c r="S1295" s="335"/>
      <c r="T1295" s="335"/>
      <c r="U1295" s="335"/>
      <c r="V1295" s="335"/>
      <c r="W1295" s="335"/>
      <c r="X1295" s="335"/>
      <c r="Y1295" s="335"/>
      <c r="Z1295" s="335"/>
      <c r="AA1295" s="335"/>
      <c r="AB1295" s="335"/>
      <c r="AC1295" s="335"/>
      <c r="AD1295" s="335"/>
      <c r="AE1295" s="335"/>
      <c r="AF1295" s="335"/>
      <c r="AG1295" s="335"/>
      <c r="AH1295" s="335"/>
      <c r="AI1295" s="335"/>
      <c r="AJ1295" s="335"/>
      <c r="AK1295" s="335"/>
      <c r="AL1295" s="335"/>
      <c r="AM1295" s="335"/>
      <c r="AN1295" s="335"/>
      <c r="AO1295" s="335"/>
      <c r="AP1295" s="335"/>
      <c r="AQ1295" s="335"/>
      <c r="AR1295" s="335"/>
      <c r="AS1295" s="335"/>
      <c r="AT1295" s="335"/>
      <c r="AU1295" s="335"/>
      <c r="AV1295" s="335"/>
      <c r="AW1295" s="335"/>
      <c r="AX1295" s="335"/>
      <c r="AY1295" s="335"/>
      <c r="AZ1295" s="335"/>
      <c r="BA1295" s="335"/>
      <c r="BB1295" s="335"/>
      <c r="BC1295" s="335"/>
      <c r="BD1295" s="335"/>
      <c r="BE1295" s="335"/>
      <c r="BF1295" s="335"/>
    </row>
    <row r="1296" spans="1:12" s="335" customFormat="1" ht="15" customHeight="1">
      <c r="A1296" s="1144"/>
      <c r="B1296" s="1143"/>
      <c r="C1296" s="1143"/>
      <c r="D1296" s="1143"/>
      <c r="E1296" s="1143"/>
      <c r="F1296" s="1143"/>
      <c r="G1296" s="1143"/>
      <c r="H1296" s="1143"/>
      <c r="I1296" s="1143"/>
      <c r="J1296" s="1143"/>
      <c r="K1296" s="347"/>
      <c r="L1296" s="347"/>
    </row>
    <row r="1297" spans="1:25" s="479" customFormat="1" ht="18" customHeight="1">
      <c r="A1297" s="1300" t="s">
        <v>1236</v>
      </c>
      <c r="B1297" s="1300"/>
      <c r="C1297" s="1300"/>
      <c r="D1297" s="1300"/>
      <c r="E1297" s="1300"/>
      <c r="F1297" s="1300"/>
      <c r="G1297" s="1300"/>
      <c r="H1297" s="1300"/>
      <c r="I1297" s="1301"/>
      <c r="J1297" s="116"/>
      <c r="K1297" s="313"/>
      <c r="L1297" s="94"/>
      <c r="M1297" s="25"/>
      <c r="N1297" s="61"/>
      <c r="O1297" s="480"/>
      <c r="P1297" s="480"/>
      <c r="Q1297" s="480"/>
      <c r="R1297" s="480"/>
      <c r="S1297" s="480"/>
      <c r="T1297" s="480"/>
      <c r="U1297" s="480"/>
      <c r="V1297" s="480"/>
      <c r="W1297" s="480"/>
      <c r="X1297" s="480"/>
      <c r="Y1297" s="480"/>
    </row>
    <row r="1298" spans="1:25" s="479" customFormat="1" ht="18" customHeight="1">
      <c r="A1298" s="1300" t="s">
        <v>1237</v>
      </c>
      <c r="B1298" s="1300"/>
      <c r="C1298" s="1300"/>
      <c r="D1298" s="1300"/>
      <c r="E1298" s="1300"/>
      <c r="F1298" s="1300"/>
      <c r="G1298" s="1300"/>
      <c r="H1298" s="1300"/>
      <c r="I1298" s="396"/>
      <c r="J1298" s="116"/>
      <c r="K1298" s="313"/>
      <c r="L1298" s="94"/>
      <c r="M1298" s="25"/>
      <c r="N1298" s="61"/>
      <c r="O1298" s="480"/>
      <c r="P1298" s="480"/>
      <c r="Q1298" s="480"/>
      <c r="R1298" s="480"/>
      <c r="S1298" s="480"/>
      <c r="T1298" s="480"/>
      <c r="U1298" s="480"/>
      <c r="V1298" s="480"/>
      <c r="W1298" s="480"/>
      <c r="X1298" s="480"/>
      <c r="Y1298" s="480"/>
    </row>
    <row r="1299" spans="1:25" s="479" customFormat="1" ht="18" customHeight="1">
      <c r="A1299" s="172"/>
      <c r="B1299" s="858"/>
      <c r="C1299" s="22"/>
      <c r="D1299" s="22"/>
      <c r="E1299" s="22"/>
      <c r="F1299" s="22"/>
      <c r="G1299" s="22"/>
      <c r="H1299" s="22"/>
      <c r="I1299" s="22"/>
      <c r="J1299" s="22"/>
      <c r="K1299" s="166"/>
      <c r="L1299" s="166"/>
      <c r="M1299" s="3"/>
      <c r="N1299" s="3"/>
      <c r="O1299" s="480"/>
      <c r="P1299" s="480"/>
      <c r="Q1299" s="480"/>
      <c r="R1299" s="480"/>
      <c r="S1299" s="480"/>
      <c r="T1299" s="480"/>
      <c r="U1299" s="480"/>
      <c r="V1299" s="480"/>
      <c r="W1299" s="480"/>
      <c r="X1299" s="480"/>
      <c r="Y1299" s="480"/>
    </row>
    <row r="1300" spans="1:15" ht="15" customHeight="1">
      <c r="A1300" s="1543" t="s">
        <v>130</v>
      </c>
      <c r="B1300" s="1543"/>
      <c r="C1300" s="1543"/>
      <c r="D1300" s="1543"/>
      <c r="E1300" s="1543"/>
      <c r="F1300" s="1543"/>
      <c r="G1300" s="1543"/>
      <c r="H1300" s="1543"/>
      <c r="I1300" s="1543"/>
      <c r="J1300" s="1543"/>
      <c r="K1300" s="313"/>
      <c r="L1300" s="94"/>
      <c r="M1300" s="20"/>
      <c r="N1300" s="234"/>
      <c r="O1300" s="481"/>
    </row>
    <row r="1301" spans="1:25" s="479" customFormat="1" ht="15" customHeight="1" thickBot="1">
      <c r="A1301" s="690"/>
      <c r="B1301" s="690"/>
      <c r="C1301" s="690"/>
      <c r="D1301" s="690"/>
      <c r="E1301" s="690"/>
      <c r="F1301" s="690"/>
      <c r="G1301" s="690"/>
      <c r="H1301" s="690"/>
      <c r="I1301" s="690"/>
      <c r="J1301" s="690"/>
      <c r="K1301" s="313"/>
      <c r="L1301" s="94"/>
      <c r="M1301" s="20"/>
      <c r="N1301" s="158"/>
      <c r="O1301" s="480"/>
      <c r="P1301" s="480"/>
      <c r="Q1301" s="480"/>
      <c r="R1301" s="480"/>
      <c r="S1301" s="480"/>
      <c r="T1301" s="480"/>
      <c r="U1301" s="480"/>
      <c r="V1301" s="480"/>
      <c r="W1301" s="480"/>
      <c r="X1301" s="480"/>
      <c r="Y1301" s="480"/>
    </row>
    <row r="1302" spans="1:41" s="672" customFormat="1" ht="21" customHeight="1" thickTop="1">
      <c r="A1302" s="746" t="s">
        <v>43</v>
      </c>
      <c r="B1302" s="814" t="s">
        <v>1105</v>
      </c>
      <c r="C1302" s="747" t="s">
        <v>1132</v>
      </c>
      <c r="D1302" s="748"/>
      <c r="E1302" s="749" t="s">
        <v>1133</v>
      </c>
      <c r="F1302" s="750"/>
      <c r="G1302" s="749" t="s">
        <v>1134</v>
      </c>
      <c r="H1302" s="750"/>
      <c r="I1302" s="1273" t="s">
        <v>1135</v>
      </c>
      <c r="J1302" s="1274"/>
      <c r="K1302" s="1280" t="s">
        <v>1136</v>
      </c>
      <c r="L1302" s="1281"/>
      <c r="M1302" s="947"/>
      <c r="N1302" s="947"/>
      <c r="O1302" s="331"/>
      <c r="P1302" s="331"/>
      <c r="Q1302" s="331"/>
      <c r="R1302" s="331"/>
      <c r="S1302" s="331"/>
      <c r="T1302" s="331"/>
      <c r="U1302" s="331"/>
      <c r="V1302" s="331"/>
      <c r="W1302" s="331"/>
      <c r="X1302" s="331"/>
      <c r="Y1302" s="331"/>
      <c r="Z1302" s="331"/>
      <c r="AA1302" s="331"/>
      <c r="AB1302" s="331"/>
      <c r="AC1302" s="331"/>
      <c r="AD1302" s="331"/>
      <c r="AE1302" s="331"/>
      <c r="AF1302" s="331"/>
      <c r="AG1302" s="331"/>
      <c r="AH1302" s="331"/>
      <c r="AI1302" s="331"/>
      <c r="AJ1302" s="331"/>
      <c r="AK1302" s="331"/>
      <c r="AL1302" s="331"/>
      <c r="AM1302" s="331"/>
      <c r="AN1302" s="331"/>
      <c r="AO1302" s="331"/>
    </row>
    <row r="1303" spans="1:25" s="479" customFormat="1" ht="17.25" customHeight="1">
      <c r="A1303" s="198" t="s">
        <v>857</v>
      </c>
      <c r="B1303" s="40" t="s">
        <v>860</v>
      </c>
      <c r="C1303" s="1266">
        <f>CEILING(160*$Z$1,0.1)</f>
        <v>200</v>
      </c>
      <c r="D1303" s="1267"/>
      <c r="E1303" s="1268">
        <f>CEILING(225*$Z$1,0.1)</f>
        <v>281.3</v>
      </c>
      <c r="F1303" s="1269"/>
      <c r="G1303" s="1268">
        <f>CEILING(200*$Z$1,0.1)</f>
        <v>250</v>
      </c>
      <c r="H1303" s="1269"/>
      <c r="I1303" s="1268">
        <f>CEILING(160*$Z$1,0.1)</f>
        <v>200</v>
      </c>
      <c r="J1303" s="1269"/>
      <c r="K1303" s="1268">
        <f>CEILING(145*$Z$1,0.1)</f>
        <v>181.3</v>
      </c>
      <c r="L1303" s="1269"/>
      <c r="M1303" s="21"/>
      <c r="N1303" s="158"/>
      <c r="O1303" s="480"/>
      <c r="P1303" s="480"/>
      <c r="Q1303" s="480"/>
      <c r="R1303" s="480"/>
      <c r="S1303" s="480"/>
      <c r="T1303" s="480"/>
      <c r="U1303" s="480"/>
      <c r="V1303" s="480"/>
      <c r="W1303" s="480"/>
      <c r="X1303" s="480"/>
      <c r="Y1303" s="480"/>
    </row>
    <row r="1304" spans="1:25" s="479" customFormat="1" ht="17.25" customHeight="1">
      <c r="A1304" s="223" t="s">
        <v>858</v>
      </c>
      <c r="B1304" s="12" t="s">
        <v>861</v>
      </c>
      <c r="C1304" s="1268">
        <f>CEILING(320*$Z$1,0.1)</f>
        <v>400</v>
      </c>
      <c r="D1304" s="1270"/>
      <c r="E1304" s="1268">
        <f>CEILING(450*$Z$1,0.1)</f>
        <v>562.5</v>
      </c>
      <c r="F1304" s="1270"/>
      <c r="G1304" s="1268">
        <f>CEILING(400*$Z$1,0.1)</f>
        <v>500</v>
      </c>
      <c r="H1304" s="1270"/>
      <c r="I1304" s="1268">
        <f>CEILING(320*$Z$1,0.1)</f>
        <v>400</v>
      </c>
      <c r="J1304" s="1270"/>
      <c r="K1304" s="1268">
        <f>CEILING(290*$Z$1,0.1)</f>
        <v>362.5</v>
      </c>
      <c r="L1304" s="1270"/>
      <c r="M1304" s="21"/>
      <c r="N1304" s="158"/>
      <c r="O1304" s="480"/>
      <c r="P1304" s="480"/>
      <c r="Q1304" s="480"/>
      <c r="R1304" s="480"/>
      <c r="S1304" s="480"/>
      <c r="T1304" s="480"/>
      <c r="U1304" s="480"/>
      <c r="V1304" s="480"/>
      <c r="W1304" s="480"/>
      <c r="X1304" s="480"/>
      <c r="Y1304" s="480"/>
    </row>
    <row r="1305" spans="1:25" s="479" customFormat="1" ht="17.25" customHeight="1">
      <c r="A1305" s="223"/>
      <c r="B1305" s="12" t="s">
        <v>862</v>
      </c>
      <c r="C1305" s="1268">
        <f>CEILING(175*$Z$1,0.1)</f>
        <v>218.8</v>
      </c>
      <c r="D1305" s="1270"/>
      <c r="E1305" s="1268">
        <f>CEILING(245*$Z$1,0.1)</f>
        <v>306.3</v>
      </c>
      <c r="F1305" s="1269"/>
      <c r="G1305" s="1268">
        <f>CEILING(220*$Z$1,0.1)</f>
        <v>275</v>
      </c>
      <c r="H1305" s="1269"/>
      <c r="I1305" s="1268">
        <f>CEILING(175*$Z$1,0.1)</f>
        <v>218.8</v>
      </c>
      <c r="J1305" s="1269"/>
      <c r="K1305" s="1268">
        <f>CEILING(165*$Z$1,0.1)</f>
        <v>206.3</v>
      </c>
      <c r="L1305" s="1269"/>
      <c r="M1305" s="21"/>
      <c r="N1305" s="158"/>
      <c r="O1305" s="480"/>
      <c r="P1305" s="480"/>
      <c r="Q1305" s="480"/>
      <c r="R1305" s="480"/>
      <c r="S1305" s="480"/>
      <c r="T1305" s="480"/>
      <c r="U1305" s="480"/>
      <c r="V1305" s="480"/>
      <c r="W1305" s="480"/>
      <c r="X1305" s="480"/>
      <c r="Y1305" s="480"/>
    </row>
    <row r="1306" spans="1:25" s="479" customFormat="1" ht="17.25" customHeight="1">
      <c r="A1306" s="728" t="s">
        <v>859</v>
      </c>
      <c r="B1306" s="12" t="s">
        <v>863</v>
      </c>
      <c r="C1306" s="1268">
        <f>CEILING(350*$Z$1,0.1)</f>
        <v>437.5</v>
      </c>
      <c r="D1306" s="1270"/>
      <c r="E1306" s="1268">
        <f>CEILING(490*$Z$1,0.1)</f>
        <v>612.5</v>
      </c>
      <c r="F1306" s="1270"/>
      <c r="G1306" s="1268">
        <f>CEILING(440*$Z$1,0.1)</f>
        <v>550</v>
      </c>
      <c r="H1306" s="1270"/>
      <c r="I1306" s="1268">
        <f>CEILING(350*$Z$1,0.1)</f>
        <v>437.5</v>
      </c>
      <c r="J1306" s="1270"/>
      <c r="K1306" s="1268">
        <f>CEILING(330*$Z$1,0.1)</f>
        <v>412.5</v>
      </c>
      <c r="L1306" s="1270"/>
      <c r="M1306" s="21"/>
      <c r="N1306" s="158"/>
      <c r="O1306" s="480"/>
      <c r="P1306" s="480"/>
      <c r="Q1306" s="480"/>
      <c r="R1306" s="480"/>
      <c r="S1306" s="480"/>
      <c r="T1306" s="480"/>
      <c r="U1306" s="480"/>
      <c r="V1306" s="480"/>
      <c r="W1306" s="480"/>
      <c r="X1306" s="480"/>
      <c r="Y1306" s="480"/>
    </row>
    <row r="1307" spans="1:25" s="479" customFormat="1" ht="17.25" customHeight="1">
      <c r="A1307" s="223"/>
      <c r="B1307" s="12" t="s">
        <v>864</v>
      </c>
      <c r="C1307" s="1268">
        <f>CEILING(500*$Z$1,0.1)</f>
        <v>625</v>
      </c>
      <c r="D1307" s="1270"/>
      <c r="E1307" s="1268">
        <f>CEILING(800*$Z$1,0.1)</f>
        <v>1000</v>
      </c>
      <c r="F1307" s="1269"/>
      <c r="G1307" s="1268">
        <f>CEILING(700*$Z$1,0.1)</f>
        <v>875</v>
      </c>
      <c r="H1307" s="1269"/>
      <c r="I1307" s="1268">
        <f>CEILING(500*$Z$1,0.1)</f>
        <v>625</v>
      </c>
      <c r="J1307" s="1269"/>
      <c r="K1307" s="1268">
        <f>CEILING(450*$Z$1,0.1)</f>
        <v>562.5</v>
      </c>
      <c r="L1307" s="1269"/>
      <c r="M1307" s="21"/>
      <c r="N1307" s="158"/>
      <c r="O1307" s="480"/>
      <c r="P1307" s="480"/>
      <c r="Q1307" s="480"/>
      <c r="R1307" s="480"/>
      <c r="S1307" s="480"/>
      <c r="T1307" s="480"/>
      <c r="U1307" s="480"/>
      <c r="V1307" s="480"/>
      <c r="W1307" s="480"/>
      <c r="X1307" s="480"/>
      <c r="Y1307" s="480"/>
    </row>
    <row r="1308" spans="1:25" s="479" customFormat="1" ht="17.25" customHeight="1">
      <c r="A1308" s="742" t="s">
        <v>876</v>
      </c>
      <c r="B1308" s="12" t="s">
        <v>865</v>
      </c>
      <c r="C1308" s="1268">
        <f>CEILING(1000*$Z$1,0.1)</f>
        <v>1250</v>
      </c>
      <c r="D1308" s="1270"/>
      <c r="E1308" s="1268">
        <f>CEILING(1600*$Z$1,0.1)</f>
        <v>2000</v>
      </c>
      <c r="F1308" s="1270"/>
      <c r="G1308" s="1268">
        <f>CEILING(1400*$Z$1,0.1)</f>
        <v>1750</v>
      </c>
      <c r="H1308" s="1270"/>
      <c r="I1308" s="1268">
        <f>CEILING(1000*$Z$1,0.1)</f>
        <v>1250</v>
      </c>
      <c r="J1308" s="1270"/>
      <c r="K1308" s="1268">
        <f>CEILING(900*$Z$1,0.1)</f>
        <v>1125</v>
      </c>
      <c r="L1308" s="1270"/>
      <c r="M1308" s="21"/>
      <c r="N1308" s="158"/>
      <c r="O1308" s="480"/>
      <c r="P1308" s="480"/>
      <c r="Q1308" s="480"/>
      <c r="R1308" s="480"/>
      <c r="S1308" s="480"/>
      <c r="T1308" s="480"/>
      <c r="U1308" s="480"/>
      <c r="V1308" s="480"/>
      <c r="W1308" s="480"/>
      <c r="X1308" s="480"/>
      <c r="Y1308" s="480"/>
    </row>
    <row r="1309" spans="1:25" s="479" customFormat="1" ht="17.25" customHeight="1">
      <c r="A1309" s="742" t="s">
        <v>1178</v>
      </c>
      <c r="B1309" s="12" t="s">
        <v>866</v>
      </c>
      <c r="C1309" s="1268">
        <f>CEILING(700*$Z$1,0.1)</f>
        <v>875</v>
      </c>
      <c r="D1309" s="1270"/>
      <c r="E1309" s="1268">
        <f>CEILING(1100*$Z$1,0.1)</f>
        <v>1375</v>
      </c>
      <c r="F1309" s="1269"/>
      <c r="G1309" s="1268">
        <f>CEILING(950*$Z$1,0.1)</f>
        <v>1187.5</v>
      </c>
      <c r="H1309" s="1269"/>
      <c r="I1309" s="1268">
        <f>CEILING(700*$Z$1,0.1)</f>
        <v>875</v>
      </c>
      <c r="J1309" s="1269"/>
      <c r="K1309" s="1268">
        <f>CEILING(650*$Z$1,0.1)</f>
        <v>812.5</v>
      </c>
      <c r="L1309" s="1269"/>
      <c r="M1309" s="21"/>
      <c r="N1309" s="158"/>
      <c r="O1309" s="480"/>
      <c r="P1309" s="480"/>
      <c r="Q1309" s="480"/>
      <c r="R1309" s="480"/>
      <c r="S1309" s="480"/>
      <c r="T1309" s="480"/>
      <c r="U1309" s="480"/>
      <c r="V1309" s="480"/>
      <c r="W1309" s="480"/>
      <c r="X1309" s="480"/>
      <c r="Y1309" s="480"/>
    </row>
    <row r="1310" spans="1:25" s="479" customFormat="1" ht="17.25" customHeight="1">
      <c r="A1310" s="742" t="s">
        <v>1181</v>
      </c>
      <c r="B1310" s="12" t="s">
        <v>867</v>
      </c>
      <c r="C1310" s="1268">
        <f>CEILING(1400*$Z$1,0.1)</f>
        <v>1750</v>
      </c>
      <c r="D1310" s="1270"/>
      <c r="E1310" s="1268">
        <f>CEILING(2200*$Z$1,0.1)</f>
        <v>2750</v>
      </c>
      <c r="F1310" s="1270"/>
      <c r="G1310" s="1268">
        <f>CEILING(1900*$Z$1,0.1)</f>
        <v>2375</v>
      </c>
      <c r="H1310" s="1270"/>
      <c r="I1310" s="1268">
        <f>CEILING(1400*$Z$1,0.1)</f>
        <v>1750</v>
      </c>
      <c r="J1310" s="1270"/>
      <c r="K1310" s="1268">
        <f>CEILING(1300*$Z$1,0.1)</f>
        <v>1625</v>
      </c>
      <c r="L1310" s="1270"/>
      <c r="M1310" s="21"/>
      <c r="N1310" s="158"/>
      <c r="O1310" s="480"/>
      <c r="P1310" s="480"/>
      <c r="Q1310" s="480"/>
      <c r="R1310" s="480"/>
      <c r="S1310" s="480"/>
      <c r="T1310" s="480"/>
      <c r="U1310" s="480"/>
      <c r="V1310" s="480"/>
      <c r="W1310" s="480"/>
      <c r="X1310" s="480"/>
      <c r="Y1310" s="480"/>
    </row>
    <row r="1311" spans="1:25" s="479" customFormat="1" ht="17.25" customHeight="1">
      <c r="A1311" s="742" t="s">
        <v>1179</v>
      </c>
      <c r="B1311" s="12" t="s">
        <v>868</v>
      </c>
      <c r="C1311" s="1268">
        <f>CEILING(950*$Z$1,0.1)</f>
        <v>1187.5</v>
      </c>
      <c r="D1311" s="1270"/>
      <c r="E1311" s="1268">
        <f>CEILING(1500*$Z$1,0.1)</f>
        <v>1875</v>
      </c>
      <c r="F1311" s="1269"/>
      <c r="G1311" s="1268">
        <f>CEILING(1300*$Z$1,0.1)</f>
        <v>1625</v>
      </c>
      <c r="H1311" s="1269"/>
      <c r="I1311" s="1268">
        <f>CEILING(950*$Z$1,0.1)</f>
        <v>1187.5</v>
      </c>
      <c r="J1311" s="1269"/>
      <c r="K1311" s="1268">
        <f>CEILING(850*$Z$1,0.1)</f>
        <v>1062.5</v>
      </c>
      <c r="L1311" s="1269"/>
      <c r="M1311" s="21"/>
      <c r="N1311" s="158"/>
      <c r="O1311" s="480"/>
      <c r="P1311" s="480"/>
      <c r="Q1311" s="480"/>
      <c r="R1311" s="480"/>
      <c r="S1311" s="480"/>
      <c r="T1311" s="480"/>
      <c r="U1311" s="480"/>
      <c r="V1311" s="480"/>
      <c r="W1311" s="480"/>
      <c r="X1311" s="480"/>
      <c r="Y1311" s="480"/>
    </row>
    <row r="1312" spans="1:25" s="479" customFormat="1" ht="17.25" customHeight="1">
      <c r="A1312" s="742" t="s">
        <v>1180</v>
      </c>
      <c r="B1312" s="12" t="s">
        <v>869</v>
      </c>
      <c r="C1312" s="1268">
        <f>CEILING(1900*$Z$1,0.1)</f>
        <v>2375</v>
      </c>
      <c r="D1312" s="1270"/>
      <c r="E1312" s="1268">
        <f>CEILING(3000*$Z$1,0.1)</f>
        <v>3750</v>
      </c>
      <c r="F1312" s="1270"/>
      <c r="G1312" s="1268">
        <f>CEILING(2600*$Z$1,0.1)</f>
        <v>3250</v>
      </c>
      <c r="H1312" s="1270"/>
      <c r="I1312" s="1268">
        <f>CEILING(1900*$Z$1,0.1)</f>
        <v>2375</v>
      </c>
      <c r="J1312" s="1270"/>
      <c r="K1312" s="1268">
        <f>CEILING(1700*$Z$1,0.1)</f>
        <v>2125</v>
      </c>
      <c r="L1312" s="1270"/>
      <c r="M1312" s="21"/>
      <c r="N1312" s="158"/>
      <c r="O1312" s="480"/>
      <c r="P1312" s="480"/>
      <c r="Q1312" s="480"/>
      <c r="R1312" s="480"/>
      <c r="S1312" s="480"/>
      <c r="T1312" s="480"/>
      <c r="U1312" s="480"/>
      <c r="V1312" s="480"/>
      <c r="W1312" s="480"/>
      <c r="X1312" s="480"/>
      <c r="Y1312" s="480"/>
    </row>
    <row r="1313" spans="1:25" s="479" customFormat="1" ht="17.25" customHeight="1">
      <c r="A1313" s="1063" t="s">
        <v>1182</v>
      </c>
      <c r="B1313" s="12" t="s">
        <v>870</v>
      </c>
      <c r="C1313" s="1268"/>
      <c r="D1313" s="1270"/>
      <c r="E1313" s="1268"/>
      <c r="F1313" s="1270"/>
      <c r="G1313" s="1268"/>
      <c r="H1313" s="1270"/>
      <c r="I1313" s="1268"/>
      <c r="J1313" s="1270"/>
      <c r="K1313" s="1268"/>
      <c r="L1313" s="1270"/>
      <c r="M1313" s="16"/>
      <c r="N1313" s="158"/>
      <c r="O1313" s="480"/>
      <c r="P1313" s="480"/>
      <c r="Q1313" s="480"/>
      <c r="R1313" s="480"/>
      <c r="S1313" s="480"/>
      <c r="T1313" s="480"/>
      <c r="U1313" s="480"/>
      <c r="V1313" s="480"/>
      <c r="W1313" s="480"/>
      <c r="X1313" s="480"/>
      <c r="Y1313" s="480"/>
    </row>
    <row r="1314" spans="1:25" s="479" customFormat="1" ht="17.25" customHeight="1" thickBot="1">
      <c r="A1314" s="254" t="s">
        <v>856</v>
      </c>
      <c r="B1314" s="38"/>
      <c r="C1314" s="1278"/>
      <c r="D1314" s="1279"/>
      <c r="E1314" s="1278"/>
      <c r="F1314" s="1279"/>
      <c r="G1314" s="1278"/>
      <c r="H1314" s="1279"/>
      <c r="I1314" s="1278"/>
      <c r="J1314" s="1279"/>
      <c r="K1314" s="1278"/>
      <c r="L1314" s="1279"/>
      <c r="M1314" s="16"/>
      <c r="N1314" s="158"/>
      <c r="O1314" s="480"/>
      <c r="P1314" s="480"/>
      <c r="Q1314" s="480"/>
      <c r="R1314" s="480"/>
      <c r="S1314" s="480"/>
      <c r="T1314" s="480"/>
      <c r="U1314" s="480"/>
      <c r="V1314" s="480"/>
      <c r="W1314" s="480"/>
      <c r="X1314" s="480"/>
      <c r="Y1314" s="480"/>
    </row>
    <row r="1315" spans="1:25" s="495" customFormat="1" ht="17.25" customHeight="1" thickTop="1">
      <c r="A1315" s="107" t="s">
        <v>1137</v>
      </c>
      <c r="B1315" s="945"/>
      <c r="C1315" s="945"/>
      <c r="D1315" s="945"/>
      <c r="E1315" s="945"/>
      <c r="F1315" s="945"/>
      <c r="G1315" s="945"/>
      <c r="H1315" s="945"/>
      <c r="I1315" s="945"/>
      <c r="J1315" s="945"/>
      <c r="K1315" s="1033"/>
      <c r="L1315" s="1033"/>
      <c r="M1315" s="31"/>
      <c r="N1315" s="31"/>
      <c r="O1315" s="494"/>
      <c r="P1315" s="494"/>
      <c r="Q1315" s="494"/>
      <c r="R1315" s="494"/>
      <c r="S1315" s="494"/>
      <c r="T1315" s="494"/>
      <c r="U1315" s="494"/>
      <c r="V1315" s="494"/>
      <c r="W1315" s="494"/>
      <c r="X1315" s="494"/>
      <c r="Y1315" s="494"/>
    </row>
    <row r="1316" spans="1:25" s="1008" customFormat="1" ht="19.5" customHeight="1">
      <c r="A1316" s="1023" t="s">
        <v>872</v>
      </c>
      <c r="B1316" s="1024"/>
      <c r="C1316" s="1024"/>
      <c r="D1316" s="1024"/>
      <c r="E1316" s="1024"/>
      <c r="F1316" s="1024"/>
      <c r="G1316" s="1024"/>
      <c r="H1316" s="1024"/>
      <c r="I1316" s="1024"/>
      <c r="J1316" s="1024"/>
      <c r="K1316" s="1025"/>
      <c r="L1316" s="1025"/>
      <c r="M1316" s="1026"/>
      <c r="N1316" s="1027"/>
      <c r="O1316" s="1006"/>
      <c r="P1316" s="1006"/>
      <c r="Q1316" s="1006"/>
      <c r="R1316" s="1006"/>
      <c r="S1316" s="1006"/>
      <c r="T1316" s="1006"/>
      <c r="U1316" s="1006"/>
      <c r="V1316" s="1006"/>
      <c r="W1316" s="1006"/>
      <c r="X1316" s="1006"/>
      <c r="Y1316" s="1006"/>
    </row>
    <row r="1317" spans="1:25" s="1032" customFormat="1" ht="16.5" customHeight="1">
      <c r="A1317" s="1491" t="s">
        <v>871</v>
      </c>
      <c r="B1317" s="1491"/>
      <c r="C1317" s="1024"/>
      <c r="D1317" s="1024"/>
      <c r="E1317" s="1024"/>
      <c r="F1317" s="1024"/>
      <c r="G1317" s="1024"/>
      <c r="H1317" s="1024"/>
      <c r="I1317" s="1024"/>
      <c r="J1317" s="1024"/>
      <c r="K1317" s="1028"/>
      <c r="L1317" s="1028"/>
      <c r="M1317" s="1029"/>
      <c r="N1317" s="1030"/>
      <c r="O1317" s="1031"/>
      <c r="P1317" s="1031"/>
      <c r="Q1317" s="1031"/>
      <c r="R1317" s="1031"/>
      <c r="S1317" s="1031"/>
      <c r="T1317" s="1031"/>
      <c r="U1317" s="1031"/>
      <c r="V1317" s="1031"/>
      <c r="W1317" s="1031"/>
      <c r="X1317" s="1031"/>
      <c r="Y1317" s="1031"/>
    </row>
    <row r="1318" spans="1:14" ht="15.75" customHeight="1" thickBot="1">
      <c r="A1318" s="111"/>
      <c r="B1318" s="111"/>
      <c r="C1318" s="111"/>
      <c r="D1318" s="111"/>
      <c r="E1318" s="111"/>
      <c r="F1318" s="111"/>
      <c r="G1318" s="111"/>
      <c r="H1318" s="111"/>
      <c r="I1318" s="17"/>
      <c r="J1318" s="17"/>
      <c r="K1318" s="320"/>
      <c r="L1318" s="320"/>
      <c r="M1318" s="20"/>
      <c r="N1318" s="158"/>
    </row>
    <row r="1319" spans="1:41" s="672" customFormat="1" ht="21" customHeight="1" thickTop="1">
      <c r="A1319" s="746" t="s">
        <v>43</v>
      </c>
      <c r="B1319" s="814" t="s">
        <v>961</v>
      </c>
      <c r="C1319" s="747" t="s">
        <v>884</v>
      </c>
      <c r="D1319" s="748"/>
      <c r="E1319" s="749" t="s">
        <v>883</v>
      </c>
      <c r="F1319" s="750"/>
      <c r="G1319" s="749" t="s">
        <v>880</v>
      </c>
      <c r="H1319" s="750"/>
      <c r="I1319" s="1273" t="s">
        <v>881</v>
      </c>
      <c r="J1319" s="1274"/>
      <c r="K1319" s="1280" t="s">
        <v>882</v>
      </c>
      <c r="L1319" s="1281"/>
      <c r="M1319" s="855"/>
      <c r="N1319" s="855"/>
      <c r="O1319" s="331"/>
      <c r="P1319" s="331"/>
      <c r="Q1319" s="331"/>
      <c r="R1319" s="331"/>
      <c r="S1319" s="331"/>
      <c r="T1319" s="331"/>
      <c r="U1319" s="331"/>
      <c r="V1319" s="331"/>
      <c r="W1319" s="331"/>
      <c r="X1319" s="331"/>
      <c r="Y1319" s="331"/>
      <c r="Z1319" s="331"/>
      <c r="AA1319" s="331"/>
      <c r="AB1319" s="331"/>
      <c r="AC1319" s="331"/>
      <c r="AD1319" s="331"/>
      <c r="AE1319" s="331"/>
      <c r="AF1319" s="331"/>
      <c r="AG1319" s="331"/>
      <c r="AH1319" s="331"/>
      <c r="AI1319" s="331"/>
      <c r="AJ1319" s="331"/>
      <c r="AK1319" s="331"/>
      <c r="AL1319" s="331"/>
      <c r="AM1319" s="331"/>
      <c r="AN1319" s="331"/>
      <c r="AO1319" s="331"/>
    </row>
    <row r="1320" spans="1:14" ht="17.25" customHeight="1">
      <c r="A1320" s="198" t="s">
        <v>131</v>
      </c>
      <c r="B1320" s="40" t="s">
        <v>293</v>
      </c>
      <c r="C1320" s="1266">
        <f>CEILING(50*$Z$1,0.1)</f>
        <v>62.5</v>
      </c>
      <c r="D1320" s="1267"/>
      <c r="E1320" s="1266">
        <f>CEILING(85*$Z$1,0.1)</f>
        <v>106.30000000000001</v>
      </c>
      <c r="F1320" s="1267"/>
      <c r="G1320" s="1268">
        <f>CEILING(70*$Z$1,0.1)</f>
        <v>87.5</v>
      </c>
      <c r="H1320" s="1269"/>
      <c r="I1320" s="1268">
        <f>CEILING(80*$Z$1,0.1)</f>
        <v>100</v>
      </c>
      <c r="J1320" s="1269"/>
      <c r="K1320" s="1268">
        <f>CEILING(50*$Z$1,0.1)</f>
        <v>62.5</v>
      </c>
      <c r="L1320" s="1269"/>
      <c r="M1320" s="21"/>
      <c r="N1320" s="158"/>
    </row>
    <row r="1321" spans="1:14" ht="17.25" customHeight="1">
      <c r="A1321" s="182" t="s">
        <v>45</v>
      </c>
      <c r="B1321" s="12" t="s">
        <v>294</v>
      </c>
      <c r="C1321" s="1268">
        <f>CEILING((C1320+40*$Z$1),0.1)</f>
        <v>112.5</v>
      </c>
      <c r="D1321" s="1270"/>
      <c r="E1321" s="1268">
        <f>CEILING((E1320+40*$Z$1),0.1)</f>
        <v>156.3</v>
      </c>
      <c r="F1321" s="1270"/>
      <c r="G1321" s="1268">
        <f>CEILING((G1320+40*$Z$1),0.1)</f>
        <v>137.5</v>
      </c>
      <c r="H1321" s="1270"/>
      <c r="I1321" s="1268">
        <f>CEILING((I1320+40*$Z$1),0.1)</f>
        <v>150</v>
      </c>
      <c r="J1321" s="1270"/>
      <c r="K1321" s="1268">
        <f>CEILING((K1320+40*$Z$1),0.1)</f>
        <v>112.5</v>
      </c>
      <c r="L1321" s="1270"/>
      <c r="M1321" s="21"/>
      <c r="N1321" s="158"/>
    </row>
    <row r="1322" spans="1:14" ht="17.25" customHeight="1">
      <c r="A1322" s="183"/>
      <c r="B1322" s="12" t="s">
        <v>79</v>
      </c>
      <c r="C1322" s="1268">
        <f>CEILING((C1320*0.85),0.1)</f>
        <v>53.2</v>
      </c>
      <c r="D1322" s="1270"/>
      <c r="E1322" s="1268">
        <f>CEILING((E1320*0.85),0.1)</f>
        <v>90.4</v>
      </c>
      <c r="F1322" s="1270"/>
      <c r="G1322" s="1268">
        <f>CEILING((G1320*0.85),0.1)</f>
        <v>74.4</v>
      </c>
      <c r="H1322" s="1270"/>
      <c r="I1322" s="1268">
        <f>CEILING((I1320*0.85),0.1)</f>
        <v>85</v>
      </c>
      <c r="J1322" s="1270"/>
      <c r="K1322" s="1268">
        <f>CEILING((K1320*0.85),0.1)</f>
        <v>53.2</v>
      </c>
      <c r="L1322" s="1270"/>
      <c r="M1322" s="16"/>
      <c r="N1322" s="158"/>
    </row>
    <row r="1323" spans="1:14" ht="17.25" customHeight="1">
      <c r="A1323" s="183"/>
      <c r="B1323" s="12" t="s">
        <v>1184</v>
      </c>
      <c r="C1323" s="1268">
        <f>CEILING((C1320*0.5),0.1)</f>
        <v>31.3</v>
      </c>
      <c r="D1323" s="1270"/>
      <c r="E1323" s="1268">
        <f>CEILING((E1320*0.5),0.1)</f>
        <v>53.2</v>
      </c>
      <c r="F1323" s="1270"/>
      <c r="G1323" s="1268">
        <f>CEILING((G1320*0.5),0.1)</f>
        <v>43.800000000000004</v>
      </c>
      <c r="H1323" s="1314"/>
      <c r="I1323" s="1268">
        <f>CEILING((I1320*0.5),0.1)</f>
        <v>50</v>
      </c>
      <c r="J1323" s="1314"/>
      <c r="K1323" s="1268">
        <f>CEILING((K1320*0.5),0.1)</f>
        <v>31.3</v>
      </c>
      <c r="L1323" s="1314"/>
      <c r="M1323" s="16"/>
      <c r="N1323" s="158"/>
    </row>
    <row r="1324" spans="1:14" ht="17.25" customHeight="1" thickBot="1">
      <c r="A1324" s="254" t="s">
        <v>426</v>
      </c>
      <c r="B1324" s="38" t="s">
        <v>511</v>
      </c>
      <c r="C1324" s="1278">
        <v>0.15</v>
      </c>
      <c r="D1324" s="1279"/>
      <c r="E1324" s="1278">
        <v>0.15</v>
      </c>
      <c r="F1324" s="1279"/>
      <c r="G1324" s="1278">
        <v>0.15</v>
      </c>
      <c r="H1324" s="1279"/>
      <c r="I1324" s="1278">
        <v>0.15</v>
      </c>
      <c r="J1324" s="1279"/>
      <c r="K1324" s="1278">
        <v>0.15</v>
      </c>
      <c r="L1324" s="1279"/>
      <c r="M1324" s="16"/>
      <c r="N1324" s="158"/>
    </row>
    <row r="1325" spans="1:25" s="479" customFormat="1" ht="17.25" customHeight="1" thickTop="1">
      <c r="A1325" s="1385" t="s">
        <v>1074</v>
      </c>
      <c r="B1325" s="1385"/>
      <c r="C1325" s="1385"/>
      <c r="D1325" s="1385"/>
      <c r="E1325" s="1385"/>
      <c r="F1325" s="1385"/>
      <c r="G1325" s="1385"/>
      <c r="H1325" s="1385"/>
      <c r="I1325" s="112"/>
      <c r="J1325" s="112"/>
      <c r="K1325" s="313"/>
      <c r="L1325" s="313"/>
      <c r="M1325" s="16"/>
      <c r="N1325" s="158"/>
      <c r="O1325" s="480"/>
      <c r="P1325" s="480"/>
      <c r="Q1325" s="480"/>
      <c r="R1325" s="480"/>
      <c r="S1325" s="480"/>
      <c r="T1325" s="480"/>
      <c r="U1325" s="480"/>
      <c r="V1325" s="480"/>
      <c r="W1325" s="480"/>
      <c r="X1325" s="480"/>
      <c r="Y1325" s="480"/>
    </row>
    <row r="1326" spans="1:25" s="479" customFormat="1" ht="17.25" customHeight="1">
      <c r="A1326" s="172" t="s">
        <v>510</v>
      </c>
      <c r="B1326" s="647"/>
      <c r="C1326" s="647"/>
      <c r="D1326" s="647"/>
      <c r="E1326" s="647"/>
      <c r="F1326" s="647"/>
      <c r="G1326" s="647"/>
      <c r="H1326" s="647"/>
      <c r="I1326" s="647"/>
      <c r="J1326" s="647"/>
      <c r="K1326" s="314"/>
      <c r="L1326" s="314"/>
      <c r="M1326" s="114"/>
      <c r="N1326" s="114"/>
      <c r="O1326" s="480"/>
      <c r="P1326" s="480"/>
      <c r="Q1326" s="480"/>
      <c r="R1326" s="480"/>
      <c r="S1326" s="480"/>
      <c r="T1326" s="480"/>
      <c r="U1326" s="480"/>
      <c r="V1326" s="480"/>
      <c r="W1326" s="480"/>
      <c r="X1326" s="480"/>
      <c r="Y1326" s="480"/>
    </row>
    <row r="1327" spans="1:25" s="479" customFormat="1" ht="17.25" customHeight="1" thickBot="1">
      <c r="A1327" s="157"/>
      <c r="B1327" s="64"/>
      <c r="C1327" s="97"/>
      <c r="D1327" s="97"/>
      <c r="E1327" s="97"/>
      <c r="F1327" s="97"/>
      <c r="G1327" s="97"/>
      <c r="H1327" s="97"/>
      <c r="I1327" s="53"/>
      <c r="J1327" s="53"/>
      <c r="K1327" s="166"/>
      <c r="L1327" s="166"/>
      <c r="M1327" s="16"/>
      <c r="N1327" s="158"/>
      <c r="O1327" s="480"/>
      <c r="P1327" s="480"/>
      <c r="Q1327" s="480"/>
      <c r="R1327" s="480"/>
      <c r="S1327" s="480"/>
      <c r="T1327" s="480"/>
      <c r="U1327" s="480"/>
      <c r="V1327" s="480"/>
      <c r="W1327" s="480"/>
      <c r="X1327" s="480"/>
      <c r="Y1327" s="480"/>
    </row>
    <row r="1328" spans="1:41" s="672" customFormat="1" ht="21" customHeight="1" thickTop="1">
      <c r="A1328" s="746" t="s">
        <v>43</v>
      </c>
      <c r="B1328" s="814" t="s">
        <v>961</v>
      </c>
      <c r="C1328" s="747" t="s">
        <v>884</v>
      </c>
      <c r="D1328" s="748"/>
      <c r="E1328" s="749" t="s">
        <v>883</v>
      </c>
      <c r="F1328" s="750"/>
      <c r="G1328" s="749" t="s">
        <v>880</v>
      </c>
      <c r="H1328" s="750"/>
      <c r="I1328" s="1273" t="s">
        <v>881</v>
      </c>
      <c r="J1328" s="1274"/>
      <c r="K1328" s="1280" t="s">
        <v>882</v>
      </c>
      <c r="L1328" s="1281"/>
      <c r="M1328" s="855"/>
      <c r="N1328" s="855"/>
      <c r="O1328" s="331"/>
      <c r="P1328" s="331"/>
      <c r="Q1328" s="331"/>
      <c r="R1328" s="331"/>
      <c r="S1328" s="331"/>
      <c r="T1328" s="331"/>
      <c r="U1328" s="331"/>
      <c r="V1328" s="331"/>
      <c r="W1328" s="331"/>
      <c r="X1328" s="331"/>
      <c r="Y1328" s="331"/>
      <c r="Z1328" s="331"/>
      <c r="AA1328" s="331"/>
      <c r="AB1328" s="331"/>
      <c r="AC1328" s="331"/>
      <c r="AD1328" s="331"/>
      <c r="AE1328" s="331"/>
      <c r="AF1328" s="331"/>
      <c r="AG1328" s="331"/>
      <c r="AH1328" s="331"/>
      <c r="AI1328" s="331"/>
      <c r="AJ1328" s="331"/>
      <c r="AK1328" s="331"/>
      <c r="AL1328" s="331"/>
      <c r="AM1328" s="331"/>
      <c r="AN1328" s="331"/>
      <c r="AO1328" s="331"/>
    </row>
    <row r="1329" spans="1:25" s="479" customFormat="1" ht="17.25" customHeight="1">
      <c r="A1329" s="34" t="s">
        <v>132</v>
      </c>
      <c r="B1329" s="40" t="s">
        <v>51</v>
      </c>
      <c r="C1329" s="1266">
        <f>CEILING(36*$Z$1,0.1)</f>
        <v>45</v>
      </c>
      <c r="D1329" s="1267"/>
      <c r="E1329" s="1266">
        <f>CEILING(50*$Z$1,0.1)</f>
        <v>62.5</v>
      </c>
      <c r="F1329" s="1267"/>
      <c r="G1329" s="1268">
        <f>CEILING(45*$Z$1,0.1)</f>
        <v>56.300000000000004</v>
      </c>
      <c r="H1329" s="1269"/>
      <c r="I1329" s="1268">
        <f>CEILING(45*$Z$1,0.1)</f>
        <v>56.300000000000004</v>
      </c>
      <c r="J1329" s="1269"/>
      <c r="K1329" s="1268">
        <f>CEILING(36*$Z$1,0.1)</f>
        <v>45</v>
      </c>
      <c r="L1329" s="1270"/>
      <c r="M1329" s="20"/>
      <c r="N1329" s="234"/>
      <c r="O1329" s="480"/>
      <c r="P1329" s="480"/>
      <c r="Q1329" s="480"/>
      <c r="R1329" s="480"/>
      <c r="S1329" s="480"/>
      <c r="T1329" s="480"/>
      <c r="U1329" s="480"/>
      <c r="V1329" s="480"/>
      <c r="W1329" s="480"/>
      <c r="X1329" s="480"/>
      <c r="Y1329" s="480"/>
    </row>
    <row r="1330" spans="1:25" s="479" customFormat="1" ht="17.25" customHeight="1">
      <c r="A1330" s="34"/>
      <c r="B1330" s="12" t="s">
        <v>52</v>
      </c>
      <c r="C1330" s="1268">
        <f>CEILING((C1329+25*$Z$1),0.1)</f>
        <v>76.3</v>
      </c>
      <c r="D1330" s="1270"/>
      <c r="E1330" s="1268">
        <f>CEILING((E1329+25*$Z$1),0.1)</f>
        <v>93.80000000000001</v>
      </c>
      <c r="F1330" s="1270"/>
      <c r="G1330" s="1268">
        <f>CEILING((G1329+25*$Z$1),0.1)</f>
        <v>87.60000000000001</v>
      </c>
      <c r="H1330" s="1270"/>
      <c r="I1330" s="1268">
        <f>CEILING((I1329+25*$Z$1),0.1)</f>
        <v>87.60000000000001</v>
      </c>
      <c r="J1330" s="1270"/>
      <c r="K1330" s="1268">
        <f>CEILING((K1329+25*$Z$1),0.1)</f>
        <v>76.3</v>
      </c>
      <c r="L1330" s="1270"/>
      <c r="M1330" s="20"/>
      <c r="N1330" s="234"/>
      <c r="O1330" s="480"/>
      <c r="P1330" s="480"/>
      <c r="Q1330" s="480"/>
      <c r="R1330" s="480"/>
      <c r="S1330" s="480"/>
      <c r="T1330" s="480"/>
      <c r="U1330" s="480"/>
      <c r="V1330" s="480"/>
      <c r="W1330" s="480"/>
      <c r="X1330" s="480"/>
      <c r="Y1330" s="480"/>
    </row>
    <row r="1331" spans="1:25" s="479" customFormat="1" ht="17.25" customHeight="1">
      <c r="A1331" s="43"/>
      <c r="B1331" s="10" t="s">
        <v>47</v>
      </c>
      <c r="C1331" s="1268">
        <f>CEILING((C1329*0.85),0.1)</f>
        <v>38.300000000000004</v>
      </c>
      <c r="D1331" s="1270"/>
      <c r="E1331" s="1268">
        <f>CEILING((E1329*0.85),0.1)</f>
        <v>53.2</v>
      </c>
      <c r="F1331" s="1270"/>
      <c r="G1331" s="1268">
        <f>CEILING((G1329*0.85),0.1)</f>
        <v>47.900000000000006</v>
      </c>
      <c r="H1331" s="1270"/>
      <c r="I1331" s="1268">
        <f>CEILING((I1329*0.85),0.1)</f>
        <v>47.900000000000006</v>
      </c>
      <c r="J1331" s="1270"/>
      <c r="K1331" s="1268">
        <f>CEILING((K1329*0.85),0.1)</f>
        <v>38.300000000000004</v>
      </c>
      <c r="L1331" s="1270"/>
      <c r="M1331" s="20"/>
      <c r="N1331" s="234"/>
      <c r="O1331" s="480"/>
      <c r="P1331" s="480"/>
      <c r="Q1331" s="480"/>
      <c r="R1331" s="480"/>
      <c r="S1331" s="480"/>
      <c r="T1331" s="480"/>
      <c r="U1331" s="480"/>
      <c r="V1331" s="480"/>
      <c r="W1331" s="480"/>
      <c r="X1331" s="480"/>
      <c r="Y1331" s="480"/>
    </row>
    <row r="1332" spans="1:25" s="479" customFormat="1" ht="17.25" customHeight="1">
      <c r="A1332" s="43"/>
      <c r="B1332" s="10" t="s">
        <v>1256</v>
      </c>
      <c r="C1332" s="1268">
        <f>CEILING((C1329*0.5),0.1)</f>
        <v>22.5</v>
      </c>
      <c r="D1332" s="1270"/>
      <c r="E1332" s="1268">
        <f>CEILING((E1329*0.5),0.1)</f>
        <v>31.3</v>
      </c>
      <c r="F1332" s="1314"/>
      <c r="G1332" s="1268">
        <f>CEILING((G1329*0.5),0.1)</f>
        <v>28.200000000000003</v>
      </c>
      <c r="H1332" s="1314"/>
      <c r="I1332" s="1268">
        <f>CEILING((I1329*0.5),0.1)</f>
        <v>28.200000000000003</v>
      </c>
      <c r="J1332" s="1314"/>
      <c r="K1332" s="1268">
        <f>CEILING((K1329*0.5),0.1)</f>
        <v>22.5</v>
      </c>
      <c r="L1332" s="1314"/>
      <c r="M1332" s="20"/>
      <c r="N1332" s="234"/>
      <c r="O1332" s="480"/>
      <c r="P1332" s="480"/>
      <c r="Q1332" s="480"/>
      <c r="R1332" s="480"/>
      <c r="S1332" s="480"/>
      <c r="T1332" s="480"/>
      <c r="U1332" s="480"/>
      <c r="V1332" s="480"/>
      <c r="W1332" s="480"/>
      <c r="X1332" s="480"/>
      <c r="Y1332" s="480"/>
    </row>
    <row r="1333" spans="1:25" s="479" customFormat="1" ht="17.25" customHeight="1" thickBot="1">
      <c r="A1333" s="254" t="s">
        <v>424</v>
      </c>
      <c r="B1333" s="38" t="s">
        <v>511</v>
      </c>
      <c r="C1333" s="1278">
        <v>0.15</v>
      </c>
      <c r="D1333" s="1279"/>
      <c r="E1333" s="1278">
        <v>0.15</v>
      </c>
      <c r="F1333" s="1279"/>
      <c r="G1333" s="1278">
        <v>0.15</v>
      </c>
      <c r="H1333" s="1279"/>
      <c r="I1333" s="1278">
        <v>0.15</v>
      </c>
      <c r="J1333" s="1279"/>
      <c r="K1333" s="1278">
        <v>0.15</v>
      </c>
      <c r="L1333" s="1279"/>
      <c r="M1333" s="20"/>
      <c r="N1333" s="234"/>
      <c r="O1333" s="480"/>
      <c r="P1333" s="480"/>
      <c r="Q1333" s="480"/>
      <c r="R1333" s="480"/>
      <c r="S1333" s="480"/>
      <c r="T1333" s="480"/>
      <c r="U1333" s="480"/>
      <c r="V1333" s="480"/>
      <c r="W1333" s="480"/>
      <c r="X1333" s="480"/>
      <c r="Y1333" s="480"/>
    </row>
    <row r="1334" spans="1:25" s="479" customFormat="1" ht="17.25" customHeight="1" thickTop="1">
      <c r="A1334" s="1385" t="s">
        <v>1075</v>
      </c>
      <c r="B1334" s="1385"/>
      <c r="C1334" s="1385"/>
      <c r="D1334" s="1385"/>
      <c r="E1334" s="1385"/>
      <c r="F1334" s="1385"/>
      <c r="G1334" s="1385"/>
      <c r="H1334" s="1385"/>
      <c r="I1334" s="112"/>
      <c r="J1334" s="112"/>
      <c r="K1334" s="313"/>
      <c r="L1334" s="313"/>
      <c r="M1334" s="16"/>
      <c r="N1334" s="158"/>
      <c r="O1334" s="480"/>
      <c r="P1334" s="480"/>
      <c r="Q1334" s="480"/>
      <c r="R1334" s="480"/>
      <c r="S1334" s="480"/>
      <c r="T1334" s="480"/>
      <c r="U1334" s="480"/>
      <c r="V1334" s="480"/>
      <c r="W1334" s="480"/>
      <c r="X1334" s="480"/>
      <c r="Y1334" s="480"/>
    </row>
    <row r="1335" spans="1:25" s="479" customFormat="1" ht="17.25" customHeight="1">
      <c r="A1335" s="172" t="s">
        <v>510</v>
      </c>
      <c r="B1335" s="647"/>
      <c r="C1335" s="647"/>
      <c r="D1335" s="647"/>
      <c r="E1335" s="647"/>
      <c r="F1335" s="647"/>
      <c r="G1335" s="647"/>
      <c r="H1335" s="647"/>
      <c r="I1335" s="647"/>
      <c r="J1335" s="647"/>
      <c r="K1335" s="314"/>
      <c r="L1335" s="314"/>
      <c r="M1335" s="16"/>
      <c r="N1335" s="158"/>
      <c r="O1335" s="480"/>
      <c r="P1335" s="480"/>
      <c r="Q1335" s="480"/>
      <c r="R1335" s="480"/>
      <c r="S1335" s="480"/>
      <c r="T1335" s="480"/>
      <c r="U1335" s="480"/>
      <c r="V1335" s="480"/>
      <c r="W1335" s="480"/>
      <c r="X1335" s="480"/>
      <c r="Y1335" s="480"/>
    </row>
    <row r="1336" spans="1:25" s="479" customFormat="1" ht="17.25" customHeight="1" thickBot="1">
      <c r="A1336" s="263"/>
      <c r="B1336" s="502"/>
      <c r="C1336" s="420"/>
      <c r="D1336" s="420"/>
      <c r="E1336" s="420"/>
      <c r="F1336" s="420"/>
      <c r="G1336" s="420"/>
      <c r="H1336" s="420"/>
      <c r="I1336" s="112"/>
      <c r="J1336" s="112"/>
      <c r="K1336" s="313"/>
      <c r="L1336" s="313"/>
      <c r="M1336" s="16"/>
      <c r="N1336" s="158"/>
      <c r="O1336" s="480"/>
      <c r="P1336" s="480"/>
      <c r="Q1336" s="480"/>
      <c r="R1336" s="480"/>
      <c r="S1336" s="480"/>
      <c r="T1336" s="480"/>
      <c r="U1336" s="480"/>
      <c r="V1336" s="480"/>
      <c r="W1336" s="480"/>
      <c r="X1336" s="480"/>
      <c r="Y1336" s="480"/>
    </row>
    <row r="1337" spans="1:41" s="672" customFormat="1" ht="21" customHeight="1" thickTop="1">
      <c r="A1337" s="746" t="s">
        <v>43</v>
      </c>
      <c r="B1337" s="814" t="s">
        <v>961</v>
      </c>
      <c r="C1337" s="747" t="s">
        <v>884</v>
      </c>
      <c r="D1337" s="748"/>
      <c r="E1337" s="749" t="s">
        <v>911</v>
      </c>
      <c r="F1337" s="750"/>
      <c r="G1337" s="749" t="s">
        <v>912</v>
      </c>
      <c r="H1337" s="750"/>
      <c r="I1337" s="1273" t="s">
        <v>881</v>
      </c>
      <c r="J1337" s="1274"/>
      <c r="K1337" s="1273" t="s">
        <v>882</v>
      </c>
      <c r="L1337" s="1274"/>
      <c r="M1337" s="855"/>
      <c r="N1337" s="855"/>
      <c r="O1337" s="331"/>
      <c r="P1337" s="331"/>
      <c r="Q1337" s="331"/>
      <c r="R1337" s="331"/>
      <c r="S1337" s="331"/>
      <c r="T1337" s="331"/>
      <c r="U1337" s="331"/>
      <c r="V1337" s="331"/>
      <c r="W1337" s="331"/>
      <c r="X1337" s="331"/>
      <c r="Y1337" s="331"/>
      <c r="Z1337" s="331"/>
      <c r="AA1337" s="331"/>
      <c r="AB1337" s="331"/>
      <c r="AC1337" s="331"/>
      <c r="AD1337" s="331"/>
      <c r="AE1337" s="331"/>
      <c r="AF1337" s="331"/>
      <c r="AG1337" s="331"/>
      <c r="AH1337" s="331"/>
      <c r="AI1337" s="331"/>
      <c r="AJ1337" s="331"/>
      <c r="AK1337" s="331"/>
      <c r="AL1337" s="331"/>
      <c r="AM1337" s="331"/>
      <c r="AN1337" s="331"/>
      <c r="AO1337" s="331"/>
    </row>
    <row r="1338" spans="1:25" s="479" customFormat="1" ht="17.25" customHeight="1">
      <c r="A1338" s="137" t="s">
        <v>1076</v>
      </c>
      <c r="B1338" s="213" t="s">
        <v>942</v>
      </c>
      <c r="C1338" s="1266">
        <f>CEILING(45*$Z$1,0.1)</f>
        <v>56.300000000000004</v>
      </c>
      <c r="D1338" s="1267"/>
      <c r="E1338" s="1266">
        <f>CEILING(80*$Z$1,0.1)</f>
        <v>100</v>
      </c>
      <c r="F1338" s="1267"/>
      <c r="G1338" s="1266">
        <f>CEILING(50*$Z$1,0.1)</f>
        <v>62.5</v>
      </c>
      <c r="H1338" s="1267"/>
      <c r="I1338" s="1266">
        <f>CEILING(55*$Z$1,0.1)</f>
        <v>68.8</v>
      </c>
      <c r="J1338" s="1267"/>
      <c r="K1338" s="1266">
        <f>CEILING(45*$Z$1,0.1)</f>
        <v>56.300000000000004</v>
      </c>
      <c r="L1338" s="1267"/>
      <c r="M1338" s="21"/>
      <c r="N1338" s="158"/>
      <c r="O1338" s="480"/>
      <c r="P1338" s="480"/>
      <c r="Q1338" s="480"/>
      <c r="R1338" s="480"/>
      <c r="S1338" s="480"/>
      <c r="T1338" s="480"/>
      <c r="U1338" s="480"/>
      <c r="V1338" s="480"/>
      <c r="W1338" s="480"/>
      <c r="X1338" s="480"/>
      <c r="Y1338" s="480"/>
    </row>
    <row r="1339" spans="1:25" s="479" customFormat="1" ht="17.25" customHeight="1">
      <c r="A1339" s="139" t="s">
        <v>90</v>
      </c>
      <c r="B1339" s="138" t="s">
        <v>943</v>
      </c>
      <c r="C1339" s="1268">
        <f>CEILING((C1338+15*$Z$1),0.1)</f>
        <v>75.10000000000001</v>
      </c>
      <c r="D1339" s="1270"/>
      <c r="E1339" s="1268">
        <f>CEILING((E1338+15*$Z$1),0.1)</f>
        <v>118.80000000000001</v>
      </c>
      <c r="F1339" s="1270"/>
      <c r="G1339" s="1268">
        <f>CEILING((G1338+15*$Z$1),0.1)</f>
        <v>81.30000000000001</v>
      </c>
      <c r="H1339" s="1270"/>
      <c r="I1339" s="1268">
        <f>CEILING((I1338+15*$Z$1),0.1)</f>
        <v>87.60000000000001</v>
      </c>
      <c r="J1339" s="1270"/>
      <c r="K1339" s="1268">
        <f>CEILING((K1338+15*$Z$1),0.1)</f>
        <v>75.10000000000001</v>
      </c>
      <c r="L1339" s="1270"/>
      <c r="M1339" s="21"/>
      <c r="N1339" s="158"/>
      <c r="O1339" s="480"/>
      <c r="P1339" s="480"/>
      <c r="Q1339" s="480"/>
      <c r="R1339" s="480"/>
      <c r="S1339" s="480"/>
      <c r="T1339" s="480"/>
      <c r="U1339" s="480"/>
      <c r="V1339" s="480"/>
      <c r="W1339" s="480"/>
      <c r="X1339" s="480"/>
      <c r="Y1339" s="480"/>
    </row>
    <row r="1340" spans="1:25" s="479" customFormat="1" ht="17.25" customHeight="1">
      <c r="A1340" s="140"/>
      <c r="B1340" s="141" t="s">
        <v>47</v>
      </c>
      <c r="C1340" s="1268">
        <f>CEILING((C1338*0.85),0.1)</f>
        <v>47.900000000000006</v>
      </c>
      <c r="D1340" s="1270"/>
      <c r="E1340" s="1268">
        <f>CEILING((E1338*0.85),0.1)</f>
        <v>85</v>
      </c>
      <c r="F1340" s="1270"/>
      <c r="G1340" s="1268">
        <f>CEILING((G1338*0.85),0.1)</f>
        <v>53.2</v>
      </c>
      <c r="H1340" s="1270"/>
      <c r="I1340" s="1268">
        <f>CEILING((I1338*0.85),0.1)</f>
        <v>58.5</v>
      </c>
      <c r="J1340" s="1270"/>
      <c r="K1340" s="1268">
        <f>CEILING((K1338*0.85),0.1)</f>
        <v>47.900000000000006</v>
      </c>
      <c r="L1340" s="1270"/>
      <c r="M1340" s="21"/>
      <c r="N1340" s="158"/>
      <c r="O1340" s="480"/>
      <c r="P1340" s="480"/>
      <c r="Q1340" s="480"/>
      <c r="R1340" s="480"/>
      <c r="S1340" s="480"/>
      <c r="T1340" s="480"/>
      <c r="U1340" s="480"/>
      <c r="V1340" s="480"/>
      <c r="W1340" s="480"/>
      <c r="X1340" s="480"/>
      <c r="Y1340" s="480"/>
    </row>
    <row r="1341" spans="1:25" s="479" customFormat="1" ht="17.25" customHeight="1">
      <c r="A1341" s="284"/>
      <c r="B1341" s="12" t="s">
        <v>91</v>
      </c>
      <c r="C1341" s="1268">
        <f>CEILING((C1338*0),0.1)</f>
        <v>0</v>
      </c>
      <c r="D1341" s="1270"/>
      <c r="E1341" s="1268">
        <f>CEILING((E1338*0),0.1)</f>
        <v>0</v>
      </c>
      <c r="F1341" s="1314"/>
      <c r="G1341" s="1268">
        <f>CEILING((G1338*0),0.1)</f>
        <v>0</v>
      </c>
      <c r="H1341" s="1314"/>
      <c r="I1341" s="1268">
        <f>CEILING((I1338*0),0.1)</f>
        <v>0</v>
      </c>
      <c r="J1341" s="1314"/>
      <c r="K1341" s="1268">
        <f>CEILING((K1338*0),0.1)</f>
        <v>0</v>
      </c>
      <c r="L1341" s="1314"/>
      <c r="M1341" s="21"/>
      <c r="N1341" s="158"/>
      <c r="O1341" s="480"/>
      <c r="P1341" s="480"/>
      <c r="Q1341" s="480"/>
      <c r="R1341" s="480"/>
      <c r="S1341" s="480"/>
      <c r="T1341" s="480"/>
      <c r="U1341" s="480"/>
      <c r="V1341" s="480"/>
      <c r="W1341" s="480"/>
      <c r="X1341" s="480"/>
      <c r="Y1341" s="480"/>
    </row>
    <row r="1342" spans="1:25" s="479" customFormat="1" ht="17.25" customHeight="1">
      <c r="A1342" s="140"/>
      <c r="B1342" s="143" t="s">
        <v>1077</v>
      </c>
      <c r="C1342" s="1268">
        <f>CEILING(55*$Z$1,0.1)</f>
        <v>68.8</v>
      </c>
      <c r="D1342" s="1270"/>
      <c r="E1342" s="1268">
        <f>CEILING(90*$Z$1,0.1)</f>
        <v>112.5</v>
      </c>
      <c r="F1342" s="1270"/>
      <c r="G1342" s="1268">
        <f>CEILING(60*$Z$1,0.1)</f>
        <v>75</v>
      </c>
      <c r="H1342" s="1270"/>
      <c r="I1342" s="1268">
        <f>CEILING(65*$Z$1,0.1)</f>
        <v>81.30000000000001</v>
      </c>
      <c r="J1342" s="1270"/>
      <c r="K1342" s="1268">
        <f>CEILING(55*$Z$1,0.1)</f>
        <v>68.8</v>
      </c>
      <c r="L1342" s="1270"/>
      <c r="M1342" s="21"/>
      <c r="N1342" s="158"/>
      <c r="O1342" s="480"/>
      <c r="P1342" s="480"/>
      <c r="Q1342" s="480"/>
      <c r="R1342" s="480"/>
      <c r="S1342" s="480"/>
      <c r="T1342" s="480"/>
      <c r="U1342" s="480"/>
      <c r="V1342" s="480"/>
      <c r="W1342" s="480"/>
      <c r="X1342" s="480"/>
      <c r="Y1342" s="480"/>
    </row>
    <row r="1343" spans="1:25" s="479" customFormat="1" ht="17.25" customHeight="1">
      <c r="A1343" s="274"/>
      <c r="B1343" s="143" t="s">
        <v>1009</v>
      </c>
      <c r="C1343" s="1268">
        <f>CEILING((C1342+15*$Z$1),0.1)</f>
        <v>87.60000000000001</v>
      </c>
      <c r="D1343" s="1270"/>
      <c r="E1343" s="1268">
        <f>CEILING((E1342+15*$Z$1),0.1)</f>
        <v>131.3</v>
      </c>
      <c r="F1343" s="1270"/>
      <c r="G1343" s="1268">
        <f>CEILING((G1342+15*$Z$1),0.1)</f>
        <v>93.80000000000001</v>
      </c>
      <c r="H1343" s="1270"/>
      <c r="I1343" s="1268">
        <f>CEILING((I1342+15*$Z$1),0.1)</f>
        <v>100.10000000000001</v>
      </c>
      <c r="J1343" s="1270"/>
      <c r="K1343" s="1268">
        <f>CEILING((K1342+15*$Z$1),0.1)</f>
        <v>87.60000000000001</v>
      </c>
      <c r="L1343" s="1270"/>
      <c r="M1343" s="21"/>
      <c r="N1343" s="158"/>
      <c r="O1343" s="480"/>
      <c r="P1343" s="480"/>
      <c r="Q1343" s="480"/>
      <c r="R1343" s="480"/>
      <c r="S1343" s="480"/>
      <c r="T1343" s="480"/>
      <c r="U1343" s="480"/>
      <c r="V1343" s="480"/>
      <c r="W1343" s="480"/>
      <c r="X1343" s="480"/>
      <c r="Y1343" s="480"/>
    </row>
    <row r="1344" spans="1:25" s="479" customFormat="1" ht="17.25" customHeight="1">
      <c r="A1344" s="274"/>
      <c r="B1344" s="143" t="s">
        <v>191</v>
      </c>
      <c r="C1344" s="1268">
        <f>CEILING(47*$Z$1,0.1)</f>
        <v>58.800000000000004</v>
      </c>
      <c r="D1344" s="1270"/>
      <c r="E1344" s="1268">
        <f>CEILING(82*$Z$1,0.1)</f>
        <v>102.5</v>
      </c>
      <c r="F1344" s="1270"/>
      <c r="G1344" s="1268">
        <f>CEILING(52*$Z$1,0.1)</f>
        <v>65</v>
      </c>
      <c r="H1344" s="1270"/>
      <c r="I1344" s="1268">
        <f>CEILING(57*$Z$1,0.1)</f>
        <v>71.3</v>
      </c>
      <c r="J1344" s="1270"/>
      <c r="K1344" s="1268">
        <f>CEILING(47*$Z$1,0.1)</f>
        <v>58.800000000000004</v>
      </c>
      <c r="L1344" s="1270"/>
      <c r="M1344" s="21"/>
      <c r="N1344" s="158"/>
      <c r="O1344" s="480"/>
      <c r="P1344" s="480"/>
      <c r="Q1344" s="480"/>
      <c r="R1344" s="480"/>
      <c r="S1344" s="480"/>
      <c r="T1344" s="480"/>
      <c r="U1344" s="480"/>
      <c r="V1344" s="480"/>
      <c r="W1344" s="480"/>
      <c r="X1344" s="480"/>
      <c r="Y1344" s="480"/>
    </row>
    <row r="1345" spans="1:25" s="479" customFormat="1" ht="17.25" customHeight="1" thickBot="1">
      <c r="A1345" s="257" t="s">
        <v>661</v>
      </c>
      <c r="B1345" s="174" t="s">
        <v>192</v>
      </c>
      <c r="C1345" s="1275">
        <f>CEILING((C1344+15*$Z$1),0.1)</f>
        <v>77.60000000000001</v>
      </c>
      <c r="D1345" s="1277"/>
      <c r="E1345" s="1275">
        <f>CEILING((E1344+15*$Z$1),0.1)</f>
        <v>121.30000000000001</v>
      </c>
      <c r="F1345" s="1277"/>
      <c r="G1345" s="1275">
        <f>CEILING((G1344+15*$Z$1),0.1)</f>
        <v>83.80000000000001</v>
      </c>
      <c r="H1345" s="1277"/>
      <c r="I1345" s="1275">
        <f>CEILING((I1344+15*$Z$1),0.1)</f>
        <v>90.10000000000001</v>
      </c>
      <c r="J1345" s="1277"/>
      <c r="K1345" s="1275">
        <f>CEILING((K1344+15*$Z$1),0.1)</f>
        <v>77.60000000000001</v>
      </c>
      <c r="L1345" s="1277"/>
      <c r="M1345" s="21"/>
      <c r="N1345" s="158"/>
      <c r="O1345" s="480"/>
      <c r="P1345" s="480"/>
      <c r="Q1345" s="480"/>
      <c r="R1345" s="480"/>
      <c r="S1345" s="480"/>
      <c r="T1345" s="480"/>
      <c r="U1345" s="480"/>
      <c r="V1345" s="480"/>
      <c r="W1345" s="480"/>
      <c r="X1345" s="480"/>
      <c r="Y1345" s="480"/>
    </row>
    <row r="1346" spans="1:25" s="479" customFormat="1" ht="17.25" customHeight="1" thickTop="1">
      <c r="A1346" s="1385" t="s">
        <v>1078</v>
      </c>
      <c r="B1346" s="1385"/>
      <c r="C1346" s="1385"/>
      <c r="D1346" s="1385"/>
      <c r="E1346" s="1385"/>
      <c r="F1346" s="1385"/>
      <c r="G1346" s="1385"/>
      <c r="H1346" s="1385"/>
      <c r="I1346" s="112"/>
      <c r="J1346" s="112"/>
      <c r="K1346" s="313"/>
      <c r="L1346" s="313"/>
      <c r="M1346" s="16"/>
      <c r="N1346" s="158"/>
      <c r="O1346" s="480"/>
      <c r="P1346" s="480"/>
      <c r="Q1346" s="480"/>
      <c r="R1346" s="480"/>
      <c r="S1346" s="480"/>
      <c r="T1346" s="480"/>
      <c r="U1346" s="480"/>
      <c r="V1346" s="480"/>
      <c r="W1346" s="480"/>
      <c r="X1346" s="480"/>
      <c r="Y1346" s="480"/>
    </row>
    <row r="1347" spans="1:25" s="479" customFormat="1" ht="18" customHeight="1">
      <c r="A1347" s="172"/>
      <c r="B1347" s="858"/>
      <c r="C1347" s="22"/>
      <c r="D1347" s="22"/>
      <c r="E1347" s="22"/>
      <c r="F1347" s="22"/>
      <c r="G1347" s="22"/>
      <c r="H1347" s="22"/>
      <c r="I1347" s="22"/>
      <c r="J1347" s="22"/>
      <c r="K1347" s="166"/>
      <c r="L1347" s="166"/>
      <c r="M1347" s="3"/>
      <c r="N1347" s="3"/>
      <c r="O1347" s="480"/>
      <c r="P1347" s="480"/>
      <c r="Q1347" s="480"/>
      <c r="R1347" s="480"/>
      <c r="S1347" s="480"/>
      <c r="T1347" s="480"/>
      <c r="U1347" s="480"/>
      <c r="V1347" s="480"/>
      <c r="W1347" s="480"/>
      <c r="X1347" s="480"/>
      <c r="Y1347" s="480"/>
    </row>
    <row r="1348" spans="1:25" s="479" customFormat="1" ht="17.25" customHeight="1">
      <c r="A1348" s="172"/>
      <c r="B1348" s="50"/>
      <c r="C1348" s="3"/>
      <c r="D1348" s="566"/>
      <c r="E1348" s="566"/>
      <c r="F1348" s="566"/>
      <c r="G1348" s="566"/>
      <c r="H1348" s="566"/>
      <c r="I1348" s="566"/>
      <c r="J1348" s="566"/>
      <c r="K1348" s="313"/>
      <c r="L1348" s="94"/>
      <c r="M1348" s="20"/>
      <c r="N1348" s="158"/>
      <c r="O1348" s="480"/>
      <c r="P1348" s="480"/>
      <c r="Q1348" s="480"/>
      <c r="R1348" s="480"/>
      <c r="S1348" s="480"/>
      <c r="T1348" s="480"/>
      <c r="U1348" s="480"/>
      <c r="V1348" s="480"/>
      <c r="W1348" s="480"/>
      <c r="X1348" s="480"/>
      <c r="Y1348" s="480"/>
    </row>
    <row r="1349" spans="1:25" s="479" customFormat="1" ht="17.25" customHeight="1" thickBot="1">
      <c r="A1349" s="172"/>
      <c r="B1349" s="50"/>
      <c r="C1349" s="3"/>
      <c r="D1349" s="566"/>
      <c r="E1349" s="566"/>
      <c r="F1349" s="566"/>
      <c r="G1349" s="566"/>
      <c r="H1349" s="566"/>
      <c r="I1349" s="566"/>
      <c r="J1349" s="313"/>
      <c r="K1349" s="313"/>
      <c r="L1349" s="313"/>
      <c r="M1349" s="16"/>
      <c r="N1349" s="158"/>
      <c r="O1349" s="480"/>
      <c r="P1349" s="480"/>
      <c r="Q1349" s="480"/>
      <c r="R1349" s="480"/>
      <c r="S1349" s="480"/>
      <c r="T1349" s="480"/>
      <c r="U1349" s="480"/>
      <c r="V1349" s="480"/>
      <c r="W1349" s="480"/>
      <c r="X1349" s="480"/>
      <c r="Y1349" s="480"/>
    </row>
    <row r="1350" spans="1:41" s="672" customFormat="1" ht="21" customHeight="1" thickTop="1">
      <c r="A1350" s="746" t="s">
        <v>43</v>
      </c>
      <c r="B1350" s="814" t="s">
        <v>961</v>
      </c>
      <c r="C1350" s="747" t="s">
        <v>884</v>
      </c>
      <c r="D1350" s="748"/>
      <c r="E1350" s="749" t="s">
        <v>911</v>
      </c>
      <c r="F1350" s="750"/>
      <c r="G1350" s="749" t="s">
        <v>1257</v>
      </c>
      <c r="H1350" s="750"/>
      <c r="I1350" s="1273" t="s">
        <v>1258</v>
      </c>
      <c r="J1350" s="1274"/>
      <c r="K1350" s="1273" t="s">
        <v>882</v>
      </c>
      <c r="L1350" s="1274"/>
      <c r="M1350" s="1148"/>
      <c r="N1350" s="1148"/>
      <c r="O1350" s="331"/>
      <c r="P1350" s="331"/>
      <c r="Q1350" s="331"/>
      <c r="R1350" s="331"/>
      <c r="S1350" s="331"/>
      <c r="T1350" s="331"/>
      <c r="U1350" s="331"/>
      <c r="V1350" s="331"/>
      <c r="W1350" s="331"/>
      <c r="X1350" s="331"/>
      <c r="Y1350" s="331"/>
      <c r="Z1350" s="331"/>
      <c r="AA1350" s="331"/>
      <c r="AB1350" s="331"/>
      <c r="AC1350" s="331"/>
      <c r="AD1350" s="331"/>
      <c r="AE1350" s="331"/>
      <c r="AF1350" s="331"/>
      <c r="AG1350" s="331"/>
      <c r="AH1350" s="331"/>
      <c r="AI1350" s="331"/>
      <c r="AJ1350" s="331"/>
      <c r="AK1350" s="331"/>
      <c r="AL1350" s="331"/>
      <c r="AM1350" s="331"/>
      <c r="AN1350" s="331"/>
      <c r="AO1350" s="331"/>
    </row>
    <row r="1351" spans="1:25" s="479" customFormat="1" ht="17.25" customHeight="1">
      <c r="A1351" s="137" t="s">
        <v>562</v>
      </c>
      <c r="B1351" s="213" t="s">
        <v>51</v>
      </c>
      <c r="C1351" s="1266">
        <f>CEILING(72*$Z$1,0.1)</f>
        <v>90</v>
      </c>
      <c r="D1351" s="1267"/>
      <c r="E1351" s="1266">
        <f>CEILING(85*$Z$1,0.1)</f>
        <v>106.30000000000001</v>
      </c>
      <c r="F1351" s="1267"/>
      <c r="G1351" s="1268">
        <f>CEILING(78*$Z$1,0.1)</f>
        <v>97.5</v>
      </c>
      <c r="H1351" s="1269"/>
      <c r="I1351" s="1266">
        <f>CEILING(85*$Z$1,0.1)</f>
        <v>106.30000000000001</v>
      </c>
      <c r="J1351" s="1267"/>
      <c r="K1351" s="1266">
        <f>CEILING(72*$Z$1,0.1)</f>
        <v>90</v>
      </c>
      <c r="L1351" s="1267"/>
      <c r="M1351" s="16"/>
      <c r="N1351" s="158"/>
      <c r="O1351" s="480"/>
      <c r="P1351" s="480"/>
      <c r="Q1351" s="480"/>
      <c r="R1351" s="480"/>
      <c r="S1351" s="480"/>
      <c r="T1351" s="480"/>
      <c r="U1351" s="480"/>
      <c r="V1351" s="480"/>
      <c r="W1351" s="480"/>
      <c r="X1351" s="480"/>
      <c r="Y1351" s="480"/>
    </row>
    <row r="1352" spans="1:25" s="479" customFormat="1" ht="17.25" customHeight="1">
      <c r="A1352" s="139" t="s">
        <v>45</v>
      </c>
      <c r="B1352" s="138" t="s">
        <v>52</v>
      </c>
      <c r="C1352" s="1268">
        <f>CEILING((C1351+25*$Z$1),0.1)</f>
        <v>121.30000000000001</v>
      </c>
      <c r="D1352" s="1270"/>
      <c r="E1352" s="1268">
        <f>CEILING((E1351+25*$Z$1),0.1)</f>
        <v>137.6</v>
      </c>
      <c r="F1352" s="1270"/>
      <c r="G1352" s="1268">
        <f>CEILING((G1351+25*$Z$1),0.1)</f>
        <v>128.8</v>
      </c>
      <c r="H1352" s="1270"/>
      <c r="I1352" s="1268">
        <f>CEILING((I1351+25*$Z$1),0.1)</f>
        <v>137.6</v>
      </c>
      <c r="J1352" s="1270"/>
      <c r="K1352" s="1268">
        <f>CEILING((K1351+25*$Z$1),0.1)</f>
        <v>121.30000000000001</v>
      </c>
      <c r="L1352" s="1270"/>
      <c r="M1352" s="16"/>
      <c r="N1352" s="158"/>
      <c r="O1352" s="480"/>
      <c r="P1352" s="480"/>
      <c r="Q1352" s="480"/>
      <c r="R1352" s="480"/>
      <c r="S1352" s="480"/>
      <c r="T1352" s="480"/>
      <c r="U1352" s="480"/>
      <c r="V1352" s="480"/>
      <c r="W1352" s="480"/>
      <c r="X1352" s="480"/>
      <c r="Y1352" s="480"/>
    </row>
    <row r="1353" spans="1:14" ht="23.25" customHeight="1">
      <c r="A1353" s="140"/>
      <c r="B1353" s="141" t="s">
        <v>47</v>
      </c>
      <c r="C1353" s="1268">
        <f>CEILING((C1351*0.85),0.1)</f>
        <v>76.5</v>
      </c>
      <c r="D1353" s="1270"/>
      <c r="E1353" s="1268">
        <f>CEILING((E1351*0.85),0.1)</f>
        <v>90.4</v>
      </c>
      <c r="F1353" s="1270"/>
      <c r="G1353" s="1268">
        <f>CEILING((G1351*0.85),0.1)</f>
        <v>82.9</v>
      </c>
      <c r="H1353" s="1270"/>
      <c r="I1353" s="1268">
        <f>CEILING((I1351*0.85),0.1)</f>
        <v>90.4</v>
      </c>
      <c r="J1353" s="1270"/>
      <c r="K1353" s="1268">
        <f>CEILING((K1351*0.85),0.1)</f>
        <v>76.5</v>
      </c>
      <c r="L1353" s="1270"/>
      <c r="M1353" s="21"/>
      <c r="N1353" s="158"/>
    </row>
    <row r="1354" spans="1:14" ht="15" customHeight="1">
      <c r="A1354" s="284"/>
      <c r="B1354" s="12" t="s">
        <v>71</v>
      </c>
      <c r="C1354" s="1268">
        <f>CEILING((C1351*0),0.1)</f>
        <v>0</v>
      </c>
      <c r="D1354" s="1270"/>
      <c r="E1354" s="1268">
        <f>CEILING((E1351*0.5),0.1)</f>
        <v>53.2</v>
      </c>
      <c r="F1354" s="1270"/>
      <c r="G1354" s="1268">
        <f>CEILING((G1351*0.5),0.1)</f>
        <v>48.800000000000004</v>
      </c>
      <c r="H1354" s="1270"/>
      <c r="I1354" s="1268">
        <f>CEILING((I1351*0.5),0.1)</f>
        <v>53.2</v>
      </c>
      <c r="J1354" s="1270"/>
      <c r="K1354" s="1268">
        <f>CEILING((K1351*0),0.1)</f>
        <v>0</v>
      </c>
      <c r="L1354" s="1270"/>
      <c r="M1354" s="21"/>
      <c r="N1354" s="158"/>
    </row>
    <row r="1355" spans="1:14" ht="15" customHeight="1">
      <c r="A1355" s="140"/>
      <c r="B1355" s="291" t="s">
        <v>44</v>
      </c>
      <c r="C1355" s="1268">
        <f>CEILING(97*$Z$1,0.1)</f>
        <v>121.30000000000001</v>
      </c>
      <c r="D1355" s="1270"/>
      <c r="E1355" s="1268">
        <f>CEILING(110*$Z$1,0.1)</f>
        <v>137.5</v>
      </c>
      <c r="F1355" s="1270"/>
      <c r="G1355" s="1268">
        <f>CEILING(103*$Z$1,0.1)</f>
        <v>128.8</v>
      </c>
      <c r="H1355" s="1269"/>
      <c r="I1355" s="1268">
        <f>CEILING(110*$Z$1,0.1)</f>
        <v>137.5</v>
      </c>
      <c r="J1355" s="1270"/>
      <c r="K1355" s="1268">
        <f>CEILING(97*$Z$1,0.1)</f>
        <v>121.30000000000001</v>
      </c>
      <c r="L1355" s="1270"/>
      <c r="M1355" s="21"/>
      <c r="N1355" s="158"/>
    </row>
    <row r="1356" spans="1:14" ht="17.25" customHeight="1">
      <c r="A1356" s="168" t="s">
        <v>39</v>
      </c>
      <c r="B1356" s="291" t="s">
        <v>46</v>
      </c>
      <c r="C1356" s="1268">
        <f>CEILING((C1355+28*$Z$1),0.1)</f>
        <v>156.3</v>
      </c>
      <c r="D1356" s="1270"/>
      <c r="E1356" s="1268">
        <f>CEILING((E1355+28*$Z$1),0.1)</f>
        <v>172.5</v>
      </c>
      <c r="F1356" s="1270"/>
      <c r="G1356" s="1268">
        <f>CEILING((G1355+28*$Z$1),0.1)</f>
        <v>163.8</v>
      </c>
      <c r="H1356" s="1269"/>
      <c r="I1356" s="1268">
        <f>CEILING((I1355+28*$Z$1),0.1)</f>
        <v>172.5</v>
      </c>
      <c r="J1356" s="1270"/>
      <c r="K1356" s="1268">
        <f>CEILING((K1355+28*$Z$1),0.1)</f>
        <v>156.3</v>
      </c>
      <c r="L1356" s="1270"/>
      <c r="M1356" s="21"/>
      <c r="N1356" s="158"/>
    </row>
    <row r="1357" spans="1:14" ht="15" customHeight="1">
      <c r="A1357" s="140"/>
      <c r="B1357" s="226" t="s">
        <v>56</v>
      </c>
      <c r="C1357" s="1268">
        <f>CEILING(112*$Z$1,0.1)</f>
        <v>140</v>
      </c>
      <c r="D1357" s="1270"/>
      <c r="E1357" s="1268">
        <f>CEILING(125*$Z$1,0.1)</f>
        <v>156.3</v>
      </c>
      <c r="F1357" s="1270"/>
      <c r="G1357" s="1268">
        <f>CEILING(118*$Z$1,0.1)</f>
        <v>147.5</v>
      </c>
      <c r="H1357" s="1269"/>
      <c r="I1357" s="1268">
        <f>CEILING(125*$Z$1,0.1)</f>
        <v>156.3</v>
      </c>
      <c r="J1357" s="1270"/>
      <c r="K1357" s="1268">
        <f>CEILING(112*$Z$1,0.1)</f>
        <v>140</v>
      </c>
      <c r="L1357" s="1270"/>
      <c r="M1357" s="21"/>
      <c r="N1357" s="158"/>
    </row>
    <row r="1358" spans="1:14" ht="16.5" customHeight="1" thickBot="1">
      <c r="A1358" s="503" t="s">
        <v>563</v>
      </c>
      <c r="B1358" s="297" t="s">
        <v>57</v>
      </c>
      <c r="C1358" s="1275">
        <f>CEILING((C1357+35*$Z$1),0.1)</f>
        <v>183.8</v>
      </c>
      <c r="D1358" s="1277"/>
      <c r="E1358" s="1275">
        <f>CEILING((E1357+35*$Z$1),0.1)</f>
        <v>200.10000000000002</v>
      </c>
      <c r="F1358" s="1277"/>
      <c r="G1358" s="1275">
        <f>CEILING((G1357+35*$Z$1),0.1)</f>
        <v>191.3</v>
      </c>
      <c r="H1358" s="1276"/>
      <c r="I1358" s="1275">
        <f>CEILING((I1357+35*$Z$1),0.1)</f>
        <v>200.10000000000002</v>
      </c>
      <c r="J1358" s="1277"/>
      <c r="K1358" s="1275">
        <f>CEILING((K1357+35*$Z$1),0.1)</f>
        <v>183.8</v>
      </c>
      <c r="L1358" s="1277"/>
      <c r="M1358" s="21"/>
      <c r="N1358" s="158"/>
    </row>
    <row r="1359" spans="1:14" ht="16.5" customHeight="1" thickTop="1">
      <c r="A1359" s="75" t="s">
        <v>564</v>
      </c>
      <c r="B1359" s="420"/>
      <c r="C1359" s="420"/>
      <c r="D1359" s="420"/>
      <c r="E1359" s="420"/>
      <c r="F1359" s="420"/>
      <c r="G1359" s="420"/>
      <c r="H1359" s="420"/>
      <c r="I1359" s="112"/>
      <c r="J1359" s="112"/>
      <c r="K1359" s="313"/>
      <c r="L1359" s="94"/>
      <c r="M1359" s="20"/>
      <c r="N1359" s="234"/>
    </row>
    <row r="1360" spans="1:50" s="776" customFormat="1" ht="15" customHeight="1">
      <c r="A1360" s="1306"/>
      <c r="B1360" s="1307"/>
      <c r="C1360" s="1307"/>
      <c r="D1360" s="1307"/>
      <c r="E1360" s="1307"/>
      <c r="F1360" s="1307"/>
      <c r="G1360" s="1307"/>
      <c r="H1360" s="1307"/>
      <c r="I1360" s="1307"/>
      <c r="J1360" s="1307"/>
      <c r="K1360" s="775"/>
      <c r="L1360" s="775"/>
      <c r="M1360" s="335"/>
      <c r="N1360" s="335"/>
      <c r="O1360" s="335"/>
      <c r="P1360" s="335"/>
      <c r="Q1360" s="335"/>
      <c r="R1360" s="335"/>
      <c r="S1360" s="335"/>
      <c r="T1360" s="335"/>
      <c r="U1360" s="335"/>
      <c r="V1360" s="335"/>
      <c r="W1360" s="335"/>
      <c r="X1360" s="335"/>
      <c r="Y1360" s="335"/>
      <c r="Z1360" s="335"/>
      <c r="AA1360" s="335"/>
      <c r="AB1360" s="335"/>
      <c r="AC1360" s="335"/>
      <c r="AD1360" s="335"/>
      <c r="AE1360" s="335"/>
      <c r="AF1360" s="335"/>
      <c r="AG1360" s="335"/>
      <c r="AH1360" s="335"/>
      <c r="AI1360" s="335"/>
      <c r="AJ1360" s="335"/>
      <c r="AK1360" s="335"/>
      <c r="AL1360" s="335"/>
      <c r="AM1360" s="335"/>
      <c r="AN1360" s="335"/>
      <c r="AO1360" s="335"/>
      <c r="AP1360" s="335"/>
      <c r="AQ1360" s="335"/>
      <c r="AR1360" s="335"/>
      <c r="AS1360" s="335"/>
      <c r="AT1360" s="335"/>
      <c r="AU1360" s="335"/>
      <c r="AV1360" s="335"/>
      <c r="AW1360" s="335"/>
      <c r="AX1360" s="335"/>
    </row>
    <row r="1361" spans="1:72" s="479" customFormat="1" ht="18" customHeight="1">
      <c r="A1361" s="172"/>
      <c r="B1361" s="1149"/>
      <c r="C1361" s="22"/>
      <c r="D1361" s="22"/>
      <c r="E1361" s="22"/>
      <c r="F1361" s="22"/>
      <c r="G1361" s="22"/>
      <c r="H1361" s="22"/>
      <c r="I1361" s="22"/>
      <c r="J1361" s="22"/>
      <c r="K1361" s="166"/>
      <c r="L1361" s="166"/>
      <c r="M1361" s="1148"/>
      <c r="N1361" s="1148"/>
      <c r="O1361" s="331"/>
      <c r="P1361" s="331"/>
      <c r="Q1361" s="331"/>
      <c r="R1361" s="331"/>
      <c r="S1361" s="331"/>
      <c r="T1361" s="331"/>
      <c r="U1361" s="331"/>
      <c r="V1361" s="331"/>
      <c r="W1361" s="331"/>
      <c r="X1361" s="331"/>
      <c r="Y1361" s="331"/>
      <c r="Z1361" s="331"/>
      <c r="AA1361" s="331"/>
      <c r="AB1361" s="331"/>
      <c r="AC1361" s="331"/>
      <c r="AD1361" s="331"/>
      <c r="AE1361" s="331"/>
      <c r="AF1361" s="331"/>
      <c r="AG1361" s="331"/>
      <c r="AH1361" s="331"/>
      <c r="AI1361" s="331"/>
      <c r="AJ1361" s="331"/>
      <c r="AK1361" s="331"/>
      <c r="AL1361" s="331"/>
      <c r="AM1361" s="331"/>
      <c r="AN1361" s="331"/>
      <c r="AO1361" s="331"/>
      <c r="AP1361" s="331"/>
      <c r="AQ1361" s="331"/>
      <c r="AR1361" s="331"/>
      <c r="AS1361" s="331"/>
      <c r="AT1361" s="331"/>
      <c r="AU1361" s="331"/>
      <c r="AV1361" s="331"/>
      <c r="AW1361" s="331"/>
      <c r="AX1361" s="331"/>
      <c r="AY1361" s="331"/>
      <c r="AZ1361" s="331"/>
      <c r="BA1361" s="331"/>
      <c r="BB1361" s="331"/>
      <c r="BC1361" s="331"/>
      <c r="BD1361" s="331"/>
      <c r="BE1361" s="331"/>
      <c r="BF1361" s="331"/>
      <c r="BG1361" s="331"/>
      <c r="BH1361" s="331"/>
      <c r="BI1361" s="331"/>
      <c r="BJ1361" s="331"/>
      <c r="BK1361" s="331"/>
      <c r="BL1361" s="331"/>
      <c r="BM1361" s="331"/>
      <c r="BN1361" s="331"/>
      <c r="BO1361" s="331"/>
      <c r="BP1361" s="331"/>
      <c r="BQ1361" s="331"/>
      <c r="BR1361" s="331"/>
      <c r="BS1361" s="331"/>
      <c r="BT1361" s="331"/>
    </row>
    <row r="1362" spans="1:72" s="479" customFormat="1" ht="18" customHeight="1" thickBot="1">
      <c r="A1362" s="172"/>
      <c r="B1362" s="1149"/>
      <c r="C1362" s="22"/>
      <c r="D1362" s="22"/>
      <c r="E1362" s="22"/>
      <c r="F1362" s="22"/>
      <c r="G1362" s="22"/>
      <c r="H1362" s="22"/>
      <c r="I1362" s="22"/>
      <c r="J1362" s="22"/>
      <c r="K1362" s="166"/>
      <c r="L1362" s="166"/>
      <c r="M1362" s="1148"/>
      <c r="N1362" s="1148"/>
      <c r="O1362" s="331"/>
      <c r="P1362" s="331"/>
      <c r="Q1362" s="331"/>
      <c r="R1362" s="331"/>
      <c r="S1362" s="331"/>
      <c r="T1362" s="331"/>
      <c r="U1362" s="331"/>
      <c r="V1362" s="331"/>
      <c r="W1362" s="331"/>
      <c r="X1362" s="331"/>
      <c r="Y1362" s="331"/>
      <c r="Z1362" s="331"/>
      <c r="AA1362" s="331"/>
      <c r="AB1362" s="331"/>
      <c r="AC1362" s="331"/>
      <c r="AD1362" s="331"/>
      <c r="AE1362" s="331"/>
      <c r="AF1362" s="331"/>
      <c r="AG1362" s="331"/>
      <c r="AH1362" s="331"/>
      <c r="AI1362" s="331"/>
      <c r="AJ1362" s="331"/>
      <c r="AK1362" s="331"/>
      <c r="AL1362" s="331"/>
      <c r="AM1362" s="331"/>
      <c r="AN1362" s="331"/>
      <c r="AO1362" s="331"/>
      <c r="AP1362" s="331"/>
      <c r="AQ1362" s="331"/>
      <c r="AR1362" s="331"/>
      <c r="AS1362" s="331"/>
      <c r="AT1362" s="331"/>
      <c r="AU1362" s="331"/>
      <c r="AV1362" s="331"/>
      <c r="AW1362" s="331"/>
      <c r="AX1362" s="331"/>
      <c r="AY1362" s="331"/>
      <c r="AZ1362" s="331"/>
      <c r="BA1362" s="331"/>
      <c r="BB1362" s="331"/>
      <c r="BC1362" s="331"/>
      <c r="BD1362" s="331"/>
      <c r="BE1362" s="331"/>
      <c r="BF1362" s="331"/>
      <c r="BG1362" s="331"/>
      <c r="BH1362" s="331"/>
      <c r="BI1362" s="331"/>
      <c r="BJ1362" s="331"/>
      <c r="BK1362" s="331"/>
      <c r="BL1362" s="331"/>
      <c r="BM1362" s="331"/>
      <c r="BN1362" s="331"/>
      <c r="BO1362" s="331"/>
      <c r="BP1362" s="331"/>
      <c r="BQ1362" s="331"/>
      <c r="BR1362" s="331"/>
      <c r="BS1362" s="331"/>
      <c r="BT1362" s="331"/>
    </row>
    <row r="1363" spans="1:41" s="672" customFormat="1" ht="21" customHeight="1" thickTop="1">
      <c r="A1363" s="746" t="s">
        <v>43</v>
      </c>
      <c r="B1363" s="814" t="s">
        <v>961</v>
      </c>
      <c r="C1363" s="747" t="s">
        <v>884</v>
      </c>
      <c r="D1363" s="748"/>
      <c r="E1363" s="749" t="s">
        <v>911</v>
      </c>
      <c r="F1363" s="750"/>
      <c r="G1363" s="749" t="s">
        <v>1257</v>
      </c>
      <c r="H1363" s="750"/>
      <c r="I1363" s="1273" t="s">
        <v>1258</v>
      </c>
      <c r="J1363" s="1274"/>
      <c r="K1363" s="1273" t="s">
        <v>882</v>
      </c>
      <c r="L1363" s="1274"/>
      <c r="M1363" s="1148"/>
      <c r="N1363" s="1148"/>
      <c r="O1363" s="331"/>
      <c r="P1363" s="331"/>
      <c r="Q1363" s="331"/>
      <c r="R1363" s="331"/>
      <c r="S1363" s="331"/>
      <c r="T1363" s="331"/>
      <c r="U1363" s="331"/>
      <c r="V1363" s="331"/>
      <c r="W1363" s="331"/>
      <c r="X1363" s="331"/>
      <c r="Y1363" s="331"/>
      <c r="Z1363" s="331"/>
      <c r="AA1363" s="331"/>
      <c r="AB1363" s="331"/>
      <c r="AC1363" s="331"/>
      <c r="AD1363" s="331"/>
      <c r="AE1363" s="331"/>
      <c r="AF1363" s="331"/>
      <c r="AG1363" s="331"/>
      <c r="AH1363" s="331"/>
      <c r="AI1363" s="331"/>
      <c r="AJ1363" s="331"/>
      <c r="AK1363" s="331"/>
      <c r="AL1363" s="331"/>
      <c r="AM1363" s="331"/>
      <c r="AN1363" s="331"/>
      <c r="AO1363" s="331"/>
    </row>
    <row r="1364" spans="1:25" s="479" customFormat="1" ht="17.25" customHeight="1">
      <c r="A1364" s="137" t="s">
        <v>1259</v>
      </c>
      <c r="B1364" s="213" t="s">
        <v>51</v>
      </c>
      <c r="C1364" s="1266">
        <f>CEILING(87*$Z$1,0.1)</f>
        <v>108.80000000000001</v>
      </c>
      <c r="D1364" s="1267"/>
      <c r="E1364" s="1266">
        <f>CEILING(102*$Z$1,0.1)</f>
        <v>127.5</v>
      </c>
      <c r="F1364" s="1267"/>
      <c r="G1364" s="1268">
        <f>CEILING(94*$Z$1,0.1)</f>
        <v>117.5</v>
      </c>
      <c r="H1364" s="1269"/>
      <c r="I1364" s="1266">
        <f>CEILING(102*$Z$1,0.1)</f>
        <v>127.5</v>
      </c>
      <c r="J1364" s="1267"/>
      <c r="K1364" s="1266">
        <f>CEILING(87*$Z$1,0.1)</f>
        <v>108.80000000000001</v>
      </c>
      <c r="L1364" s="1267"/>
      <c r="M1364" s="16"/>
      <c r="N1364" s="158"/>
      <c r="O1364" s="480"/>
      <c r="P1364" s="480"/>
      <c r="Q1364" s="480"/>
      <c r="R1364" s="480"/>
      <c r="S1364" s="480"/>
      <c r="T1364" s="480"/>
      <c r="U1364" s="480"/>
      <c r="V1364" s="480"/>
      <c r="W1364" s="480"/>
      <c r="X1364" s="480"/>
      <c r="Y1364" s="480"/>
    </row>
    <row r="1365" spans="1:25" s="479" customFormat="1" ht="17.25" customHeight="1">
      <c r="A1365" s="139" t="s">
        <v>45</v>
      </c>
      <c r="B1365" s="138" t="s">
        <v>52</v>
      </c>
      <c r="C1365" s="1268">
        <f>CEILING((C1364+25*$Z$1),0.1)</f>
        <v>140.1</v>
      </c>
      <c r="D1365" s="1270"/>
      <c r="E1365" s="1268">
        <f>CEILING((E1364+25*$Z$1),0.1)</f>
        <v>158.8</v>
      </c>
      <c r="F1365" s="1270"/>
      <c r="G1365" s="1268">
        <f>CEILING((G1364+25*$Z$1),0.1)</f>
        <v>148.8</v>
      </c>
      <c r="H1365" s="1270"/>
      <c r="I1365" s="1268">
        <f>CEILING((I1364+25*$Z$1),0.1)</f>
        <v>158.8</v>
      </c>
      <c r="J1365" s="1270"/>
      <c r="K1365" s="1268">
        <f>CEILING((K1364+25*$Z$1),0.1)</f>
        <v>140.1</v>
      </c>
      <c r="L1365" s="1270"/>
      <c r="M1365" s="16"/>
      <c r="N1365" s="158"/>
      <c r="O1365" s="480"/>
      <c r="P1365" s="480"/>
      <c r="Q1365" s="480"/>
      <c r="R1365" s="480"/>
      <c r="S1365" s="480"/>
      <c r="T1365" s="480"/>
      <c r="U1365" s="480"/>
      <c r="V1365" s="480"/>
      <c r="W1365" s="480"/>
      <c r="X1365" s="480"/>
      <c r="Y1365" s="480"/>
    </row>
    <row r="1366" spans="1:25" s="479" customFormat="1" ht="23.25" customHeight="1">
      <c r="A1366" s="140"/>
      <c r="B1366" s="141" t="s">
        <v>47</v>
      </c>
      <c r="C1366" s="1268">
        <f>CEILING((C1364*0.85),0.1)</f>
        <v>92.5</v>
      </c>
      <c r="D1366" s="1270"/>
      <c r="E1366" s="1268">
        <f>CEILING((E1364*0.85),0.1)</f>
        <v>108.4</v>
      </c>
      <c r="F1366" s="1270"/>
      <c r="G1366" s="1268">
        <f>CEILING((G1364*0.85),0.1)</f>
        <v>99.9</v>
      </c>
      <c r="H1366" s="1270"/>
      <c r="I1366" s="1268">
        <f>CEILING((I1364*0.85),0.1)</f>
        <v>108.4</v>
      </c>
      <c r="J1366" s="1270"/>
      <c r="K1366" s="1268">
        <f>CEILING((K1364*0.85),0.1)</f>
        <v>92.5</v>
      </c>
      <c r="L1366" s="1270"/>
      <c r="M1366" s="21"/>
      <c r="N1366" s="158"/>
      <c r="O1366" s="480"/>
      <c r="P1366" s="480"/>
      <c r="Q1366" s="480"/>
      <c r="R1366" s="480"/>
      <c r="S1366" s="480"/>
      <c r="T1366" s="480"/>
      <c r="U1366" s="480"/>
      <c r="V1366" s="480"/>
      <c r="W1366" s="480"/>
      <c r="X1366" s="480"/>
      <c r="Y1366" s="480"/>
    </row>
    <row r="1367" spans="1:25" s="479" customFormat="1" ht="15" customHeight="1">
      <c r="A1367" s="140"/>
      <c r="B1367" s="291" t="s">
        <v>44</v>
      </c>
      <c r="C1367" s="1268">
        <f>CEILING(117*$Z$1,0.1)</f>
        <v>146.3</v>
      </c>
      <c r="D1367" s="1270"/>
      <c r="E1367" s="1268">
        <f>CEILING(132*$Z$1,0.1)</f>
        <v>165</v>
      </c>
      <c r="F1367" s="1270"/>
      <c r="G1367" s="1268">
        <f>CEILING(124*$Z$1,0.1)</f>
        <v>155</v>
      </c>
      <c r="H1367" s="1269"/>
      <c r="I1367" s="1268">
        <f>CEILING(132*$Z$1,0.1)</f>
        <v>165</v>
      </c>
      <c r="J1367" s="1270"/>
      <c r="K1367" s="1268">
        <f>CEILING(117*$Z$1,0.1)</f>
        <v>146.3</v>
      </c>
      <c r="L1367" s="1270"/>
      <c r="M1367" s="21"/>
      <c r="N1367" s="158"/>
      <c r="O1367" s="480"/>
      <c r="P1367" s="480"/>
      <c r="Q1367" s="480"/>
      <c r="R1367" s="480"/>
      <c r="S1367" s="480"/>
      <c r="T1367" s="480"/>
      <c r="U1367" s="480"/>
      <c r="V1367" s="480"/>
      <c r="W1367" s="480"/>
      <c r="X1367" s="480"/>
      <c r="Y1367" s="480"/>
    </row>
    <row r="1368" spans="1:25" s="479" customFormat="1" ht="17.25" customHeight="1">
      <c r="A1368" s="483" t="s">
        <v>1260</v>
      </c>
      <c r="B1368" s="291" t="s">
        <v>46</v>
      </c>
      <c r="C1368" s="1268">
        <f>CEILING((C1367+28*$Z$1),0.1)</f>
        <v>181.3</v>
      </c>
      <c r="D1368" s="1270"/>
      <c r="E1368" s="1268">
        <f>CEILING((E1367+28*$Z$1),0.1)</f>
        <v>200</v>
      </c>
      <c r="F1368" s="1270"/>
      <c r="G1368" s="1268">
        <f>CEILING((G1367+28*$Z$1),0.1)</f>
        <v>190</v>
      </c>
      <c r="H1368" s="1269"/>
      <c r="I1368" s="1268">
        <f>CEILING((I1367+28*$Z$1),0.1)</f>
        <v>200</v>
      </c>
      <c r="J1368" s="1270"/>
      <c r="K1368" s="1268">
        <f>CEILING((K1367+28*$Z$1),0.1)</f>
        <v>181.3</v>
      </c>
      <c r="L1368" s="1270"/>
      <c r="M1368" s="21"/>
      <c r="N1368" s="158"/>
      <c r="O1368" s="480"/>
      <c r="P1368" s="480"/>
      <c r="Q1368" s="480"/>
      <c r="R1368" s="480"/>
      <c r="S1368" s="480"/>
      <c r="T1368" s="480"/>
      <c r="U1368" s="480"/>
      <c r="V1368" s="480"/>
      <c r="W1368" s="480"/>
      <c r="X1368" s="480"/>
      <c r="Y1368" s="480"/>
    </row>
    <row r="1369" spans="1:25" s="479" customFormat="1" ht="15" customHeight="1">
      <c r="A1369" s="140"/>
      <c r="B1369" s="226" t="s">
        <v>56</v>
      </c>
      <c r="C1369" s="1268">
        <f>CEILING(135*$Z$1,0.1)</f>
        <v>168.8</v>
      </c>
      <c r="D1369" s="1270"/>
      <c r="E1369" s="1268">
        <f>CEILING(150*$Z$1,0.1)</f>
        <v>187.5</v>
      </c>
      <c r="F1369" s="1270"/>
      <c r="G1369" s="1268">
        <f>CEILING(142*$Z$1,0.1)</f>
        <v>177.5</v>
      </c>
      <c r="H1369" s="1269"/>
      <c r="I1369" s="1268">
        <f>CEILING(150*$Z$1,0.1)</f>
        <v>187.5</v>
      </c>
      <c r="J1369" s="1270"/>
      <c r="K1369" s="1268">
        <f>CEILING(135*$Z$1,0.1)</f>
        <v>168.8</v>
      </c>
      <c r="L1369" s="1270"/>
      <c r="M1369" s="21"/>
      <c r="N1369" s="158"/>
      <c r="O1369" s="480"/>
      <c r="P1369" s="480"/>
      <c r="Q1369" s="480"/>
      <c r="R1369" s="480"/>
      <c r="S1369" s="480"/>
      <c r="T1369" s="480"/>
      <c r="U1369" s="480"/>
      <c r="V1369" s="480"/>
      <c r="W1369" s="480"/>
      <c r="X1369" s="480"/>
      <c r="Y1369" s="480"/>
    </row>
    <row r="1370" spans="1:25" s="479" customFormat="1" ht="16.5" customHeight="1" thickBot="1">
      <c r="A1370" s="503" t="s">
        <v>563</v>
      </c>
      <c r="B1370" s="297" t="s">
        <v>57</v>
      </c>
      <c r="C1370" s="1275">
        <f>CEILING((C1369+35*$Z$1),0.1)</f>
        <v>212.60000000000002</v>
      </c>
      <c r="D1370" s="1277"/>
      <c r="E1370" s="1275">
        <f>CEILING((E1369+35*$Z$1),0.1)</f>
        <v>231.3</v>
      </c>
      <c r="F1370" s="1277"/>
      <c r="G1370" s="1275">
        <f>CEILING((G1369+35*$Z$1),0.1)</f>
        <v>221.3</v>
      </c>
      <c r="H1370" s="1276"/>
      <c r="I1370" s="1275">
        <f>CEILING((I1369+35*$Z$1),0.1)</f>
        <v>231.3</v>
      </c>
      <c r="J1370" s="1277"/>
      <c r="K1370" s="1275">
        <f>CEILING((K1369+35*$Z$1),0.1)</f>
        <v>212.60000000000002</v>
      </c>
      <c r="L1370" s="1277"/>
      <c r="M1370" s="21"/>
      <c r="N1370" s="158"/>
      <c r="O1370" s="480"/>
      <c r="P1370" s="480"/>
      <c r="Q1370" s="480"/>
      <c r="R1370" s="480"/>
      <c r="S1370" s="480"/>
      <c r="T1370" s="480"/>
      <c r="U1370" s="480"/>
      <c r="V1370" s="480"/>
      <c r="W1370" s="480"/>
      <c r="X1370" s="480"/>
      <c r="Y1370" s="480"/>
    </row>
    <row r="1371" spans="1:25" s="479" customFormat="1" ht="16.5" customHeight="1" thickTop="1">
      <c r="A1371" s="75" t="s">
        <v>564</v>
      </c>
      <c r="B1371" s="420"/>
      <c r="C1371" s="420"/>
      <c r="D1371" s="420"/>
      <c r="E1371" s="420"/>
      <c r="F1371" s="420"/>
      <c r="G1371" s="420"/>
      <c r="H1371" s="420"/>
      <c r="I1371" s="112"/>
      <c r="J1371" s="112"/>
      <c r="K1371" s="313"/>
      <c r="L1371" s="94"/>
      <c r="M1371" s="20"/>
      <c r="N1371" s="234"/>
      <c r="O1371" s="480"/>
      <c r="P1371" s="480"/>
      <c r="Q1371" s="480"/>
      <c r="R1371" s="480"/>
      <c r="S1371" s="480"/>
      <c r="T1371" s="480"/>
      <c r="U1371" s="480"/>
      <c r="V1371" s="480"/>
      <c r="W1371" s="480"/>
      <c r="X1371" s="480"/>
      <c r="Y1371" s="480"/>
    </row>
    <row r="1372" spans="1:50" s="776" customFormat="1" ht="15" customHeight="1">
      <c r="A1372" s="1306"/>
      <c r="B1372" s="1307"/>
      <c r="C1372" s="1307"/>
      <c r="D1372" s="1307"/>
      <c r="E1372" s="1307"/>
      <c r="F1372" s="1307"/>
      <c r="G1372" s="1307"/>
      <c r="H1372" s="1307"/>
      <c r="I1372" s="1307"/>
      <c r="J1372" s="1307"/>
      <c r="K1372" s="775"/>
      <c r="L1372" s="775"/>
      <c r="M1372" s="335"/>
      <c r="N1372" s="335"/>
      <c r="O1372" s="335"/>
      <c r="P1372" s="335"/>
      <c r="Q1372" s="335"/>
      <c r="R1372" s="335"/>
      <c r="S1372" s="335"/>
      <c r="T1372" s="335"/>
      <c r="U1372" s="335"/>
      <c r="V1372" s="335"/>
      <c r="W1372" s="335"/>
      <c r="X1372" s="335"/>
      <c r="Y1372" s="335"/>
      <c r="Z1372" s="335"/>
      <c r="AA1372" s="335"/>
      <c r="AB1372" s="335"/>
      <c r="AC1372" s="335"/>
      <c r="AD1372" s="335"/>
      <c r="AE1372" s="335"/>
      <c r="AF1372" s="335"/>
      <c r="AG1372" s="335"/>
      <c r="AH1372" s="335"/>
      <c r="AI1372" s="335"/>
      <c r="AJ1372" s="335"/>
      <c r="AK1372" s="335"/>
      <c r="AL1372" s="335"/>
      <c r="AM1372" s="335"/>
      <c r="AN1372" s="335"/>
      <c r="AO1372" s="335"/>
      <c r="AP1372" s="335"/>
      <c r="AQ1372" s="335"/>
      <c r="AR1372" s="335"/>
      <c r="AS1372" s="335"/>
      <c r="AT1372" s="335"/>
      <c r="AU1372" s="335"/>
      <c r="AV1372" s="335"/>
      <c r="AW1372" s="335"/>
      <c r="AX1372" s="335"/>
    </row>
    <row r="1373" spans="1:72" s="479" customFormat="1" ht="18" customHeight="1">
      <c r="A1373" s="172"/>
      <c r="B1373" s="1149"/>
      <c r="C1373" s="22"/>
      <c r="D1373" s="22"/>
      <c r="E1373" s="22"/>
      <c r="F1373" s="22"/>
      <c r="G1373" s="22"/>
      <c r="H1373" s="22"/>
      <c r="I1373" s="22"/>
      <c r="J1373" s="22"/>
      <c r="K1373" s="166"/>
      <c r="L1373" s="166"/>
      <c r="M1373" s="1148"/>
      <c r="N1373" s="1148"/>
      <c r="O1373" s="331"/>
      <c r="P1373" s="331"/>
      <c r="Q1373" s="331"/>
      <c r="R1373" s="331"/>
      <c r="S1373" s="331"/>
      <c r="T1373" s="331"/>
      <c r="U1373" s="331"/>
      <c r="V1373" s="331"/>
      <c r="W1373" s="331"/>
      <c r="X1373" s="331"/>
      <c r="Y1373" s="331"/>
      <c r="Z1373" s="331"/>
      <c r="AA1373" s="331"/>
      <c r="AB1373" s="331"/>
      <c r="AC1373" s="331"/>
      <c r="AD1373" s="331"/>
      <c r="AE1373" s="331"/>
      <c r="AF1373" s="331"/>
      <c r="AG1373" s="331"/>
      <c r="AH1373" s="331"/>
      <c r="AI1373" s="331"/>
      <c r="AJ1373" s="331"/>
      <c r="AK1373" s="331"/>
      <c r="AL1373" s="331"/>
      <c r="AM1373" s="331"/>
      <c r="AN1373" s="331"/>
      <c r="AO1373" s="331"/>
      <c r="AP1373" s="331"/>
      <c r="AQ1373" s="331"/>
      <c r="AR1373" s="331"/>
      <c r="AS1373" s="331"/>
      <c r="AT1373" s="331"/>
      <c r="AU1373" s="331"/>
      <c r="AV1373" s="331"/>
      <c r="AW1373" s="331"/>
      <c r="AX1373" s="331"/>
      <c r="AY1373" s="331"/>
      <c r="AZ1373" s="331"/>
      <c r="BA1373" s="331"/>
      <c r="BB1373" s="331"/>
      <c r="BC1373" s="331"/>
      <c r="BD1373" s="331"/>
      <c r="BE1373" s="331"/>
      <c r="BF1373" s="331"/>
      <c r="BG1373" s="331"/>
      <c r="BH1373" s="331"/>
      <c r="BI1373" s="331"/>
      <c r="BJ1373" s="331"/>
      <c r="BK1373" s="331"/>
      <c r="BL1373" s="331"/>
      <c r="BM1373" s="331"/>
      <c r="BN1373" s="331"/>
      <c r="BO1373" s="331"/>
      <c r="BP1373" s="331"/>
      <c r="BQ1373" s="331"/>
      <c r="BR1373" s="331"/>
      <c r="BS1373" s="331"/>
      <c r="BT1373" s="331"/>
    </row>
    <row r="1374" spans="1:72" s="479" customFormat="1" ht="18" customHeight="1" thickBot="1">
      <c r="A1374" s="172"/>
      <c r="B1374" s="1153"/>
      <c r="C1374" s="22"/>
      <c r="D1374" s="22"/>
      <c r="E1374" s="22"/>
      <c r="F1374" s="22"/>
      <c r="G1374" s="22"/>
      <c r="H1374" s="22"/>
      <c r="I1374" s="22"/>
      <c r="J1374" s="22"/>
      <c r="K1374" s="166"/>
      <c r="L1374" s="166"/>
      <c r="M1374" s="1152"/>
      <c r="N1374" s="1152"/>
      <c r="O1374" s="331"/>
      <c r="P1374" s="331"/>
      <c r="Q1374" s="331"/>
      <c r="R1374" s="331"/>
      <c r="S1374" s="331"/>
      <c r="T1374" s="331"/>
      <c r="U1374" s="331"/>
      <c r="V1374" s="331"/>
      <c r="W1374" s="331"/>
      <c r="X1374" s="331"/>
      <c r="Y1374" s="331"/>
      <c r="Z1374" s="331"/>
      <c r="AA1374" s="331"/>
      <c r="AB1374" s="331"/>
      <c r="AC1374" s="331"/>
      <c r="AD1374" s="331"/>
      <c r="AE1374" s="331"/>
      <c r="AF1374" s="331"/>
      <c r="AG1374" s="331"/>
      <c r="AH1374" s="331"/>
      <c r="AI1374" s="331"/>
      <c r="AJ1374" s="331"/>
      <c r="AK1374" s="331"/>
      <c r="AL1374" s="331"/>
      <c r="AM1374" s="331"/>
      <c r="AN1374" s="331"/>
      <c r="AO1374" s="331"/>
      <c r="AP1374" s="331"/>
      <c r="AQ1374" s="331"/>
      <c r="AR1374" s="331"/>
      <c r="AS1374" s="331"/>
      <c r="AT1374" s="331"/>
      <c r="AU1374" s="331"/>
      <c r="AV1374" s="331"/>
      <c r="AW1374" s="331"/>
      <c r="AX1374" s="331"/>
      <c r="AY1374" s="331"/>
      <c r="AZ1374" s="331"/>
      <c r="BA1374" s="331"/>
      <c r="BB1374" s="331"/>
      <c r="BC1374" s="331"/>
      <c r="BD1374" s="331"/>
      <c r="BE1374" s="331"/>
      <c r="BF1374" s="331"/>
      <c r="BG1374" s="331"/>
      <c r="BH1374" s="331"/>
      <c r="BI1374" s="331"/>
      <c r="BJ1374" s="331"/>
      <c r="BK1374" s="331"/>
      <c r="BL1374" s="331"/>
      <c r="BM1374" s="331"/>
      <c r="BN1374" s="331"/>
      <c r="BO1374" s="331"/>
      <c r="BP1374" s="331"/>
      <c r="BQ1374" s="331"/>
      <c r="BR1374" s="331"/>
      <c r="BS1374" s="331"/>
      <c r="BT1374" s="331"/>
    </row>
    <row r="1375" spans="1:41" s="672" customFormat="1" ht="21" customHeight="1" thickTop="1">
      <c r="A1375" s="746" t="s">
        <v>43</v>
      </c>
      <c r="B1375" s="814" t="s">
        <v>961</v>
      </c>
      <c r="C1375" s="747" t="s">
        <v>884</v>
      </c>
      <c r="D1375" s="748"/>
      <c r="E1375" s="749" t="s">
        <v>911</v>
      </c>
      <c r="F1375" s="750"/>
      <c r="G1375" s="749" t="s">
        <v>1257</v>
      </c>
      <c r="H1375" s="750"/>
      <c r="I1375" s="1273" t="s">
        <v>1258</v>
      </c>
      <c r="J1375" s="1274"/>
      <c r="K1375" s="1273" t="s">
        <v>882</v>
      </c>
      <c r="L1375" s="1274"/>
      <c r="M1375" s="1152"/>
      <c r="N1375" s="1152"/>
      <c r="O1375" s="331"/>
      <c r="P1375" s="331"/>
      <c r="Q1375" s="331"/>
      <c r="R1375" s="331"/>
      <c r="S1375" s="331"/>
      <c r="T1375" s="331"/>
      <c r="U1375" s="331"/>
      <c r="V1375" s="331"/>
      <c r="W1375" s="331"/>
      <c r="X1375" s="331"/>
      <c r="Y1375" s="331"/>
      <c r="Z1375" s="331"/>
      <c r="AA1375" s="331"/>
      <c r="AB1375" s="331"/>
      <c r="AC1375" s="331"/>
      <c r="AD1375" s="331"/>
      <c r="AE1375" s="331"/>
      <c r="AF1375" s="331"/>
      <c r="AG1375" s="331"/>
      <c r="AH1375" s="331"/>
      <c r="AI1375" s="331"/>
      <c r="AJ1375" s="331"/>
      <c r="AK1375" s="331"/>
      <c r="AL1375" s="331"/>
      <c r="AM1375" s="331"/>
      <c r="AN1375" s="331"/>
      <c r="AO1375" s="331"/>
    </row>
    <row r="1376" spans="1:25" s="479" customFormat="1" ht="17.25" customHeight="1">
      <c r="A1376" s="137" t="s">
        <v>1261</v>
      </c>
      <c r="B1376" s="213" t="s">
        <v>51</v>
      </c>
      <c r="C1376" s="1266">
        <f>CEILING(85*$Z$1,0.1)</f>
        <v>106.30000000000001</v>
      </c>
      <c r="D1376" s="1267"/>
      <c r="E1376" s="1266">
        <f>CEILING(100*$Z$1,0.1)</f>
        <v>125</v>
      </c>
      <c r="F1376" s="1267"/>
      <c r="G1376" s="1268">
        <f>CEILING(92*$Z$1,0.1)</f>
        <v>115</v>
      </c>
      <c r="H1376" s="1269"/>
      <c r="I1376" s="1266">
        <f>CEILING(100*$Z$1,0.1)</f>
        <v>125</v>
      </c>
      <c r="J1376" s="1267"/>
      <c r="K1376" s="1266">
        <f>CEILING(85*$Z$1,0.1)</f>
        <v>106.30000000000001</v>
      </c>
      <c r="L1376" s="1267"/>
      <c r="M1376" s="16"/>
      <c r="N1376" s="158"/>
      <c r="O1376" s="480"/>
      <c r="P1376" s="480"/>
      <c r="Q1376" s="480"/>
      <c r="R1376" s="480"/>
      <c r="S1376" s="480"/>
      <c r="T1376" s="480"/>
      <c r="U1376" s="480"/>
      <c r="V1376" s="480"/>
      <c r="W1376" s="480"/>
      <c r="X1376" s="480"/>
      <c r="Y1376" s="480"/>
    </row>
    <row r="1377" spans="1:25" s="479" customFormat="1" ht="17.25" customHeight="1">
      <c r="A1377" s="139" t="s">
        <v>45</v>
      </c>
      <c r="B1377" s="138" t="s">
        <v>52</v>
      </c>
      <c r="C1377" s="1268">
        <f>CEILING((C1376+25*$Z$1),0.1)</f>
        <v>137.6</v>
      </c>
      <c r="D1377" s="1270"/>
      <c r="E1377" s="1268">
        <f>CEILING((E1376+25*$Z$1),0.1)</f>
        <v>156.3</v>
      </c>
      <c r="F1377" s="1270"/>
      <c r="G1377" s="1268">
        <f>CEILING((G1376+25*$Z$1),0.1)</f>
        <v>146.3</v>
      </c>
      <c r="H1377" s="1270"/>
      <c r="I1377" s="1268">
        <f>CEILING((I1376+25*$Z$1),0.1)</f>
        <v>156.3</v>
      </c>
      <c r="J1377" s="1270"/>
      <c r="K1377" s="1268">
        <f>CEILING((K1376+25*$Z$1),0.1)</f>
        <v>137.6</v>
      </c>
      <c r="L1377" s="1270"/>
      <c r="M1377" s="16"/>
      <c r="N1377" s="158"/>
      <c r="O1377" s="480"/>
      <c r="P1377" s="480"/>
      <c r="Q1377" s="480"/>
      <c r="R1377" s="480"/>
      <c r="S1377" s="480"/>
      <c r="T1377" s="480"/>
      <c r="U1377" s="480"/>
      <c r="V1377" s="480"/>
      <c r="W1377" s="480"/>
      <c r="X1377" s="480"/>
      <c r="Y1377" s="480"/>
    </row>
    <row r="1378" spans="1:25" s="479" customFormat="1" ht="23.25" customHeight="1">
      <c r="A1378" s="1159" t="s">
        <v>1262</v>
      </c>
      <c r="B1378" s="141" t="s">
        <v>47</v>
      </c>
      <c r="C1378" s="1268">
        <f>CEILING((C1376*0.85),0.1)</f>
        <v>90.4</v>
      </c>
      <c r="D1378" s="1270"/>
      <c r="E1378" s="1268">
        <f>CEILING((E1376*0.85),0.1)</f>
        <v>106.30000000000001</v>
      </c>
      <c r="F1378" s="1270"/>
      <c r="G1378" s="1268">
        <f>CEILING((G1376*0.85),0.1)</f>
        <v>97.80000000000001</v>
      </c>
      <c r="H1378" s="1270"/>
      <c r="I1378" s="1268">
        <f>CEILING((I1376*0.85),0.1)</f>
        <v>106.30000000000001</v>
      </c>
      <c r="J1378" s="1270"/>
      <c r="K1378" s="1268">
        <f>CEILING((K1376*0.85),0.1)</f>
        <v>90.4</v>
      </c>
      <c r="L1378" s="1270"/>
      <c r="M1378" s="21"/>
      <c r="N1378" s="158"/>
      <c r="O1378" s="480"/>
      <c r="P1378" s="480"/>
      <c r="Q1378" s="480"/>
      <c r="R1378" s="480"/>
      <c r="S1378" s="480"/>
      <c r="T1378" s="480"/>
      <c r="U1378" s="480"/>
      <c r="V1378" s="480"/>
      <c r="W1378" s="480"/>
      <c r="X1378" s="480"/>
      <c r="Y1378" s="480"/>
    </row>
    <row r="1379" spans="1:25" s="479" customFormat="1" ht="15" customHeight="1">
      <c r="A1379" s="140"/>
      <c r="B1379" s="291" t="s">
        <v>44</v>
      </c>
      <c r="C1379" s="1268">
        <f>CEILING(117*$Z$1,0.1)</f>
        <v>146.3</v>
      </c>
      <c r="D1379" s="1270"/>
      <c r="E1379" s="1268">
        <f>CEILING(132*$Z$1,0.1)</f>
        <v>165</v>
      </c>
      <c r="F1379" s="1270"/>
      <c r="G1379" s="1268">
        <f>CEILING(124*$Z$1,0.1)</f>
        <v>155</v>
      </c>
      <c r="H1379" s="1269"/>
      <c r="I1379" s="1268">
        <f>CEILING(132*$Z$1,0.1)</f>
        <v>165</v>
      </c>
      <c r="J1379" s="1270"/>
      <c r="K1379" s="1268">
        <f>CEILING(117*$Z$1,0.1)</f>
        <v>146.3</v>
      </c>
      <c r="L1379" s="1270"/>
      <c r="M1379" s="21"/>
      <c r="N1379" s="158"/>
      <c r="O1379" s="480"/>
      <c r="P1379" s="480"/>
      <c r="Q1379" s="480"/>
      <c r="R1379" s="480"/>
      <c r="S1379" s="480"/>
      <c r="T1379" s="480"/>
      <c r="U1379" s="480"/>
      <c r="V1379" s="480"/>
      <c r="W1379" s="480"/>
      <c r="X1379" s="480"/>
      <c r="Y1379" s="480"/>
    </row>
    <row r="1380" spans="1:25" s="479" customFormat="1" ht="17.25" customHeight="1">
      <c r="A1380" s="483" t="s">
        <v>1260</v>
      </c>
      <c r="B1380" s="291" t="s">
        <v>46</v>
      </c>
      <c r="C1380" s="1268">
        <f>CEILING((C1379+28*$Z$1),0.1)</f>
        <v>181.3</v>
      </c>
      <c r="D1380" s="1270"/>
      <c r="E1380" s="1268">
        <f>CEILING((E1379+28*$Z$1),0.1)</f>
        <v>200</v>
      </c>
      <c r="F1380" s="1270"/>
      <c r="G1380" s="1268">
        <f>CEILING((G1379+28*$Z$1),0.1)</f>
        <v>190</v>
      </c>
      <c r="H1380" s="1269"/>
      <c r="I1380" s="1268">
        <f>CEILING((I1379+28*$Z$1),0.1)</f>
        <v>200</v>
      </c>
      <c r="J1380" s="1270"/>
      <c r="K1380" s="1268">
        <f>CEILING((K1379+28*$Z$1),0.1)</f>
        <v>181.3</v>
      </c>
      <c r="L1380" s="1270"/>
      <c r="M1380" s="21"/>
      <c r="N1380" s="158"/>
      <c r="O1380" s="480"/>
      <c r="P1380" s="480"/>
      <c r="Q1380" s="480"/>
      <c r="R1380" s="480"/>
      <c r="S1380" s="480"/>
      <c r="T1380" s="480"/>
      <c r="U1380" s="480"/>
      <c r="V1380" s="480"/>
      <c r="W1380" s="480"/>
      <c r="X1380" s="480"/>
      <c r="Y1380" s="480"/>
    </row>
    <row r="1381" spans="1:25" s="479" customFormat="1" ht="15" customHeight="1">
      <c r="A1381" s="140"/>
      <c r="B1381" s="226" t="s">
        <v>56</v>
      </c>
      <c r="C1381" s="1268">
        <f>CEILING(135*$Z$1,0.1)</f>
        <v>168.8</v>
      </c>
      <c r="D1381" s="1270"/>
      <c r="E1381" s="1268">
        <f>CEILING(150*$Z$1,0.1)</f>
        <v>187.5</v>
      </c>
      <c r="F1381" s="1270"/>
      <c r="G1381" s="1268">
        <f>CEILING(142*$Z$1,0.1)</f>
        <v>177.5</v>
      </c>
      <c r="H1381" s="1269"/>
      <c r="I1381" s="1268">
        <f>CEILING(150*$Z$1,0.1)</f>
        <v>187.5</v>
      </c>
      <c r="J1381" s="1270"/>
      <c r="K1381" s="1268">
        <f>CEILING(135*$Z$1,0.1)</f>
        <v>168.8</v>
      </c>
      <c r="L1381" s="1270"/>
      <c r="M1381" s="21"/>
      <c r="N1381" s="158"/>
      <c r="O1381" s="480"/>
      <c r="P1381" s="480"/>
      <c r="Q1381" s="480"/>
      <c r="R1381" s="480"/>
      <c r="S1381" s="480"/>
      <c r="T1381" s="480"/>
      <c r="U1381" s="480"/>
      <c r="V1381" s="480"/>
      <c r="W1381" s="480"/>
      <c r="X1381" s="480"/>
      <c r="Y1381" s="480"/>
    </row>
    <row r="1382" spans="1:25" s="479" customFormat="1" ht="16.5" customHeight="1" thickBot="1">
      <c r="A1382" s="503" t="s">
        <v>563</v>
      </c>
      <c r="B1382" s="297" t="s">
        <v>57</v>
      </c>
      <c r="C1382" s="1275">
        <f>CEILING((C1381+35*$Z$1),0.1)</f>
        <v>212.60000000000002</v>
      </c>
      <c r="D1382" s="1277"/>
      <c r="E1382" s="1275">
        <f>CEILING((E1381+35*$Z$1),0.1)</f>
        <v>231.3</v>
      </c>
      <c r="F1382" s="1277"/>
      <c r="G1382" s="1275">
        <f>CEILING((G1381+35*$Z$1),0.1)</f>
        <v>221.3</v>
      </c>
      <c r="H1382" s="1276"/>
      <c r="I1382" s="1275">
        <f>CEILING((I1381+35*$Z$1),0.1)</f>
        <v>231.3</v>
      </c>
      <c r="J1382" s="1277"/>
      <c r="K1382" s="1275">
        <f>CEILING((K1381+35*$Z$1),0.1)</f>
        <v>212.60000000000002</v>
      </c>
      <c r="L1382" s="1277"/>
      <c r="M1382" s="21"/>
      <c r="N1382" s="158"/>
      <c r="O1382" s="480"/>
      <c r="P1382" s="480"/>
      <c r="Q1382" s="480"/>
      <c r="R1382" s="480"/>
      <c r="S1382" s="480"/>
      <c r="T1382" s="480"/>
      <c r="U1382" s="480"/>
      <c r="V1382" s="480"/>
      <c r="W1382" s="480"/>
      <c r="X1382" s="480"/>
      <c r="Y1382" s="480"/>
    </row>
    <row r="1383" spans="1:25" s="479" customFormat="1" ht="16.5" customHeight="1" thickTop="1">
      <c r="A1383" s="75" t="s">
        <v>564</v>
      </c>
      <c r="B1383" s="420"/>
      <c r="C1383" s="420"/>
      <c r="D1383" s="420"/>
      <c r="E1383" s="420"/>
      <c r="F1383" s="420"/>
      <c r="G1383" s="420"/>
      <c r="H1383" s="420"/>
      <c r="I1383" s="112"/>
      <c r="J1383" s="112"/>
      <c r="K1383" s="313"/>
      <c r="L1383" s="94"/>
      <c r="M1383" s="20"/>
      <c r="N1383" s="234"/>
      <c r="O1383" s="480"/>
      <c r="P1383" s="480"/>
      <c r="Q1383" s="480"/>
      <c r="R1383" s="480"/>
      <c r="S1383" s="480"/>
      <c r="T1383" s="480"/>
      <c r="U1383" s="480"/>
      <c r="V1383" s="480"/>
      <c r="W1383" s="480"/>
      <c r="X1383" s="480"/>
      <c r="Y1383" s="480"/>
    </row>
    <row r="1384" spans="1:50" s="776" customFormat="1" ht="15" customHeight="1">
      <c r="A1384" s="1306"/>
      <c r="B1384" s="1307"/>
      <c r="C1384" s="1307"/>
      <c r="D1384" s="1307"/>
      <c r="E1384" s="1307"/>
      <c r="F1384" s="1307"/>
      <c r="G1384" s="1307"/>
      <c r="H1384" s="1307"/>
      <c r="I1384" s="1307"/>
      <c r="J1384" s="1307"/>
      <c r="K1384" s="775"/>
      <c r="L1384" s="775"/>
      <c r="M1384" s="335"/>
      <c r="N1384" s="335"/>
      <c r="O1384" s="335"/>
      <c r="P1384" s="335"/>
      <c r="Q1384" s="335"/>
      <c r="R1384" s="335"/>
      <c r="S1384" s="335"/>
      <c r="T1384" s="335"/>
      <c r="U1384" s="335"/>
      <c r="V1384" s="335"/>
      <c r="W1384" s="335"/>
      <c r="X1384" s="335"/>
      <c r="Y1384" s="335"/>
      <c r="Z1384" s="335"/>
      <c r="AA1384" s="335"/>
      <c r="AB1384" s="335"/>
      <c r="AC1384" s="335"/>
      <c r="AD1384" s="335"/>
      <c r="AE1384" s="335"/>
      <c r="AF1384" s="335"/>
      <c r="AG1384" s="335"/>
      <c r="AH1384" s="335"/>
      <c r="AI1384" s="335"/>
      <c r="AJ1384" s="335"/>
      <c r="AK1384" s="335"/>
      <c r="AL1384" s="335"/>
      <c r="AM1384" s="335"/>
      <c r="AN1384" s="335"/>
      <c r="AO1384" s="335"/>
      <c r="AP1384" s="335"/>
      <c r="AQ1384" s="335"/>
      <c r="AR1384" s="335"/>
      <c r="AS1384" s="335"/>
      <c r="AT1384" s="335"/>
      <c r="AU1384" s="335"/>
      <c r="AV1384" s="335"/>
      <c r="AW1384" s="335"/>
      <c r="AX1384" s="335"/>
    </row>
    <row r="1385" spans="1:72" s="479" customFormat="1" ht="18" customHeight="1">
      <c r="A1385" s="172"/>
      <c r="B1385" s="1153"/>
      <c r="C1385" s="22"/>
      <c r="D1385" s="22"/>
      <c r="E1385" s="22"/>
      <c r="F1385" s="22"/>
      <c r="G1385" s="22"/>
      <c r="H1385" s="22"/>
      <c r="I1385" s="22"/>
      <c r="J1385" s="22"/>
      <c r="K1385" s="166"/>
      <c r="L1385" s="166"/>
      <c r="M1385" s="1152"/>
      <c r="N1385" s="1152"/>
      <c r="O1385" s="331"/>
      <c r="P1385" s="331"/>
      <c r="Q1385" s="331"/>
      <c r="R1385" s="331"/>
      <c r="S1385" s="331"/>
      <c r="T1385" s="331"/>
      <c r="U1385" s="331"/>
      <c r="V1385" s="331"/>
      <c r="W1385" s="331"/>
      <c r="X1385" s="331"/>
      <c r="Y1385" s="331"/>
      <c r="Z1385" s="331"/>
      <c r="AA1385" s="331"/>
      <c r="AB1385" s="331"/>
      <c r="AC1385" s="331"/>
      <c r="AD1385" s="331"/>
      <c r="AE1385" s="331"/>
      <c r="AF1385" s="331"/>
      <c r="AG1385" s="331"/>
      <c r="AH1385" s="331"/>
      <c r="AI1385" s="331"/>
      <c r="AJ1385" s="331"/>
      <c r="AK1385" s="331"/>
      <c r="AL1385" s="331"/>
      <c r="AM1385" s="331"/>
      <c r="AN1385" s="331"/>
      <c r="AO1385" s="331"/>
      <c r="AP1385" s="331"/>
      <c r="AQ1385" s="331"/>
      <c r="AR1385" s="331"/>
      <c r="AS1385" s="331"/>
      <c r="AT1385" s="331"/>
      <c r="AU1385" s="331"/>
      <c r="AV1385" s="331"/>
      <c r="AW1385" s="331"/>
      <c r="AX1385" s="331"/>
      <c r="AY1385" s="331"/>
      <c r="AZ1385" s="331"/>
      <c r="BA1385" s="331"/>
      <c r="BB1385" s="331"/>
      <c r="BC1385" s="331"/>
      <c r="BD1385" s="331"/>
      <c r="BE1385" s="331"/>
      <c r="BF1385" s="331"/>
      <c r="BG1385" s="331"/>
      <c r="BH1385" s="331"/>
      <c r="BI1385" s="331"/>
      <c r="BJ1385" s="331"/>
      <c r="BK1385" s="331"/>
      <c r="BL1385" s="331"/>
      <c r="BM1385" s="331"/>
      <c r="BN1385" s="331"/>
      <c r="BO1385" s="331"/>
      <c r="BP1385" s="331"/>
      <c r="BQ1385" s="331"/>
      <c r="BR1385" s="331"/>
      <c r="BS1385" s="331"/>
      <c r="BT1385" s="331"/>
    </row>
    <row r="1386" spans="1:72" s="479" customFormat="1" ht="18" customHeight="1" thickBot="1">
      <c r="A1386" s="172"/>
      <c r="B1386" s="1153"/>
      <c r="C1386" s="22"/>
      <c r="D1386" s="22"/>
      <c r="E1386" s="22"/>
      <c r="F1386" s="22"/>
      <c r="G1386" s="22"/>
      <c r="H1386" s="22"/>
      <c r="I1386" s="22"/>
      <c r="J1386" s="1153"/>
      <c r="K1386" s="166"/>
      <c r="L1386" s="166"/>
      <c r="M1386" s="1152"/>
      <c r="N1386" s="1152"/>
      <c r="O1386" s="331"/>
      <c r="P1386" s="331"/>
      <c r="Q1386" s="331"/>
      <c r="R1386" s="331"/>
      <c r="S1386" s="331"/>
      <c r="T1386" s="331"/>
      <c r="U1386" s="331"/>
      <c r="V1386" s="331"/>
      <c r="W1386" s="331"/>
      <c r="X1386" s="331"/>
      <c r="Y1386" s="331"/>
      <c r="Z1386" s="331"/>
      <c r="AA1386" s="331"/>
      <c r="AB1386" s="331"/>
      <c r="AC1386" s="331"/>
      <c r="AD1386" s="331"/>
      <c r="AE1386" s="331"/>
      <c r="AF1386" s="331"/>
      <c r="AG1386" s="331"/>
      <c r="AH1386" s="331"/>
      <c r="AI1386" s="331"/>
      <c r="AJ1386" s="331"/>
      <c r="AK1386" s="331"/>
      <c r="AL1386" s="331"/>
      <c r="AM1386" s="331"/>
      <c r="AN1386" s="331"/>
      <c r="AO1386" s="331"/>
      <c r="AP1386" s="331"/>
      <c r="AQ1386" s="331"/>
      <c r="AR1386" s="331"/>
      <c r="AS1386" s="331"/>
      <c r="AT1386" s="331"/>
      <c r="AU1386" s="331"/>
      <c r="AV1386" s="331"/>
      <c r="AW1386" s="331"/>
      <c r="AX1386" s="331"/>
      <c r="AY1386" s="331"/>
      <c r="AZ1386" s="331"/>
      <c r="BA1386" s="331"/>
      <c r="BB1386" s="331"/>
      <c r="BC1386" s="331"/>
      <c r="BD1386" s="331"/>
      <c r="BE1386" s="331"/>
      <c r="BF1386" s="331"/>
      <c r="BG1386" s="331"/>
      <c r="BH1386" s="331"/>
      <c r="BI1386" s="331"/>
      <c r="BJ1386" s="331"/>
      <c r="BK1386" s="331"/>
      <c r="BL1386" s="331"/>
      <c r="BM1386" s="331"/>
      <c r="BN1386" s="331"/>
      <c r="BO1386" s="331"/>
      <c r="BP1386" s="331"/>
      <c r="BQ1386" s="331"/>
      <c r="BR1386" s="331"/>
      <c r="BS1386" s="331"/>
      <c r="BT1386" s="331"/>
    </row>
    <row r="1387" spans="1:41" s="664" customFormat="1" ht="28.5" customHeight="1" thickTop="1">
      <c r="A1387" s="746" t="s">
        <v>43</v>
      </c>
      <c r="B1387" s="814" t="s">
        <v>961</v>
      </c>
      <c r="C1387" s="747" t="s">
        <v>884</v>
      </c>
      <c r="D1387" s="748"/>
      <c r="E1387" s="749" t="s">
        <v>911</v>
      </c>
      <c r="F1387" s="750"/>
      <c r="G1387" s="749" t="s">
        <v>912</v>
      </c>
      <c r="H1387" s="750"/>
      <c r="I1387" s="1273" t="s">
        <v>881</v>
      </c>
      <c r="J1387" s="1274"/>
      <c r="K1387" s="1280" t="s">
        <v>882</v>
      </c>
      <c r="L1387" s="1281"/>
      <c r="M1387" s="1152"/>
      <c r="N1387" s="1152"/>
      <c r="O1387" s="335"/>
      <c r="P1387" s="335"/>
      <c r="Q1387" s="335"/>
      <c r="R1387" s="335"/>
      <c r="S1387" s="335"/>
      <c r="T1387" s="335"/>
      <c r="U1387" s="335"/>
      <c r="V1387" s="335"/>
      <c r="W1387" s="335"/>
      <c r="X1387" s="335"/>
      <c r="Y1387" s="335"/>
      <c r="Z1387" s="335"/>
      <c r="AA1387" s="335"/>
      <c r="AB1387" s="335"/>
      <c r="AC1387" s="335"/>
      <c r="AD1387" s="335"/>
      <c r="AE1387" s="335"/>
      <c r="AF1387" s="335"/>
      <c r="AG1387" s="335"/>
      <c r="AH1387" s="335"/>
      <c r="AI1387" s="335"/>
      <c r="AJ1387" s="335"/>
      <c r="AK1387" s="335"/>
      <c r="AL1387" s="335"/>
      <c r="AM1387" s="335"/>
      <c r="AN1387" s="335"/>
      <c r="AO1387" s="335"/>
    </row>
    <row r="1388" spans="1:25" s="479" customFormat="1" ht="15">
      <c r="A1388" s="137" t="s">
        <v>693</v>
      </c>
      <c r="B1388" s="213" t="s">
        <v>51</v>
      </c>
      <c r="C1388" s="1266">
        <f>CEILING(70*$Z$1,0.1)</f>
        <v>87.5</v>
      </c>
      <c r="D1388" s="1267"/>
      <c r="E1388" s="1266">
        <f>CEILING(100*$Z$1,0.1)</f>
        <v>125</v>
      </c>
      <c r="F1388" s="1267"/>
      <c r="G1388" s="1266">
        <f>CEILING(90*$Z$1,0.1)</f>
        <v>112.5</v>
      </c>
      <c r="H1388" s="1267"/>
      <c r="I1388" s="1266">
        <f>CEILING(100*$Z$1,0.1)</f>
        <v>125</v>
      </c>
      <c r="J1388" s="1267"/>
      <c r="K1388" s="1266">
        <f>CEILING(72*$Z$1,0.1)</f>
        <v>90</v>
      </c>
      <c r="L1388" s="1267"/>
      <c r="M1388" s="20"/>
      <c r="N1388" s="158"/>
      <c r="O1388" s="480"/>
      <c r="P1388" s="1403"/>
      <c r="Q1388" s="1403"/>
      <c r="R1388" s="480"/>
      <c r="S1388" s="480"/>
      <c r="T1388" s="480"/>
      <c r="U1388" s="480"/>
      <c r="V1388" s="480"/>
      <c r="W1388" s="480"/>
      <c r="X1388" s="480"/>
      <c r="Y1388" s="480"/>
    </row>
    <row r="1389" spans="1:17" ht="15">
      <c r="A1389" s="139" t="s">
        <v>45</v>
      </c>
      <c r="B1389" s="138" t="s">
        <v>52</v>
      </c>
      <c r="C1389" s="1268">
        <f>CEILING((C1388+24.5*$Z$1),0.1)</f>
        <v>118.2</v>
      </c>
      <c r="D1389" s="1270"/>
      <c r="E1389" s="1268">
        <f>CEILING((E1388+35*$Z$1),0.1)</f>
        <v>168.8</v>
      </c>
      <c r="F1389" s="1270"/>
      <c r="G1389" s="1268">
        <f>CEILING((G1388+31.5*$Z$1),0.1)</f>
        <v>151.9</v>
      </c>
      <c r="H1389" s="1270"/>
      <c r="I1389" s="1268">
        <f>CEILING((I1388+35*$Z$1),0.1)</f>
        <v>168.8</v>
      </c>
      <c r="J1389" s="1270"/>
      <c r="K1389" s="1268">
        <f>CEILING((K1388+25.2*$Z$1),0.1)</f>
        <v>121.5</v>
      </c>
      <c r="L1389" s="1270"/>
      <c r="M1389" s="20"/>
      <c r="N1389" s="158"/>
      <c r="P1389" s="1328"/>
      <c r="Q1389" s="1328"/>
    </row>
    <row r="1390" spans="1:17" ht="15">
      <c r="A1390" s="140"/>
      <c r="B1390" s="141" t="s">
        <v>47</v>
      </c>
      <c r="C1390" s="1268">
        <f>CEILING((C1388*0.75),0.1)</f>
        <v>65.7</v>
      </c>
      <c r="D1390" s="1270"/>
      <c r="E1390" s="1268">
        <f>CEILING((E1388*0.75),0.1)</f>
        <v>93.80000000000001</v>
      </c>
      <c r="F1390" s="1270"/>
      <c r="G1390" s="1268">
        <f>CEILING((G1388*0.75),0.1)</f>
        <v>84.4</v>
      </c>
      <c r="H1390" s="1270"/>
      <c r="I1390" s="1268">
        <f>CEILING((I1388*0.75),0.1)</f>
        <v>93.80000000000001</v>
      </c>
      <c r="J1390" s="1270"/>
      <c r="K1390" s="1268">
        <f>CEILING((K1388*0.75),0.1)</f>
        <v>67.5</v>
      </c>
      <c r="L1390" s="1270"/>
      <c r="M1390" s="20"/>
      <c r="N1390" s="158"/>
      <c r="P1390" s="1328"/>
      <c r="Q1390" s="1328"/>
    </row>
    <row r="1391" spans="1:256" ht="17.25" customHeight="1">
      <c r="A1391" s="657"/>
      <c r="B1391" s="12" t="s">
        <v>909</v>
      </c>
      <c r="C1391" s="1268">
        <f>CEILING((C1388*0),0.1)</f>
        <v>0</v>
      </c>
      <c r="D1391" s="1270"/>
      <c r="E1391" s="1268">
        <f>CEILING((E1388*0.5),0.1)</f>
        <v>62.5</v>
      </c>
      <c r="F1391" s="1314"/>
      <c r="G1391" s="1268">
        <f>CEILING((G1388*0.5),0.1)</f>
        <v>56.300000000000004</v>
      </c>
      <c r="H1391" s="1314"/>
      <c r="I1391" s="1268">
        <f>CEILING((I1388*0.5),0.1)</f>
        <v>62.5</v>
      </c>
      <c r="J1391" s="1314"/>
      <c r="K1391" s="1268">
        <f>CEILING((K1388*0),0.1)</f>
        <v>0</v>
      </c>
      <c r="L1391" s="1314"/>
      <c r="M1391" s="16"/>
      <c r="N1391" s="158"/>
      <c r="P1391" s="172"/>
      <c r="Q1391" s="172"/>
      <c r="R1391" s="172"/>
      <c r="S1391" s="172"/>
      <c r="T1391" s="172"/>
      <c r="U1391" s="172"/>
      <c r="V1391" s="172"/>
      <c r="W1391" s="172"/>
      <c r="X1391" s="172"/>
      <c r="Y1391" s="172"/>
      <c r="Z1391" s="172"/>
      <c r="AA1391" s="172"/>
      <c r="AB1391" s="172"/>
      <c r="AC1391" s="172"/>
      <c r="AD1391" s="172"/>
      <c r="AE1391" s="172"/>
      <c r="AF1391" s="172"/>
      <c r="AG1391" s="172"/>
      <c r="AH1391" s="172"/>
      <c r="AI1391" s="172"/>
      <c r="AJ1391" s="172"/>
      <c r="AK1391" s="172"/>
      <c r="AL1391" s="172"/>
      <c r="AM1391" s="172"/>
      <c r="AN1391" s="172"/>
      <c r="AO1391" s="172"/>
      <c r="AP1391" s="172"/>
      <c r="AQ1391" s="172"/>
      <c r="AR1391" s="172"/>
      <c r="AS1391" s="172"/>
      <c r="AT1391" s="172"/>
      <c r="AU1391" s="172"/>
      <c r="AV1391" s="172"/>
      <c r="AW1391" s="172"/>
      <c r="AX1391" s="172"/>
      <c r="AY1391" s="172"/>
      <c r="AZ1391" s="172"/>
      <c r="BA1391" s="172"/>
      <c r="BB1391" s="172"/>
      <c r="BC1391" s="172"/>
      <c r="BD1391" s="172"/>
      <c r="BE1391" s="172"/>
      <c r="BF1391" s="172"/>
      <c r="BG1391" s="172"/>
      <c r="BH1391" s="172"/>
      <c r="BI1391" s="172"/>
      <c r="BJ1391" s="172"/>
      <c r="BK1391" s="172"/>
      <c r="BL1391" s="172"/>
      <c r="BM1391" s="172"/>
      <c r="BN1391" s="172"/>
      <c r="BO1391" s="172"/>
      <c r="BP1391" s="172"/>
      <c r="BQ1391" s="172"/>
      <c r="BR1391" s="172"/>
      <c r="BS1391" s="172"/>
      <c r="BT1391" s="172"/>
      <c r="BU1391" s="172"/>
      <c r="BV1391" s="172"/>
      <c r="BW1391" s="172"/>
      <c r="BX1391" s="172"/>
      <c r="BY1391" s="172"/>
      <c r="BZ1391" s="172"/>
      <c r="CA1391" s="172"/>
      <c r="CB1391" s="172"/>
      <c r="CC1391" s="172"/>
      <c r="CD1391" s="172"/>
      <c r="CE1391" s="172"/>
      <c r="CF1391" s="172"/>
      <c r="CG1391" s="172"/>
      <c r="CH1391" s="172"/>
      <c r="CI1391" s="172"/>
      <c r="CJ1391" s="172"/>
      <c r="CK1391" s="172"/>
      <c r="CL1391" s="172"/>
      <c r="CM1391" s="172"/>
      <c r="CN1391" s="172"/>
      <c r="CO1391" s="172"/>
      <c r="CP1391" s="172"/>
      <c r="CQ1391" s="172"/>
      <c r="CR1391" s="172"/>
      <c r="CS1391" s="172"/>
      <c r="CT1391" s="172"/>
      <c r="CU1391" s="172"/>
      <c r="CV1391" s="172"/>
      <c r="CW1391" s="172"/>
      <c r="CX1391" s="172"/>
      <c r="CY1391" s="172"/>
      <c r="CZ1391" s="172"/>
      <c r="DA1391" s="172"/>
      <c r="DB1391" s="172"/>
      <c r="DC1391" s="172"/>
      <c r="DD1391" s="172"/>
      <c r="DE1391" s="172"/>
      <c r="DF1391" s="172"/>
      <c r="DG1391" s="172"/>
      <c r="DH1391" s="172"/>
      <c r="DI1391" s="172"/>
      <c r="DJ1391" s="172"/>
      <c r="DK1391" s="172"/>
      <c r="DL1391" s="172"/>
      <c r="DM1391" s="172"/>
      <c r="DN1391" s="172"/>
      <c r="DO1391" s="172"/>
      <c r="DP1391" s="172"/>
      <c r="DQ1391" s="172"/>
      <c r="DR1391" s="172"/>
      <c r="DS1391" s="172"/>
      <c r="DT1391" s="172"/>
      <c r="DU1391" s="172"/>
      <c r="DV1391" s="172"/>
      <c r="DW1391" s="172"/>
      <c r="DX1391" s="172"/>
      <c r="DY1391" s="172"/>
      <c r="DZ1391" s="172"/>
      <c r="EA1391" s="172"/>
      <c r="EB1391" s="172"/>
      <c r="EC1391" s="172"/>
      <c r="ED1391" s="172"/>
      <c r="EE1391" s="172"/>
      <c r="EF1391" s="172"/>
      <c r="EG1391" s="172"/>
      <c r="EH1391" s="172"/>
      <c r="EI1391" s="172"/>
      <c r="EJ1391" s="172"/>
      <c r="EK1391" s="172"/>
      <c r="EL1391" s="172"/>
      <c r="EM1391" s="172"/>
      <c r="EN1391" s="172"/>
      <c r="EO1391" s="172"/>
      <c r="EP1391" s="172"/>
      <c r="EQ1391" s="172"/>
      <c r="ER1391" s="172"/>
      <c r="ES1391" s="172"/>
      <c r="ET1391" s="172"/>
      <c r="EU1391" s="172"/>
      <c r="EV1391" s="172"/>
      <c r="EW1391" s="172"/>
      <c r="EX1391" s="172"/>
      <c r="EY1391" s="172"/>
      <c r="EZ1391" s="172"/>
      <c r="FA1391" s="172"/>
      <c r="FB1391" s="172"/>
      <c r="FC1391" s="172"/>
      <c r="FD1391" s="172"/>
      <c r="FE1391" s="172"/>
      <c r="FF1391" s="172"/>
      <c r="FG1391" s="172"/>
      <c r="FH1391" s="172"/>
      <c r="FI1391" s="172"/>
      <c r="FJ1391" s="172"/>
      <c r="FK1391" s="172"/>
      <c r="FL1391" s="172"/>
      <c r="FM1391" s="172"/>
      <c r="FN1391" s="172"/>
      <c r="FO1391" s="172"/>
      <c r="FP1391" s="172"/>
      <c r="FQ1391" s="172"/>
      <c r="FR1391" s="172"/>
      <c r="FS1391" s="172"/>
      <c r="FT1391" s="172"/>
      <c r="FU1391" s="172"/>
      <c r="FV1391" s="172"/>
      <c r="FW1391" s="172"/>
      <c r="FX1391" s="172"/>
      <c r="FY1391" s="172"/>
      <c r="FZ1391" s="172"/>
      <c r="GA1391" s="172"/>
      <c r="GB1391" s="172"/>
      <c r="GC1391" s="172"/>
      <c r="GD1391" s="172"/>
      <c r="GE1391" s="172"/>
      <c r="GF1391" s="172"/>
      <c r="GG1391" s="172"/>
      <c r="GH1391" s="172"/>
      <c r="GI1391" s="172"/>
      <c r="GJ1391" s="172"/>
      <c r="GK1391" s="172"/>
      <c r="GL1391" s="172"/>
      <c r="GM1391" s="172"/>
      <c r="GN1391" s="172"/>
      <c r="GO1391" s="172"/>
      <c r="GP1391" s="172"/>
      <c r="GQ1391" s="172"/>
      <c r="GR1391" s="172"/>
      <c r="GS1391" s="172"/>
      <c r="GT1391" s="172"/>
      <c r="GU1391" s="172"/>
      <c r="GV1391" s="172"/>
      <c r="GW1391" s="172"/>
      <c r="GX1391" s="172"/>
      <c r="GY1391" s="172"/>
      <c r="GZ1391" s="172"/>
      <c r="HA1391" s="172"/>
      <c r="HB1391" s="172"/>
      <c r="HC1391" s="172"/>
      <c r="HD1391" s="172"/>
      <c r="HE1391" s="172"/>
      <c r="HF1391" s="172"/>
      <c r="HG1391" s="172"/>
      <c r="HH1391" s="172"/>
      <c r="HI1391" s="172"/>
      <c r="HJ1391" s="172"/>
      <c r="HK1391" s="172"/>
      <c r="HL1391" s="172"/>
      <c r="HM1391" s="172"/>
      <c r="HN1391" s="172"/>
      <c r="HO1391" s="172"/>
      <c r="HP1391" s="172"/>
      <c r="HQ1391" s="172"/>
      <c r="HR1391" s="172"/>
      <c r="HS1391" s="172"/>
      <c r="HT1391" s="172"/>
      <c r="HU1391" s="172"/>
      <c r="HV1391" s="172"/>
      <c r="HW1391" s="172"/>
      <c r="HX1391" s="172"/>
      <c r="HY1391" s="172"/>
      <c r="HZ1391" s="172"/>
      <c r="IA1391" s="172"/>
      <c r="IB1391" s="172"/>
      <c r="IC1391" s="172"/>
      <c r="ID1391" s="172"/>
      <c r="IE1391" s="172"/>
      <c r="IF1391" s="172"/>
      <c r="IG1391" s="172"/>
      <c r="IH1391" s="172"/>
      <c r="II1391" s="172"/>
      <c r="IJ1391" s="172"/>
      <c r="IK1391" s="172"/>
      <c r="IL1391" s="172"/>
      <c r="IM1391" s="172"/>
      <c r="IN1391" s="172"/>
      <c r="IO1391" s="172"/>
      <c r="IP1391" s="172"/>
      <c r="IQ1391" s="172"/>
      <c r="IR1391" s="172"/>
      <c r="IS1391" s="172"/>
      <c r="IT1391" s="172"/>
      <c r="IU1391" s="172"/>
      <c r="IV1391" s="172"/>
    </row>
    <row r="1392" spans="1:17" ht="16.5" customHeight="1">
      <c r="A1392" s="140"/>
      <c r="B1392" s="291" t="s">
        <v>9</v>
      </c>
      <c r="C1392" s="1268">
        <f>CEILING(74*$Z$1,0.1)</f>
        <v>92.5</v>
      </c>
      <c r="D1392" s="1270"/>
      <c r="E1392" s="1268">
        <f>CEILING(105*$Z$1,0.1)</f>
        <v>131.3</v>
      </c>
      <c r="F1392" s="1270"/>
      <c r="G1392" s="1268">
        <f>CEILING(95*$Z$1,0.1)</f>
        <v>118.80000000000001</v>
      </c>
      <c r="H1392" s="1269"/>
      <c r="I1392" s="1268">
        <f>CEILING(105*$Z$1,0.1)</f>
        <v>131.3</v>
      </c>
      <c r="J1392" s="1270"/>
      <c r="K1392" s="1268">
        <f>CEILING(76*$Z$1,0.1)</f>
        <v>95</v>
      </c>
      <c r="L1392" s="1270"/>
      <c r="M1392" s="293"/>
      <c r="N1392" s="293"/>
      <c r="P1392" s="1328"/>
      <c r="Q1392" s="1328"/>
    </row>
    <row r="1393" spans="1:50" s="404" customFormat="1" ht="16.5" customHeight="1">
      <c r="A1393" s="168" t="s">
        <v>39</v>
      </c>
      <c r="B1393" s="291" t="s">
        <v>10</v>
      </c>
      <c r="C1393" s="1268">
        <f>CEILING((C1392+26*$Z$1),0.1)</f>
        <v>125</v>
      </c>
      <c r="D1393" s="1270"/>
      <c r="E1393" s="1268">
        <f>CEILING((E1392+37*$Z$1),0.1)</f>
        <v>177.60000000000002</v>
      </c>
      <c r="F1393" s="1270"/>
      <c r="G1393" s="1268">
        <f>CEILING((G1392+33.2*$Z$1),0.1)</f>
        <v>160.3</v>
      </c>
      <c r="H1393" s="1269"/>
      <c r="I1393" s="1268">
        <f>CEILING((I1392+37*$Z$1),0.1)</f>
        <v>177.60000000000002</v>
      </c>
      <c r="J1393" s="1270"/>
      <c r="K1393" s="1268">
        <f>CEILING((K1392+27*$Z$1),0.1)</f>
        <v>128.8</v>
      </c>
      <c r="L1393" s="1270"/>
      <c r="M1393" s="938"/>
      <c r="N1393" s="938"/>
      <c r="O1393" s="331"/>
      <c r="P1393" s="855"/>
      <c r="Q1393" s="855"/>
      <c r="R1393" s="331"/>
      <c r="S1393" s="331"/>
      <c r="T1393" s="331"/>
      <c r="U1393" s="331"/>
      <c r="V1393" s="331"/>
      <c r="W1393" s="331"/>
      <c r="X1393" s="331"/>
      <c r="Y1393" s="331"/>
      <c r="Z1393" s="331"/>
      <c r="AA1393" s="331"/>
      <c r="AB1393" s="331"/>
      <c r="AC1393" s="331"/>
      <c r="AD1393" s="331"/>
      <c r="AE1393" s="331"/>
      <c r="AF1393" s="331"/>
      <c r="AG1393" s="331"/>
      <c r="AH1393" s="331"/>
      <c r="AI1393" s="331"/>
      <c r="AJ1393" s="331"/>
      <c r="AK1393" s="331"/>
      <c r="AL1393" s="331"/>
      <c r="AM1393" s="331"/>
      <c r="AN1393" s="331"/>
      <c r="AO1393" s="331"/>
      <c r="AP1393" s="331"/>
      <c r="AQ1393" s="331"/>
      <c r="AR1393" s="331"/>
      <c r="AS1393" s="331"/>
      <c r="AT1393" s="331"/>
      <c r="AU1393" s="331"/>
      <c r="AV1393" s="331"/>
      <c r="AW1393" s="331"/>
      <c r="AX1393" s="331"/>
    </row>
    <row r="1394" spans="1:50" s="404" customFormat="1" ht="16.5" customHeight="1">
      <c r="A1394" s="140"/>
      <c r="B1394" s="226" t="s">
        <v>44</v>
      </c>
      <c r="C1394" s="1268">
        <f>CEILING(75*$Z$1,0.1)</f>
        <v>93.80000000000001</v>
      </c>
      <c r="D1394" s="1270"/>
      <c r="E1394" s="1268">
        <f>CEILING(107*$Z$1,0.1)</f>
        <v>133.8</v>
      </c>
      <c r="F1394" s="1270"/>
      <c r="G1394" s="1268">
        <f>CEILING(96*$Z$1,0.1)</f>
        <v>120</v>
      </c>
      <c r="H1394" s="1269"/>
      <c r="I1394" s="1268">
        <f>CEILING(107*$Z$1,0.1)</f>
        <v>133.8</v>
      </c>
      <c r="J1394" s="1270"/>
      <c r="K1394" s="1268">
        <f>CEILING(77*$Z$1,0.1)</f>
        <v>96.30000000000001</v>
      </c>
      <c r="L1394" s="1270"/>
      <c r="M1394" s="938"/>
      <c r="N1394" s="938"/>
      <c r="O1394" s="331"/>
      <c r="P1394" s="855"/>
      <c r="Q1394" s="855"/>
      <c r="R1394" s="331"/>
      <c r="S1394" s="331"/>
      <c r="T1394" s="331"/>
      <c r="U1394" s="331"/>
      <c r="V1394" s="331"/>
      <c r="W1394" s="331"/>
      <c r="X1394" s="331"/>
      <c r="Y1394" s="331"/>
      <c r="Z1394" s="331"/>
      <c r="AA1394" s="331"/>
      <c r="AB1394" s="331"/>
      <c r="AC1394" s="331"/>
      <c r="AD1394" s="331"/>
      <c r="AE1394" s="331"/>
      <c r="AF1394" s="331"/>
      <c r="AG1394" s="331"/>
      <c r="AH1394" s="331"/>
      <c r="AI1394" s="331"/>
      <c r="AJ1394" s="331"/>
      <c r="AK1394" s="331"/>
      <c r="AL1394" s="331"/>
      <c r="AM1394" s="331"/>
      <c r="AN1394" s="331"/>
      <c r="AO1394" s="331"/>
      <c r="AP1394" s="331"/>
      <c r="AQ1394" s="331"/>
      <c r="AR1394" s="331"/>
      <c r="AS1394" s="331"/>
      <c r="AT1394" s="331"/>
      <c r="AU1394" s="331"/>
      <c r="AV1394" s="331"/>
      <c r="AW1394" s="331"/>
      <c r="AX1394" s="331"/>
    </row>
    <row r="1395" spans="1:50" ht="18.75" customHeight="1">
      <c r="A1395" s="140"/>
      <c r="B1395" s="226" t="s">
        <v>46</v>
      </c>
      <c r="C1395" s="1268">
        <f>CEILING((C1394+26.3*$Z$1),0.1)</f>
        <v>126.7</v>
      </c>
      <c r="D1395" s="1270"/>
      <c r="E1395" s="1268">
        <f>CEILING((E1394+37.8*$Z$1),0.1)</f>
        <v>181.10000000000002</v>
      </c>
      <c r="F1395" s="1270"/>
      <c r="G1395" s="1268">
        <f>CEILING((G1394+33.5*$Z$1),0.1)</f>
        <v>161.9</v>
      </c>
      <c r="H1395" s="1269"/>
      <c r="I1395" s="1268">
        <f>CEILING((I1394+37.8*$Z$1),0.1)</f>
        <v>181.10000000000002</v>
      </c>
      <c r="J1395" s="1270"/>
      <c r="K1395" s="1268">
        <f>CEILING((K1394+26.9*$Z$1),0.1)</f>
        <v>130</v>
      </c>
      <c r="L1395" s="1270"/>
      <c r="M1395" s="673"/>
      <c r="N1395" s="674"/>
      <c r="O1395" s="331"/>
      <c r="P1395" s="1328"/>
      <c r="Q1395" s="1328"/>
      <c r="R1395" s="331"/>
      <c r="S1395" s="331"/>
      <c r="T1395" s="331"/>
      <c r="U1395" s="331"/>
      <c r="V1395" s="331"/>
      <c r="W1395" s="331"/>
      <c r="X1395" s="331"/>
      <c r="Y1395" s="331"/>
      <c r="Z1395" s="331"/>
      <c r="AA1395" s="331"/>
      <c r="AB1395" s="331"/>
      <c r="AC1395" s="331"/>
      <c r="AD1395" s="331"/>
      <c r="AE1395" s="331"/>
      <c r="AF1395" s="331"/>
      <c r="AG1395" s="331"/>
      <c r="AH1395" s="331"/>
      <c r="AI1395" s="331"/>
      <c r="AJ1395" s="331"/>
      <c r="AK1395" s="331"/>
      <c r="AL1395" s="331"/>
      <c r="AM1395" s="331"/>
      <c r="AN1395" s="331"/>
      <c r="AO1395" s="331"/>
      <c r="AP1395" s="331"/>
      <c r="AQ1395" s="331"/>
      <c r="AR1395" s="331"/>
      <c r="AS1395" s="331"/>
      <c r="AT1395" s="331"/>
      <c r="AU1395" s="331"/>
      <c r="AV1395" s="331"/>
      <c r="AW1395" s="331"/>
      <c r="AX1395" s="331"/>
    </row>
    <row r="1396" spans="1:50" ht="23.25" customHeight="1">
      <c r="A1396" s="140"/>
      <c r="B1396" s="291" t="s">
        <v>62</v>
      </c>
      <c r="C1396" s="1268">
        <f>CEILING(84*$Z$1,0.1)</f>
        <v>105</v>
      </c>
      <c r="D1396" s="1270"/>
      <c r="E1396" s="1268">
        <f>CEILING(120*$Z$1,0.1)</f>
        <v>150</v>
      </c>
      <c r="F1396" s="1270"/>
      <c r="G1396" s="1268">
        <f>CEILING(108*$Z$1,0.1)</f>
        <v>135</v>
      </c>
      <c r="H1396" s="1269"/>
      <c r="I1396" s="1268">
        <f>CEILING(120*$Z$1,0.1)</f>
        <v>150</v>
      </c>
      <c r="J1396" s="1270"/>
      <c r="K1396" s="1268">
        <f>CEILING(86*$Z$1,0.1)</f>
        <v>107.5</v>
      </c>
      <c r="L1396" s="1270"/>
      <c r="M1396" s="673"/>
      <c r="N1396" s="674"/>
      <c r="O1396" s="331"/>
      <c r="P1396" s="1328"/>
      <c r="Q1396" s="1328"/>
      <c r="R1396" s="331"/>
      <c r="S1396" s="331"/>
      <c r="T1396" s="331"/>
      <c r="U1396" s="331"/>
      <c r="V1396" s="331"/>
      <c r="W1396" s="331"/>
      <c r="X1396" s="331"/>
      <c r="Y1396" s="331"/>
      <c r="Z1396" s="331"/>
      <c r="AA1396" s="331"/>
      <c r="AB1396" s="331"/>
      <c r="AC1396" s="331"/>
      <c r="AD1396" s="331"/>
      <c r="AE1396" s="331"/>
      <c r="AF1396" s="331"/>
      <c r="AG1396" s="331"/>
      <c r="AH1396" s="331"/>
      <c r="AI1396" s="331"/>
      <c r="AJ1396" s="331"/>
      <c r="AK1396" s="331"/>
      <c r="AL1396" s="331"/>
      <c r="AM1396" s="331"/>
      <c r="AN1396" s="331"/>
      <c r="AO1396" s="331"/>
      <c r="AP1396" s="331"/>
      <c r="AQ1396" s="331"/>
      <c r="AR1396" s="331"/>
      <c r="AS1396" s="331"/>
      <c r="AT1396" s="331"/>
      <c r="AU1396" s="331"/>
      <c r="AV1396" s="331"/>
      <c r="AW1396" s="331"/>
      <c r="AX1396" s="331"/>
    </row>
    <row r="1397" spans="1:50" ht="16.5" customHeight="1">
      <c r="A1397" s="274"/>
      <c r="B1397" s="291" t="s">
        <v>63</v>
      </c>
      <c r="C1397" s="1268">
        <f>CEILING((C1396+29.5*$Z$1),0.1)</f>
        <v>141.9</v>
      </c>
      <c r="D1397" s="1270"/>
      <c r="E1397" s="1268">
        <f>CEILING((E1396+42*$Z$1),0.1)</f>
        <v>202.5</v>
      </c>
      <c r="F1397" s="1270"/>
      <c r="G1397" s="1268">
        <f>CEILING((G1396+38*$Z$1),0.1)</f>
        <v>182.5</v>
      </c>
      <c r="H1397" s="1269"/>
      <c r="I1397" s="1268">
        <f>CEILING((I1396+42*$Z$1),0.1)</f>
        <v>202.5</v>
      </c>
      <c r="J1397" s="1270"/>
      <c r="K1397" s="1268">
        <f>CEILING((K1396+29.9*$Z$1),0.1)</f>
        <v>144.9</v>
      </c>
      <c r="L1397" s="1270"/>
      <c r="M1397" s="673"/>
      <c r="N1397" s="674"/>
      <c r="O1397" s="331"/>
      <c r="P1397" s="331"/>
      <c r="Q1397" s="331"/>
      <c r="R1397" s="331"/>
      <c r="S1397" s="331"/>
      <c r="T1397" s="331"/>
      <c r="U1397" s="331"/>
      <c r="V1397" s="331"/>
      <c r="W1397" s="331"/>
      <c r="X1397" s="331"/>
      <c r="Y1397" s="331"/>
      <c r="Z1397" s="331"/>
      <c r="AA1397" s="331"/>
      <c r="AB1397" s="331"/>
      <c r="AC1397" s="331"/>
      <c r="AD1397" s="331"/>
      <c r="AE1397" s="331"/>
      <c r="AF1397" s="331"/>
      <c r="AG1397" s="331"/>
      <c r="AH1397" s="331"/>
      <c r="AI1397" s="331"/>
      <c r="AJ1397" s="331"/>
      <c r="AK1397" s="331"/>
      <c r="AL1397" s="331"/>
      <c r="AM1397" s="331"/>
      <c r="AN1397" s="331"/>
      <c r="AO1397" s="331"/>
      <c r="AP1397" s="331"/>
      <c r="AQ1397" s="331"/>
      <c r="AR1397" s="331"/>
      <c r="AS1397" s="331"/>
      <c r="AT1397" s="331"/>
      <c r="AU1397" s="331"/>
      <c r="AV1397" s="331"/>
      <c r="AW1397" s="331"/>
      <c r="AX1397" s="331"/>
    </row>
    <row r="1398" spans="1:50" ht="15" customHeight="1">
      <c r="A1398" s="274"/>
      <c r="B1398" s="291" t="s">
        <v>11</v>
      </c>
      <c r="C1398" s="1268">
        <f>CEILING(91*$Z$1,0.1)</f>
        <v>113.80000000000001</v>
      </c>
      <c r="D1398" s="1270"/>
      <c r="E1398" s="1268">
        <f>CEILING(130*$Z$1,0.1)</f>
        <v>162.5</v>
      </c>
      <c r="F1398" s="1270"/>
      <c r="G1398" s="1268">
        <f>CEILING(117*$Z$1,0.1)</f>
        <v>146.3</v>
      </c>
      <c r="H1398" s="1270"/>
      <c r="I1398" s="1268">
        <f>CEILING(130*$Z$1,0.1)</f>
        <v>162.5</v>
      </c>
      <c r="J1398" s="1270"/>
      <c r="K1398" s="1268">
        <f>CEILING(94*$Z$1,0.1)</f>
        <v>117.5</v>
      </c>
      <c r="L1398" s="1270"/>
      <c r="M1398" s="673"/>
      <c r="N1398" s="674"/>
      <c r="O1398" s="331"/>
      <c r="P1398" s="331"/>
      <c r="Q1398" s="331"/>
      <c r="R1398" s="331"/>
      <c r="S1398" s="331"/>
      <c r="T1398" s="331"/>
      <c r="U1398" s="331"/>
      <c r="V1398" s="331"/>
      <c r="W1398" s="331"/>
      <c r="X1398" s="331"/>
      <c r="Y1398" s="331"/>
      <c r="Z1398" s="331"/>
      <c r="AA1398" s="331"/>
      <c r="AB1398" s="331"/>
      <c r="AC1398" s="331"/>
      <c r="AD1398" s="331"/>
      <c r="AE1398" s="331"/>
      <c r="AF1398" s="331"/>
      <c r="AG1398" s="331"/>
      <c r="AH1398" s="331"/>
      <c r="AI1398" s="331"/>
      <c r="AJ1398" s="331"/>
      <c r="AK1398" s="331"/>
      <c r="AL1398" s="331"/>
      <c r="AM1398" s="331"/>
      <c r="AN1398" s="331"/>
      <c r="AO1398" s="331"/>
      <c r="AP1398" s="331"/>
      <c r="AQ1398" s="331"/>
      <c r="AR1398" s="331"/>
      <c r="AS1398" s="331"/>
      <c r="AT1398" s="331"/>
      <c r="AU1398" s="331"/>
      <c r="AV1398" s="331"/>
      <c r="AW1398" s="331"/>
      <c r="AX1398" s="331"/>
    </row>
    <row r="1399" spans="1:50" ht="17.25" customHeight="1">
      <c r="A1399" s="250"/>
      <c r="B1399" s="291" t="s">
        <v>382</v>
      </c>
      <c r="C1399" s="1284">
        <f>CEILING((C1398+32*$Z$1),0.1)</f>
        <v>153.8</v>
      </c>
      <c r="D1399" s="1285"/>
      <c r="E1399" s="1284">
        <f>CEILING((E1398+30*$Z$1),0.1)</f>
        <v>200</v>
      </c>
      <c r="F1399" s="1285"/>
      <c r="G1399" s="1284">
        <f>CEILING((G1398+41*$Z$1),0.1)</f>
        <v>197.60000000000002</v>
      </c>
      <c r="H1399" s="1285"/>
      <c r="I1399" s="1284">
        <f>CEILING((I1398+30*$Z$1),0.1)</f>
        <v>200</v>
      </c>
      <c r="J1399" s="1285"/>
      <c r="K1399" s="1284">
        <f>CEILING((K1398+33*$Z$1),0.1)</f>
        <v>158.8</v>
      </c>
      <c r="L1399" s="1285"/>
      <c r="M1399" s="342"/>
      <c r="N1399" s="342"/>
      <c r="O1399" s="331"/>
      <c r="P1399" s="331"/>
      <c r="Q1399" s="331"/>
      <c r="R1399" s="331"/>
      <c r="S1399" s="331"/>
      <c r="T1399" s="331"/>
      <c r="U1399" s="331"/>
      <c r="V1399" s="331"/>
      <c r="W1399" s="331"/>
      <c r="X1399" s="331"/>
      <c r="Y1399" s="331"/>
      <c r="Z1399" s="331"/>
      <c r="AA1399" s="331"/>
      <c r="AB1399" s="331"/>
      <c r="AC1399" s="331"/>
      <c r="AD1399" s="331"/>
      <c r="AE1399" s="331"/>
      <c r="AF1399" s="331"/>
      <c r="AG1399" s="331"/>
      <c r="AH1399" s="331"/>
      <c r="AI1399" s="331"/>
      <c r="AJ1399" s="331"/>
      <c r="AK1399" s="331"/>
      <c r="AL1399" s="331"/>
      <c r="AM1399" s="331"/>
      <c r="AN1399" s="331"/>
      <c r="AO1399" s="331"/>
      <c r="AP1399" s="331"/>
      <c r="AQ1399" s="331"/>
      <c r="AR1399" s="331"/>
      <c r="AS1399" s="331"/>
      <c r="AT1399" s="331"/>
      <c r="AU1399" s="331"/>
      <c r="AV1399" s="331"/>
      <c r="AW1399" s="331"/>
      <c r="AX1399" s="331"/>
    </row>
    <row r="1400" spans="1:50" ht="15.75" customHeight="1">
      <c r="A1400" s="287"/>
      <c r="B1400" s="943" t="s">
        <v>695</v>
      </c>
      <c r="C1400" s="1266">
        <f>CEILING(103*$Z$1,0.1)</f>
        <v>128.8</v>
      </c>
      <c r="D1400" s="1267"/>
      <c r="E1400" s="1266">
        <f>CEILING(143*$Z$1,0.1)</f>
        <v>178.8</v>
      </c>
      <c r="F1400" s="1267"/>
      <c r="G1400" s="1266">
        <f>CEILING(130*$Z$1,0.1)</f>
        <v>162.5</v>
      </c>
      <c r="H1400" s="1267"/>
      <c r="I1400" s="1266">
        <f>CEILING(143*$Z$1,0.1)</f>
        <v>178.8</v>
      </c>
      <c r="J1400" s="1267"/>
      <c r="K1400" s="1268">
        <f>CEILING(106*$Z$1,0.1)</f>
        <v>132.5</v>
      </c>
      <c r="L1400" s="1270"/>
      <c r="M1400" s="342"/>
      <c r="N1400" s="342"/>
      <c r="O1400" s="331"/>
      <c r="P1400" s="331"/>
      <c r="Q1400" s="331"/>
      <c r="R1400" s="331"/>
      <c r="S1400" s="331"/>
      <c r="T1400" s="331"/>
      <c r="U1400" s="331"/>
      <c r="V1400" s="331"/>
      <c r="W1400" s="331"/>
      <c r="X1400" s="331"/>
      <c r="Y1400" s="331"/>
      <c r="Z1400" s="331"/>
      <c r="AA1400" s="331"/>
      <c r="AB1400" s="331"/>
      <c r="AC1400" s="331"/>
      <c r="AD1400" s="331"/>
      <c r="AE1400" s="331"/>
      <c r="AF1400" s="331"/>
      <c r="AG1400" s="331"/>
      <c r="AH1400" s="331"/>
      <c r="AI1400" s="331"/>
      <c r="AJ1400" s="331"/>
      <c r="AK1400" s="331"/>
      <c r="AL1400" s="331"/>
      <c r="AM1400" s="331"/>
      <c r="AN1400" s="331"/>
      <c r="AO1400" s="331"/>
      <c r="AP1400" s="331"/>
      <c r="AQ1400" s="331"/>
      <c r="AR1400" s="331"/>
      <c r="AS1400" s="331"/>
      <c r="AT1400" s="331"/>
      <c r="AU1400" s="331"/>
      <c r="AV1400" s="331"/>
      <c r="AW1400" s="331"/>
      <c r="AX1400" s="331"/>
    </row>
    <row r="1401" spans="1:50" ht="16.5" customHeight="1">
      <c r="A1401" s="936" t="s">
        <v>694</v>
      </c>
      <c r="B1401" s="561" t="s">
        <v>645</v>
      </c>
      <c r="C1401" s="1284">
        <f>CEILING((C1400*0.5),0.1)</f>
        <v>64.4</v>
      </c>
      <c r="D1401" s="1285"/>
      <c r="E1401" s="1284">
        <f>CEILING((E1400*0.5),0.1)</f>
        <v>89.4</v>
      </c>
      <c r="F1401" s="1285"/>
      <c r="G1401" s="1284">
        <f>CEILING((G1400*0.5),0.1)</f>
        <v>81.30000000000001</v>
      </c>
      <c r="H1401" s="1285"/>
      <c r="I1401" s="1284">
        <f>CEILING((I1400*0.5),0.1)</f>
        <v>89.4</v>
      </c>
      <c r="J1401" s="1285"/>
      <c r="K1401" s="1284">
        <f>CEILING((K1400*0.5),0.1)</f>
        <v>66.3</v>
      </c>
      <c r="L1401" s="1285"/>
      <c r="M1401" s="342"/>
      <c r="N1401" s="342"/>
      <c r="O1401" s="331"/>
      <c r="P1401" s="331"/>
      <c r="Q1401" s="331"/>
      <c r="R1401" s="331"/>
      <c r="S1401" s="331"/>
      <c r="T1401" s="331"/>
      <c r="U1401" s="331"/>
      <c r="V1401" s="331"/>
      <c r="W1401" s="331"/>
      <c r="X1401" s="331"/>
      <c r="Y1401" s="331"/>
      <c r="Z1401" s="331"/>
      <c r="AA1401" s="331"/>
      <c r="AB1401" s="331"/>
      <c r="AC1401" s="331"/>
      <c r="AD1401" s="331"/>
      <c r="AE1401" s="331"/>
      <c r="AF1401" s="331"/>
      <c r="AG1401" s="331"/>
      <c r="AH1401" s="331"/>
      <c r="AI1401" s="331"/>
      <c r="AJ1401" s="331"/>
      <c r="AK1401" s="331"/>
      <c r="AL1401" s="331"/>
      <c r="AM1401" s="331"/>
      <c r="AN1401" s="331"/>
      <c r="AO1401" s="331"/>
      <c r="AP1401" s="331"/>
      <c r="AQ1401" s="331"/>
      <c r="AR1401" s="331"/>
      <c r="AS1401" s="331"/>
      <c r="AT1401" s="331"/>
      <c r="AU1401" s="331"/>
      <c r="AV1401" s="331"/>
      <c r="AW1401" s="331"/>
      <c r="AX1401" s="331"/>
    </row>
    <row r="1402" spans="1:50" s="776" customFormat="1" ht="15" customHeight="1">
      <c r="A1402" s="1306"/>
      <c r="B1402" s="1307"/>
      <c r="C1402" s="1307"/>
      <c r="D1402" s="1307"/>
      <c r="E1402" s="1307"/>
      <c r="F1402" s="1307"/>
      <c r="G1402" s="1307"/>
      <c r="H1402" s="1307"/>
      <c r="I1402" s="1307"/>
      <c r="J1402" s="1307"/>
      <c r="K1402" s="775"/>
      <c r="L1402" s="775"/>
      <c r="M1402" s="335"/>
      <c r="N1402" s="335"/>
      <c r="O1402" s="335"/>
      <c r="P1402" s="335"/>
      <c r="Q1402" s="335"/>
      <c r="R1402" s="335"/>
      <c r="S1402" s="335"/>
      <c r="T1402" s="335"/>
      <c r="U1402" s="335"/>
      <c r="V1402" s="335"/>
      <c r="W1402" s="335"/>
      <c r="X1402" s="335"/>
      <c r="Y1402" s="335"/>
      <c r="Z1402" s="335"/>
      <c r="AA1402" s="335"/>
      <c r="AB1402" s="335"/>
      <c r="AC1402" s="335"/>
      <c r="AD1402" s="335"/>
      <c r="AE1402" s="335"/>
      <c r="AF1402" s="335"/>
      <c r="AG1402" s="335"/>
      <c r="AH1402" s="335"/>
      <c r="AI1402" s="335"/>
      <c r="AJ1402" s="335"/>
      <c r="AK1402" s="335"/>
      <c r="AL1402" s="335"/>
      <c r="AM1402" s="335"/>
      <c r="AN1402" s="335"/>
      <c r="AO1402" s="335"/>
      <c r="AP1402" s="335"/>
      <c r="AQ1402" s="335"/>
      <c r="AR1402" s="335"/>
      <c r="AS1402" s="335"/>
      <c r="AT1402" s="335"/>
      <c r="AU1402" s="335"/>
      <c r="AV1402" s="335"/>
      <c r="AW1402" s="335"/>
      <c r="AX1402" s="335"/>
    </row>
    <row r="1403" spans="1:50" s="495" customFormat="1" ht="16.5" customHeight="1">
      <c r="A1403" s="250" t="s">
        <v>696</v>
      </c>
      <c r="B1403" s="197"/>
      <c r="C1403" s="197"/>
      <c r="D1403" s="197"/>
      <c r="E1403" s="197"/>
      <c r="F1403" s="197"/>
      <c r="G1403" s="197"/>
      <c r="H1403" s="197"/>
      <c r="I1403" s="197"/>
      <c r="J1403" s="197"/>
      <c r="K1403" s="197"/>
      <c r="L1403" s="197"/>
      <c r="M1403" s="342"/>
      <c r="N1403" s="342"/>
      <c r="O1403" s="937"/>
      <c r="P1403" s="937"/>
      <c r="Q1403" s="937"/>
      <c r="R1403" s="937"/>
      <c r="S1403" s="937"/>
      <c r="T1403" s="937"/>
      <c r="U1403" s="937"/>
      <c r="V1403" s="937"/>
      <c r="W1403" s="937"/>
      <c r="X1403" s="937"/>
      <c r="Y1403" s="937"/>
      <c r="Z1403" s="937"/>
      <c r="AA1403" s="937"/>
      <c r="AB1403" s="937"/>
      <c r="AC1403" s="937"/>
      <c r="AD1403" s="937"/>
      <c r="AE1403" s="937"/>
      <c r="AF1403" s="937"/>
      <c r="AG1403" s="937"/>
      <c r="AH1403" s="937"/>
      <c r="AI1403" s="937"/>
      <c r="AJ1403" s="937"/>
      <c r="AK1403" s="937"/>
      <c r="AL1403" s="937"/>
      <c r="AM1403" s="937"/>
      <c r="AN1403" s="937"/>
      <c r="AO1403" s="937"/>
      <c r="AP1403" s="937"/>
      <c r="AQ1403" s="937"/>
      <c r="AR1403" s="937"/>
      <c r="AS1403" s="937"/>
      <c r="AT1403" s="937"/>
      <c r="AU1403" s="937"/>
      <c r="AV1403" s="937"/>
      <c r="AW1403" s="937"/>
      <c r="AX1403" s="937"/>
    </row>
    <row r="1404" spans="1:50" s="479" customFormat="1" ht="18" customHeight="1">
      <c r="A1404" s="172"/>
      <c r="B1404" s="858"/>
      <c r="C1404" s="22"/>
      <c r="D1404" s="22"/>
      <c r="E1404" s="22"/>
      <c r="F1404" s="22"/>
      <c r="G1404" s="22"/>
      <c r="H1404" s="22"/>
      <c r="I1404" s="22"/>
      <c r="J1404" s="22"/>
      <c r="K1404" s="166"/>
      <c r="L1404" s="166"/>
      <c r="M1404" s="855"/>
      <c r="N1404" s="855"/>
      <c r="O1404" s="331"/>
      <c r="P1404" s="331"/>
      <c r="Q1404" s="331"/>
      <c r="R1404" s="331"/>
      <c r="S1404" s="331"/>
      <c r="T1404" s="331"/>
      <c r="U1404" s="331"/>
      <c r="V1404" s="331"/>
      <c r="W1404" s="331"/>
      <c r="X1404" s="331"/>
      <c r="Y1404" s="331"/>
      <c r="Z1404" s="331"/>
      <c r="AA1404" s="331"/>
      <c r="AB1404" s="331"/>
      <c r="AC1404" s="331"/>
      <c r="AD1404" s="331"/>
      <c r="AE1404" s="331"/>
      <c r="AF1404" s="331"/>
      <c r="AG1404" s="331"/>
      <c r="AH1404" s="331"/>
      <c r="AI1404" s="331"/>
      <c r="AJ1404" s="331"/>
      <c r="AK1404" s="331"/>
      <c r="AL1404" s="331"/>
      <c r="AM1404" s="331"/>
      <c r="AN1404" s="331"/>
      <c r="AO1404" s="331"/>
      <c r="AP1404" s="331"/>
      <c r="AQ1404" s="331"/>
      <c r="AR1404" s="331"/>
      <c r="AS1404" s="331"/>
      <c r="AT1404" s="331"/>
      <c r="AU1404" s="331"/>
      <c r="AV1404" s="331"/>
      <c r="AW1404" s="331"/>
      <c r="AX1404" s="331"/>
    </row>
    <row r="1405" spans="1:50" s="404" customFormat="1" ht="16.5" customHeight="1" thickBot="1">
      <c r="A1405" s="288"/>
      <c r="B1405" s="97"/>
      <c r="C1405" s="97"/>
      <c r="D1405" s="97"/>
      <c r="E1405" s="97"/>
      <c r="F1405" s="97"/>
      <c r="G1405" s="97"/>
      <c r="H1405" s="97"/>
      <c r="I1405" s="388"/>
      <c r="J1405" s="388"/>
      <c r="K1405" s="313"/>
      <c r="L1405" s="313"/>
      <c r="M1405" s="673"/>
      <c r="N1405" s="674"/>
      <c r="O1405" s="331"/>
      <c r="P1405" s="331"/>
      <c r="Q1405" s="331"/>
      <c r="R1405" s="331"/>
      <c r="S1405" s="331"/>
      <c r="T1405" s="331"/>
      <c r="U1405" s="331"/>
      <c r="V1405" s="331"/>
      <c r="W1405" s="331"/>
      <c r="X1405" s="331"/>
      <c r="Y1405" s="331"/>
      <c r="Z1405" s="331"/>
      <c r="AA1405" s="331"/>
      <c r="AB1405" s="331"/>
      <c r="AC1405" s="331"/>
      <c r="AD1405" s="331"/>
      <c r="AE1405" s="331"/>
      <c r="AF1405" s="331"/>
      <c r="AG1405" s="331"/>
      <c r="AH1405" s="331"/>
      <c r="AI1405" s="331"/>
      <c r="AJ1405" s="331"/>
      <c r="AK1405" s="331"/>
      <c r="AL1405" s="331"/>
      <c r="AM1405" s="331"/>
      <c r="AN1405" s="331"/>
      <c r="AO1405" s="331"/>
      <c r="AP1405" s="331"/>
      <c r="AQ1405" s="331"/>
      <c r="AR1405" s="331"/>
      <c r="AS1405" s="331"/>
      <c r="AT1405" s="331"/>
      <c r="AU1405" s="331"/>
      <c r="AV1405" s="331"/>
      <c r="AW1405" s="331"/>
      <c r="AX1405" s="331"/>
    </row>
    <row r="1406" spans="1:50" s="664" customFormat="1" ht="28.5" customHeight="1" thickTop="1">
      <c r="A1406" s="746" t="s">
        <v>43</v>
      </c>
      <c r="B1406" s="814" t="s">
        <v>961</v>
      </c>
      <c r="C1406" s="747" t="s">
        <v>884</v>
      </c>
      <c r="D1406" s="748"/>
      <c r="E1406" s="749" t="s">
        <v>911</v>
      </c>
      <c r="F1406" s="750"/>
      <c r="G1406" s="749" t="s">
        <v>912</v>
      </c>
      <c r="H1406" s="750"/>
      <c r="I1406" s="1273" t="s">
        <v>881</v>
      </c>
      <c r="J1406" s="1274"/>
      <c r="K1406" s="1273" t="s">
        <v>882</v>
      </c>
      <c r="L1406" s="1274"/>
      <c r="M1406" s="855"/>
      <c r="N1406" s="855"/>
      <c r="O1406" s="335"/>
      <c r="P1406" s="335"/>
      <c r="Q1406" s="335"/>
      <c r="R1406" s="335"/>
      <c r="S1406" s="335"/>
      <c r="T1406" s="335"/>
      <c r="U1406" s="335"/>
      <c r="V1406" s="335"/>
      <c r="W1406" s="335"/>
      <c r="X1406" s="335"/>
      <c r="Y1406" s="335"/>
      <c r="Z1406" s="335"/>
      <c r="AA1406" s="335"/>
      <c r="AB1406" s="335"/>
      <c r="AC1406" s="335"/>
      <c r="AD1406" s="335"/>
      <c r="AE1406" s="335"/>
      <c r="AF1406" s="335"/>
      <c r="AG1406" s="335"/>
      <c r="AH1406" s="335"/>
      <c r="AI1406" s="335"/>
      <c r="AJ1406" s="335"/>
      <c r="AK1406" s="335"/>
      <c r="AL1406" s="335"/>
      <c r="AM1406" s="335"/>
      <c r="AN1406" s="335"/>
      <c r="AO1406" s="335"/>
      <c r="AP1406" s="335"/>
      <c r="AQ1406" s="335"/>
      <c r="AR1406" s="335"/>
      <c r="AS1406" s="335"/>
      <c r="AT1406" s="335"/>
      <c r="AU1406" s="335"/>
      <c r="AV1406" s="335"/>
      <c r="AW1406" s="335"/>
      <c r="AX1406" s="335"/>
    </row>
    <row r="1407" spans="1:50" ht="18.75" customHeight="1">
      <c r="A1407" s="49" t="s">
        <v>133</v>
      </c>
      <c r="B1407" s="40" t="s">
        <v>51</v>
      </c>
      <c r="C1407" s="1266">
        <f>CEILING(50*$Z$1,0.1)</f>
        <v>62.5</v>
      </c>
      <c r="D1407" s="1267"/>
      <c r="E1407" s="1266">
        <f>CEILING(90*$Z$1,0.1)</f>
        <v>112.5</v>
      </c>
      <c r="F1407" s="1267"/>
      <c r="G1407" s="1268">
        <f>CEILING(70*$Z$1,0.1)</f>
        <v>87.5</v>
      </c>
      <c r="H1407" s="1269"/>
      <c r="I1407" s="1268">
        <f>CEILING(80*$Z$1,0.1)</f>
        <v>100</v>
      </c>
      <c r="J1407" s="1269"/>
      <c r="K1407" s="1268">
        <f>CEILING(55*$Z$1,0.1)</f>
        <v>68.8</v>
      </c>
      <c r="L1407" s="1270"/>
      <c r="M1407" s="673"/>
      <c r="N1407" s="674"/>
      <c r="O1407" s="331"/>
      <c r="P1407" s="331"/>
      <c r="Q1407" s="331"/>
      <c r="R1407" s="331"/>
      <c r="S1407" s="331"/>
      <c r="T1407" s="331"/>
      <c r="U1407" s="331"/>
      <c r="V1407" s="331"/>
      <c r="W1407" s="331"/>
      <c r="X1407" s="331"/>
      <c r="Y1407" s="331"/>
      <c r="Z1407" s="331"/>
      <c r="AA1407" s="331"/>
      <c r="AB1407" s="331"/>
      <c r="AC1407" s="331"/>
      <c r="AD1407" s="331"/>
      <c r="AE1407" s="331"/>
      <c r="AF1407" s="331"/>
      <c r="AG1407" s="331"/>
      <c r="AH1407" s="331"/>
      <c r="AI1407" s="331"/>
      <c r="AJ1407" s="331"/>
      <c r="AK1407" s="331"/>
      <c r="AL1407" s="331"/>
      <c r="AM1407" s="331"/>
      <c r="AN1407" s="331"/>
      <c r="AO1407" s="331"/>
      <c r="AP1407" s="331"/>
      <c r="AQ1407" s="331"/>
      <c r="AR1407" s="331"/>
      <c r="AS1407" s="331"/>
      <c r="AT1407" s="331"/>
      <c r="AU1407" s="331"/>
      <c r="AV1407" s="331"/>
      <c r="AW1407" s="331"/>
      <c r="AX1407" s="331"/>
    </row>
    <row r="1408" spans="1:50" ht="16.5" customHeight="1">
      <c r="A1408" s="47" t="s">
        <v>59</v>
      </c>
      <c r="B1408" s="12" t="s">
        <v>52</v>
      </c>
      <c r="C1408" s="1268">
        <f>CEILING((C1407+15*$Z$1),0.1)</f>
        <v>81.30000000000001</v>
      </c>
      <c r="D1408" s="1270"/>
      <c r="E1408" s="1268">
        <f>CEILING((E1407+27*$Z$1),0.1)</f>
        <v>146.3</v>
      </c>
      <c r="F1408" s="1270"/>
      <c r="G1408" s="1268">
        <f>CEILING((G1407+21*$Z$1),0.1)</f>
        <v>113.80000000000001</v>
      </c>
      <c r="H1408" s="1270"/>
      <c r="I1408" s="1268">
        <f>CEILING((I1407+24*$Z$1),0.1)</f>
        <v>130</v>
      </c>
      <c r="J1408" s="1270"/>
      <c r="K1408" s="1268">
        <f>CEILING((K1407+16.5*$Z$1),0.1)</f>
        <v>89.5</v>
      </c>
      <c r="L1408" s="1270"/>
      <c r="M1408" s="673"/>
      <c r="N1408" s="674"/>
      <c r="O1408" s="331"/>
      <c r="P1408" s="331"/>
      <c r="Q1408" s="331"/>
      <c r="R1408" s="331"/>
      <c r="S1408" s="331"/>
      <c r="T1408" s="331"/>
      <c r="U1408" s="331"/>
      <c r="V1408" s="331"/>
      <c r="W1408" s="331"/>
      <c r="X1408" s="331"/>
      <c r="Y1408" s="331"/>
      <c r="Z1408" s="331"/>
      <c r="AA1408" s="331"/>
      <c r="AB1408" s="331"/>
      <c r="AC1408" s="331"/>
      <c r="AD1408" s="331"/>
      <c r="AE1408" s="331"/>
      <c r="AF1408" s="331"/>
      <c r="AG1408" s="331"/>
      <c r="AH1408" s="331"/>
      <c r="AI1408" s="331"/>
      <c r="AJ1408" s="331"/>
      <c r="AK1408" s="331"/>
      <c r="AL1408" s="331"/>
      <c r="AM1408" s="331"/>
      <c r="AN1408" s="331"/>
      <c r="AO1408" s="331"/>
      <c r="AP1408" s="331"/>
      <c r="AQ1408" s="331"/>
      <c r="AR1408" s="331"/>
      <c r="AS1408" s="331"/>
      <c r="AT1408" s="331"/>
      <c r="AU1408" s="331"/>
      <c r="AV1408" s="331"/>
      <c r="AW1408" s="331"/>
      <c r="AX1408" s="331"/>
    </row>
    <row r="1409" spans="1:50" s="404" customFormat="1" ht="16.5" customHeight="1">
      <c r="A1409" s="286"/>
      <c r="B1409" s="12" t="s">
        <v>79</v>
      </c>
      <c r="C1409" s="1268">
        <f>CEILING((C1407*0.75),0.1)</f>
        <v>46.900000000000006</v>
      </c>
      <c r="D1409" s="1270"/>
      <c r="E1409" s="1268">
        <f>CEILING((E1407*0.75),0.1)</f>
        <v>84.4</v>
      </c>
      <c r="F1409" s="1270"/>
      <c r="G1409" s="1268">
        <f>CEILING((G1407*0.75),0.1)</f>
        <v>65.7</v>
      </c>
      <c r="H1409" s="1270"/>
      <c r="I1409" s="1268">
        <f>CEILING((I1407*0.75),0.1)</f>
        <v>75</v>
      </c>
      <c r="J1409" s="1270"/>
      <c r="K1409" s="1268">
        <f>CEILING((K1407*0.75),0.1)</f>
        <v>51.6</v>
      </c>
      <c r="L1409" s="1270"/>
      <c r="M1409" s="673"/>
      <c r="N1409" s="674"/>
      <c r="O1409" s="331"/>
      <c r="P1409" s="331"/>
      <c r="Q1409" s="331"/>
      <c r="R1409" s="331"/>
      <c r="S1409" s="331"/>
      <c r="T1409" s="331"/>
      <c r="U1409" s="331"/>
      <c r="V1409" s="331"/>
      <c r="W1409" s="331"/>
      <c r="X1409" s="331"/>
      <c r="Y1409" s="331"/>
      <c r="Z1409" s="331"/>
      <c r="AA1409" s="331"/>
      <c r="AB1409" s="331"/>
      <c r="AC1409" s="331"/>
      <c r="AD1409" s="331"/>
      <c r="AE1409" s="331"/>
      <c r="AF1409" s="331"/>
      <c r="AG1409" s="331"/>
      <c r="AH1409" s="331"/>
      <c r="AI1409" s="331"/>
      <c r="AJ1409" s="331"/>
      <c r="AK1409" s="331"/>
      <c r="AL1409" s="331"/>
      <c r="AM1409" s="331"/>
      <c r="AN1409" s="331"/>
      <c r="AO1409" s="331"/>
      <c r="AP1409" s="331"/>
      <c r="AQ1409" s="331"/>
      <c r="AR1409" s="331"/>
      <c r="AS1409" s="331"/>
      <c r="AT1409" s="331"/>
      <c r="AU1409" s="331"/>
      <c r="AV1409" s="331"/>
      <c r="AW1409" s="331"/>
      <c r="AX1409" s="331"/>
    </row>
    <row r="1410" spans="1:50" ht="18" customHeight="1">
      <c r="A1410" s="168" t="s">
        <v>1329</v>
      </c>
      <c r="B1410" s="12" t="s">
        <v>994</v>
      </c>
      <c r="C1410" s="1268">
        <f>CEILING((C1407*0),0.1)</f>
        <v>0</v>
      </c>
      <c r="D1410" s="1270"/>
      <c r="E1410" s="1268">
        <f>CEILING((E1407*0.5),0.1)</f>
        <v>56.300000000000004</v>
      </c>
      <c r="F1410" s="1270"/>
      <c r="G1410" s="1268">
        <f>CEILING((G1407*0.5),0.1)</f>
        <v>43.800000000000004</v>
      </c>
      <c r="H1410" s="1270"/>
      <c r="I1410" s="1268">
        <f>CEILING((I1407*0.5),0.1)</f>
        <v>50</v>
      </c>
      <c r="J1410" s="1270"/>
      <c r="K1410" s="1268">
        <f>CEILING((K1407*0),0.1)</f>
        <v>0</v>
      </c>
      <c r="L1410" s="1314"/>
      <c r="M1410" s="673"/>
      <c r="N1410" s="674"/>
      <c r="O1410" s="331"/>
      <c r="P1410" s="331"/>
      <c r="Q1410" s="331"/>
      <c r="R1410" s="331"/>
      <c r="S1410" s="331"/>
      <c r="T1410" s="331"/>
      <c r="U1410" s="331"/>
      <c r="V1410" s="331"/>
      <c r="W1410" s="331"/>
      <c r="X1410" s="331"/>
      <c r="Y1410" s="331"/>
      <c r="Z1410" s="331"/>
      <c r="AA1410" s="331"/>
      <c r="AB1410" s="331"/>
      <c r="AC1410" s="331"/>
      <c r="AD1410" s="331"/>
      <c r="AE1410" s="331"/>
      <c r="AF1410" s="331"/>
      <c r="AG1410" s="331"/>
      <c r="AH1410" s="331"/>
      <c r="AI1410" s="331"/>
      <c r="AJ1410" s="331"/>
      <c r="AK1410" s="331"/>
      <c r="AL1410" s="331"/>
      <c r="AM1410" s="331"/>
      <c r="AN1410" s="331"/>
      <c r="AO1410" s="331"/>
      <c r="AP1410" s="331"/>
      <c r="AQ1410" s="331"/>
      <c r="AR1410" s="331"/>
      <c r="AS1410" s="331"/>
      <c r="AT1410" s="331"/>
      <c r="AU1410" s="331"/>
      <c r="AV1410" s="331"/>
      <c r="AW1410" s="331"/>
      <c r="AX1410" s="331"/>
    </row>
    <row r="1411" spans="1:50" ht="17.25" customHeight="1">
      <c r="A1411" s="286"/>
      <c r="B1411" s="143" t="s">
        <v>689</v>
      </c>
      <c r="C1411" s="1268">
        <f>CEILING(53*$Z$1,0.1)</f>
        <v>66.3</v>
      </c>
      <c r="D1411" s="1270"/>
      <c r="E1411" s="1268">
        <f>CEILING(95*$Z$1,0.1)</f>
        <v>118.80000000000001</v>
      </c>
      <c r="F1411" s="1270"/>
      <c r="G1411" s="1268">
        <f>CEILING(74*$Z$1,0.1)</f>
        <v>92.5</v>
      </c>
      <c r="H1411" s="1270"/>
      <c r="I1411" s="1268">
        <f>CEILING(84*$Z$1,0.1)</f>
        <v>105</v>
      </c>
      <c r="J1411" s="1270"/>
      <c r="K1411" s="1268">
        <f>CEILING(58*$Z$1,0.1)</f>
        <v>72.5</v>
      </c>
      <c r="L1411" s="1270"/>
      <c r="M1411" s="673"/>
      <c r="N1411" s="674"/>
      <c r="O1411" s="331"/>
      <c r="P1411" s="331"/>
      <c r="Q1411" s="331"/>
      <c r="R1411" s="331"/>
      <c r="S1411" s="331"/>
      <c r="T1411" s="331"/>
      <c r="U1411" s="331"/>
      <c r="V1411" s="331"/>
      <c r="W1411" s="331"/>
      <c r="X1411" s="331"/>
      <c r="Y1411" s="331"/>
      <c r="Z1411" s="331"/>
      <c r="AA1411" s="331"/>
      <c r="AB1411" s="331"/>
      <c r="AC1411" s="331"/>
      <c r="AD1411" s="331"/>
      <c r="AE1411" s="331"/>
      <c r="AF1411" s="331"/>
      <c r="AG1411" s="331"/>
      <c r="AH1411" s="331"/>
      <c r="AI1411" s="331"/>
      <c r="AJ1411" s="331"/>
      <c r="AK1411" s="331"/>
      <c r="AL1411" s="331"/>
      <c r="AM1411" s="331"/>
      <c r="AN1411" s="331"/>
      <c r="AO1411" s="331"/>
      <c r="AP1411" s="331"/>
      <c r="AQ1411" s="331"/>
      <c r="AR1411" s="331"/>
      <c r="AS1411" s="331"/>
      <c r="AT1411" s="331"/>
      <c r="AU1411" s="331"/>
      <c r="AV1411" s="331"/>
      <c r="AW1411" s="331"/>
      <c r="AX1411" s="331"/>
    </row>
    <row r="1412" spans="1:50" ht="18.75" customHeight="1">
      <c r="A1412" s="286"/>
      <c r="B1412" s="143" t="s">
        <v>690</v>
      </c>
      <c r="C1412" s="1268">
        <f>CEILING((C1411+16*$Z$1),0.1)</f>
        <v>86.30000000000001</v>
      </c>
      <c r="D1412" s="1270"/>
      <c r="E1412" s="1268">
        <f>CEILING((E1411+29*$Z$1),0.1)</f>
        <v>155.10000000000002</v>
      </c>
      <c r="F1412" s="1270"/>
      <c r="G1412" s="1268">
        <f>CEILING((G1411+22*$Z$1),0.1)</f>
        <v>120</v>
      </c>
      <c r="H1412" s="1270"/>
      <c r="I1412" s="1268">
        <f>CEILING((I1411+25.2*$Z$1),0.1)</f>
        <v>136.5</v>
      </c>
      <c r="J1412" s="1270"/>
      <c r="K1412" s="1268">
        <f>CEILING((K1411+17.4*$Z$1),0.1)</f>
        <v>94.30000000000001</v>
      </c>
      <c r="L1412" s="1270"/>
      <c r="M1412" s="673"/>
      <c r="N1412" s="674"/>
      <c r="O1412" s="331"/>
      <c r="P1412" s="331"/>
      <c r="Q1412" s="331"/>
      <c r="R1412" s="331"/>
      <c r="S1412" s="331"/>
      <c r="T1412" s="331"/>
      <c r="U1412" s="331"/>
      <c r="V1412" s="331"/>
      <c r="W1412" s="331"/>
      <c r="X1412" s="331"/>
      <c r="Y1412" s="331"/>
      <c r="Z1412" s="331"/>
      <c r="AA1412" s="331"/>
      <c r="AB1412" s="331"/>
      <c r="AC1412" s="331"/>
      <c r="AD1412" s="331"/>
      <c r="AE1412" s="331"/>
      <c r="AF1412" s="331"/>
      <c r="AG1412" s="331"/>
      <c r="AH1412" s="331"/>
      <c r="AI1412" s="331"/>
      <c r="AJ1412" s="331"/>
      <c r="AK1412" s="331"/>
      <c r="AL1412" s="331"/>
      <c r="AM1412" s="331"/>
      <c r="AN1412" s="331"/>
      <c r="AO1412" s="331"/>
      <c r="AP1412" s="331"/>
      <c r="AQ1412" s="331"/>
      <c r="AR1412" s="331"/>
      <c r="AS1412" s="331"/>
      <c r="AT1412" s="331"/>
      <c r="AU1412" s="331"/>
      <c r="AV1412" s="331"/>
      <c r="AW1412" s="331"/>
      <c r="AX1412" s="331"/>
    </row>
    <row r="1413" spans="1:50" ht="15">
      <c r="A1413" s="286"/>
      <c r="B1413" s="143" t="s">
        <v>691</v>
      </c>
      <c r="C1413" s="1268">
        <f>CEILING(55*$Z$1,0.1)</f>
        <v>68.8</v>
      </c>
      <c r="D1413" s="1270"/>
      <c r="E1413" s="1268">
        <f>CEILING(99*$Z$1,0.1)</f>
        <v>123.80000000000001</v>
      </c>
      <c r="F1413" s="1270"/>
      <c r="G1413" s="1268">
        <f>CEILING(77*$Z$1,0.1)</f>
        <v>96.30000000000001</v>
      </c>
      <c r="H1413" s="1270"/>
      <c r="I1413" s="1268">
        <f>CEILING(88*$Z$1,0.1)</f>
        <v>110</v>
      </c>
      <c r="J1413" s="1270"/>
      <c r="K1413" s="1268">
        <f>CEILING(61*$Z$1,0.1)</f>
        <v>76.3</v>
      </c>
      <c r="L1413" s="1270"/>
      <c r="M1413" s="673"/>
      <c r="N1413" s="674"/>
      <c r="O1413" s="331"/>
      <c r="P1413" s="331"/>
      <c r="Q1413" s="331"/>
      <c r="R1413" s="331"/>
      <c r="S1413" s="331"/>
      <c r="T1413" s="331"/>
      <c r="U1413" s="331"/>
      <c r="V1413" s="331"/>
      <c r="W1413" s="331"/>
      <c r="X1413" s="331"/>
      <c r="Y1413" s="331"/>
      <c r="Z1413" s="331"/>
      <c r="AA1413" s="331"/>
      <c r="AB1413" s="331"/>
      <c r="AC1413" s="331"/>
      <c r="AD1413" s="331"/>
      <c r="AE1413" s="331"/>
      <c r="AF1413" s="331"/>
      <c r="AG1413" s="331"/>
      <c r="AH1413" s="331"/>
      <c r="AI1413" s="331"/>
      <c r="AJ1413" s="331"/>
      <c r="AK1413" s="331"/>
      <c r="AL1413" s="331"/>
      <c r="AM1413" s="331"/>
      <c r="AN1413" s="331"/>
      <c r="AO1413" s="331"/>
      <c r="AP1413" s="331"/>
      <c r="AQ1413" s="331"/>
      <c r="AR1413" s="331"/>
      <c r="AS1413" s="331"/>
      <c r="AT1413" s="331"/>
      <c r="AU1413" s="331"/>
      <c r="AV1413" s="331"/>
      <c r="AW1413" s="331"/>
      <c r="AX1413" s="331"/>
    </row>
    <row r="1414" spans="1:50" ht="15.75" thickBot="1">
      <c r="A1414" s="163" t="s">
        <v>427</v>
      </c>
      <c r="B1414" s="174" t="s">
        <v>692</v>
      </c>
      <c r="C1414" s="1275">
        <f>CEILING((C1413+16.6*$Z$1),0.1)</f>
        <v>89.60000000000001</v>
      </c>
      <c r="D1414" s="1277"/>
      <c r="E1414" s="1275">
        <f>CEILING((E1413+29.7*$Z$1),0.1)</f>
        <v>161</v>
      </c>
      <c r="F1414" s="1277"/>
      <c r="G1414" s="1275">
        <f>CEILING((G1413+22.9*$Z$1),0.1)</f>
        <v>125</v>
      </c>
      <c r="H1414" s="1277"/>
      <c r="I1414" s="1275">
        <f>CEILING((I1413+26.4*$Z$1),0.1)</f>
        <v>143</v>
      </c>
      <c r="J1414" s="1277"/>
      <c r="K1414" s="1275">
        <f>CEILING((K1413+18.4*$Z$1),0.1)</f>
        <v>99.30000000000001</v>
      </c>
      <c r="L1414" s="1277"/>
      <c r="M1414" s="673"/>
      <c r="N1414" s="674"/>
      <c r="O1414" s="331"/>
      <c r="P1414" s="331"/>
      <c r="Q1414" s="331"/>
      <c r="R1414" s="331"/>
      <c r="S1414" s="331"/>
      <c r="T1414" s="331"/>
      <c r="U1414" s="331"/>
      <c r="V1414" s="331"/>
      <c r="W1414" s="331"/>
      <c r="X1414" s="331"/>
      <c r="Y1414" s="331"/>
      <c r="Z1414" s="331"/>
      <c r="AA1414" s="331"/>
      <c r="AB1414" s="331"/>
      <c r="AC1414" s="331"/>
      <c r="AD1414" s="331"/>
      <c r="AE1414" s="331"/>
      <c r="AF1414" s="331"/>
      <c r="AG1414" s="331"/>
      <c r="AH1414" s="331"/>
      <c r="AI1414" s="331"/>
      <c r="AJ1414" s="331"/>
      <c r="AK1414" s="331"/>
      <c r="AL1414" s="331"/>
      <c r="AM1414" s="331"/>
      <c r="AN1414" s="331"/>
      <c r="AO1414" s="331"/>
      <c r="AP1414" s="331"/>
      <c r="AQ1414" s="331"/>
      <c r="AR1414" s="331"/>
      <c r="AS1414" s="331"/>
      <c r="AT1414" s="331"/>
      <c r="AU1414" s="331"/>
      <c r="AV1414" s="331"/>
      <c r="AW1414" s="331"/>
      <c r="AX1414" s="331"/>
    </row>
    <row r="1415" spans="1:50" s="776" customFormat="1" ht="15" customHeight="1" thickTop="1">
      <c r="A1415" s="1306" t="s">
        <v>1072</v>
      </c>
      <c r="B1415" s="1307"/>
      <c r="C1415" s="1307"/>
      <c r="D1415" s="1307"/>
      <c r="E1415" s="1307"/>
      <c r="F1415" s="1307"/>
      <c r="G1415" s="1307"/>
      <c r="H1415" s="1307"/>
      <c r="I1415" s="1307"/>
      <c r="J1415" s="1307"/>
      <c r="K1415" s="775"/>
      <c r="L1415" s="775"/>
      <c r="M1415" s="335"/>
      <c r="N1415" s="335"/>
      <c r="O1415" s="335"/>
      <c r="P1415" s="335"/>
      <c r="Q1415" s="335"/>
      <c r="R1415" s="335"/>
      <c r="S1415" s="335"/>
      <c r="T1415" s="335"/>
      <c r="U1415" s="335"/>
      <c r="V1415" s="335"/>
      <c r="W1415" s="335"/>
      <c r="X1415" s="335"/>
      <c r="Y1415" s="335"/>
      <c r="Z1415" s="335"/>
      <c r="AA1415" s="335"/>
      <c r="AB1415" s="335"/>
      <c r="AC1415" s="335"/>
      <c r="AD1415" s="335"/>
      <c r="AE1415" s="335"/>
      <c r="AF1415" s="335"/>
      <c r="AG1415" s="335"/>
      <c r="AH1415" s="335"/>
      <c r="AI1415" s="335"/>
      <c r="AJ1415" s="335"/>
      <c r="AK1415" s="335"/>
      <c r="AL1415" s="335"/>
      <c r="AM1415" s="335"/>
      <c r="AN1415" s="335"/>
      <c r="AO1415" s="335"/>
      <c r="AP1415" s="335"/>
      <c r="AQ1415" s="335"/>
      <c r="AR1415" s="335"/>
      <c r="AS1415" s="335"/>
      <c r="AT1415" s="335"/>
      <c r="AU1415" s="335"/>
      <c r="AV1415" s="335"/>
      <c r="AW1415" s="335"/>
      <c r="AX1415" s="335"/>
    </row>
    <row r="1416" spans="1:50" s="495" customFormat="1" ht="15.75" customHeight="1">
      <c r="A1416" s="250" t="s">
        <v>696</v>
      </c>
      <c r="B1416" s="197"/>
      <c r="C1416" s="197"/>
      <c r="D1416" s="197"/>
      <c r="E1416" s="197"/>
      <c r="F1416" s="197"/>
      <c r="G1416" s="197"/>
      <c r="H1416" s="197"/>
      <c r="I1416" s="197"/>
      <c r="J1416" s="197"/>
      <c r="K1416" s="197"/>
      <c r="L1416" s="197"/>
      <c r="M1416" s="342"/>
      <c r="N1416" s="342"/>
      <c r="O1416" s="937"/>
      <c r="P1416" s="937"/>
      <c r="Q1416" s="937"/>
      <c r="R1416" s="937"/>
      <c r="S1416" s="937"/>
      <c r="T1416" s="937"/>
      <c r="U1416" s="937"/>
      <c r="V1416" s="937"/>
      <c r="W1416" s="937"/>
      <c r="X1416" s="937"/>
      <c r="Y1416" s="937"/>
      <c r="Z1416" s="937"/>
      <c r="AA1416" s="937"/>
      <c r="AB1416" s="937"/>
      <c r="AC1416" s="937"/>
      <c r="AD1416" s="937"/>
      <c r="AE1416" s="937"/>
      <c r="AF1416" s="937"/>
      <c r="AG1416" s="937"/>
      <c r="AH1416" s="937"/>
      <c r="AI1416" s="937"/>
      <c r="AJ1416" s="937"/>
      <c r="AK1416" s="937"/>
      <c r="AL1416" s="937"/>
      <c r="AM1416" s="937"/>
      <c r="AN1416" s="937"/>
      <c r="AO1416" s="937"/>
      <c r="AP1416" s="937"/>
      <c r="AQ1416" s="937"/>
      <c r="AR1416" s="937"/>
      <c r="AS1416" s="937"/>
      <c r="AT1416" s="937"/>
      <c r="AU1416" s="937"/>
      <c r="AV1416" s="937"/>
      <c r="AW1416" s="937"/>
      <c r="AX1416" s="937"/>
    </row>
    <row r="1417" spans="1:13" s="1200" customFormat="1" ht="17.25" customHeight="1">
      <c r="A1417" s="1195" t="s">
        <v>1325</v>
      </c>
      <c r="B1417" s="1196"/>
      <c r="C1417" s="1196"/>
      <c r="D1417" s="1196"/>
      <c r="E1417" s="1196"/>
      <c r="F1417" s="1196"/>
      <c r="G1417" s="1196"/>
      <c r="H1417" s="1196"/>
      <c r="I1417" s="1197"/>
      <c r="J1417" s="1197"/>
      <c r="K1417" s="1198"/>
      <c r="L1417" s="1198"/>
      <c r="M1417" s="1199"/>
    </row>
    <row r="1418" spans="1:13" s="1200" customFormat="1" ht="15">
      <c r="A1418" s="1195" t="s">
        <v>1330</v>
      </c>
      <c r="B1418" s="1196"/>
      <c r="C1418" s="1196"/>
      <c r="D1418" s="1196"/>
      <c r="E1418" s="1196"/>
      <c r="F1418" s="1196"/>
      <c r="G1418" s="1196"/>
      <c r="H1418" s="1196"/>
      <c r="I1418" s="1197"/>
      <c r="J1418" s="1197"/>
      <c r="K1418" s="1198"/>
      <c r="L1418" s="1198"/>
      <c r="M1418" s="1199"/>
    </row>
    <row r="1419" spans="1:50" ht="15">
      <c r="A1419" s="172"/>
      <c r="B1419" s="22"/>
      <c r="C1419" s="22"/>
      <c r="D1419" s="22"/>
      <c r="E1419" s="22"/>
      <c r="F1419" s="22"/>
      <c r="G1419" s="22"/>
      <c r="H1419" s="22"/>
      <c r="I1419" s="22"/>
      <c r="J1419" s="22"/>
      <c r="K1419" s="332"/>
      <c r="L1419" s="332"/>
      <c r="M1419" s="20"/>
      <c r="N1419" s="158"/>
      <c r="O1419" s="331"/>
      <c r="P1419" s="331"/>
      <c r="Q1419" s="331"/>
      <c r="R1419" s="331"/>
      <c r="S1419" s="331"/>
      <c r="T1419" s="331"/>
      <c r="U1419" s="331"/>
      <c r="V1419" s="331"/>
      <c r="W1419" s="331"/>
      <c r="X1419" s="331"/>
      <c r="Y1419" s="331"/>
      <c r="Z1419" s="331"/>
      <c r="AA1419" s="331"/>
      <c r="AB1419" s="331"/>
      <c r="AC1419" s="331"/>
      <c r="AD1419" s="331"/>
      <c r="AE1419" s="331"/>
      <c r="AF1419" s="331"/>
      <c r="AG1419" s="331"/>
      <c r="AH1419" s="331"/>
      <c r="AI1419" s="331"/>
      <c r="AJ1419" s="331"/>
      <c r="AK1419" s="331"/>
      <c r="AL1419" s="331"/>
      <c r="AM1419" s="331"/>
      <c r="AN1419" s="331"/>
      <c r="AO1419" s="331"/>
      <c r="AP1419" s="331"/>
      <c r="AQ1419" s="331"/>
      <c r="AR1419" s="331"/>
      <c r="AS1419" s="331"/>
      <c r="AT1419" s="331"/>
      <c r="AU1419" s="331"/>
      <c r="AV1419" s="331"/>
      <c r="AW1419" s="331"/>
      <c r="AX1419" s="331"/>
    </row>
    <row r="1420" spans="1:50" ht="17.25" customHeight="1">
      <c r="A1420" s="1451" t="s">
        <v>792</v>
      </c>
      <c r="B1420" s="1451"/>
      <c r="C1420" s="1451"/>
      <c r="D1420" s="1451"/>
      <c r="E1420" s="1451"/>
      <c r="F1420" s="1451"/>
      <c r="G1420" s="1451"/>
      <c r="H1420" s="1451"/>
      <c r="I1420" s="24"/>
      <c r="J1420" s="24"/>
      <c r="K1420" s="94"/>
      <c r="L1420" s="94"/>
      <c r="M1420" s="20"/>
      <c r="N1420" s="158"/>
      <c r="O1420" s="331"/>
      <c r="P1420" s="331"/>
      <c r="Q1420" s="331"/>
      <c r="R1420" s="331"/>
      <c r="S1420" s="331"/>
      <c r="T1420" s="331"/>
      <c r="U1420" s="331"/>
      <c r="V1420" s="331"/>
      <c r="W1420" s="331"/>
      <c r="X1420" s="331"/>
      <c r="Y1420" s="331"/>
      <c r="Z1420" s="331"/>
      <c r="AA1420" s="331"/>
      <c r="AB1420" s="331"/>
      <c r="AC1420" s="331"/>
      <c r="AD1420" s="331"/>
      <c r="AE1420" s="331"/>
      <c r="AF1420" s="331"/>
      <c r="AG1420" s="331"/>
      <c r="AH1420" s="331"/>
      <c r="AI1420" s="331"/>
      <c r="AJ1420" s="331"/>
      <c r="AK1420" s="331"/>
      <c r="AL1420" s="331"/>
      <c r="AM1420" s="331"/>
      <c r="AN1420" s="331"/>
      <c r="AO1420" s="331"/>
      <c r="AP1420" s="331"/>
      <c r="AQ1420" s="331"/>
      <c r="AR1420" s="331"/>
      <c r="AS1420" s="331"/>
      <c r="AT1420" s="331"/>
      <c r="AU1420" s="331"/>
      <c r="AV1420" s="331"/>
      <c r="AW1420" s="331"/>
      <c r="AX1420" s="331"/>
    </row>
    <row r="1421" spans="1:14" ht="18" customHeight="1">
      <c r="A1421" s="1397" t="s">
        <v>594</v>
      </c>
      <c r="B1421" s="1397"/>
      <c r="C1421" s="1397"/>
      <c r="D1421" s="1397"/>
      <c r="E1421" s="1397"/>
      <c r="F1421" s="1397"/>
      <c r="G1421" s="1397"/>
      <c r="H1421" s="1397"/>
      <c r="I1421" s="1397"/>
      <c r="J1421" s="1397"/>
      <c r="K1421" s="94"/>
      <c r="L1421" s="94"/>
      <c r="M1421" s="25"/>
      <c r="N1421" s="61"/>
    </row>
    <row r="1422" spans="1:25" s="404" customFormat="1" ht="18" customHeight="1">
      <c r="A1422" s="1300" t="s">
        <v>1234</v>
      </c>
      <c r="B1422" s="1300"/>
      <c r="C1422" s="1300"/>
      <c r="D1422" s="1300"/>
      <c r="E1422" s="1300"/>
      <c r="F1422" s="1300"/>
      <c r="G1422" s="1300"/>
      <c r="H1422" s="1300"/>
      <c r="I1422" s="1301"/>
      <c r="J1422" s="116"/>
      <c r="K1422" s="313"/>
      <c r="L1422" s="94"/>
      <c r="M1422" s="25"/>
      <c r="N1422" s="61"/>
      <c r="O1422" s="169"/>
      <c r="P1422" s="169"/>
      <c r="Q1422" s="169"/>
      <c r="R1422" s="169"/>
      <c r="S1422" s="169"/>
      <c r="T1422" s="169"/>
      <c r="U1422" s="169"/>
      <c r="V1422" s="169"/>
      <c r="W1422" s="169"/>
      <c r="X1422" s="169"/>
      <c r="Y1422" s="169"/>
    </row>
    <row r="1423" spans="1:25" s="404" customFormat="1" ht="18" customHeight="1">
      <c r="A1423" s="1300" t="s">
        <v>1235</v>
      </c>
      <c r="B1423" s="1300"/>
      <c r="C1423" s="1300"/>
      <c r="D1423" s="1300"/>
      <c r="E1423" s="1300"/>
      <c r="F1423" s="1300"/>
      <c r="G1423" s="1300"/>
      <c r="H1423" s="1300"/>
      <c r="I1423" s="396"/>
      <c r="J1423" s="116"/>
      <c r="K1423" s="313"/>
      <c r="L1423" s="94"/>
      <c r="M1423" s="25"/>
      <c r="N1423" s="61"/>
      <c r="O1423" s="169"/>
      <c r="P1423" s="169"/>
      <c r="Q1423" s="169"/>
      <c r="R1423" s="169"/>
      <c r="S1423" s="169"/>
      <c r="T1423" s="169"/>
      <c r="U1423" s="169"/>
      <c r="V1423" s="169"/>
      <c r="W1423" s="169"/>
      <c r="X1423" s="169"/>
      <c r="Y1423" s="169"/>
    </row>
    <row r="1424" spans="1:14" ht="17.25" customHeight="1">
      <c r="A1424" s="117"/>
      <c r="B1424" s="117"/>
      <c r="C1424" s="117"/>
      <c r="D1424" s="117"/>
      <c r="E1424" s="117"/>
      <c r="F1424" s="117"/>
      <c r="G1424" s="117"/>
      <c r="H1424" s="117"/>
      <c r="I1424" s="117"/>
      <c r="J1424" s="117"/>
      <c r="K1424" s="313"/>
      <c r="L1424" s="94"/>
      <c r="M1424" s="20"/>
      <c r="N1424" s="158"/>
    </row>
    <row r="1425" spans="1:14" ht="17.25" customHeight="1">
      <c r="A1425" s="1543" t="s">
        <v>283</v>
      </c>
      <c r="B1425" s="1543"/>
      <c r="C1425" s="1543"/>
      <c r="D1425" s="1543"/>
      <c r="E1425" s="1543"/>
      <c r="F1425" s="1543"/>
      <c r="G1425" s="1543"/>
      <c r="H1425" s="1543"/>
      <c r="I1425" s="1543"/>
      <c r="J1425" s="1543"/>
      <c r="K1425" s="313"/>
      <c r="L1425" s="313"/>
      <c r="M1425" s="20"/>
      <c r="N1425" s="158"/>
    </row>
    <row r="1426" spans="1:14" ht="19.5" customHeight="1" thickBot="1">
      <c r="A1426" s="1436" t="s">
        <v>134</v>
      </c>
      <c r="B1426" s="1436"/>
      <c r="C1426" s="1436"/>
      <c r="D1426" s="1436"/>
      <c r="E1426" s="1436"/>
      <c r="F1426" s="1436"/>
      <c r="G1426" s="1436"/>
      <c r="H1426" s="1436"/>
      <c r="I1426" s="1436"/>
      <c r="J1426" s="1436"/>
      <c r="K1426" s="94"/>
      <c r="L1426" s="313"/>
      <c r="M1426" s="20"/>
      <c r="N1426" s="158"/>
    </row>
    <row r="1427" spans="1:50" s="664" customFormat="1" ht="28.5" customHeight="1" thickTop="1">
      <c r="A1427" s="746" t="s">
        <v>43</v>
      </c>
      <c r="B1427" s="814" t="s">
        <v>961</v>
      </c>
      <c r="C1427" s="747" t="s">
        <v>884</v>
      </c>
      <c r="D1427" s="748"/>
      <c r="E1427" s="749" t="s">
        <v>883</v>
      </c>
      <c r="F1427" s="750"/>
      <c r="G1427" s="749" t="s">
        <v>880</v>
      </c>
      <c r="H1427" s="750"/>
      <c r="I1427" s="1273" t="s">
        <v>881</v>
      </c>
      <c r="J1427" s="1274"/>
      <c r="K1427" s="1273" t="s">
        <v>882</v>
      </c>
      <c r="L1427" s="1274"/>
      <c r="M1427" s="898"/>
      <c r="N1427" s="898"/>
      <c r="O1427" s="335"/>
      <c r="P1427" s="335"/>
      <c r="Q1427" s="335"/>
      <c r="R1427" s="335"/>
      <c r="S1427" s="335"/>
      <c r="T1427" s="335"/>
      <c r="U1427" s="335"/>
      <c r="V1427" s="335"/>
      <c r="W1427" s="335"/>
      <c r="X1427" s="335"/>
      <c r="Y1427" s="335"/>
      <c r="Z1427" s="335"/>
      <c r="AA1427" s="335"/>
      <c r="AB1427" s="335"/>
      <c r="AC1427" s="335"/>
      <c r="AD1427" s="335"/>
      <c r="AE1427" s="335"/>
      <c r="AF1427" s="335"/>
      <c r="AG1427" s="335"/>
      <c r="AH1427" s="335"/>
      <c r="AI1427" s="335"/>
      <c r="AJ1427" s="335"/>
      <c r="AK1427" s="335"/>
      <c r="AL1427" s="335"/>
      <c r="AM1427" s="335"/>
      <c r="AN1427" s="335"/>
      <c r="AO1427" s="335"/>
      <c r="AP1427" s="335"/>
      <c r="AQ1427" s="335"/>
      <c r="AR1427" s="335"/>
      <c r="AS1427" s="335"/>
      <c r="AT1427" s="335"/>
      <c r="AU1427" s="335"/>
      <c r="AV1427" s="335"/>
      <c r="AW1427" s="335"/>
      <c r="AX1427" s="335"/>
    </row>
    <row r="1428" spans="1:25" s="479" customFormat="1" ht="19.5" customHeight="1">
      <c r="A1428" s="224" t="s">
        <v>135</v>
      </c>
      <c r="B1428" s="26" t="s">
        <v>44</v>
      </c>
      <c r="C1428" s="1266">
        <f>CEILING(90*$Z$1,0.1)</f>
        <v>112.5</v>
      </c>
      <c r="D1428" s="1267"/>
      <c r="E1428" s="1268">
        <f>CEILING(140*$Z$1,0.1)</f>
        <v>175</v>
      </c>
      <c r="F1428" s="1269"/>
      <c r="G1428" s="1268">
        <f>CEILING(110*$Z$1,0.1)</f>
        <v>137.5</v>
      </c>
      <c r="H1428" s="1269"/>
      <c r="I1428" s="1268">
        <f>CEILING(115*$Z$1,0.1)</f>
        <v>143.8</v>
      </c>
      <c r="J1428" s="1269"/>
      <c r="K1428" s="1268">
        <f>CEILING(90*$Z$1,0.1)</f>
        <v>112.5</v>
      </c>
      <c r="L1428" s="1269"/>
      <c r="M1428" s="20"/>
      <c r="N1428" s="158"/>
      <c r="O1428" s="480"/>
      <c r="P1428" s="480"/>
      <c r="Q1428" s="480"/>
      <c r="R1428" s="480"/>
      <c r="S1428" s="480"/>
      <c r="T1428" s="480"/>
      <c r="U1428" s="480"/>
      <c r="V1428" s="480"/>
      <c r="W1428" s="480"/>
      <c r="X1428" s="480"/>
      <c r="Y1428" s="480"/>
    </row>
    <row r="1429" spans="1:14" ht="17.25" customHeight="1">
      <c r="A1429" s="28" t="s">
        <v>45</v>
      </c>
      <c r="B1429" s="26" t="s">
        <v>46</v>
      </c>
      <c r="C1429" s="1268">
        <f>CEILING((C1428+60*$Z$1),0.1)</f>
        <v>187.5</v>
      </c>
      <c r="D1429" s="1270"/>
      <c r="E1429" s="1268">
        <f>CEILING((E1428+60*$Z$1),0.1)</f>
        <v>250</v>
      </c>
      <c r="F1429" s="1270"/>
      <c r="G1429" s="1268">
        <f>CEILING((G1428+60*$Z$1),0.1)</f>
        <v>212.5</v>
      </c>
      <c r="H1429" s="1270"/>
      <c r="I1429" s="1268">
        <f>CEILING((I1428+60*$Z$1),0.1)</f>
        <v>218.8</v>
      </c>
      <c r="J1429" s="1270"/>
      <c r="K1429" s="1268">
        <f>CEILING((K1428+60*$Z$1),0.1)</f>
        <v>187.5</v>
      </c>
      <c r="L1429" s="1270"/>
      <c r="M1429" s="20"/>
      <c r="N1429" s="158"/>
    </row>
    <row r="1430" spans="1:14" ht="19.5" customHeight="1">
      <c r="A1430" s="28"/>
      <c r="B1430" s="12" t="s">
        <v>79</v>
      </c>
      <c r="C1430" s="1268">
        <f>CEILING((C1428*0.85),0.1)</f>
        <v>95.7</v>
      </c>
      <c r="D1430" s="1270"/>
      <c r="E1430" s="1268">
        <f>CEILING((E1428*0.85),0.1)</f>
        <v>148.8</v>
      </c>
      <c r="F1430" s="1270"/>
      <c r="G1430" s="1268">
        <f>CEILING((G1428*0.85),0.1)</f>
        <v>116.9</v>
      </c>
      <c r="H1430" s="1270"/>
      <c r="I1430" s="1268">
        <f>CEILING((I1428*0.85),0.1)</f>
        <v>122.30000000000001</v>
      </c>
      <c r="J1430" s="1270"/>
      <c r="K1430" s="1268">
        <f>CEILING((K1428*0.85),0.1)</f>
        <v>95.7</v>
      </c>
      <c r="L1430" s="1270"/>
      <c r="M1430" s="20"/>
      <c r="N1430" s="20"/>
    </row>
    <row r="1431" spans="1:14" ht="15.75" customHeight="1">
      <c r="A1431" s="28"/>
      <c r="B1431" s="26" t="s">
        <v>15</v>
      </c>
      <c r="C1431" s="1268">
        <f>CEILING(135*$Z$1,0.1)</f>
        <v>168.8</v>
      </c>
      <c r="D1431" s="1270"/>
      <c r="E1431" s="1268">
        <f>CEILING(185*$Z$1,0.1)</f>
        <v>231.3</v>
      </c>
      <c r="F1431" s="1314"/>
      <c r="G1431" s="1268">
        <f>CEILING(155*$Z$1,0.1)</f>
        <v>193.8</v>
      </c>
      <c r="H1431" s="1314"/>
      <c r="I1431" s="1268">
        <f>CEILING(160*$Z$1,0.1)</f>
        <v>200</v>
      </c>
      <c r="J1431" s="1314"/>
      <c r="K1431" s="1268">
        <f>CEILING(135*$Z$1,0.1)</f>
        <v>168.8</v>
      </c>
      <c r="L1431" s="1314"/>
      <c r="M1431" s="20"/>
      <c r="N1431" s="20"/>
    </row>
    <row r="1432" spans="1:25" s="404" customFormat="1" ht="15.75" customHeight="1">
      <c r="A1432" s="28"/>
      <c r="B1432" s="26" t="s">
        <v>16</v>
      </c>
      <c r="C1432" s="1268">
        <f>CEILING((C1431+60*$Z$1),0.1)</f>
        <v>243.8</v>
      </c>
      <c r="D1432" s="1270"/>
      <c r="E1432" s="1268">
        <f>CEILING((E1431+60*$Z$1),0.1)</f>
        <v>306.3</v>
      </c>
      <c r="F1432" s="1270"/>
      <c r="G1432" s="1268">
        <f>CEILING((G1431+60*$Z$1),0.1)</f>
        <v>268.8</v>
      </c>
      <c r="H1432" s="1270"/>
      <c r="I1432" s="1268">
        <f>CEILING((I1431+60*$Z$1),0.1)</f>
        <v>275</v>
      </c>
      <c r="J1432" s="1270"/>
      <c r="K1432" s="1268">
        <f>CEILING((K1431+60*$Z$1),0.1)</f>
        <v>243.8</v>
      </c>
      <c r="L1432" s="1270"/>
      <c r="M1432" s="342"/>
      <c r="N1432" s="20"/>
      <c r="O1432" s="169"/>
      <c r="P1432" s="169"/>
      <c r="Q1432" s="169"/>
      <c r="R1432" s="169"/>
      <c r="S1432" s="169"/>
      <c r="T1432" s="169"/>
      <c r="U1432" s="169"/>
      <c r="V1432" s="169"/>
      <c r="W1432" s="169"/>
      <c r="X1432" s="169"/>
      <c r="Y1432" s="169"/>
    </row>
    <row r="1433" spans="1:14" ht="20.25" customHeight="1">
      <c r="A1433" s="28"/>
      <c r="B1433" s="26" t="s">
        <v>368</v>
      </c>
      <c r="C1433" s="1268">
        <f>CEILING(140*$Z$1,0.1)</f>
        <v>175</v>
      </c>
      <c r="D1433" s="1270"/>
      <c r="E1433" s="1268">
        <f>CEILING(190*$Z$1,0.1)</f>
        <v>237.5</v>
      </c>
      <c r="F1433" s="1314"/>
      <c r="G1433" s="1268">
        <f>CEILING(160*$Z$1,0.1)</f>
        <v>200</v>
      </c>
      <c r="H1433" s="1314"/>
      <c r="I1433" s="1268">
        <f>CEILING(165*$Z$1,0.1)</f>
        <v>206.3</v>
      </c>
      <c r="J1433" s="1314"/>
      <c r="K1433" s="1268">
        <f>CEILING(140*$Z$1,0.1)</f>
        <v>175</v>
      </c>
      <c r="L1433" s="1314"/>
      <c r="M1433" s="61"/>
      <c r="N1433" s="61"/>
    </row>
    <row r="1434" spans="1:14" ht="24" customHeight="1">
      <c r="A1434" s="28"/>
      <c r="B1434" s="488" t="s">
        <v>369</v>
      </c>
      <c r="C1434" s="1284">
        <f>CEILING((C1433+60*$Z$1),0.1)</f>
        <v>250</v>
      </c>
      <c r="D1434" s="1285"/>
      <c r="E1434" s="1284">
        <f>CEILING((E1433+60*$Z$1),0.1)</f>
        <v>312.5</v>
      </c>
      <c r="F1434" s="1285"/>
      <c r="G1434" s="1284">
        <f>CEILING((G1433+60*$Z$1),0.1)</f>
        <v>275</v>
      </c>
      <c r="H1434" s="1285"/>
      <c r="I1434" s="1284">
        <f>CEILING((I1433+60*$Z$1),0.1)</f>
        <v>281.3</v>
      </c>
      <c r="J1434" s="1285"/>
      <c r="K1434" s="1284">
        <f>CEILING((K1433+60*$Z$1),0.1)</f>
        <v>250</v>
      </c>
      <c r="L1434" s="1285"/>
      <c r="M1434" s="21"/>
      <c r="N1434" s="158"/>
    </row>
    <row r="1435" spans="1:14" ht="15" customHeight="1">
      <c r="A1435" s="559"/>
      <c r="B1435" s="131" t="s">
        <v>307</v>
      </c>
      <c r="C1435" s="1266">
        <f>CEILING(170*$Z$1,0.1)</f>
        <v>212.5</v>
      </c>
      <c r="D1435" s="1267"/>
      <c r="E1435" s="1266">
        <f>CEILING(220*$Z$1,0.1)</f>
        <v>275</v>
      </c>
      <c r="F1435" s="1443"/>
      <c r="G1435" s="1266">
        <f>CEILING(190*$Z$1,0.1)</f>
        <v>237.5</v>
      </c>
      <c r="H1435" s="1443"/>
      <c r="I1435" s="1266">
        <f>CEILING(195*$Z$1,0.1)</f>
        <v>243.8</v>
      </c>
      <c r="J1435" s="1443"/>
      <c r="K1435" s="1266">
        <f>CEILING(170*$Z$1,0.1)</f>
        <v>212.5</v>
      </c>
      <c r="L1435" s="1443"/>
      <c r="M1435" s="21"/>
      <c r="N1435" s="158"/>
    </row>
    <row r="1436" spans="1:14" ht="15">
      <c r="A1436" s="35"/>
      <c r="B1436" s="10" t="s">
        <v>308</v>
      </c>
      <c r="C1436" s="1268">
        <f>CEILING((C1435+75*$Z$1),0.1)</f>
        <v>306.3</v>
      </c>
      <c r="D1436" s="1270"/>
      <c r="E1436" s="1268">
        <f>CEILING((E1435+75*$Z$1),0.1)</f>
        <v>368.8</v>
      </c>
      <c r="F1436" s="1270"/>
      <c r="G1436" s="1268">
        <f>CEILING((G1435+75*$Z$1),0.1)</f>
        <v>331.3</v>
      </c>
      <c r="H1436" s="1270"/>
      <c r="I1436" s="1268">
        <f>CEILING((I1435+75*$Z$1),0.1)</f>
        <v>337.6</v>
      </c>
      <c r="J1436" s="1270"/>
      <c r="K1436" s="1268">
        <f>CEILING((K1435+75*$Z$1),0.1)</f>
        <v>306.3</v>
      </c>
      <c r="L1436" s="1270"/>
      <c r="M1436" s="21"/>
      <c r="N1436" s="158"/>
    </row>
    <row r="1437" spans="1:14" ht="15">
      <c r="A1437" s="448"/>
      <c r="B1437" s="10" t="s">
        <v>309</v>
      </c>
      <c r="C1437" s="1268">
        <f>CEILING(190*$Z$1,0.1)</f>
        <v>237.5</v>
      </c>
      <c r="D1437" s="1270"/>
      <c r="E1437" s="1268">
        <f>CEILING(240*$Z$1,0.1)</f>
        <v>300</v>
      </c>
      <c r="F1437" s="1314"/>
      <c r="G1437" s="1268">
        <f>CEILING(210*$Z$1,0.1)</f>
        <v>262.5</v>
      </c>
      <c r="H1437" s="1314"/>
      <c r="I1437" s="1268">
        <f>CEILING(210*$Z$1,0.1)</f>
        <v>262.5</v>
      </c>
      <c r="J1437" s="1314"/>
      <c r="K1437" s="1268">
        <f>CEILING(190*$Z$1,0.1)</f>
        <v>237.5</v>
      </c>
      <c r="L1437" s="1314"/>
      <c r="M1437" s="21"/>
      <c r="N1437" s="158"/>
    </row>
    <row r="1438" spans="1:14" ht="15">
      <c r="A1438" s="448"/>
      <c r="B1438" s="10" t="s">
        <v>674</v>
      </c>
      <c r="C1438" s="1284">
        <f>CEILING((C1437+75*$Z$1),0.1)</f>
        <v>331.3</v>
      </c>
      <c r="D1438" s="1285"/>
      <c r="E1438" s="1268">
        <f>CEILING((E1437+75*$Z$1),0.1)</f>
        <v>393.8</v>
      </c>
      <c r="F1438" s="1270"/>
      <c r="G1438" s="1268">
        <f>CEILING((G1437+75*$Z$1),0.1)</f>
        <v>356.3</v>
      </c>
      <c r="H1438" s="1270"/>
      <c r="I1438" s="1268">
        <f>CEILING((I1437+75*$Z$1),0.1)</f>
        <v>356.3</v>
      </c>
      <c r="J1438" s="1270"/>
      <c r="K1438" s="1268">
        <f>CEILING((K1437+75*$Z$1),0.1)</f>
        <v>331.3</v>
      </c>
      <c r="L1438" s="1270"/>
      <c r="M1438" s="21"/>
      <c r="N1438" s="158"/>
    </row>
    <row r="1439" spans="1:14" ht="15">
      <c r="A1439" s="448"/>
      <c r="B1439" s="10" t="s">
        <v>675</v>
      </c>
      <c r="C1439" s="1266">
        <f>CEILING(1200*$Z$1,0.1)</f>
        <v>1500</v>
      </c>
      <c r="D1439" s="1267"/>
      <c r="E1439" s="1266">
        <f>CEILING(1200*$Z$1,0.1)</f>
        <v>1500</v>
      </c>
      <c r="F1439" s="1443"/>
      <c r="G1439" s="1266">
        <f>CEILING(1200*$Z$1,0.1)</f>
        <v>1500</v>
      </c>
      <c r="H1439" s="1443"/>
      <c r="I1439" s="1266">
        <f>CEILING(1200*$Z$1,0.1)</f>
        <v>1500</v>
      </c>
      <c r="J1439" s="1443"/>
      <c r="K1439" s="1266">
        <f>CEILING(1200*$Z$1,0.1)</f>
        <v>1500</v>
      </c>
      <c r="L1439" s="1443"/>
      <c r="M1439" s="21"/>
      <c r="N1439" s="158"/>
    </row>
    <row r="1440" spans="1:256" s="479" customFormat="1" ht="15">
      <c r="A1440" s="35"/>
      <c r="B1440" s="37" t="s">
        <v>676</v>
      </c>
      <c r="C1440" s="1386">
        <v>0.15</v>
      </c>
      <c r="D1440" s="1387"/>
      <c r="E1440" s="1386">
        <v>0.15</v>
      </c>
      <c r="F1440" s="1387"/>
      <c r="G1440" s="1386">
        <v>0.15</v>
      </c>
      <c r="H1440" s="1387"/>
      <c r="I1440" s="1386">
        <v>0.15</v>
      </c>
      <c r="J1440" s="1387"/>
      <c r="K1440" s="1386">
        <v>0.15</v>
      </c>
      <c r="L1440" s="1387"/>
      <c r="M1440" s="16"/>
      <c r="N1440" s="158"/>
      <c r="O1440" s="480"/>
      <c r="P1440" s="480"/>
      <c r="Q1440" s="480"/>
      <c r="R1440" s="480"/>
      <c r="S1440" s="480"/>
      <c r="T1440" s="480"/>
      <c r="U1440" s="480"/>
      <c r="V1440" s="480"/>
      <c r="W1440" s="480"/>
      <c r="X1440" s="480"/>
      <c r="Y1440" s="48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O1440"/>
      <c r="EP1440"/>
      <c r="EQ1440"/>
      <c r="ER1440"/>
      <c r="ES1440"/>
      <c r="ET1440"/>
      <c r="EU1440"/>
      <c r="EV1440"/>
      <c r="EW1440"/>
      <c r="EX1440"/>
      <c r="EY1440"/>
      <c r="EZ1440"/>
      <c r="FA1440"/>
      <c r="FB1440"/>
      <c r="FC1440"/>
      <c r="FD1440"/>
      <c r="FE1440"/>
      <c r="FF1440"/>
      <c r="FG1440"/>
      <c r="FH1440"/>
      <c r="FI1440"/>
      <c r="FJ1440"/>
      <c r="FK1440"/>
      <c r="FL1440"/>
      <c r="FM1440"/>
      <c r="FN1440"/>
      <c r="FO1440"/>
      <c r="FP1440"/>
      <c r="FQ1440"/>
      <c r="FR1440"/>
      <c r="FS1440"/>
      <c r="FT1440"/>
      <c r="FU1440"/>
      <c r="FV1440"/>
      <c r="FW1440"/>
      <c r="FX1440"/>
      <c r="FY1440"/>
      <c r="FZ1440"/>
      <c r="GA1440"/>
      <c r="GB1440"/>
      <c r="GC1440"/>
      <c r="GD1440"/>
      <c r="GE1440"/>
      <c r="GF1440"/>
      <c r="GG1440"/>
      <c r="GH1440"/>
      <c r="GI1440"/>
      <c r="GJ1440"/>
      <c r="GK1440"/>
      <c r="GL1440"/>
      <c r="GM1440"/>
      <c r="GN1440"/>
      <c r="GO1440"/>
      <c r="GP1440"/>
      <c r="GQ1440"/>
      <c r="GR1440"/>
      <c r="GS1440"/>
      <c r="GT1440"/>
      <c r="GU1440"/>
      <c r="GV1440"/>
      <c r="GW1440"/>
      <c r="GX1440"/>
      <c r="GY1440"/>
      <c r="GZ1440"/>
      <c r="HA1440"/>
      <c r="HB1440"/>
      <c r="HC1440"/>
      <c r="HD1440"/>
      <c r="HE1440"/>
      <c r="HF1440"/>
      <c r="HG1440"/>
      <c r="HH1440"/>
      <c r="HI1440"/>
      <c r="HJ1440"/>
      <c r="HK1440"/>
      <c r="HL1440"/>
      <c r="HM1440"/>
      <c r="HN1440"/>
      <c r="HO1440"/>
      <c r="HP1440"/>
      <c r="HQ1440"/>
      <c r="HR1440"/>
      <c r="HS1440"/>
      <c r="HT1440"/>
      <c r="HU1440"/>
      <c r="HV1440"/>
      <c r="HW1440"/>
      <c r="HX1440"/>
      <c r="HY1440"/>
      <c r="HZ1440"/>
      <c r="IA1440"/>
      <c r="IB1440"/>
      <c r="IC1440"/>
      <c r="ID1440"/>
      <c r="IE1440"/>
      <c r="IF1440"/>
      <c r="IG1440"/>
      <c r="IH1440"/>
      <c r="II1440"/>
      <c r="IJ1440"/>
      <c r="IK1440"/>
      <c r="IL1440"/>
      <c r="IM1440"/>
      <c r="IN1440"/>
      <c r="IO1440"/>
      <c r="IP1440"/>
      <c r="IQ1440"/>
      <c r="IR1440"/>
      <c r="IS1440"/>
      <c r="IT1440"/>
      <c r="IU1440"/>
      <c r="IV1440"/>
    </row>
    <row r="1441" spans="1:25" s="479" customFormat="1" ht="15">
      <c r="A1441" s="35"/>
      <c r="B1441" s="37" t="s">
        <v>1098</v>
      </c>
      <c r="C1441" s="1386">
        <v>0.2</v>
      </c>
      <c r="D1441" s="1387"/>
      <c r="E1441" s="1386">
        <v>0.2</v>
      </c>
      <c r="F1441" s="1387"/>
      <c r="G1441" s="1386">
        <v>0.2</v>
      </c>
      <c r="H1441" s="1387"/>
      <c r="I1441" s="1386">
        <v>0.2</v>
      </c>
      <c r="J1441" s="1387"/>
      <c r="K1441" s="1386">
        <v>0.2</v>
      </c>
      <c r="L1441" s="1387"/>
      <c r="M1441" s="16"/>
      <c r="N1441" s="158"/>
      <c r="O1441" s="480"/>
      <c r="P1441" s="480"/>
      <c r="Q1441" s="480"/>
      <c r="R1441" s="480"/>
      <c r="S1441" s="480"/>
      <c r="T1441" s="480"/>
      <c r="U1441" s="480"/>
      <c r="V1441" s="480"/>
      <c r="W1441" s="480"/>
      <c r="X1441" s="480"/>
      <c r="Y1441" s="480"/>
    </row>
    <row r="1442" spans="1:14" ht="16.5" thickBot="1">
      <c r="A1442" s="254" t="s">
        <v>424</v>
      </c>
      <c r="B1442" s="419" t="s">
        <v>677</v>
      </c>
      <c r="C1442" s="1339">
        <v>0.1</v>
      </c>
      <c r="D1442" s="1340"/>
      <c r="E1442" s="1339">
        <v>0.1</v>
      </c>
      <c r="F1442" s="1340"/>
      <c r="G1442" s="1339">
        <v>0.1</v>
      </c>
      <c r="H1442" s="1340"/>
      <c r="I1442" s="1339">
        <v>0.1</v>
      </c>
      <c r="J1442" s="1340"/>
      <c r="K1442" s="1339">
        <v>0.1</v>
      </c>
      <c r="L1442" s="1340"/>
      <c r="M1442" s="16"/>
      <c r="N1442" s="158"/>
    </row>
    <row r="1443" spans="1:25" s="404" customFormat="1" ht="15.75" thickTop="1">
      <c r="A1443" s="1453" t="s">
        <v>201</v>
      </c>
      <c r="B1443" s="1454"/>
      <c r="C1443" s="1454"/>
      <c r="D1443" s="1454"/>
      <c r="E1443" s="1454"/>
      <c r="F1443" s="1454"/>
      <c r="G1443" s="1454"/>
      <c r="H1443" s="1454"/>
      <c r="I1443" s="1454"/>
      <c r="J1443" s="1455"/>
      <c r="K1443" s="313"/>
      <c r="L1443" s="313"/>
      <c r="M1443" s="16"/>
      <c r="N1443" s="158"/>
      <c r="O1443" s="169"/>
      <c r="P1443" s="169"/>
      <c r="Q1443" s="169"/>
      <c r="R1443" s="169"/>
      <c r="S1443" s="169"/>
      <c r="T1443" s="169"/>
      <c r="U1443" s="169"/>
      <c r="V1443" s="169"/>
      <c r="W1443" s="169"/>
      <c r="X1443" s="169"/>
      <c r="Y1443" s="169"/>
    </row>
    <row r="1444" spans="1:25" s="479" customFormat="1" ht="15">
      <c r="A1444" s="172" t="s">
        <v>678</v>
      </c>
      <c r="B1444" s="410"/>
      <c r="C1444" s="410"/>
      <c r="D1444" s="410"/>
      <c r="E1444" s="410"/>
      <c r="F1444" s="410"/>
      <c r="G1444" s="410"/>
      <c r="H1444" s="410"/>
      <c r="I1444" s="410"/>
      <c r="J1444" s="410"/>
      <c r="K1444" s="333"/>
      <c r="L1444" s="333"/>
      <c r="M1444" s="16"/>
      <c r="N1444" s="158"/>
      <c r="O1444" s="480"/>
      <c r="P1444" s="480"/>
      <c r="Q1444" s="480"/>
      <c r="R1444" s="480"/>
      <c r="S1444" s="480"/>
      <c r="T1444" s="480"/>
      <c r="U1444" s="480"/>
      <c r="V1444" s="480"/>
      <c r="W1444" s="480"/>
      <c r="X1444" s="480"/>
      <c r="Y1444" s="480"/>
    </row>
    <row r="1445" spans="1:25" s="192" customFormat="1" ht="15">
      <c r="A1445" s="1311"/>
      <c r="B1445" s="1311"/>
      <c r="C1445" s="1311"/>
      <c r="D1445" s="1311"/>
      <c r="E1445" s="1311"/>
      <c r="F1445" s="1311"/>
      <c r="G1445" s="1311"/>
      <c r="H1445" s="1311"/>
      <c r="I1445" s="1311"/>
      <c r="J1445" s="1311"/>
      <c r="K1445" s="1311"/>
      <c r="L1445" s="1311"/>
      <c r="M1445" s="20"/>
      <c r="N1445" s="20"/>
      <c r="O1445" s="481"/>
      <c r="P1445" s="481"/>
      <c r="Q1445" s="481"/>
      <c r="R1445" s="481"/>
      <c r="S1445" s="481"/>
      <c r="T1445" s="481"/>
      <c r="U1445" s="481"/>
      <c r="V1445" s="481"/>
      <c r="W1445" s="481"/>
      <c r="X1445" s="481"/>
      <c r="Y1445" s="481"/>
    </row>
    <row r="1446" spans="1:25" s="192" customFormat="1" ht="15">
      <c r="A1446" s="172"/>
      <c r="B1446" s="902"/>
      <c r="C1446" s="902"/>
      <c r="D1446" s="902"/>
      <c r="E1446" s="902"/>
      <c r="F1446" s="902"/>
      <c r="G1446" s="902"/>
      <c r="H1446" s="902"/>
      <c r="I1446" s="902"/>
      <c r="J1446" s="902"/>
      <c r="K1446" s="332"/>
      <c r="L1446" s="332"/>
      <c r="M1446" s="20"/>
      <c r="N1446" s="234"/>
      <c r="O1446" s="481"/>
      <c r="P1446" s="481"/>
      <c r="Q1446" s="481"/>
      <c r="R1446" s="481"/>
      <c r="S1446" s="481"/>
      <c r="T1446" s="481"/>
      <c r="U1446" s="481"/>
      <c r="V1446" s="481"/>
      <c r="W1446" s="481"/>
      <c r="X1446" s="481"/>
      <c r="Y1446" s="481"/>
    </row>
    <row r="1447" spans="1:14" ht="15.75" thickBot="1">
      <c r="A1447" s="118"/>
      <c r="B1447" s="119"/>
      <c r="C1447" s="120"/>
      <c r="D1447" s="120"/>
      <c r="E1447" s="120"/>
      <c r="F1447" s="120"/>
      <c r="G1447" s="120"/>
      <c r="H1447" s="120"/>
      <c r="I1447" s="1317"/>
      <c r="J1447" s="1317"/>
      <c r="K1447" s="94"/>
      <c r="L1447" s="313"/>
      <c r="M1447" s="20"/>
      <c r="N1447" s="20"/>
    </row>
    <row r="1448" spans="1:50" s="664" customFormat="1" ht="28.5" customHeight="1" thickTop="1">
      <c r="A1448" s="746" t="s">
        <v>43</v>
      </c>
      <c r="B1448" s="814" t="s">
        <v>961</v>
      </c>
      <c r="C1448" s="747" t="s">
        <v>884</v>
      </c>
      <c r="D1448" s="748"/>
      <c r="E1448" s="749" t="s">
        <v>883</v>
      </c>
      <c r="F1448" s="750"/>
      <c r="G1448" s="749" t="s">
        <v>880</v>
      </c>
      <c r="H1448" s="750"/>
      <c r="I1448" s="1273" t="s">
        <v>881</v>
      </c>
      <c r="J1448" s="1274"/>
      <c r="K1448" s="1273" t="s">
        <v>882</v>
      </c>
      <c r="L1448" s="1274"/>
      <c r="M1448" s="898"/>
      <c r="N1448" s="898"/>
      <c r="O1448" s="335"/>
      <c r="P1448" s="335"/>
      <c r="Q1448" s="335"/>
      <c r="R1448" s="335"/>
      <c r="S1448" s="335"/>
      <c r="T1448" s="335"/>
      <c r="U1448" s="335"/>
      <c r="V1448" s="335"/>
      <c r="W1448" s="335"/>
      <c r="X1448" s="335"/>
      <c r="Y1448" s="335"/>
      <c r="Z1448" s="335"/>
      <c r="AA1448" s="335"/>
      <c r="AB1448" s="335"/>
      <c r="AC1448" s="335"/>
      <c r="AD1448" s="335"/>
      <c r="AE1448" s="335"/>
      <c r="AF1448" s="335"/>
      <c r="AG1448" s="335"/>
      <c r="AH1448" s="335"/>
      <c r="AI1448" s="335"/>
      <c r="AJ1448" s="335"/>
      <c r="AK1448" s="335"/>
      <c r="AL1448" s="335"/>
      <c r="AM1448" s="335"/>
      <c r="AN1448" s="335"/>
      <c r="AO1448" s="335"/>
      <c r="AP1448" s="335"/>
      <c r="AQ1448" s="335"/>
      <c r="AR1448" s="335"/>
      <c r="AS1448" s="335"/>
      <c r="AT1448" s="335"/>
      <c r="AU1448" s="335"/>
      <c r="AV1448" s="335"/>
      <c r="AW1448" s="335"/>
      <c r="AX1448" s="335"/>
    </row>
    <row r="1449" spans="1:14" ht="17.25" customHeight="1">
      <c r="A1449" s="1181" t="s">
        <v>136</v>
      </c>
      <c r="B1449" s="1182" t="s">
        <v>51</v>
      </c>
      <c r="C1449" s="1409">
        <f>CEILING(45*$Z$1,0.1)</f>
        <v>56.300000000000004</v>
      </c>
      <c r="D1449" s="1410"/>
      <c r="E1449" s="1381">
        <f>CEILING(65*$Z$1,0.1)</f>
        <v>81.30000000000001</v>
      </c>
      <c r="F1449" s="1392"/>
      <c r="G1449" s="1381">
        <f>CEILING(50*$Z$1,0.1)</f>
        <v>62.5</v>
      </c>
      <c r="H1449" s="1392"/>
      <c r="I1449" s="1381">
        <f>CEILING(55*$Z$1,0.1)</f>
        <v>68.8</v>
      </c>
      <c r="J1449" s="1392"/>
      <c r="K1449" s="1409">
        <f>CEILING(45*$Z$1,0.1)</f>
        <v>56.300000000000004</v>
      </c>
      <c r="L1449" s="1410"/>
      <c r="M1449" s="20"/>
      <c r="N1449" s="20"/>
    </row>
    <row r="1450" spans="1:14" ht="15" customHeight="1">
      <c r="A1450" s="1174" t="s">
        <v>59</v>
      </c>
      <c r="B1450" s="1175" t="s">
        <v>52</v>
      </c>
      <c r="C1450" s="1381">
        <f>CEILING((C1449+30*$Z$1),0.1)</f>
        <v>93.80000000000001</v>
      </c>
      <c r="D1450" s="1382"/>
      <c r="E1450" s="1381">
        <f>CEILING((E1449+30*$Z$1),0.1)</f>
        <v>118.80000000000001</v>
      </c>
      <c r="F1450" s="1382"/>
      <c r="G1450" s="1381">
        <f>CEILING((G1449+30*$Z$1),0.1)</f>
        <v>100</v>
      </c>
      <c r="H1450" s="1382"/>
      <c r="I1450" s="1381">
        <f>CEILING((I1449+30*$Z$1),0.1)</f>
        <v>106.30000000000001</v>
      </c>
      <c r="J1450" s="1382"/>
      <c r="K1450" s="1381">
        <f>CEILING((K1449+30*$Z$1),0.1)</f>
        <v>93.80000000000001</v>
      </c>
      <c r="L1450" s="1382"/>
      <c r="M1450" s="20"/>
      <c r="N1450" s="20"/>
    </row>
    <row r="1451" spans="1:14" ht="13.5" customHeight="1">
      <c r="A1451" s="1172"/>
      <c r="B1451" s="1175" t="s">
        <v>79</v>
      </c>
      <c r="C1451" s="1381">
        <f>CEILING((C1449*0.85),0.1)</f>
        <v>47.900000000000006</v>
      </c>
      <c r="D1451" s="1382"/>
      <c r="E1451" s="1381">
        <f>CEILING((E1449*0.85),0.1)</f>
        <v>69.2</v>
      </c>
      <c r="F1451" s="1382"/>
      <c r="G1451" s="1381">
        <f>CEILING((G1449*0.85),0.1)</f>
        <v>53.2</v>
      </c>
      <c r="H1451" s="1382"/>
      <c r="I1451" s="1381">
        <f>CEILING((I1449*0.85),0.1)</f>
        <v>58.5</v>
      </c>
      <c r="J1451" s="1382"/>
      <c r="K1451" s="1381">
        <f>CEILING((K1449*0.85),0.1)</f>
        <v>47.900000000000006</v>
      </c>
      <c r="L1451" s="1382"/>
      <c r="M1451" s="20"/>
      <c r="N1451" s="20"/>
    </row>
    <row r="1452" spans="1:14" ht="17.25" customHeight="1">
      <c r="A1452" s="1172"/>
      <c r="B1452" s="1176" t="s">
        <v>1184</v>
      </c>
      <c r="C1452" s="1381">
        <f>CEILING((C1480*0.5),0.1)</f>
        <v>0</v>
      </c>
      <c r="D1452" s="1382"/>
      <c r="E1452" s="1381">
        <f>CEILING((E1449*0.5),0.1)</f>
        <v>40.7</v>
      </c>
      <c r="F1452" s="1382"/>
      <c r="G1452" s="1381">
        <f>CEILING((G1449*0.5),0.1)</f>
        <v>31.3</v>
      </c>
      <c r="H1452" s="1382"/>
      <c r="I1452" s="1381">
        <f>CEILING((I1449*0.5),0.1)</f>
        <v>34.4</v>
      </c>
      <c r="J1452" s="1382"/>
      <c r="K1452" s="1381">
        <f>CEILING((K1449*0.5),0.1)</f>
        <v>28.200000000000003</v>
      </c>
      <c r="L1452" s="1382"/>
      <c r="M1452" s="20"/>
      <c r="N1452" s="20"/>
    </row>
    <row r="1453" spans="1:14" ht="18.75" customHeight="1">
      <c r="A1453" s="1172"/>
      <c r="B1453" s="1177" t="s">
        <v>537</v>
      </c>
      <c r="C1453" s="1381">
        <f>CEILING(55*$Z$1,0.1)</f>
        <v>68.8</v>
      </c>
      <c r="D1453" s="1382"/>
      <c r="E1453" s="1381">
        <f>CEILING(75*$Z$1,0.1)</f>
        <v>93.80000000000001</v>
      </c>
      <c r="F1453" s="1382"/>
      <c r="G1453" s="1381">
        <f>CEILING(60*$Z$1,0.1)</f>
        <v>75</v>
      </c>
      <c r="H1453" s="1382"/>
      <c r="I1453" s="1381">
        <f>CEILING(65*$Z$1,0.1)</f>
        <v>81.30000000000001</v>
      </c>
      <c r="J1453" s="1382"/>
      <c r="K1453" s="1381">
        <f>CEILING(55*$Z$1,0.1)</f>
        <v>68.8</v>
      </c>
      <c r="L1453" s="1382"/>
      <c r="M1453" s="43"/>
      <c r="N1453" s="43"/>
    </row>
    <row r="1454" spans="1:14" ht="15" customHeight="1">
      <c r="A1454" s="1185" t="s">
        <v>1284</v>
      </c>
      <c r="B1454" s="1177" t="s">
        <v>538</v>
      </c>
      <c r="C1454" s="1381">
        <f>CEILING((C1453+30*$Z$1),0.1)</f>
        <v>106.30000000000001</v>
      </c>
      <c r="D1454" s="1382"/>
      <c r="E1454" s="1381">
        <f>CEILING((E1453+30*$Z$1),0.1)</f>
        <v>131.3</v>
      </c>
      <c r="F1454" s="1382"/>
      <c r="G1454" s="1381">
        <f>CEILING((G1453+30*$Z$1),0.1)</f>
        <v>112.5</v>
      </c>
      <c r="H1454" s="1382"/>
      <c r="I1454" s="1381">
        <f>CEILING((I1453+30*$Z$1),0.1)</f>
        <v>118.80000000000001</v>
      </c>
      <c r="J1454" s="1382"/>
      <c r="K1454" s="1381">
        <f>CEILING((K1453+30*$Z$1),0.1)</f>
        <v>106.30000000000001</v>
      </c>
      <c r="L1454" s="1382"/>
      <c r="M1454" s="43"/>
      <c r="N1454" s="43"/>
    </row>
    <row r="1455" spans="1:14" ht="21" customHeight="1">
      <c r="A1455" s="1172"/>
      <c r="B1455" s="1177" t="s">
        <v>539</v>
      </c>
      <c r="C1455" s="1381">
        <f>CEILING(65*$Z$1,0.1)</f>
        <v>81.30000000000001</v>
      </c>
      <c r="D1455" s="1382"/>
      <c r="E1455" s="1381">
        <f>CEILING(85*$Z$1,0.1)</f>
        <v>106.30000000000001</v>
      </c>
      <c r="F1455" s="1382"/>
      <c r="G1455" s="1381">
        <f>CEILING(70*$Z$1,0.1)</f>
        <v>87.5</v>
      </c>
      <c r="H1455" s="1382"/>
      <c r="I1455" s="1381">
        <f>CEILING(75*$Z$1,0.1)</f>
        <v>93.80000000000001</v>
      </c>
      <c r="J1455" s="1382"/>
      <c r="K1455" s="1381">
        <f>CEILING(65*$Z$1,0.1)</f>
        <v>81.30000000000001</v>
      </c>
      <c r="L1455" s="1382"/>
      <c r="M1455" s="43"/>
      <c r="N1455" s="43"/>
    </row>
    <row r="1456" spans="1:14" ht="18" customHeight="1">
      <c r="A1456" s="1172"/>
      <c r="B1456" s="1177" t="s">
        <v>540</v>
      </c>
      <c r="C1456" s="1381">
        <f>CEILING((C1455+30*$Z$1),0.1)</f>
        <v>118.80000000000001</v>
      </c>
      <c r="D1456" s="1382"/>
      <c r="E1456" s="1381">
        <f>CEILING((E1455+30*$Z$1),0.1)</f>
        <v>143.8</v>
      </c>
      <c r="F1456" s="1382"/>
      <c r="G1456" s="1381">
        <f>CEILING((G1455+30*$Z$1),0.1)</f>
        <v>125</v>
      </c>
      <c r="H1456" s="1382"/>
      <c r="I1456" s="1381">
        <f>CEILING((I1455+30*$Z$1),0.1)</f>
        <v>131.3</v>
      </c>
      <c r="J1456" s="1382"/>
      <c r="K1456" s="1381">
        <f>CEILING((K1455+30*$Z$1),0.1)</f>
        <v>118.80000000000001</v>
      </c>
      <c r="L1456" s="1382"/>
      <c r="M1456" s="43"/>
      <c r="N1456" s="43"/>
    </row>
    <row r="1457" spans="1:25" s="479" customFormat="1" ht="18" customHeight="1">
      <c r="A1457" s="1172"/>
      <c r="B1457" s="1183" t="s">
        <v>679</v>
      </c>
      <c r="C1457" s="1381">
        <f>CEILING(385*$Z$1,0.1)</f>
        <v>481.3</v>
      </c>
      <c r="D1457" s="1382"/>
      <c r="E1457" s="1381">
        <f>CEILING(385*$Z$1,0.1)</f>
        <v>481.3</v>
      </c>
      <c r="F1457" s="1392"/>
      <c r="G1457" s="1381">
        <f>CEILING(385*$Z$1,0.1)</f>
        <v>481.3</v>
      </c>
      <c r="H1457" s="1392"/>
      <c r="I1457" s="1381">
        <f>CEILING(385*$Z$1,0.1)</f>
        <v>481.3</v>
      </c>
      <c r="J1457" s="1392"/>
      <c r="K1457" s="1381">
        <f>CEILING(385*$Z$1,0.1)</f>
        <v>481.3</v>
      </c>
      <c r="L1457" s="1382"/>
      <c r="M1457" s="43"/>
      <c r="N1457" s="43"/>
      <c r="O1457" s="480"/>
      <c r="P1457" s="480"/>
      <c r="Q1457" s="480"/>
      <c r="R1457" s="480"/>
      <c r="S1457" s="480"/>
      <c r="T1457" s="480"/>
      <c r="U1457" s="480"/>
      <c r="V1457" s="480"/>
      <c r="W1457" s="480"/>
      <c r="X1457" s="480"/>
      <c r="Y1457" s="480"/>
    </row>
    <row r="1458" spans="1:25" s="479" customFormat="1" ht="24.75" customHeight="1" thickBot="1">
      <c r="A1458" s="1178" t="s">
        <v>424</v>
      </c>
      <c r="B1458" s="1184" t="s">
        <v>511</v>
      </c>
      <c r="C1458" s="1393">
        <v>0.15</v>
      </c>
      <c r="D1458" s="1394"/>
      <c r="E1458" s="1393">
        <v>0.15</v>
      </c>
      <c r="F1458" s="1394"/>
      <c r="G1458" s="1393">
        <v>0.15</v>
      </c>
      <c r="H1458" s="1394"/>
      <c r="I1458" s="1393">
        <v>0.15</v>
      </c>
      <c r="J1458" s="1394"/>
      <c r="K1458" s="1393">
        <v>0.15</v>
      </c>
      <c r="L1458" s="1394"/>
      <c r="M1458" s="43"/>
      <c r="N1458" s="43"/>
      <c r="O1458" s="480"/>
      <c r="P1458" s="480"/>
      <c r="Q1458" s="480"/>
      <c r="R1458" s="480"/>
      <c r="S1458" s="480"/>
      <c r="T1458" s="480"/>
      <c r="U1458" s="480"/>
      <c r="V1458" s="480"/>
      <c r="W1458" s="480"/>
      <c r="X1458" s="480"/>
      <c r="Y1458" s="480"/>
    </row>
    <row r="1459" spans="1:25" s="479" customFormat="1" ht="16.5" customHeight="1" thickTop="1">
      <c r="A1459" s="172" t="s">
        <v>1099</v>
      </c>
      <c r="B1459" s="234"/>
      <c r="C1459" s="407"/>
      <c r="D1459" s="407"/>
      <c r="E1459" s="407"/>
      <c r="F1459" s="407"/>
      <c r="G1459" s="407"/>
      <c r="H1459" s="407"/>
      <c r="I1459" s="407"/>
      <c r="J1459" s="407"/>
      <c r="K1459" s="347"/>
      <c r="L1459" s="347"/>
      <c r="M1459" s="43"/>
      <c r="N1459" s="43"/>
      <c r="O1459" s="480"/>
      <c r="P1459" s="480"/>
      <c r="Q1459" s="480"/>
      <c r="R1459" s="480"/>
      <c r="S1459" s="480"/>
      <c r="T1459" s="480"/>
      <c r="U1459" s="480"/>
      <c r="V1459" s="480"/>
      <c r="W1459" s="480"/>
      <c r="X1459" s="480"/>
      <c r="Y1459" s="480"/>
    </row>
    <row r="1460" spans="1:25" s="192" customFormat="1" ht="18" customHeight="1">
      <c r="A1460" s="1388" t="s">
        <v>680</v>
      </c>
      <c r="B1460" s="1389"/>
      <c r="C1460" s="1389"/>
      <c r="D1460" s="1389"/>
      <c r="E1460" s="1389"/>
      <c r="F1460" s="1389"/>
      <c r="G1460" s="1389"/>
      <c r="H1460" s="1389"/>
      <c r="I1460" s="121"/>
      <c r="J1460" s="121"/>
      <c r="K1460" s="94"/>
      <c r="L1460" s="94"/>
      <c r="M1460" s="43"/>
      <c r="N1460" s="43"/>
      <c r="O1460" s="481"/>
      <c r="P1460" s="481"/>
      <c r="Q1460" s="481"/>
      <c r="R1460" s="481"/>
      <c r="S1460" s="481"/>
      <c r="T1460" s="481"/>
      <c r="U1460" s="481"/>
      <c r="V1460" s="481"/>
      <c r="W1460" s="481"/>
      <c r="X1460" s="481"/>
      <c r="Y1460" s="481"/>
    </row>
    <row r="1461" spans="1:25" s="192" customFormat="1" ht="15">
      <c r="A1461" s="1311"/>
      <c r="B1461" s="1311"/>
      <c r="C1461" s="1311"/>
      <c r="D1461" s="1311"/>
      <c r="E1461" s="1311"/>
      <c r="F1461" s="1311"/>
      <c r="G1461" s="1311"/>
      <c r="H1461" s="1311"/>
      <c r="I1461" s="1311"/>
      <c r="J1461" s="1311"/>
      <c r="K1461" s="1311"/>
      <c r="L1461" s="1311"/>
      <c r="M1461" s="20"/>
      <c r="N1461" s="20"/>
      <c r="O1461" s="481"/>
      <c r="P1461" s="481"/>
      <c r="Q1461" s="481"/>
      <c r="R1461" s="481"/>
      <c r="S1461" s="481"/>
      <c r="T1461" s="481"/>
      <c r="U1461" s="481"/>
      <c r="V1461" s="481"/>
      <c r="W1461" s="481"/>
      <c r="X1461" s="481"/>
      <c r="Y1461" s="481"/>
    </row>
    <row r="1462" spans="1:14" s="335" customFormat="1" ht="15.75" thickBot="1">
      <c r="A1462" s="1167"/>
      <c r="B1462" s="1167"/>
      <c r="C1462" s="1167"/>
      <c r="D1462" s="1167"/>
      <c r="E1462" s="1167"/>
      <c r="F1462" s="1167"/>
      <c r="G1462" s="1167"/>
      <c r="H1462" s="1167"/>
      <c r="I1462" s="1167"/>
      <c r="J1462" s="1167"/>
      <c r="K1462" s="1167"/>
      <c r="L1462" s="1167"/>
      <c r="M1462" s="342"/>
      <c r="N1462" s="342"/>
    </row>
    <row r="1463" spans="1:50" s="664" customFormat="1" ht="28.5" customHeight="1" thickTop="1">
      <c r="A1463" s="746" t="s">
        <v>43</v>
      </c>
      <c r="B1463" s="814" t="s">
        <v>961</v>
      </c>
      <c r="C1463" s="747" t="s">
        <v>884</v>
      </c>
      <c r="D1463" s="748"/>
      <c r="E1463" s="749" t="s">
        <v>911</v>
      </c>
      <c r="F1463" s="750"/>
      <c r="G1463" s="749" t="s">
        <v>912</v>
      </c>
      <c r="H1463" s="750"/>
      <c r="I1463" s="1273" t="s">
        <v>881</v>
      </c>
      <c r="J1463" s="1274"/>
      <c r="K1463" s="1273" t="s">
        <v>882</v>
      </c>
      <c r="L1463" s="1274"/>
      <c r="M1463" s="1165"/>
      <c r="N1463" s="1165"/>
      <c r="O1463" s="335"/>
      <c r="P1463" s="335"/>
      <c r="Q1463" s="335"/>
      <c r="R1463" s="335"/>
      <c r="S1463" s="335"/>
      <c r="T1463" s="335"/>
      <c r="U1463" s="335"/>
      <c r="V1463" s="335"/>
      <c r="W1463" s="335"/>
      <c r="X1463" s="335"/>
      <c r="Y1463" s="335"/>
      <c r="Z1463" s="335"/>
      <c r="AA1463" s="335"/>
      <c r="AB1463" s="335"/>
      <c r="AC1463" s="335"/>
      <c r="AD1463" s="335"/>
      <c r="AE1463" s="335"/>
      <c r="AF1463" s="335"/>
      <c r="AG1463" s="335"/>
      <c r="AH1463" s="335"/>
      <c r="AI1463" s="335"/>
      <c r="AJ1463" s="335"/>
      <c r="AK1463" s="335"/>
      <c r="AL1463" s="335"/>
      <c r="AM1463" s="335"/>
      <c r="AN1463" s="335"/>
      <c r="AO1463" s="335"/>
      <c r="AP1463" s="335"/>
      <c r="AQ1463" s="335"/>
      <c r="AR1463" s="335"/>
      <c r="AS1463" s="335"/>
      <c r="AT1463" s="335"/>
      <c r="AU1463" s="335"/>
      <c r="AV1463" s="335"/>
      <c r="AW1463" s="335"/>
      <c r="AX1463" s="335"/>
    </row>
    <row r="1464" spans="1:25" s="192" customFormat="1" ht="17.25" customHeight="1">
      <c r="A1464" s="198" t="s">
        <v>1266</v>
      </c>
      <c r="B1464" s="40" t="s">
        <v>1268</v>
      </c>
      <c r="C1464" s="1266">
        <f>CEILING(53*$Z$1,0.1)</f>
        <v>66.3</v>
      </c>
      <c r="D1464" s="1267"/>
      <c r="E1464" s="1266">
        <f>CEILING(91*$Z$1,0.1)</f>
        <v>113.80000000000001</v>
      </c>
      <c r="F1464" s="1267"/>
      <c r="G1464" s="1268">
        <f>CEILING(58*$Z$1,0.1)</f>
        <v>72.5</v>
      </c>
      <c r="H1464" s="1269"/>
      <c r="I1464" s="1268">
        <f>CEILING(80*$Z$1,0.1)</f>
        <v>100</v>
      </c>
      <c r="J1464" s="1269"/>
      <c r="K1464" s="1266">
        <f>CEILING(55*$Z$1,0.1)</f>
        <v>68.8</v>
      </c>
      <c r="L1464" s="1267"/>
      <c r="M1464" s="20"/>
      <c r="N1464" s="20"/>
      <c r="O1464" s="481"/>
      <c r="P1464" s="481"/>
      <c r="Q1464" s="481"/>
      <c r="R1464" s="481"/>
      <c r="S1464" s="481"/>
      <c r="T1464" s="481"/>
      <c r="U1464" s="481"/>
      <c r="V1464" s="481"/>
      <c r="W1464" s="481"/>
      <c r="X1464" s="481"/>
      <c r="Y1464" s="481"/>
    </row>
    <row r="1465" spans="1:25" s="192" customFormat="1" ht="15" customHeight="1">
      <c r="A1465" s="182" t="s">
        <v>59</v>
      </c>
      <c r="B1465" s="12" t="s">
        <v>1269</v>
      </c>
      <c r="C1465" s="1268">
        <f>CEILING((C1464+15*$Z$1),0.1)</f>
        <v>85.10000000000001</v>
      </c>
      <c r="D1465" s="1270"/>
      <c r="E1465" s="1268">
        <f>CEILING((E1464+20*$Z$1),0.1)</f>
        <v>138.8</v>
      </c>
      <c r="F1465" s="1270"/>
      <c r="G1465" s="1268">
        <f>CEILING((G1464+15*$Z$1),0.1)</f>
        <v>91.30000000000001</v>
      </c>
      <c r="H1465" s="1270"/>
      <c r="I1465" s="1268">
        <f>CEILING((I1464+16*$Z$1),0.1)</f>
        <v>120</v>
      </c>
      <c r="J1465" s="1270"/>
      <c r="K1465" s="1268">
        <f>CEILING((K1464+15*$Z$1),0.1)</f>
        <v>87.60000000000001</v>
      </c>
      <c r="L1465" s="1270"/>
      <c r="M1465" s="20"/>
      <c r="N1465" s="20"/>
      <c r="O1465" s="481"/>
      <c r="P1465" s="481"/>
      <c r="Q1465" s="481"/>
      <c r="R1465" s="481"/>
      <c r="S1465" s="481"/>
      <c r="T1465" s="481"/>
      <c r="U1465" s="481"/>
      <c r="V1465" s="481"/>
      <c r="W1465" s="481"/>
      <c r="X1465" s="481"/>
      <c r="Y1465" s="481"/>
    </row>
    <row r="1466" spans="1:25" s="192" customFormat="1" ht="13.5" customHeight="1">
      <c r="A1466" s="223"/>
      <c r="B1466" s="12" t="s">
        <v>79</v>
      </c>
      <c r="C1466" s="1268">
        <f>CEILING((C1464*0.87),0.1)</f>
        <v>57.7</v>
      </c>
      <c r="D1466" s="1270"/>
      <c r="E1466" s="1268">
        <f>CEILING((E1464*0.85),0.1)</f>
        <v>96.80000000000001</v>
      </c>
      <c r="F1466" s="1270"/>
      <c r="G1466" s="1268">
        <f>CEILING((G1464*0.85),0.1)</f>
        <v>61.7</v>
      </c>
      <c r="H1466" s="1270"/>
      <c r="I1466" s="1268">
        <f>CEILING((I1464*0.85),0.1)</f>
        <v>85</v>
      </c>
      <c r="J1466" s="1270"/>
      <c r="K1466" s="1268">
        <f>CEILING((K1464*0.85),0.1)</f>
        <v>58.5</v>
      </c>
      <c r="L1466" s="1270"/>
      <c r="M1466" s="20"/>
      <c r="N1466" s="20"/>
      <c r="O1466" s="481"/>
      <c r="P1466" s="481"/>
      <c r="Q1466" s="481"/>
      <c r="R1466" s="481"/>
      <c r="S1466" s="481"/>
      <c r="T1466" s="481"/>
      <c r="U1466" s="481"/>
      <c r="V1466" s="481"/>
      <c r="W1466" s="481"/>
      <c r="X1466" s="481"/>
      <c r="Y1466" s="481"/>
    </row>
    <row r="1467" spans="1:25" s="192" customFormat="1" ht="17.25" customHeight="1">
      <c r="A1467" s="223" t="s">
        <v>1275</v>
      </c>
      <c r="B1467" s="142" t="s">
        <v>1184</v>
      </c>
      <c r="C1467" s="1268">
        <f>CEILING((C1495*0),0.1)</f>
        <v>0</v>
      </c>
      <c r="D1467" s="1270"/>
      <c r="E1467" s="1268">
        <f>CEILING((E1495*0),0.1)</f>
        <v>0</v>
      </c>
      <c r="F1467" s="1270"/>
      <c r="G1467" s="1268">
        <f>CEILING((G1464*0),0.1)</f>
        <v>0</v>
      </c>
      <c r="H1467" s="1270"/>
      <c r="I1467" s="1268">
        <f>CEILING((I1464*0),0.1)</f>
        <v>0</v>
      </c>
      <c r="J1467" s="1270"/>
      <c r="K1467" s="1268">
        <f>CEILING((K1464*0),0.1)</f>
        <v>0</v>
      </c>
      <c r="L1467" s="1270"/>
      <c r="M1467" s="20"/>
      <c r="N1467" s="20"/>
      <c r="O1467" s="481"/>
      <c r="P1467" s="481"/>
      <c r="Q1467" s="481"/>
      <c r="R1467" s="481"/>
      <c r="S1467" s="481"/>
      <c r="T1467" s="481"/>
      <c r="U1467" s="481"/>
      <c r="V1467" s="481"/>
      <c r="W1467" s="481"/>
      <c r="X1467" s="481"/>
      <c r="Y1467" s="481"/>
    </row>
    <row r="1468" spans="1:25" s="192" customFormat="1" ht="18.75" customHeight="1">
      <c r="A1468" s="223"/>
      <c r="B1468" s="10" t="s">
        <v>1270</v>
      </c>
      <c r="C1468" s="1268">
        <f>CEILING(56*$Z$1,0.1)</f>
        <v>70</v>
      </c>
      <c r="D1468" s="1270"/>
      <c r="E1468" s="1268">
        <f>CEILING(94*$Z$1,0.1)</f>
        <v>117.5</v>
      </c>
      <c r="F1468" s="1270"/>
      <c r="G1468" s="1268">
        <f>CEILING(61*$Z$1,0.1)</f>
        <v>76.3</v>
      </c>
      <c r="H1468" s="1270"/>
      <c r="I1468" s="1268">
        <f>CEILING(83*$Z$1,0.1)</f>
        <v>103.80000000000001</v>
      </c>
      <c r="J1468" s="1270"/>
      <c r="K1468" s="1268">
        <f>CEILING(58*$Z$1,0.1)</f>
        <v>72.5</v>
      </c>
      <c r="L1468" s="1270"/>
      <c r="M1468" s="43"/>
      <c r="N1468" s="43"/>
      <c r="O1468" s="481"/>
      <c r="P1468" s="481"/>
      <c r="Q1468" s="481"/>
      <c r="R1468" s="481"/>
      <c r="S1468" s="481"/>
      <c r="T1468" s="481"/>
      <c r="U1468" s="481"/>
      <c r="V1468" s="481"/>
      <c r="W1468" s="481"/>
      <c r="X1468" s="481"/>
      <c r="Y1468" s="481"/>
    </row>
    <row r="1469" spans="1:25" s="192" customFormat="1" ht="15" customHeight="1">
      <c r="A1469" s="223"/>
      <c r="B1469" s="10" t="s">
        <v>540</v>
      </c>
      <c r="C1469" s="1268">
        <f>CEILING((C1468+22*$Z$1),0.1)</f>
        <v>97.5</v>
      </c>
      <c r="D1469" s="1270"/>
      <c r="E1469" s="1268">
        <f>CEILING((E1468+28*$Z$1),0.1)</f>
        <v>152.5</v>
      </c>
      <c r="F1469" s="1270"/>
      <c r="G1469" s="1268">
        <f>CEILING((G1468+22*$Z$1),0.1)</f>
        <v>103.80000000000001</v>
      </c>
      <c r="H1469" s="1270"/>
      <c r="I1469" s="1268">
        <f>CEILING((I1468+23*$Z$1),0.1)</f>
        <v>132.6</v>
      </c>
      <c r="J1469" s="1270"/>
      <c r="K1469" s="1268">
        <f>CEILING((K1468+17*$Z$1),0.1)</f>
        <v>93.80000000000001</v>
      </c>
      <c r="L1469" s="1270"/>
      <c r="M1469" s="43"/>
      <c r="N1469" s="43"/>
      <c r="O1469" s="481"/>
      <c r="P1469" s="481"/>
      <c r="Q1469" s="481"/>
      <c r="R1469" s="481"/>
      <c r="S1469" s="481"/>
      <c r="T1469" s="481"/>
      <c r="U1469" s="481"/>
      <c r="V1469" s="481"/>
      <c r="W1469" s="481"/>
      <c r="X1469" s="481"/>
      <c r="Y1469" s="481"/>
    </row>
    <row r="1470" spans="1:25" s="192" customFormat="1" ht="21" customHeight="1">
      <c r="A1470" s="223"/>
      <c r="B1470" s="10" t="s">
        <v>1271</v>
      </c>
      <c r="C1470" s="1268">
        <f>CEILING(63*$Z$1,0.1)</f>
        <v>78.80000000000001</v>
      </c>
      <c r="D1470" s="1270"/>
      <c r="E1470" s="1268">
        <f>CEILING(101*$Z$1,0.1)</f>
        <v>126.30000000000001</v>
      </c>
      <c r="F1470" s="1270"/>
      <c r="G1470" s="1268">
        <f>CEILING(68*$Z$1,0.1)</f>
        <v>85</v>
      </c>
      <c r="H1470" s="1270"/>
      <c r="I1470" s="1268">
        <f>CEILING(91*$Z$1,0.1)</f>
        <v>113.80000000000001</v>
      </c>
      <c r="J1470" s="1270"/>
      <c r="K1470" s="1268">
        <f>CEILING(65*$Z$1,0.1)</f>
        <v>81.30000000000001</v>
      </c>
      <c r="L1470" s="1270"/>
      <c r="M1470" s="43"/>
      <c r="N1470" s="43"/>
      <c r="O1470" s="481"/>
      <c r="P1470" s="481"/>
      <c r="Q1470" s="481"/>
      <c r="R1470" s="481"/>
      <c r="S1470" s="481"/>
      <c r="T1470" s="481"/>
      <c r="U1470" s="481"/>
      <c r="V1470" s="481"/>
      <c r="W1470" s="481"/>
      <c r="X1470" s="481"/>
      <c r="Y1470" s="481"/>
    </row>
    <row r="1471" spans="1:25" s="192" customFormat="1" ht="18" customHeight="1">
      <c r="A1471" s="223"/>
      <c r="B1471" s="10" t="s">
        <v>1272</v>
      </c>
      <c r="C1471" s="1268">
        <f>CEILING((C1470+15*$Z$1),0.1)</f>
        <v>97.60000000000001</v>
      </c>
      <c r="D1471" s="1270"/>
      <c r="E1471" s="1268">
        <f>CEILING((E1470+21*$Z$1),0.1)</f>
        <v>152.6</v>
      </c>
      <c r="F1471" s="1270"/>
      <c r="G1471" s="1268">
        <f>CEILING((G1470+15*$Z$1),0.1)</f>
        <v>103.80000000000001</v>
      </c>
      <c r="H1471" s="1270"/>
      <c r="I1471" s="1268">
        <f>CEILING((I1470+15*$Z$1),0.1)</f>
        <v>132.6</v>
      </c>
      <c r="J1471" s="1270"/>
      <c r="K1471" s="1268">
        <f>CEILING((K1470+15*$Z$1),0.1)</f>
        <v>100.10000000000001</v>
      </c>
      <c r="L1471" s="1270"/>
      <c r="M1471" s="43"/>
      <c r="N1471" s="43"/>
      <c r="O1471" s="481"/>
      <c r="P1471" s="481"/>
      <c r="Q1471" s="481"/>
      <c r="R1471" s="481"/>
      <c r="S1471" s="481"/>
      <c r="T1471" s="481"/>
      <c r="U1471" s="481"/>
      <c r="V1471" s="481"/>
      <c r="W1471" s="481"/>
      <c r="X1471" s="481"/>
      <c r="Y1471" s="481"/>
    </row>
    <row r="1472" spans="1:80" s="667" customFormat="1" ht="18" customHeight="1">
      <c r="A1472" s="611" t="s">
        <v>1267</v>
      </c>
      <c r="B1472" s="617" t="s">
        <v>1273</v>
      </c>
      <c r="C1472" s="1284">
        <f>CEILING(88*$Z$1,0.1)</f>
        <v>110</v>
      </c>
      <c r="D1472" s="1285"/>
      <c r="E1472" s="1284">
        <f>CEILING(126*$Z$1,0.1)</f>
        <v>157.5</v>
      </c>
      <c r="F1472" s="1285"/>
      <c r="G1472" s="1284">
        <f>CEILING(93*$Z$1,0.1)</f>
        <v>116.30000000000001</v>
      </c>
      <c r="H1472" s="1372"/>
      <c r="I1472" s="1284">
        <f>CEILING(116*$Z$1,0.1)</f>
        <v>145</v>
      </c>
      <c r="J1472" s="1372"/>
      <c r="K1472" s="1284">
        <f>CEILING(90*$Z$1,0.1)</f>
        <v>112.5</v>
      </c>
      <c r="L1472" s="1372"/>
      <c r="M1472" s="43"/>
      <c r="N1472" s="43"/>
      <c r="O1472" s="481"/>
      <c r="P1472" s="481"/>
      <c r="Q1472" s="481"/>
      <c r="R1472" s="481"/>
      <c r="S1472" s="481"/>
      <c r="T1472" s="481"/>
      <c r="U1472" s="481"/>
      <c r="V1472" s="481"/>
      <c r="W1472" s="481"/>
      <c r="X1472" s="481"/>
      <c r="Y1472" s="481"/>
      <c r="Z1472" s="192"/>
      <c r="AA1472" s="192"/>
      <c r="AB1472" s="192"/>
      <c r="AC1472" s="192"/>
      <c r="AD1472" s="192"/>
      <c r="AE1472" s="192"/>
      <c r="AF1472" s="192"/>
      <c r="AG1472" s="192"/>
      <c r="AH1472" s="192"/>
      <c r="AI1472" s="192"/>
      <c r="AJ1472" s="192"/>
      <c r="AK1472" s="192"/>
      <c r="AL1472" s="192"/>
      <c r="AM1472" s="192"/>
      <c r="AN1472" s="192"/>
      <c r="AO1472" s="192"/>
      <c r="AP1472" s="192"/>
      <c r="AQ1472" s="192"/>
      <c r="AR1472" s="192"/>
      <c r="AS1472" s="192"/>
      <c r="AT1472" s="192"/>
      <c r="AU1472" s="192"/>
      <c r="AV1472" s="192"/>
      <c r="AW1472" s="192"/>
      <c r="AX1472" s="192"/>
      <c r="AY1472" s="192"/>
      <c r="AZ1472" s="192"/>
      <c r="BA1472" s="192"/>
      <c r="BB1472" s="192"/>
      <c r="BC1472" s="192"/>
      <c r="BD1472" s="192"/>
      <c r="BE1472" s="192"/>
      <c r="BF1472" s="192"/>
      <c r="BG1472" s="192"/>
      <c r="BH1472" s="192"/>
      <c r="BI1472" s="192"/>
      <c r="BJ1472" s="192"/>
      <c r="BK1472" s="192"/>
      <c r="BL1472" s="192"/>
      <c r="BM1472" s="192"/>
      <c r="BN1472" s="192"/>
      <c r="BO1472" s="192"/>
      <c r="BP1472" s="192"/>
      <c r="BQ1472" s="192"/>
      <c r="BR1472" s="192"/>
      <c r="BS1472" s="192"/>
      <c r="BT1472" s="192"/>
      <c r="BU1472" s="192"/>
      <c r="BV1472" s="192"/>
      <c r="BW1472" s="192"/>
      <c r="BX1472" s="192"/>
      <c r="BY1472" s="192"/>
      <c r="BZ1472" s="192"/>
      <c r="CA1472" s="192"/>
      <c r="CB1472" s="192"/>
    </row>
    <row r="1473" spans="1:25" s="1131" customFormat="1" ht="17.25" customHeight="1">
      <c r="A1473" s="1441" t="s">
        <v>1274</v>
      </c>
      <c r="B1473" s="1441"/>
      <c r="C1473" s="1441"/>
      <c r="D1473" s="1441"/>
      <c r="E1473" s="1441"/>
      <c r="F1473" s="1441"/>
      <c r="G1473" s="1441"/>
      <c r="H1473" s="1441"/>
      <c r="I1473" s="1442"/>
      <c r="J1473" s="1442"/>
      <c r="K1473" s="112"/>
      <c r="L1473" s="112"/>
      <c r="M1473" s="43"/>
      <c r="N1473" s="43"/>
      <c r="O1473" s="1130"/>
      <c r="P1473" s="1130"/>
      <c r="Q1473" s="1130"/>
      <c r="R1473" s="1130"/>
      <c r="S1473" s="1130"/>
      <c r="T1473" s="1130"/>
      <c r="U1473" s="1130"/>
      <c r="V1473" s="1130"/>
      <c r="W1473" s="1130"/>
      <c r="X1473" s="1130"/>
      <c r="Y1473" s="1130"/>
    </row>
    <row r="1474" spans="1:50" s="776" customFormat="1" ht="15" customHeight="1">
      <c r="A1474" s="1306"/>
      <c r="B1474" s="1307"/>
      <c r="C1474" s="1307"/>
      <c r="D1474" s="1307"/>
      <c r="E1474" s="1307"/>
      <c r="F1474" s="1307"/>
      <c r="G1474" s="1307"/>
      <c r="H1474" s="1307"/>
      <c r="I1474" s="1307"/>
      <c r="J1474" s="1307"/>
      <c r="K1474" s="775"/>
      <c r="L1474" s="775"/>
      <c r="M1474" s="335"/>
      <c r="N1474" s="335"/>
      <c r="O1474" s="335"/>
      <c r="P1474" s="335"/>
      <c r="Q1474" s="335"/>
      <c r="R1474" s="335"/>
      <c r="S1474" s="335"/>
      <c r="T1474" s="335"/>
      <c r="U1474" s="335"/>
      <c r="V1474" s="335"/>
      <c r="W1474" s="335"/>
      <c r="X1474" s="335"/>
      <c r="Y1474" s="335"/>
      <c r="Z1474" s="335"/>
      <c r="AA1474" s="335"/>
      <c r="AB1474" s="335"/>
      <c r="AC1474" s="335"/>
      <c r="AD1474" s="335"/>
      <c r="AE1474" s="335"/>
      <c r="AF1474" s="335"/>
      <c r="AG1474" s="335"/>
      <c r="AH1474" s="335"/>
      <c r="AI1474" s="335"/>
      <c r="AJ1474" s="335"/>
      <c r="AK1474" s="335"/>
      <c r="AL1474" s="335"/>
      <c r="AM1474" s="335"/>
      <c r="AN1474" s="335"/>
      <c r="AO1474" s="335"/>
      <c r="AP1474" s="335"/>
      <c r="AQ1474" s="335"/>
      <c r="AR1474" s="335"/>
      <c r="AS1474" s="335"/>
      <c r="AT1474" s="335"/>
      <c r="AU1474" s="335"/>
      <c r="AV1474" s="335"/>
      <c r="AW1474" s="335"/>
      <c r="AX1474" s="335"/>
    </row>
    <row r="1475" spans="1:50" s="479" customFormat="1" ht="18" customHeight="1">
      <c r="A1475" s="172"/>
      <c r="B1475" s="1166"/>
      <c r="C1475" s="22"/>
      <c r="D1475" s="22"/>
      <c r="E1475" s="22"/>
      <c r="F1475" s="22"/>
      <c r="G1475" s="22"/>
      <c r="H1475" s="22"/>
      <c r="I1475" s="22"/>
      <c r="J1475" s="22"/>
      <c r="K1475" s="166"/>
      <c r="L1475" s="166"/>
      <c r="M1475" s="3"/>
      <c r="N1475" s="3"/>
      <c r="O1475" s="331"/>
      <c r="P1475" s="331"/>
      <c r="Q1475" s="331"/>
      <c r="R1475" s="331"/>
      <c r="S1475" s="331"/>
      <c r="T1475" s="331"/>
      <c r="U1475" s="331"/>
      <c r="V1475" s="331"/>
      <c r="W1475" s="331"/>
      <c r="X1475" s="331"/>
      <c r="Y1475" s="331"/>
      <c r="Z1475" s="331"/>
      <c r="AA1475" s="331"/>
      <c r="AB1475" s="331"/>
      <c r="AC1475" s="331"/>
      <c r="AD1475" s="331"/>
      <c r="AE1475" s="331"/>
      <c r="AF1475" s="331"/>
      <c r="AG1475" s="331"/>
      <c r="AH1475" s="331"/>
      <c r="AI1475" s="331"/>
      <c r="AJ1475" s="331"/>
      <c r="AK1475" s="331"/>
      <c r="AL1475" s="331"/>
      <c r="AM1475" s="331"/>
      <c r="AN1475" s="331"/>
      <c r="AO1475" s="331"/>
      <c r="AP1475" s="331"/>
      <c r="AQ1475" s="331"/>
      <c r="AR1475" s="331"/>
      <c r="AS1475" s="331"/>
      <c r="AT1475" s="331"/>
      <c r="AU1475" s="331"/>
      <c r="AV1475" s="331"/>
      <c r="AW1475" s="331"/>
      <c r="AX1475" s="331"/>
    </row>
    <row r="1476" spans="1:14" ht="15.75" thickBot="1">
      <c r="A1476" s="107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94"/>
      <c r="L1476" s="94"/>
      <c r="M1476" s="43"/>
      <c r="N1476" s="43"/>
    </row>
    <row r="1477" spans="1:50" s="664" customFormat="1" ht="28.5" customHeight="1" thickTop="1">
      <c r="A1477" s="746" t="s">
        <v>43</v>
      </c>
      <c r="B1477" s="814" t="s">
        <v>961</v>
      </c>
      <c r="C1477" s="747" t="s">
        <v>884</v>
      </c>
      <c r="D1477" s="748"/>
      <c r="E1477" s="749" t="s">
        <v>911</v>
      </c>
      <c r="F1477" s="750"/>
      <c r="G1477" s="749" t="s">
        <v>912</v>
      </c>
      <c r="H1477" s="750"/>
      <c r="I1477" s="1273" t="s">
        <v>881</v>
      </c>
      <c r="J1477" s="1274"/>
      <c r="K1477" s="1273" t="s">
        <v>882</v>
      </c>
      <c r="L1477" s="1274"/>
      <c r="M1477" s="898"/>
      <c r="N1477" s="898"/>
      <c r="O1477" s="335"/>
      <c r="P1477" s="335"/>
      <c r="Q1477" s="335"/>
      <c r="R1477" s="335"/>
      <c r="S1477" s="335"/>
      <c r="T1477" s="335"/>
      <c r="U1477" s="335"/>
      <c r="V1477" s="335"/>
      <c r="W1477" s="335"/>
      <c r="X1477" s="335"/>
      <c r="Y1477" s="335"/>
      <c r="Z1477" s="335"/>
      <c r="AA1477" s="335"/>
      <c r="AB1477" s="335"/>
      <c r="AC1477" s="335"/>
      <c r="AD1477" s="335"/>
      <c r="AE1477" s="335"/>
      <c r="AF1477" s="335"/>
      <c r="AG1477" s="335"/>
      <c r="AH1477" s="335"/>
      <c r="AI1477" s="335"/>
      <c r="AJ1477" s="335"/>
      <c r="AK1477" s="335"/>
      <c r="AL1477" s="335"/>
      <c r="AM1477" s="335"/>
      <c r="AN1477" s="335"/>
      <c r="AO1477" s="335"/>
      <c r="AP1477" s="335"/>
      <c r="AQ1477" s="335"/>
      <c r="AR1477" s="335"/>
      <c r="AS1477" s="335"/>
      <c r="AT1477" s="335"/>
      <c r="AU1477" s="335"/>
      <c r="AV1477" s="335"/>
      <c r="AW1477" s="335"/>
      <c r="AX1477" s="335"/>
    </row>
    <row r="1478" spans="1:14" ht="31.5" customHeight="1">
      <c r="A1478" s="691" t="s">
        <v>710</v>
      </c>
      <c r="B1478" s="570" t="s">
        <v>51</v>
      </c>
      <c r="C1478" s="1486">
        <f>CEILING(75*$Z$1,0.1)</f>
        <v>93.80000000000001</v>
      </c>
      <c r="D1478" s="1487"/>
      <c r="E1478" s="1282">
        <f>CEILING(120*$Z$1,0.1)</f>
        <v>150</v>
      </c>
      <c r="F1478" s="1395"/>
      <c r="G1478" s="1282">
        <f>CEILING(105*$Z$1,0.1)</f>
        <v>131.3</v>
      </c>
      <c r="H1478" s="1395"/>
      <c r="I1478" s="1282">
        <f>CEILING(110*$Z$1,0.1)</f>
        <v>137.5</v>
      </c>
      <c r="J1478" s="1395"/>
      <c r="K1478" s="1282">
        <f>CEILING(85*$Z$1,0.1)</f>
        <v>106.30000000000001</v>
      </c>
      <c r="L1478" s="1283"/>
      <c r="M1478" s="43"/>
      <c r="N1478" s="43"/>
    </row>
    <row r="1479" spans="1:14" ht="23.25" customHeight="1">
      <c r="A1479" s="692" t="s">
        <v>45</v>
      </c>
      <c r="B1479" s="571" t="s">
        <v>52</v>
      </c>
      <c r="C1479" s="1282">
        <f>CEILING((C1478+26.2*$Z$1),0.1)</f>
        <v>126.60000000000001</v>
      </c>
      <c r="D1479" s="1283"/>
      <c r="E1479" s="1282">
        <f>CEILING((E1478+42*$Z$1),0.1)</f>
        <v>202.5</v>
      </c>
      <c r="F1479" s="1283"/>
      <c r="G1479" s="1282">
        <f>CEILING((G1478+36.5*$Z$1),0.1)</f>
        <v>177</v>
      </c>
      <c r="H1479" s="1283"/>
      <c r="I1479" s="1282">
        <f>CEILING((I1478+39*$Z$1),0.1)</f>
        <v>186.3</v>
      </c>
      <c r="J1479" s="1283"/>
      <c r="K1479" s="1282">
        <f>CEILING((K1478+30*$Z$1),0.1)</f>
        <v>143.8</v>
      </c>
      <c r="L1479" s="1283"/>
      <c r="M1479" s="43"/>
      <c r="N1479" s="43"/>
    </row>
    <row r="1480" spans="1:14" ht="20.25" customHeight="1">
      <c r="A1480" s="693"/>
      <c r="B1480" s="571" t="s">
        <v>909</v>
      </c>
      <c r="C1480" s="1268">
        <f>CEILING((C1478*0),0.1)</f>
        <v>0</v>
      </c>
      <c r="D1480" s="1270"/>
      <c r="E1480" s="1268">
        <f>CEILING((E1478*0.5),0.1)</f>
        <v>75</v>
      </c>
      <c r="F1480" s="1270"/>
      <c r="G1480" s="1268">
        <f>CEILING((G1478*0.5),0.1)</f>
        <v>65.7</v>
      </c>
      <c r="H1480" s="1270"/>
      <c r="I1480" s="1268">
        <f>CEILING((I1478*0.5),0.1)</f>
        <v>68.8</v>
      </c>
      <c r="J1480" s="1270"/>
      <c r="K1480" s="1268">
        <f>CEILING((K1478*0),0.1)</f>
        <v>0</v>
      </c>
      <c r="L1480" s="1270"/>
      <c r="M1480" s="43"/>
      <c r="N1480" s="43"/>
    </row>
    <row r="1481" spans="1:14" ht="18.75" customHeight="1">
      <c r="A1481" s="694" t="s">
        <v>1329</v>
      </c>
      <c r="B1481" s="572" t="s">
        <v>61</v>
      </c>
      <c r="C1481" s="1390">
        <f>CEILING(79*$Z$1,0.1)</f>
        <v>98.80000000000001</v>
      </c>
      <c r="D1481" s="1391"/>
      <c r="E1481" s="1390">
        <f>CEILING(126*$Z$1,0.1)</f>
        <v>157.5</v>
      </c>
      <c r="F1481" s="1391"/>
      <c r="G1481" s="1390">
        <f>CEILING(110*$Z$1,0.1)</f>
        <v>137.5</v>
      </c>
      <c r="H1481" s="1391"/>
      <c r="I1481" s="1390">
        <f>CEILING(116*$Z$1,0.1)</f>
        <v>145</v>
      </c>
      <c r="J1481" s="1391"/>
      <c r="K1481" s="1390">
        <f>CEILING(89*$Z$1,0.1)</f>
        <v>111.30000000000001</v>
      </c>
      <c r="L1481" s="1391"/>
      <c r="M1481" s="43"/>
      <c r="N1481" s="43"/>
    </row>
    <row r="1482" spans="1:25" s="479" customFormat="1" ht="21.75" customHeight="1">
      <c r="A1482" s="695"/>
      <c r="B1482" s="571" t="s">
        <v>1100</v>
      </c>
      <c r="C1482" s="1486">
        <f>CEILING(100*$Z$1,0.1)</f>
        <v>125</v>
      </c>
      <c r="D1482" s="1487"/>
      <c r="E1482" s="1282">
        <f>CEILING(150*$Z$1,0.1)</f>
        <v>187.5</v>
      </c>
      <c r="F1482" s="1283"/>
      <c r="G1482" s="1282">
        <f>CEILING(130*$Z$1,0.1)</f>
        <v>162.5</v>
      </c>
      <c r="H1482" s="1283"/>
      <c r="I1482" s="1282">
        <f>CEILING(140*$Z$1,0.1)</f>
        <v>175</v>
      </c>
      <c r="J1482" s="1283"/>
      <c r="K1482" s="1282">
        <f>CEILING(110*$Z$1,0.1)</f>
        <v>137.5</v>
      </c>
      <c r="L1482" s="1283"/>
      <c r="M1482" s="43"/>
      <c r="N1482" s="43"/>
      <c r="O1482" s="480"/>
      <c r="P1482" s="480"/>
      <c r="Q1482" s="480"/>
      <c r="R1482" s="480"/>
      <c r="S1482" s="480"/>
      <c r="T1482" s="480"/>
      <c r="U1482" s="480"/>
      <c r="V1482" s="480"/>
      <c r="W1482" s="480"/>
      <c r="X1482" s="480"/>
      <c r="Y1482" s="480"/>
    </row>
    <row r="1483" spans="1:14" ht="21.75" customHeight="1">
      <c r="A1483" s="696"/>
      <c r="B1483" s="573" t="s">
        <v>1101</v>
      </c>
      <c r="C1483" s="1390">
        <f>CEILING(110*$Z$1,0.1)</f>
        <v>137.5</v>
      </c>
      <c r="D1483" s="1391"/>
      <c r="E1483" s="1390">
        <f>CEILING(165*$Z$1,0.1)</f>
        <v>206.3</v>
      </c>
      <c r="F1483" s="1391"/>
      <c r="G1483" s="1390">
        <f>CEILING(143*$Z$1,0.1)</f>
        <v>178.8</v>
      </c>
      <c r="H1483" s="1391"/>
      <c r="I1483" s="1390">
        <f>CEILING(154*$Z$1,0.1)</f>
        <v>192.5</v>
      </c>
      <c r="J1483" s="1391"/>
      <c r="K1483" s="1390">
        <f>CEILING(121*$Z$1,0.1)</f>
        <v>151.3</v>
      </c>
      <c r="L1483" s="1391"/>
      <c r="M1483" s="43"/>
      <c r="N1483" s="43"/>
    </row>
    <row r="1484" spans="1:14" ht="30.75" customHeight="1">
      <c r="A1484" s="695"/>
      <c r="B1484" s="571" t="s">
        <v>711</v>
      </c>
      <c r="C1484" s="1486">
        <f>CEILING(110*$Z$1,0.1)</f>
        <v>137.5</v>
      </c>
      <c r="D1484" s="1487"/>
      <c r="E1484" s="1282">
        <f>CEILING(170*$Z$1,0.1)</f>
        <v>212.5</v>
      </c>
      <c r="F1484" s="1283"/>
      <c r="G1484" s="1282">
        <f>CEILING(150*$Z$1,0.1)</f>
        <v>187.5</v>
      </c>
      <c r="H1484" s="1283"/>
      <c r="I1484" s="1282">
        <f>CEILING(157*$Z$1,0.1)</f>
        <v>196.3</v>
      </c>
      <c r="J1484" s="1283"/>
      <c r="K1484" s="1282">
        <f>CEILING(123*$Z$1,0.1)</f>
        <v>153.8</v>
      </c>
      <c r="L1484" s="1283"/>
      <c r="M1484" s="43"/>
      <c r="N1484" s="43"/>
    </row>
    <row r="1485" spans="1:14" ht="30.75" customHeight="1">
      <c r="A1485" s="959" t="s">
        <v>1103</v>
      </c>
      <c r="B1485" s="573" t="s">
        <v>712</v>
      </c>
      <c r="C1485" s="1390">
        <f>CEILING((C1484*0.5),0.1)</f>
        <v>68.8</v>
      </c>
      <c r="D1485" s="1391"/>
      <c r="E1485" s="1390">
        <f>CEILING((E1484*0.5),0.1)</f>
        <v>106.30000000000001</v>
      </c>
      <c r="F1485" s="1391"/>
      <c r="G1485" s="1390">
        <f>CEILING((G1484*0.5),0.1)</f>
        <v>93.80000000000001</v>
      </c>
      <c r="H1485" s="1391"/>
      <c r="I1485" s="1390">
        <f>CEILING((I1484*0.5),0.1)</f>
        <v>98.2</v>
      </c>
      <c r="J1485" s="1391"/>
      <c r="K1485" s="1390">
        <f>CEILING((K1484*0.5),0.1)</f>
        <v>76.9</v>
      </c>
      <c r="L1485" s="1391"/>
      <c r="M1485" s="43"/>
      <c r="N1485" s="43"/>
    </row>
    <row r="1486" spans="1:25" s="957" customFormat="1" ht="17.25" customHeight="1">
      <c r="A1486" s="1441" t="s">
        <v>1102</v>
      </c>
      <c r="B1486" s="1441"/>
      <c r="C1486" s="1441"/>
      <c r="D1486" s="1441"/>
      <c r="E1486" s="1441"/>
      <c r="F1486" s="1441"/>
      <c r="G1486" s="1441"/>
      <c r="H1486" s="1441"/>
      <c r="I1486" s="1442"/>
      <c r="J1486" s="1442"/>
      <c r="K1486" s="112"/>
      <c r="L1486" s="112"/>
      <c r="M1486" s="43"/>
      <c r="N1486" s="43"/>
      <c r="O1486" s="956"/>
      <c r="P1486" s="956"/>
      <c r="Q1486" s="956"/>
      <c r="R1486" s="956"/>
      <c r="S1486" s="956"/>
      <c r="T1486" s="956"/>
      <c r="U1486" s="956"/>
      <c r="V1486" s="956"/>
      <c r="W1486" s="956"/>
      <c r="X1486" s="956"/>
      <c r="Y1486" s="956"/>
    </row>
    <row r="1487" spans="1:50" s="776" customFormat="1" ht="15" customHeight="1">
      <c r="A1487" s="1306"/>
      <c r="B1487" s="1307"/>
      <c r="C1487" s="1307"/>
      <c r="D1487" s="1307"/>
      <c r="E1487" s="1307"/>
      <c r="F1487" s="1307"/>
      <c r="G1487" s="1307"/>
      <c r="H1487" s="1307"/>
      <c r="I1487" s="1307"/>
      <c r="J1487" s="1307"/>
      <c r="K1487" s="775"/>
      <c r="L1487" s="775"/>
      <c r="M1487" s="335"/>
      <c r="N1487" s="335"/>
      <c r="O1487" s="335"/>
      <c r="P1487" s="335"/>
      <c r="Q1487" s="335"/>
      <c r="R1487" s="335"/>
      <c r="S1487" s="335"/>
      <c r="T1487" s="335"/>
      <c r="U1487" s="335"/>
      <c r="V1487" s="335"/>
      <c r="W1487" s="335"/>
      <c r="X1487" s="335"/>
      <c r="Y1487" s="335"/>
      <c r="Z1487" s="335"/>
      <c r="AA1487" s="335"/>
      <c r="AB1487" s="335"/>
      <c r="AC1487" s="335"/>
      <c r="AD1487" s="335"/>
      <c r="AE1487" s="335"/>
      <c r="AF1487" s="335"/>
      <c r="AG1487" s="335"/>
      <c r="AH1487" s="335"/>
      <c r="AI1487" s="335"/>
      <c r="AJ1487" s="335"/>
      <c r="AK1487" s="335"/>
      <c r="AL1487" s="335"/>
      <c r="AM1487" s="335"/>
      <c r="AN1487" s="335"/>
      <c r="AO1487" s="335"/>
      <c r="AP1487" s="335"/>
      <c r="AQ1487" s="335"/>
      <c r="AR1487" s="335"/>
      <c r="AS1487" s="335"/>
      <c r="AT1487" s="335"/>
      <c r="AU1487" s="335"/>
      <c r="AV1487" s="335"/>
      <c r="AW1487" s="335"/>
      <c r="AX1487" s="335"/>
    </row>
    <row r="1488" spans="1:13" s="1200" customFormat="1" ht="15">
      <c r="A1488" s="1195" t="s">
        <v>1327</v>
      </c>
      <c r="B1488" s="1196"/>
      <c r="C1488" s="1196"/>
      <c r="D1488" s="1196"/>
      <c r="E1488" s="1196"/>
      <c r="F1488" s="1196"/>
      <c r="G1488" s="1196"/>
      <c r="H1488" s="1196"/>
      <c r="I1488" s="1197"/>
      <c r="J1488" s="1197"/>
      <c r="K1488" s="1198"/>
      <c r="L1488" s="1198"/>
      <c r="M1488" s="1199"/>
    </row>
    <row r="1489" spans="1:13" s="1200" customFormat="1" ht="12.75" customHeight="1">
      <c r="A1489" s="1195" t="s">
        <v>1331</v>
      </c>
      <c r="B1489" s="1196"/>
      <c r="C1489" s="1196"/>
      <c r="D1489" s="1196"/>
      <c r="E1489" s="1196"/>
      <c r="F1489" s="1196"/>
      <c r="G1489" s="1196"/>
      <c r="H1489" s="1196"/>
      <c r="I1489" s="1197"/>
      <c r="J1489" s="1197"/>
      <c r="K1489" s="1198"/>
      <c r="L1489" s="1198"/>
      <c r="M1489" s="1199"/>
    </row>
    <row r="1490" spans="1:25" s="192" customFormat="1" ht="16.5" customHeight="1" thickBot="1">
      <c r="A1490" s="22"/>
      <c r="B1490" s="22"/>
      <c r="C1490" s="22"/>
      <c r="D1490" s="22"/>
      <c r="E1490" s="22"/>
      <c r="F1490" s="22"/>
      <c r="G1490" s="22"/>
      <c r="H1490" s="574"/>
      <c r="I1490" s="958"/>
      <c r="J1490" s="958"/>
      <c r="K1490" s="112"/>
      <c r="L1490" s="112"/>
      <c r="M1490" s="43"/>
      <c r="N1490" s="43"/>
      <c r="O1490" s="481"/>
      <c r="P1490" s="481"/>
      <c r="Q1490" s="481"/>
      <c r="R1490" s="481"/>
      <c r="S1490" s="481"/>
      <c r="T1490" s="481"/>
      <c r="U1490" s="481"/>
      <c r="V1490" s="481"/>
      <c r="W1490" s="481"/>
      <c r="X1490" s="481"/>
      <c r="Y1490" s="481"/>
    </row>
    <row r="1491" spans="1:50" s="664" customFormat="1" ht="28.5" customHeight="1" thickTop="1">
      <c r="A1491" s="746" t="s">
        <v>43</v>
      </c>
      <c r="B1491" s="814" t="s">
        <v>961</v>
      </c>
      <c r="C1491" s="747" t="s">
        <v>884</v>
      </c>
      <c r="D1491" s="748"/>
      <c r="E1491" s="749" t="s">
        <v>911</v>
      </c>
      <c r="F1491" s="750"/>
      <c r="G1491" s="749" t="s">
        <v>912</v>
      </c>
      <c r="H1491" s="750"/>
      <c r="I1491" s="1273" t="s">
        <v>969</v>
      </c>
      <c r="J1491" s="1274"/>
      <c r="K1491" s="1273" t="s">
        <v>1023</v>
      </c>
      <c r="L1491" s="1274"/>
      <c r="M1491" s="898"/>
      <c r="N1491" s="898"/>
      <c r="O1491" s="335"/>
      <c r="P1491" s="335"/>
      <c r="Q1491" s="335"/>
      <c r="R1491" s="335"/>
      <c r="S1491" s="335"/>
      <c r="T1491" s="335"/>
      <c r="U1491" s="335"/>
      <c r="V1491" s="335"/>
      <c r="W1491" s="335"/>
      <c r="X1491" s="335"/>
      <c r="Y1491" s="335"/>
      <c r="Z1491" s="335"/>
      <c r="AA1491" s="335"/>
      <c r="AB1491" s="335"/>
      <c r="AC1491" s="335"/>
      <c r="AD1491" s="335"/>
      <c r="AE1491" s="335"/>
      <c r="AF1491" s="335"/>
      <c r="AG1491" s="335"/>
      <c r="AH1491" s="335"/>
      <c r="AI1491" s="335"/>
      <c r="AJ1491" s="335"/>
      <c r="AK1491" s="335"/>
      <c r="AL1491" s="335"/>
      <c r="AM1491" s="335"/>
      <c r="AN1491" s="335"/>
      <c r="AO1491" s="335"/>
      <c r="AP1491" s="335"/>
      <c r="AQ1491" s="335"/>
      <c r="AR1491" s="335"/>
      <c r="AS1491" s="335"/>
      <c r="AT1491" s="335"/>
      <c r="AU1491" s="335"/>
      <c r="AV1491" s="335"/>
      <c r="AW1491" s="335"/>
      <c r="AX1491" s="335"/>
    </row>
    <row r="1492" spans="1:16" ht="18" customHeight="1">
      <c r="A1492" s="78" t="s">
        <v>138</v>
      </c>
      <c r="B1492" s="185" t="s">
        <v>65</v>
      </c>
      <c r="C1492" s="1486">
        <f>CEILING(44*$Z$1,0.1)</f>
        <v>55</v>
      </c>
      <c r="D1492" s="1487"/>
      <c r="E1492" s="1282">
        <f>CEILING(64*$Z$1,0.1)</f>
        <v>80</v>
      </c>
      <c r="F1492" s="1395"/>
      <c r="G1492" s="1282">
        <f>CEILING(64*$Z$1,0.1)</f>
        <v>80</v>
      </c>
      <c r="H1492" s="1395"/>
      <c r="I1492" s="1282">
        <f>CEILING(64*$Z$1,0.1)</f>
        <v>80</v>
      </c>
      <c r="J1492" s="1395"/>
      <c r="K1492" s="1282">
        <f>CEILING(44*$Z$1,0.1)</f>
        <v>55</v>
      </c>
      <c r="L1492" s="1283"/>
      <c r="M1492" s="331"/>
      <c r="N1492" s="331"/>
      <c r="O1492" s="331"/>
      <c r="P1492" s="331"/>
    </row>
    <row r="1493" spans="1:16" ht="15.75">
      <c r="A1493" s="28" t="s">
        <v>59</v>
      </c>
      <c r="B1493" s="26" t="s">
        <v>12</v>
      </c>
      <c r="C1493" s="1282">
        <f>CEILING((C1492+11*$Z$1),0.1)</f>
        <v>68.8</v>
      </c>
      <c r="D1493" s="1283"/>
      <c r="E1493" s="1282">
        <f>CEILING((E1492+16*$Z$1),0.1)</f>
        <v>100</v>
      </c>
      <c r="F1493" s="1283"/>
      <c r="G1493" s="1282">
        <f>CEILING((G1492+16*$Z$1),0.1)</f>
        <v>100</v>
      </c>
      <c r="H1493" s="1283"/>
      <c r="I1493" s="1282">
        <f>CEILING((I1492+16*$Z$1),0.1)</f>
        <v>100</v>
      </c>
      <c r="J1493" s="1283"/>
      <c r="K1493" s="1282">
        <f>CEILING((K1492+11*$Z$1),0.1)</f>
        <v>68.8</v>
      </c>
      <c r="L1493" s="1283"/>
      <c r="M1493" s="331"/>
      <c r="N1493" s="331"/>
      <c r="O1493" s="331"/>
      <c r="P1493" s="331"/>
    </row>
    <row r="1494" spans="1:16" ht="15.75" customHeight="1">
      <c r="A1494" s="35"/>
      <c r="B1494" s="127" t="s">
        <v>909</v>
      </c>
      <c r="C1494" s="1268">
        <f>CEILING((C1492*0),0.1)</f>
        <v>0</v>
      </c>
      <c r="D1494" s="1270"/>
      <c r="E1494" s="1268">
        <f>CEILING((E1492*0),0.1)</f>
        <v>0</v>
      </c>
      <c r="F1494" s="1270"/>
      <c r="G1494" s="1268">
        <f>CEILING((G1492*0),0.1)</f>
        <v>0</v>
      </c>
      <c r="H1494" s="1270"/>
      <c r="I1494" s="1268">
        <f>CEILING((I1492*0),0.1)</f>
        <v>0</v>
      </c>
      <c r="J1494" s="1270"/>
      <c r="K1494" s="1268">
        <f>CEILING((K1492*0),0.1)</f>
        <v>0</v>
      </c>
      <c r="L1494" s="1270"/>
      <c r="M1494" s="331"/>
      <c r="N1494" s="331"/>
      <c r="O1494" s="331"/>
      <c r="P1494" s="331"/>
    </row>
    <row r="1495" spans="1:25" s="404" customFormat="1" ht="16.5" customHeight="1">
      <c r="A1495" s="35"/>
      <c r="B1495" s="10" t="s">
        <v>139</v>
      </c>
      <c r="C1495" s="1282">
        <f>CEILING(54*$Z$1,0.1)</f>
        <v>67.5</v>
      </c>
      <c r="D1495" s="1283"/>
      <c r="E1495" s="1282">
        <f>CEILING(74*$Z$1,0.1)</f>
        <v>92.5</v>
      </c>
      <c r="F1495" s="1395"/>
      <c r="G1495" s="1282">
        <f>CEILING(74*$Z$1,0.1)</f>
        <v>92.5</v>
      </c>
      <c r="H1495" s="1395"/>
      <c r="I1495" s="1282">
        <f>CEILING(74*$Z$1,0.1)</f>
        <v>92.5</v>
      </c>
      <c r="J1495" s="1395"/>
      <c r="K1495" s="1282">
        <f>CEILING(54*$Z$1,0.1)</f>
        <v>67.5</v>
      </c>
      <c r="L1495" s="1283"/>
      <c r="M1495" s="331"/>
      <c r="N1495" s="331"/>
      <c r="O1495" s="331"/>
      <c r="P1495" s="331"/>
      <c r="Q1495" s="169"/>
      <c r="R1495" s="169"/>
      <c r="S1495" s="169"/>
      <c r="T1495" s="169"/>
      <c r="U1495" s="169"/>
      <c r="V1495" s="169"/>
      <c r="W1495" s="169"/>
      <c r="X1495" s="169"/>
      <c r="Y1495" s="169"/>
    </row>
    <row r="1496" spans="1:16" ht="15" customHeight="1">
      <c r="A1496" s="35"/>
      <c r="B1496" s="10" t="s">
        <v>672</v>
      </c>
      <c r="C1496" s="1282">
        <f>CEILING((C1495+11*$Z$1),0.1)</f>
        <v>81.30000000000001</v>
      </c>
      <c r="D1496" s="1283"/>
      <c r="E1496" s="1282">
        <f>CEILING((E1495+16*$Z$1),0.1)</f>
        <v>112.5</v>
      </c>
      <c r="F1496" s="1283"/>
      <c r="G1496" s="1282">
        <f>CEILING((G1495+16*$Z$1),0.1)</f>
        <v>112.5</v>
      </c>
      <c r="H1496" s="1283"/>
      <c r="I1496" s="1282">
        <f>CEILING((I1495+16*$Z$1),0.1)</f>
        <v>112.5</v>
      </c>
      <c r="J1496" s="1283"/>
      <c r="K1496" s="1282">
        <f>CEILING((K1495+11*$Z$1),0.1)</f>
        <v>81.30000000000001</v>
      </c>
      <c r="L1496" s="1283"/>
      <c r="M1496" s="331"/>
      <c r="N1496" s="331"/>
      <c r="O1496" s="331"/>
      <c r="P1496" s="331"/>
    </row>
    <row r="1497" spans="1:16" ht="16.5" thickBot="1">
      <c r="A1497" s="80" t="s">
        <v>834</v>
      </c>
      <c r="B1497" s="38" t="s">
        <v>673</v>
      </c>
      <c r="C1497" s="1406">
        <f>CEILING(59*$Z$1,0.1)</f>
        <v>73.8</v>
      </c>
      <c r="D1497" s="1407"/>
      <c r="E1497" s="1406">
        <f>CEILING(79*$Z$1,0.1)</f>
        <v>98.80000000000001</v>
      </c>
      <c r="F1497" s="1407"/>
      <c r="G1497" s="1406">
        <f>CEILING(79*$Z$1,0.1)</f>
        <v>98.80000000000001</v>
      </c>
      <c r="H1497" s="1407"/>
      <c r="I1497" s="1406">
        <f>CEILING(79*$Z$1,0.1)</f>
        <v>98.80000000000001</v>
      </c>
      <c r="J1497" s="1407"/>
      <c r="K1497" s="1406">
        <f>CEILING(59*$Z$1,0.1)</f>
        <v>73.8</v>
      </c>
      <c r="L1497" s="1407"/>
      <c r="M1497" s="331"/>
      <c r="N1497" s="331"/>
      <c r="O1497" s="331"/>
      <c r="P1497" s="331"/>
    </row>
    <row r="1498" spans="1:37" s="776" customFormat="1" ht="15.75" thickTop="1">
      <c r="A1498" s="1306"/>
      <c r="B1498" s="1306"/>
      <c r="C1498" s="1306"/>
      <c r="D1498" s="1306"/>
      <c r="E1498" s="1306"/>
      <c r="F1498" s="1306"/>
      <c r="G1498" s="1306"/>
      <c r="H1498" s="1306"/>
      <c r="I1498" s="1306"/>
      <c r="J1498" s="1306"/>
      <c r="K1498" s="775"/>
      <c r="L1498" s="775"/>
      <c r="M1498" s="335"/>
      <c r="N1498" s="335"/>
      <c r="O1498" s="335"/>
      <c r="P1498" s="335"/>
      <c r="Q1498" s="335"/>
      <c r="R1498" s="335"/>
      <c r="S1498" s="335"/>
      <c r="T1498" s="335"/>
      <c r="U1498" s="335"/>
      <c r="V1498" s="335"/>
      <c r="W1498" s="335"/>
      <c r="X1498" s="335"/>
      <c r="Y1498" s="335"/>
      <c r="Z1498" s="335"/>
      <c r="AA1498" s="335"/>
      <c r="AB1498" s="335"/>
      <c r="AC1498" s="335"/>
      <c r="AD1498" s="335"/>
      <c r="AE1498" s="335"/>
      <c r="AF1498" s="335"/>
      <c r="AG1498" s="335"/>
      <c r="AH1498" s="335"/>
      <c r="AI1498" s="335"/>
      <c r="AJ1498" s="335"/>
      <c r="AK1498" s="335"/>
    </row>
    <row r="1499" spans="1:37" s="192" customFormat="1" ht="15">
      <c r="A1499" s="797" t="s">
        <v>972</v>
      </c>
      <c r="B1499" s="902"/>
      <c r="C1499" s="902"/>
      <c r="D1499" s="902"/>
      <c r="E1499" s="902"/>
      <c r="F1499" s="902"/>
      <c r="G1499" s="902"/>
      <c r="H1499" s="902"/>
      <c r="I1499" s="902"/>
      <c r="J1499" s="902"/>
      <c r="K1499" s="279"/>
      <c r="L1499" s="279"/>
      <c r="M1499" s="335"/>
      <c r="N1499" s="335"/>
      <c r="O1499" s="335"/>
      <c r="P1499" s="335"/>
      <c r="Q1499" s="335"/>
      <c r="R1499" s="335"/>
      <c r="S1499" s="335"/>
      <c r="T1499" s="335"/>
      <c r="U1499" s="335"/>
      <c r="V1499" s="335"/>
      <c r="W1499" s="335"/>
      <c r="X1499" s="335"/>
      <c r="Y1499" s="335"/>
      <c r="Z1499" s="335"/>
      <c r="AA1499" s="335"/>
      <c r="AB1499" s="335"/>
      <c r="AC1499" s="335"/>
      <c r="AD1499" s="335"/>
      <c r="AE1499" s="335"/>
      <c r="AF1499" s="335"/>
      <c r="AG1499" s="335"/>
      <c r="AH1499" s="335"/>
      <c r="AI1499" s="335"/>
      <c r="AJ1499" s="335"/>
      <c r="AK1499" s="335"/>
    </row>
    <row r="1500" spans="1:60" s="404" customFormat="1" ht="17.25" customHeight="1" thickBot="1">
      <c r="A1500" s="542"/>
      <c r="B1500" s="30"/>
      <c r="C1500" s="30"/>
      <c r="D1500" s="30"/>
      <c r="E1500" s="30"/>
      <c r="F1500" s="30"/>
      <c r="G1500" s="30"/>
      <c r="H1500" s="30"/>
      <c r="I1500" s="30"/>
      <c r="J1500" s="192"/>
      <c r="K1500" s="332"/>
      <c r="L1500" s="333"/>
      <c r="M1500" s="963"/>
      <c r="N1500" s="963"/>
      <c r="O1500" s="335"/>
      <c r="P1500" s="335"/>
      <c r="Q1500" s="335"/>
      <c r="R1500" s="335"/>
      <c r="S1500" s="335"/>
      <c r="T1500" s="335"/>
      <c r="U1500" s="335"/>
      <c r="V1500" s="335"/>
      <c r="W1500" s="335"/>
      <c r="X1500" s="335"/>
      <c r="Y1500" s="335"/>
      <c r="Z1500" s="335"/>
      <c r="AA1500" s="335"/>
      <c r="AB1500" s="335"/>
      <c r="AC1500" s="335"/>
      <c r="AD1500" s="335"/>
      <c r="AE1500" s="335"/>
      <c r="AF1500" s="335"/>
      <c r="AG1500" s="335"/>
      <c r="AH1500" s="335"/>
      <c r="AI1500" s="335"/>
      <c r="AJ1500" s="335"/>
      <c r="AK1500" s="335"/>
      <c r="AL1500" s="335"/>
      <c r="AM1500" s="335"/>
      <c r="AN1500" s="335"/>
      <c r="AO1500" s="335"/>
      <c r="AP1500" s="335"/>
      <c r="AQ1500" s="335"/>
      <c r="AR1500" s="335"/>
      <c r="AS1500" s="335"/>
      <c r="AT1500" s="335"/>
      <c r="AU1500" s="335"/>
      <c r="AV1500" s="335"/>
      <c r="AW1500" s="335"/>
      <c r="AX1500" s="335"/>
      <c r="AY1500" s="335"/>
      <c r="AZ1500" s="335"/>
      <c r="BA1500" s="335"/>
      <c r="BB1500" s="335"/>
      <c r="BC1500" s="335"/>
      <c r="BD1500" s="335"/>
      <c r="BE1500" s="335"/>
      <c r="BF1500" s="335"/>
      <c r="BG1500" s="335"/>
      <c r="BH1500" s="964"/>
    </row>
    <row r="1501" spans="1:60" s="664" customFormat="1" ht="28.5" customHeight="1" thickTop="1">
      <c r="A1501" s="746" t="s">
        <v>43</v>
      </c>
      <c r="B1501" s="814" t="s">
        <v>961</v>
      </c>
      <c r="C1501" s="747" t="s">
        <v>884</v>
      </c>
      <c r="D1501" s="748"/>
      <c r="E1501" s="749" t="s">
        <v>911</v>
      </c>
      <c r="F1501" s="750"/>
      <c r="G1501" s="749" t="s">
        <v>912</v>
      </c>
      <c r="H1501" s="750"/>
      <c r="I1501" s="1273" t="s">
        <v>969</v>
      </c>
      <c r="J1501" s="1274"/>
      <c r="K1501" s="1273" t="s">
        <v>1023</v>
      </c>
      <c r="L1501" s="1274"/>
      <c r="M1501" s="898"/>
      <c r="N1501" s="898"/>
      <c r="O1501" s="335"/>
      <c r="P1501" s="335"/>
      <c r="Q1501" s="335"/>
      <c r="R1501" s="335"/>
      <c r="S1501" s="335"/>
      <c r="T1501" s="335"/>
      <c r="U1501" s="335"/>
      <c r="V1501" s="335"/>
      <c r="W1501" s="335"/>
      <c r="X1501" s="335"/>
      <c r="Y1501" s="335"/>
      <c r="Z1501" s="335"/>
      <c r="AA1501" s="335"/>
      <c r="AB1501" s="335"/>
      <c r="AC1501" s="335"/>
      <c r="AD1501" s="335"/>
      <c r="AE1501" s="335"/>
      <c r="AF1501" s="335"/>
      <c r="AG1501" s="335"/>
      <c r="AH1501" s="335"/>
      <c r="AI1501" s="335"/>
      <c r="AJ1501" s="335"/>
      <c r="AK1501" s="335"/>
      <c r="AL1501" s="335"/>
      <c r="AM1501" s="335"/>
      <c r="AN1501" s="335"/>
      <c r="AO1501" s="335"/>
      <c r="AP1501" s="335"/>
      <c r="AQ1501" s="335"/>
      <c r="AR1501" s="335"/>
      <c r="AS1501" s="335"/>
      <c r="AT1501" s="335"/>
      <c r="AU1501" s="335"/>
      <c r="AV1501" s="335"/>
      <c r="AW1501" s="335"/>
      <c r="AX1501" s="335"/>
      <c r="AY1501" s="335"/>
      <c r="AZ1501" s="335"/>
      <c r="BA1501" s="335"/>
      <c r="BB1501" s="335"/>
      <c r="BC1501" s="335"/>
      <c r="BD1501" s="335"/>
      <c r="BE1501" s="335"/>
      <c r="BF1501" s="335"/>
      <c r="BG1501" s="335"/>
      <c r="BH1501" s="964"/>
    </row>
    <row r="1502" spans="1:60" s="479" customFormat="1" ht="18" customHeight="1">
      <c r="A1502" s="78" t="s">
        <v>1104</v>
      </c>
      <c r="B1502" s="185" t="s">
        <v>65</v>
      </c>
      <c r="C1502" s="1486">
        <f>CEILING(30*$Z$1,0.1)</f>
        <v>37.5</v>
      </c>
      <c r="D1502" s="1487"/>
      <c r="E1502" s="1282">
        <f>CEILING(35*$Z$1,0.1)</f>
        <v>43.800000000000004</v>
      </c>
      <c r="F1502" s="1395"/>
      <c r="G1502" s="1282">
        <f>CEILING(35*$Z$1,0.1)</f>
        <v>43.800000000000004</v>
      </c>
      <c r="H1502" s="1395"/>
      <c r="I1502" s="1282">
        <f>CEILING(35*$Z$1,0.1)</f>
        <v>43.800000000000004</v>
      </c>
      <c r="J1502" s="1395"/>
      <c r="K1502" s="1282">
        <f>CEILING(30*$Z$1,0.1)</f>
        <v>37.5</v>
      </c>
      <c r="L1502" s="1283"/>
      <c r="M1502" s="335"/>
      <c r="N1502" s="335"/>
      <c r="O1502" s="335"/>
      <c r="P1502" s="335"/>
      <c r="Q1502" s="335"/>
      <c r="R1502" s="335"/>
      <c r="S1502" s="335"/>
      <c r="T1502" s="335"/>
      <c r="U1502" s="335"/>
      <c r="V1502" s="335"/>
      <c r="W1502" s="335"/>
      <c r="X1502" s="335"/>
      <c r="Y1502" s="335"/>
      <c r="Z1502" s="335"/>
      <c r="AA1502" s="335"/>
      <c r="AB1502" s="335"/>
      <c r="AC1502" s="335"/>
      <c r="AD1502" s="335"/>
      <c r="AE1502" s="335"/>
      <c r="AF1502" s="335"/>
      <c r="AG1502" s="335"/>
      <c r="AH1502" s="335"/>
      <c r="AI1502" s="335"/>
      <c r="AJ1502" s="335"/>
      <c r="AK1502" s="335"/>
      <c r="AL1502" s="335"/>
      <c r="AM1502" s="335"/>
      <c r="AN1502" s="335"/>
      <c r="AO1502" s="335"/>
      <c r="AP1502" s="335"/>
      <c r="AQ1502" s="335"/>
      <c r="AR1502" s="335"/>
      <c r="AS1502" s="335"/>
      <c r="AT1502" s="335"/>
      <c r="AU1502" s="335"/>
      <c r="AV1502" s="335"/>
      <c r="AW1502" s="335"/>
      <c r="AX1502" s="335"/>
      <c r="AY1502" s="335"/>
      <c r="AZ1502" s="335"/>
      <c r="BA1502" s="335"/>
      <c r="BB1502" s="335"/>
      <c r="BC1502" s="335"/>
      <c r="BD1502" s="335"/>
      <c r="BE1502" s="335"/>
      <c r="BF1502" s="335"/>
      <c r="BG1502" s="335"/>
      <c r="BH1502" s="964"/>
    </row>
    <row r="1503" spans="1:60" s="479" customFormat="1" ht="15.75">
      <c r="A1503" s="28" t="s">
        <v>90</v>
      </c>
      <c r="B1503" s="26" t="s">
        <v>12</v>
      </c>
      <c r="C1503" s="1282">
        <f>CEILING((C1502+8*$Z$1),0.1)</f>
        <v>47.5</v>
      </c>
      <c r="D1503" s="1283"/>
      <c r="E1503" s="1282">
        <f>CEILING((E1502+11*$Z$1),0.1)</f>
        <v>57.6</v>
      </c>
      <c r="F1503" s="1283"/>
      <c r="G1503" s="1282">
        <f>CEILING((G1502+11*$Z$1),0.1)</f>
        <v>57.6</v>
      </c>
      <c r="H1503" s="1283"/>
      <c r="I1503" s="1282">
        <f>CEILING((I1502+11*$Z$1),0.1)</f>
        <v>57.6</v>
      </c>
      <c r="J1503" s="1283"/>
      <c r="K1503" s="1282">
        <f>CEILING((K1502+8*$Z$1),0.1)</f>
        <v>47.5</v>
      </c>
      <c r="L1503" s="1283"/>
      <c r="M1503" s="335"/>
      <c r="N1503" s="335"/>
      <c r="O1503" s="335"/>
      <c r="P1503" s="335"/>
      <c r="Q1503" s="335"/>
      <c r="R1503" s="335"/>
      <c r="S1503" s="335"/>
      <c r="T1503" s="335"/>
      <c r="U1503" s="335"/>
      <c r="V1503" s="335"/>
      <c r="W1503" s="335"/>
      <c r="X1503" s="335"/>
      <c r="Y1503" s="335"/>
      <c r="Z1503" s="335"/>
      <c r="AA1503" s="335"/>
      <c r="AB1503" s="335"/>
      <c r="AC1503" s="335"/>
      <c r="AD1503" s="335"/>
      <c r="AE1503" s="335"/>
      <c r="AF1503" s="335"/>
      <c r="AG1503" s="335"/>
      <c r="AH1503" s="335"/>
      <c r="AI1503" s="335"/>
      <c r="AJ1503" s="335"/>
      <c r="AK1503" s="335"/>
      <c r="AL1503" s="335"/>
      <c r="AM1503" s="335"/>
      <c r="AN1503" s="335"/>
      <c r="AO1503" s="335"/>
      <c r="AP1503" s="335"/>
      <c r="AQ1503" s="335"/>
      <c r="AR1503" s="335"/>
      <c r="AS1503" s="335"/>
      <c r="AT1503" s="335"/>
      <c r="AU1503" s="335"/>
      <c r="AV1503" s="335"/>
      <c r="AW1503" s="335"/>
      <c r="AX1503" s="335"/>
      <c r="AY1503" s="335"/>
      <c r="AZ1503" s="335"/>
      <c r="BA1503" s="335"/>
      <c r="BB1503" s="335"/>
      <c r="BC1503" s="335"/>
      <c r="BD1503" s="335"/>
      <c r="BE1503" s="335"/>
      <c r="BF1503" s="335"/>
      <c r="BG1503" s="335"/>
      <c r="BH1503" s="964"/>
    </row>
    <row r="1504" spans="1:60" s="479" customFormat="1" ht="15.75" customHeight="1">
      <c r="A1504" s="35"/>
      <c r="B1504" s="127" t="s">
        <v>909</v>
      </c>
      <c r="C1504" s="1268">
        <f>CEILING((C1502*0),0.1)</f>
        <v>0</v>
      </c>
      <c r="D1504" s="1270"/>
      <c r="E1504" s="1268">
        <f>CEILING((E1502*0),0.1)</f>
        <v>0</v>
      </c>
      <c r="F1504" s="1270"/>
      <c r="G1504" s="1268">
        <f>CEILING((G1502*0),0.1)</f>
        <v>0</v>
      </c>
      <c r="H1504" s="1270"/>
      <c r="I1504" s="1268">
        <f>CEILING((I1502*0),0.1)</f>
        <v>0</v>
      </c>
      <c r="J1504" s="1270"/>
      <c r="K1504" s="1268">
        <f>CEILING((K1502*0),0.1)</f>
        <v>0</v>
      </c>
      <c r="L1504" s="1270"/>
      <c r="M1504" s="335"/>
      <c r="N1504" s="335"/>
      <c r="O1504" s="335"/>
      <c r="P1504" s="335"/>
      <c r="Q1504" s="335"/>
      <c r="R1504" s="335"/>
      <c r="S1504" s="335"/>
      <c r="T1504" s="335"/>
      <c r="U1504" s="335"/>
      <c r="V1504" s="335"/>
      <c r="W1504" s="335"/>
      <c r="X1504" s="335"/>
      <c r="Y1504" s="335"/>
      <c r="Z1504" s="335"/>
      <c r="AA1504" s="335"/>
      <c r="AB1504" s="335"/>
      <c r="AC1504" s="335"/>
      <c r="AD1504" s="335"/>
      <c r="AE1504" s="335"/>
      <c r="AF1504" s="335"/>
      <c r="AG1504" s="335"/>
      <c r="AH1504" s="335"/>
      <c r="AI1504" s="335"/>
      <c r="AJ1504" s="335"/>
      <c r="AK1504" s="335"/>
      <c r="AL1504" s="335"/>
      <c r="AM1504" s="335"/>
      <c r="AN1504" s="335"/>
      <c r="AO1504" s="335"/>
      <c r="AP1504" s="335"/>
      <c r="AQ1504" s="335"/>
      <c r="AR1504" s="335"/>
      <c r="AS1504" s="335"/>
      <c r="AT1504" s="335"/>
      <c r="AU1504" s="335"/>
      <c r="AV1504" s="335"/>
      <c r="AW1504" s="335"/>
      <c r="AX1504" s="335"/>
      <c r="AY1504" s="335"/>
      <c r="AZ1504" s="335"/>
      <c r="BA1504" s="335"/>
      <c r="BB1504" s="335"/>
      <c r="BC1504" s="335"/>
      <c r="BD1504" s="335"/>
      <c r="BE1504" s="335"/>
      <c r="BF1504" s="335"/>
      <c r="BG1504" s="335"/>
      <c r="BH1504" s="964"/>
    </row>
    <row r="1505" spans="1:60" s="479" customFormat="1" ht="16.5" customHeight="1">
      <c r="A1505" s="35"/>
      <c r="B1505" s="10" t="s">
        <v>237</v>
      </c>
      <c r="C1505" s="1282">
        <f>CEILING(40*$Z$1,0.1)</f>
        <v>50</v>
      </c>
      <c r="D1505" s="1283"/>
      <c r="E1505" s="1282">
        <f>CEILING(45*$Z$1,0.1)</f>
        <v>56.300000000000004</v>
      </c>
      <c r="F1505" s="1395"/>
      <c r="G1505" s="1282">
        <f>CEILING(45*$Z$1,0.1)</f>
        <v>56.300000000000004</v>
      </c>
      <c r="H1505" s="1395"/>
      <c r="I1505" s="1282">
        <f>CEILING(45*$Z$1,0.1)</f>
        <v>56.300000000000004</v>
      </c>
      <c r="J1505" s="1395"/>
      <c r="K1505" s="1282">
        <f>CEILING(40*$Z$1,0.1)</f>
        <v>50</v>
      </c>
      <c r="L1505" s="1283"/>
      <c r="M1505" s="335"/>
      <c r="N1505" s="335"/>
      <c r="O1505" s="335"/>
      <c r="P1505" s="335"/>
      <c r="Q1505" s="335"/>
      <c r="R1505" s="335"/>
      <c r="S1505" s="335"/>
      <c r="T1505" s="335"/>
      <c r="U1505" s="335"/>
      <c r="V1505" s="335"/>
      <c r="W1505" s="335"/>
      <c r="X1505" s="335"/>
      <c r="Y1505" s="335"/>
      <c r="Z1505" s="335"/>
      <c r="AA1505" s="335"/>
      <c r="AB1505" s="335"/>
      <c r="AC1505" s="335"/>
      <c r="AD1505" s="335"/>
      <c r="AE1505" s="335"/>
      <c r="AF1505" s="335"/>
      <c r="AG1505" s="335"/>
      <c r="AH1505" s="335"/>
      <c r="AI1505" s="335"/>
      <c r="AJ1505" s="335"/>
      <c r="AK1505" s="335"/>
      <c r="AL1505" s="335"/>
      <c r="AM1505" s="335"/>
      <c r="AN1505" s="335"/>
      <c r="AO1505" s="335"/>
      <c r="AP1505" s="335"/>
      <c r="AQ1505" s="335"/>
      <c r="AR1505" s="335"/>
      <c r="AS1505" s="335"/>
      <c r="AT1505" s="335"/>
      <c r="AU1505" s="335"/>
      <c r="AV1505" s="335"/>
      <c r="AW1505" s="335"/>
      <c r="AX1505" s="335"/>
      <c r="AY1505" s="335"/>
      <c r="AZ1505" s="335"/>
      <c r="BA1505" s="335"/>
      <c r="BB1505" s="335"/>
      <c r="BC1505" s="335"/>
      <c r="BD1505" s="335"/>
      <c r="BE1505" s="335"/>
      <c r="BF1505" s="335"/>
      <c r="BG1505" s="335"/>
      <c r="BH1505" s="964"/>
    </row>
    <row r="1506" spans="1:60" s="479" customFormat="1" ht="15" customHeight="1">
      <c r="A1506" s="1168" t="s">
        <v>834</v>
      </c>
      <c r="B1506" s="10" t="s">
        <v>238</v>
      </c>
      <c r="C1506" s="1390">
        <f>CEILING((C1505+10*$Z$1),0.1)</f>
        <v>62.5</v>
      </c>
      <c r="D1506" s="1391"/>
      <c r="E1506" s="1282">
        <f>CEILING((E1505+10*$Z$1),0.1)</f>
        <v>68.8</v>
      </c>
      <c r="F1506" s="1283"/>
      <c r="G1506" s="1282">
        <f>CEILING((G1505+10*$Z$1),0.1)</f>
        <v>68.8</v>
      </c>
      <c r="H1506" s="1283"/>
      <c r="I1506" s="1282">
        <f>CEILING((I1505+10*$Z$1),0.1)</f>
        <v>68.8</v>
      </c>
      <c r="J1506" s="1283"/>
      <c r="K1506" s="1390">
        <f>CEILING((K1505+10*$Z$1),0.1)</f>
        <v>62.5</v>
      </c>
      <c r="L1506" s="1391"/>
      <c r="M1506" s="335"/>
      <c r="N1506" s="335"/>
      <c r="O1506" s="335"/>
      <c r="P1506" s="335"/>
      <c r="Q1506" s="335"/>
      <c r="R1506" s="335"/>
      <c r="S1506" s="335"/>
      <c r="T1506" s="335"/>
      <c r="U1506" s="335"/>
      <c r="V1506" s="335"/>
      <c r="W1506" s="335"/>
      <c r="X1506" s="335"/>
      <c r="Y1506" s="335"/>
      <c r="Z1506" s="335"/>
      <c r="AA1506" s="335"/>
      <c r="AB1506" s="335"/>
      <c r="AC1506" s="335"/>
      <c r="AD1506" s="335"/>
      <c r="AE1506" s="335"/>
      <c r="AF1506" s="335"/>
      <c r="AG1506" s="335"/>
      <c r="AH1506" s="335"/>
      <c r="AI1506" s="335"/>
      <c r="AJ1506" s="335"/>
      <c r="AK1506" s="335"/>
      <c r="AL1506" s="335"/>
      <c r="AM1506" s="335"/>
      <c r="AN1506" s="335"/>
      <c r="AO1506" s="335"/>
      <c r="AP1506" s="335"/>
      <c r="AQ1506" s="335"/>
      <c r="AR1506" s="335"/>
      <c r="AS1506" s="335"/>
      <c r="AT1506" s="335"/>
      <c r="AU1506" s="335"/>
      <c r="AV1506" s="335"/>
      <c r="AW1506" s="335"/>
      <c r="AX1506" s="335"/>
      <c r="AY1506" s="335"/>
      <c r="AZ1506" s="335"/>
      <c r="BA1506" s="335"/>
      <c r="BB1506" s="335"/>
      <c r="BC1506" s="335"/>
      <c r="BD1506" s="335"/>
      <c r="BE1506" s="335"/>
      <c r="BF1506" s="335"/>
      <c r="BG1506" s="335"/>
      <c r="BH1506" s="964"/>
    </row>
    <row r="1507" spans="1:60" s="962" customFormat="1" ht="15">
      <c r="A1507" s="1411"/>
      <c r="B1507" s="1411"/>
      <c r="C1507" s="1411"/>
      <c r="D1507" s="1411"/>
      <c r="E1507" s="1411"/>
      <c r="F1507" s="1411"/>
      <c r="G1507" s="1411"/>
      <c r="H1507" s="1411"/>
      <c r="I1507" s="1411"/>
      <c r="J1507" s="1411"/>
      <c r="K1507" s="961"/>
      <c r="L1507" s="961"/>
      <c r="M1507" s="335"/>
      <c r="N1507" s="335"/>
      <c r="O1507" s="335"/>
      <c r="P1507" s="335"/>
      <c r="Q1507" s="335"/>
      <c r="R1507" s="335"/>
      <c r="S1507" s="335"/>
      <c r="T1507" s="335"/>
      <c r="U1507" s="335"/>
      <c r="V1507" s="335"/>
      <c r="W1507" s="335"/>
      <c r="X1507" s="335"/>
      <c r="Y1507" s="335"/>
      <c r="Z1507" s="335"/>
      <c r="AA1507" s="335"/>
      <c r="AB1507" s="335"/>
      <c r="AC1507" s="335"/>
      <c r="AD1507" s="335"/>
      <c r="AE1507" s="335"/>
      <c r="AF1507" s="335"/>
      <c r="AG1507" s="335"/>
      <c r="AH1507" s="335"/>
      <c r="AI1507" s="335"/>
      <c r="AJ1507" s="335"/>
      <c r="AK1507" s="335"/>
      <c r="AL1507" s="335"/>
      <c r="AM1507" s="335"/>
      <c r="AN1507" s="335"/>
      <c r="AO1507" s="335"/>
      <c r="AP1507" s="335"/>
      <c r="AQ1507" s="335"/>
      <c r="AR1507" s="335"/>
      <c r="AS1507" s="335"/>
      <c r="AT1507" s="335"/>
      <c r="AU1507" s="335"/>
      <c r="AV1507" s="335"/>
      <c r="AW1507" s="335"/>
      <c r="AX1507" s="335"/>
      <c r="AY1507" s="335"/>
      <c r="AZ1507" s="335"/>
      <c r="BA1507" s="335"/>
      <c r="BB1507" s="335"/>
      <c r="BC1507" s="335"/>
      <c r="BD1507" s="335"/>
      <c r="BE1507" s="335"/>
      <c r="BF1507" s="335"/>
      <c r="BG1507" s="335"/>
      <c r="BH1507" s="964"/>
    </row>
    <row r="1508" spans="1:37" s="192" customFormat="1" ht="15">
      <c r="A1508" s="797" t="s">
        <v>972</v>
      </c>
      <c r="B1508" s="902"/>
      <c r="C1508" s="902"/>
      <c r="D1508" s="902"/>
      <c r="E1508" s="902"/>
      <c r="F1508" s="902"/>
      <c r="G1508" s="902"/>
      <c r="H1508" s="902"/>
      <c r="I1508" s="902"/>
      <c r="J1508" s="902"/>
      <c r="K1508" s="279"/>
      <c r="L1508" s="279"/>
      <c r="M1508" s="335"/>
      <c r="N1508" s="335"/>
      <c r="O1508" s="335"/>
      <c r="P1508" s="335"/>
      <c r="Q1508" s="335"/>
      <c r="R1508" s="335"/>
      <c r="S1508" s="335"/>
      <c r="T1508" s="335"/>
      <c r="U1508" s="335"/>
      <c r="V1508" s="335"/>
      <c r="W1508" s="335"/>
      <c r="X1508" s="335"/>
      <c r="Y1508" s="335"/>
      <c r="Z1508" s="335"/>
      <c r="AA1508" s="335"/>
      <c r="AB1508" s="335"/>
      <c r="AC1508" s="335"/>
      <c r="AD1508" s="335"/>
      <c r="AE1508" s="335"/>
      <c r="AF1508" s="335"/>
      <c r="AG1508" s="335"/>
      <c r="AH1508" s="335"/>
      <c r="AI1508" s="335"/>
      <c r="AJ1508" s="335"/>
      <c r="AK1508" s="335"/>
    </row>
    <row r="1509" spans="1:37" s="192" customFormat="1" ht="15">
      <c r="A1509" s="797"/>
      <c r="B1509" s="902"/>
      <c r="C1509" s="902"/>
      <c r="D1509" s="902"/>
      <c r="E1509" s="902"/>
      <c r="F1509" s="902"/>
      <c r="G1509" s="902"/>
      <c r="H1509" s="902"/>
      <c r="I1509" s="902"/>
      <c r="J1509" s="902"/>
      <c r="K1509" s="279"/>
      <c r="L1509" s="279"/>
      <c r="M1509" s="335"/>
      <c r="N1509" s="335"/>
      <c r="O1509" s="335"/>
      <c r="P1509" s="335"/>
      <c r="Q1509" s="335"/>
      <c r="R1509" s="335"/>
      <c r="S1509" s="335"/>
      <c r="T1509" s="335"/>
      <c r="U1509" s="335"/>
      <c r="V1509" s="335"/>
      <c r="W1509" s="335"/>
      <c r="X1509" s="335"/>
      <c r="Y1509" s="335"/>
      <c r="Z1509" s="335"/>
      <c r="AA1509" s="335"/>
      <c r="AB1509" s="335"/>
      <c r="AC1509" s="335"/>
      <c r="AD1509" s="335"/>
      <c r="AE1509" s="335"/>
      <c r="AF1509" s="335"/>
      <c r="AG1509" s="335"/>
      <c r="AH1509" s="335"/>
      <c r="AI1509" s="335"/>
      <c r="AJ1509" s="335"/>
      <c r="AK1509" s="335"/>
    </row>
    <row r="1510" spans="1:14" ht="15.75" customHeight="1">
      <c r="A1510" s="1397" t="s">
        <v>595</v>
      </c>
      <c r="B1510" s="1397"/>
      <c r="C1510" s="1397"/>
      <c r="D1510" s="1397"/>
      <c r="E1510" s="1397"/>
      <c r="F1510" s="1397"/>
      <c r="G1510" s="1397"/>
      <c r="H1510" s="1397"/>
      <c r="I1510" s="1397"/>
      <c r="J1510" s="1397"/>
      <c r="K1510" s="315"/>
      <c r="L1510" s="315"/>
      <c r="M1510" s="45"/>
      <c r="N1510" s="45"/>
    </row>
    <row r="1511" spans="1:14" ht="15.75" customHeight="1">
      <c r="A1511" s="1397" t="s">
        <v>594</v>
      </c>
      <c r="B1511" s="1397"/>
      <c r="C1511" s="1397"/>
      <c r="D1511" s="1397"/>
      <c r="E1511" s="1397"/>
      <c r="F1511" s="1397"/>
      <c r="G1511" s="1397"/>
      <c r="H1511" s="1397"/>
      <c r="I1511" s="1397"/>
      <c r="J1511" s="1397"/>
      <c r="K1511" s="315"/>
      <c r="L1511" s="315"/>
      <c r="M1511" s="45"/>
      <c r="N1511" s="45"/>
    </row>
    <row r="1512" spans="1:14" ht="35.25" customHeight="1">
      <c r="A1512" s="1490" t="s">
        <v>1232</v>
      </c>
      <c r="B1512" s="1490"/>
      <c r="C1512" s="1490"/>
      <c r="D1512" s="1490"/>
      <c r="E1512" s="1490"/>
      <c r="F1512" s="1490"/>
      <c r="G1512" s="1490"/>
      <c r="H1512" s="1490"/>
      <c r="I1512" s="1490"/>
      <c r="J1512" s="1490"/>
      <c r="K1512" s="94"/>
      <c r="L1512" s="94"/>
      <c r="M1512" s="45"/>
      <c r="N1512" s="45"/>
    </row>
    <row r="1513" spans="1:14" ht="15" customHeight="1">
      <c r="A1513" s="1397" t="s">
        <v>1233</v>
      </c>
      <c r="B1513" s="1397"/>
      <c r="C1513" s="1397"/>
      <c r="D1513" s="1397"/>
      <c r="E1513" s="1397"/>
      <c r="F1513" s="1397"/>
      <c r="G1513" s="1397"/>
      <c r="H1513" s="1397"/>
      <c r="I1513" s="1397"/>
      <c r="J1513" s="1397"/>
      <c r="K1513" s="325"/>
      <c r="L1513" s="94"/>
      <c r="M1513" s="45"/>
      <c r="N1513" s="45"/>
    </row>
    <row r="1514" spans="1:14" ht="15">
      <c r="A1514" s="125"/>
      <c r="B1514" s="125"/>
      <c r="C1514" s="125"/>
      <c r="D1514" s="125"/>
      <c r="E1514" s="125"/>
      <c r="F1514" s="125"/>
      <c r="G1514" s="126"/>
      <c r="H1514" s="126"/>
      <c r="I1514" s="124"/>
      <c r="J1514" s="31"/>
      <c r="K1514" s="325"/>
      <c r="L1514" s="325"/>
      <c r="M1514" s="45"/>
      <c r="N1514" s="45"/>
    </row>
    <row r="1515" spans="1:25" s="404" customFormat="1" ht="24.75" customHeight="1">
      <c r="A1515" s="1398" t="s">
        <v>350</v>
      </c>
      <c r="B1515" s="1398"/>
      <c r="C1515" s="1398"/>
      <c r="D1515" s="1398"/>
      <c r="E1515" s="1398"/>
      <c r="F1515" s="1398"/>
      <c r="G1515" s="1398"/>
      <c r="H1515" s="1398"/>
      <c r="I1515" s="1398"/>
      <c r="J1515" s="1398"/>
      <c r="K1515" s="325"/>
      <c r="L1515" s="325"/>
      <c r="M1515" s="45"/>
      <c r="N1515" s="45"/>
      <c r="O1515" s="169"/>
      <c r="P1515" s="169"/>
      <c r="Q1515" s="169"/>
      <c r="R1515" s="169"/>
      <c r="S1515" s="169"/>
      <c r="T1515" s="169"/>
      <c r="U1515" s="169"/>
      <c r="V1515" s="169"/>
      <c r="W1515" s="169"/>
      <c r="X1515" s="169"/>
      <c r="Y1515" s="169"/>
    </row>
    <row r="1516" spans="1:25" s="404" customFormat="1" ht="15.75" thickBot="1">
      <c r="A1516" s="110"/>
      <c r="B1516" s="110"/>
      <c r="C1516" s="111"/>
      <c r="D1516" s="111"/>
      <c r="E1516" s="111"/>
      <c r="F1516" s="111"/>
      <c r="G1516" s="111"/>
      <c r="H1516" s="111"/>
      <c r="I1516" s="111"/>
      <c r="J1516" s="192"/>
      <c r="K1516" s="325"/>
      <c r="L1516" s="325"/>
      <c r="M1516" s="45"/>
      <c r="N1516" s="45"/>
      <c r="O1516" s="169"/>
      <c r="P1516" s="169"/>
      <c r="Q1516" s="169"/>
      <c r="R1516" s="169"/>
      <c r="S1516" s="169"/>
      <c r="T1516" s="169"/>
      <c r="U1516" s="169"/>
      <c r="V1516" s="169"/>
      <c r="W1516" s="169"/>
      <c r="X1516" s="169"/>
      <c r="Y1516" s="169"/>
    </row>
    <row r="1517" spans="1:50" s="664" customFormat="1" ht="28.5" customHeight="1" thickTop="1">
      <c r="A1517" s="746" t="s">
        <v>43</v>
      </c>
      <c r="B1517" s="965" t="s">
        <v>1105</v>
      </c>
      <c r="C1517" s="747" t="s">
        <v>884</v>
      </c>
      <c r="D1517" s="748"/>
      <c r="E1517" s="749" t="s">
        <v>883</v>
      </c>
      <c r="F1517" s="750"/>
      <c r="G1517" s="749" t="s">
        <v>880</v>
      </c>
      <c r="H1517" s="750"/>
      <c r="I1517" s="1273" t="s">
        <v>881</v>
      </c>
      <c r="J1517" s="1274"/>
      <c r="K1517" s="1273" t="s">
        <v>882</v>
      </c>
      <c r="L1517" s="1274"/>
      <c r="M1517" s="898"/>
      <c r="N1517" s="898"/>
      <c r="O1517" s="335"/>
      <c r="P1517" s="335"/>
      <c r="Q1517" s="335"/>
      <c r="R1517" s="335"/>
      <c r="S1517" s="335"/>
      <c r="T1517" s="335"/>
      <c r="U1517" s="335"/>
      <c r="V1517" s="335"/>
      <c r="W1517" s="335"/>
      <c r="X1517" s="335"/>
      <c r="Y1517" s="335"/>
      <c r="Z1517" s="335"/>
      <c r="AA1517" s="335"/>
      <c r="AB1517" s="335"/>
      <c r="AC1517" s="335"/>
      <c r="AD1517" s="335"/>
      <c r="AE1517" s="335"/>
      <c r="AF1517" s="335"/>
      <c r="AG1517" s="335"/>
      <c r="AH1517" s="335"/>
      <c r="AI1517" s="335"/>
      <c r="AJ1517" s="335"/>
      <c r="AK1517" s="335"/>
      <c r="AL1517" s="335"/>
      <c r="AM1517" s="335"/>
      <c r="AN1517" s="335"/>
      <c r="AO1517" s="335"/>
      <c r="AP1517" s="335"/>
      <c r="AQ1517" s="335"/>
      <c r="AR1517" s="335"/>
      <c r="AS1517" s="335"/>
      <c r="AT1517" s="335"/>
      <c r="AU1517" s="335"/>
      <c r="AV1517" s="335"/>
      <c r="AW1517" s="335"/>
      <c r="AX1517" s="335"/>
    </row>
    <row r="1518" spans="1:25" s="404" customFormat="1" ht="15">
      <c r="A1518" s="225" t="s">
        <v>141</v>
      </c>
      <c r="B1518" s="133" t="s">
        <v>293</v>
      </c>
      <c r="C1518" s="1266">
        <f>CEILING(50*$Z$1,0.1)</f>
        <v>62.5</v>
      </c>
      <c r="D1518" s="1267"/>
      <c r="E1518" s="1266">
        <f>CEILING(70*$Z$1,0.1)</f>
        <v>87.5</v>
      </c>
      <c r="F1518" s="1267"/>
      <c r="G1518" s="1266">
        <f>CEILING(65*$Z$1,0.1)</f>
        <v>81.30000000000001</v>
      </c>
      <c r="H1518" s="1267"/>
      <c r="I1518" s="1266">
        <f>CEILING(65*$Z$1,0.1)</f>
        <v>81.30000000000001</v>
      </c>
      <c r="J1518" s="1267"/>
      <c r="K1518" s="1266">
        <f>CEILING(50*$Z$1,0.1)</f>
        <v>62.5</v>
      </c>
      <c r="L1518" s="1267"/>
      <c r="M1518" s="45"/>
      <c r="N1518" s="45"/>
      <c r="O1518" s="169"/>
      <c r="P1518" s="169"/>
      <c r="Q1518" s="169"/>
      <c r="R1518" s="169"/>
      <c r="S1518" s="169"/>
      <c r="T1518" s="169"/>
      <c r="U1518" s="169"/>
      <c r="V1518" s="169"/>
      <c r="W1518" s="169"/>
      <c r="X1518" s="169"/>
      <c r="Y1518" s="169"/>
    </row>
    <row r="1519" spans="1:25" s="404" customFormat="1" ht="15">
      <c r="A1519" s="35" t="s">
        <v>45</v>
      </c>
      <c r="B1519" s="11" t="s">
        <v>294</v>
      </c>
      <c r="C1519" s="1268">
        <f>CEILING((C1518+40*$Z$1),0.1)</f>
        <v>112.5</v>
      </c>
      <c r="D1519" s="1270"/>
      <c r="E1519" s="1268">
        <f>CEILING((E1518+40*$Z$1),0.1)</f>
        <v>137.5</v>
      </c>
      <c r="F1519" s="1270"/>
      <c r="G1519" s="1268">
        <f>CEILING((G1518+40*$Z$1),0.1)</f>
        <v>131.3</v>
      </c>
      <c r="H1519" s="1270"/>
      <c r="I1519" s="1268">
        <f>CEILING((I1518+40*$Z$1),0.1)</f>
        <v>131.3</v>
      </c>
      <c r="J1519" s="1270"/>
      <c r="K1519" s="1268">
        <f>CEILING((K1518+40*$Z$1),0.1)</f>
        <v>112.5</v>
      </c>
      <c r="L1519" s="1270"/>
      <c r="M1519" s="45"/>
      <c r="N1519" s="45"/>
      <c r="O1519" s="169"/>
      <c r="P1519" s="169"/>
      <c r="Q1519" s="169"/>
      <c r="R1519" s="169"/>
      <c r="S1519" s="169"/>
      <c r="T1519" s="169"/>
      <c r="U1519" s="169"/>
      <c r="V1519" s="169"/>
      <c r="W1519" s="169"/>
      <c r="X1519" s="169"/>
      <c r="Y1519" s="169"/>
    </row>
    <row r="1520" spans="1:25" s="404" customFormat="1" ht="15">
      <c r="A1520" s="35"/>
      <c r="B1520" s="122" t="s">
        <v>79</v>
      </c>
      <c r="C1520" s="1268">
        <f>CEILING((C1518*0.85),0.1)</f>
        <v>53.2</v>
      </c>
      <c r="D1520" s="1270"/>
      <c r="E1520" s="1268">
        <f>CEILING((E1518*0.85),0.1)</f>
        <v>74.4</v>
      </c>
      <c r="F1520" s="1270"/>
      <c r="G1520" s="1268">
        <f>CEILING((G1518*0.85),0.1)</f>
        <v>69.2</v>
      </c>
      <c r="H1520" s="1270"/>
      <c r="I1520" s="1268">
        <f>CEILING((I1518*0.85),0.1)</f>
        <v>69.2</v>
      </c>
      <c r="J1520" s="1270"/>
      <c r="K1520" s="1268">
        <f>CEILING((K1518*0.85),0.1)</f>
        <v>53.2</v>
      </c>
      <c r="L1520" s="1270"/>
      <c r="M1520" s="45"/>
      <c r="N1520" s="45"/>
      <c r="O1520" s="169"/>
      <c r="P1520" s="169"/>
      <c r="Q1520" s="169"/>
      <c r="R1520" s="169"/>
      <c r="S1520" s="169"/>
      <c r="T1520" s="169"/>
      <c r="U1520" s="169"/>
      <c r="V1520" s="169"/>
      <c r="W1520" s="169"/>
      <c r="X1520" s="169"/>
      <c r="Y1520" s="169"/>
    </row>
    <row r="1521" spans="1:16" ht="22.5" customHeight="1">
      <c r="A1521" s="84"/>
      <c r="B1521" s="122" t="s">
        <v>1184</v>
      </c>
      <c r="C1521" s="1268">
        <f>CEILING((C1527*0),0.1)</f>
        <v>0</v>
      </c>
      <c r="D1521" s="1270"/>
      <c r="E1521" s="1268">
        <f>CEILING((E1518*0.5),0.1)</f>
        <v>43.800000000000004</v>
      </c>
      <c r="F1521" s="1270"/>
      <c r="G1521" s="1268">
        <f>CEILING((G1518*0.5),0.1)</f>
        <v>40.7</v>
      </c>
      <c r="H1521" s="1270"/>
      <c r="I1521" s="1268">
        <f>CEILING((I1518*0.5),0.1)</f>
        <v>40.7</v>
      </c>
      <c r="J1521" s="1270"/>
      <c r="K1521" s="1268">
        <f>CEILING((K1518*0.5),0.1)</f>
        <v>31.3</v>
      </c>
      <c r="L1521" s="1270"/>
      <c r="M1521" s="45"/>
      <c r="N1521" s="45"/>
      <c r="O1521" s="189"/>
      <c r="P1521" s="189"/>
    </row>
    <row r="1522" spans="1:16" ht="27" customHeight="1" thickBot="1">
      <c r="A1522" s="254" t="s">
        <v>426</v>
      </c>
      <c r="B1522" s="38" t="s">
        <v>511</v>
      </c>
      <c r="C1522" s="1278">
        <v>0.1</v>
      </c>
      <c r="D1522" s="1279"/>
      <c r="E1522" s="1278">
        <v>0.1</v>
      </c>
      <c r="F1522" s="1279"/>
      <c r="G1522" s="1278">
        <v>0.1</v>
      </c>
      <c r="H1522" s="1279"/>
      <c r="I1522" s="1278">
        <v>0.1</v>
      </c>
      <c r="J1522" s="1279"/>
      <c r="K1522" s="1278">
        <v>0.1</v>
      </c>
      <c r="L1522" s="1279"/>
      <c r="M1522" s="45"/>
      <c r="N1522" s="45"/>
      <c r="O1522" s="189"/>
      <c r="P1522" s="189"/>
    </row>
    <row r="1523" spans="1:16" ht="15.75" thickTop="1">
      <c r="A1523" s="172" t="s">
        <v>510</v>
      </c>
      <c r="B1523" s="293"/>
      <c r="C1523" s="293"/>
      <c r="D1523" s="293"/>
      <c r="E1523" s="293"/>
      <c r="F1523" s="293"/>
      <c r="G1523" s="293"/>
      <c r="H1523" s="293"/>
      <c r="I1523" s="293"/>
      <c r="J1523" s="938"/>
      <c r="K1523" s="332"/>
      <c r="L1523" s="313"/>
      <c r="M1523" s="20"/>
      <c r="N1523" s="20"/>
      <c r="O1523" s="189"/>
      <c r="P1523" s="189"/>
    </row>
    <row r="1524" spans="1:14" s="871" customFormat="1" ht="17.25" customHeight="1">
      <c r="A1524" s="897" t="s">
        <v>1108</v>
      </c>
      <c r="B1524" s="971"/>
      <c r="C1524" s="971"/>
      <c r="D1524" s="971"/>
      <c r="E1524" s="971"/>
      <c r="F1524" s="971"/>
      <c r="G1524" s="971"/>
      <c r="H1524" s="971"/>
      <c r="I1524" s="971"/>
      <c r="J1524" s="971"/>
      <c r="K1524" s="347"/>
      <c r="L1524" s="332"/>
      <c r="M1524" s="842"/>
      <c r="N1524" s="842"/>
    </row>
    <row r="1525" spans="1:14" ht="17.25" customHeight="1" thickBot="1">
      <c r="A1525" s="533"/>
      <c r="B1525" s="305"/>
      <c r="C1525" s="293"/>
      <c r="D1525" s="293"/>
      <c r="E1525" s="293"/>
      <c r="F1525" s="293"/>
      <c r="G1525" s="293"/>
      <c r="H1525" s="293"/>
      <c r="I1525" s="293"/>
      <c r="J1525" s="938"/>
      <c r="K1525" s="970"/>
      <c r="L1525" s="94"/>
      <c r="M1525" s="200"/>
      <c r="N1525" s="200"/>
    </row>
    <row r="1526" spans="1:50" s="664" customFormat="1" ht="28.5" customHeight="1" thickTop="1">
      <c r="A1526" s="746" t="s">
        <v>43</v>
      </c>
      <c r="B1526" s="968" t="s">
        <v>1105</v>
      </c>
      <c r="C1526" s="747" t="s">
        <v>884</v>
      </c>
      <c r="D1526" s="748"/>
      <c r="E1526" s="808" t="s">
        <v>883</v>
      </c>
      <c r="F1526" s="750"/>
      <c r="G1526" s="749" t="s">
        <v>880</v>
      </c>
      <c r="H1526" s="750"/>
      <c r="I1526" s="1280" t="s">
        <v>969</v>
      </c>
      <c r="J1526" s="1281"/>
      <c r="K1526" s="795" t="s">
        <v>884</v>
      </c>
      <c r="L1526" s="796"/>
      <c r="M1526" s="898"/>
      <c r="N1526" s="898"/>
      <c r="O1526" s="335"/>
      <c r="P1526" s="335"/>
      <c r="Q1526" s="335"/>
      <c r="R1526" s="335"/>
      <c r="S1526" s="335"/>
      <c r="T1526" s="335"/>
      <c r="U1526" s="335"/>
      <c r="V1526" s="335"/>
      <c r="W1526" s="335"/>
      <c r="X1526" s="335"/>
      <c r="Y1526" s="335"/>
      <c r="Z1526" s="335"/>
      <c r="AA1526" s="335"/>
      <c r="AB1526" s="335"/>
      <c r="AC1526" s="335"/>
      <c r="AD1526" s="335"/>
      <c r="AE1526" s="335"/>
      <c r="AF1526" s="335"/>
      <c r="AG1526" s="335"/>
      <c r="AH1526" s="335"/>
      <c r="AI1526" s="335"/>
      <c r="AJ1526" s="335"/>
      <c r="AK1526" s="335"/>
      <c r="AL1526" s="335"/>
      <c r="AM1526" s="335"/>
      <c r="AN1526" s="335"/>
      <c r="AO1526" s="335"/>
      <c r="AP1526" s="335"/>
      <c r="AQ1526" s="335"/>
      <c r="AR1526" s="335"/>
      <c r="AS1526" s="335"/>
      <c r="AT1526" s="335"/>
      <c r="AU1526" s="335"/>
      <c r="AV1526" s="335"/>
      <c r="AW1526" s="335"/>
      <c r="AX1526" s="335"/>
    </row>
    <row r="1527" spans="1:25" s="192" customFormat="1" ht="15" customHeight="1">
      <c r="A1527" s="177" t="s">
        <v>840</v>
      </c>
      <c r="B1527" s="76" t="s">
        <v>1106</v>
      </c>
      <c r="C1527" s="1266">
        <f>CEILING(33*$Z$1,0.1)</f>
        <v>41.300000000000004</v>
      </c>
      <c r="D1527" s="1267"/>
      <c r="E1527" s="1266">
        <f>CEILING(36*$Z$1,0.1)</f>
        <v>45</v>
      </c>
      <c r="F1527" s="1267"/>
      <c r="G1527" s="1266">
        <f>CEILING(36*$Z$1,0.1)</f>
        <v>45</v>
      </c>
      <c r="H1527" s="1267"/>
      <c r="I1527" s="1266">
        <f>CEILING(36*$Z$1,0.1)</f>
        <v>45</v>
      </c>
      <c r="J1527" s="1267"/>
      <c r="K1527" s="1266">
        <f>CEILING(33*$Z$1,0.1)</f>
        <v>41.300000000000004</v>
      </c>
      <c r="L1527" s="1267"/>
      <c r="M1527" s="481"/>
      <c r="N1527" s="481"/>
      <c r="O1527" s="481"/>
      <c r="P1527" s="481"/>
      <c r="Q1527" s="481"/>
      <c r="R1527" s="481"/>
      <c r="S1527" s="481"/>
      <c r="T1527" s="481"/>
      <c r="U1527" s="481"/>
      <c r="V1527" s="481"/>
      <c r="W1527" s="481"/>
      <c r="X1527" s="481"/>
      <c r="Y1527" s="481"/>
    </row>
    <row r="1528" spans="1:31" s="192" customFormat="1" ht="15">
      <c r="A1528" s="28" t="s">
        <v>59</v>
      </c>
      <c r="B1528" s="50" t="s">
        <v>1107</v>
      </c>
      <c r="C1528" s="1268">
        <f>CEILING(41*$Z$1,0.1)</f>
        <v>51.300000000000004</v>
      </c>
      <c r="D1528" s="1270"/>
      <c r="E1528" s="1268">
        <f>CEILING(45*$Z$1,0.1)</f>
        <v>56.300000000000004</v>
      </c>
      <c r="F1528" s="1270"/>
      <c r="G1528" s="1268">
        <f>CEILING(45*$Z$1,0.1)</f>
        <v>56.300000000000004</v>
      </c>
      <c r="H1528" s="1270"/>
      <c r="I1528" s="1268">
        <f>CEILING(45*$Z$1,0.1)</f>
        <v>56.300000000000004</v>
      </c>
      <c r="J1528" s="1270"/>
      <c r="K1528" s="1268">
        <f>CEILING(41*$Z$1,0.1)</f>
        <v>51.300000000000004</v>
      </c>
      <c r="L1528" s="1270"/>
      <c r="M1528" s="481"/>
      <c r="N1528" s="481"/>
      <c r="O1528" s="481"/>
      <c r="P1528" s="481"/>
      <c r="Q1528" s="481"/>
      <c r="R1528" s="481"/>
      <c r="S1528" s="20"/>
      <c r="T1528" s="20"/>
      <c r="U1528" s="481"/>
      <c r="V1528" s="481"/>
      <c r="W1528" s="481"/>
      <c r="X1528" s="481"/>
      <c r="Y1528" s="481"/>
      <c r="Z1528" s="481"/>
      <c r="AA1528" s="481"/>
      <c r="AB1528" s="481"/>
      <c r="AC1528" s="481"/>
      <c r="AD1528" s="481"/>
      <c r="AE1528" s="481"/>
    </row>
    <row r="1529" spans="1:44" s="667" customFormat="1" ht="15">
      <c r="A1529" s="850" t="s">
        <v>834</v>
      </c>
      <c r="B1529" s="969" t="s">
        <v>1007</v>
      </c>
      <c r="C1529" s="1284">
        <f>CEILING((C1527*0.5),0.1)</f>
        <v>20.700000000000003</v>
      </c>
      <c r="D1529" s="1285"/>
      <c r="E1529" s="1284">
        <f>CEILING((E1527*0.5),0.1)</f>
        <v>22.5</v>
      </c>
      <c r="F1529" s="1285"/>
      <c r="G1529" s="1284">
        <f>CEILING((G1527*0.5),0.1)</f>
        <v>22.5</v>
      </c>
      <c r="H1529" s="1285"/>
      <c r="I1529" s="1284">
        <f>CEILING((I1527*0.5),0.1)</f>
        <v>22.5</v>
      </c>
      <c r="J1529" s="1285"/>
      <c r="K1529" s="1284">
        <f>CEILING((K1527*0.5),0.1)</f>
        <v>20.700000000000003</v>
      </c>
      <c r="L1529" s="1285"/>
      <c r="M1529" s="481"/>
      <c r="N1529" s="481"/>
      <c r="O1529" s="481"/>
      <c r="P1529" s="481"/>
      <c r="Q1529" s="481"/>
      <c r="R1529" s="481"/>
      <c r="S1529" s="481"/>
      <c r="T1529" s="481"/>
      <c r="U1529" s="481"/>
      <c r="V1529" s="481"/>
      <c r="W1529" s="481"/>
      <c r="X1529" s="481"/>
      <c r="Y1529" s="481"/>
      <c r="Z1529" s="481"/>
      <c r="AA1529" s="481"/>
      <c r="AB1529" s="192"/>
      <c r="AC1529" s="192"/>
      <c r="AD1529" s="192"/>
      <c r="AE1529" s="192"/>
      <c r="AF1529" s="192"/>
      <c r="AG1529" s="192"/>
      <c r="AH1529" s="192"/>
      <c r="AI1529" s="192"/>
      <c r="AJ1529" s="192"/>
      <c r="AK1529" s="192"/>
      <c r="AL1529" s="192"/>
      <c r="AM1529" s="192"/>
      <c r="AN1529" s="192"/>
      <c r="AO1529" s="192"/>
      <c r="AP1529" s="192"/>
      <c r="AQ1529" s="192"/>
      <c r="AR1529" s="192"/>
    </row>
    <row r="1530" spans="1:14" s="871" customFormat="1" ht="17.25" customHeight="1">
      <c r="A1530" s="897" t="s">
        <v>1109</v>
      </c>
      <c r="B1530" s="971"/>
      <c r="C1530" s="971"/>
      <c r="D1530" s="971"/>
      <c r="E1530" s="971"/>
      <c r="F1530" s="971"/>
      <c r="G1530" s="971"/>
      <c r="H1530" s="971"/>
      <c r="I1530" s="971"/>
      <c r="J1530" s="971"/>
      <c r="K1530" s="347"/>
      <c r="L1530" s="332"/>
      <c r="M1530" s="842"/>
      <c r="N1530" s="842"/>
    </row>
    <row r="1531" spans="1:44" s="479" customFormat="1" ht="23.25" customHeight="1">
      <c r="A1531" s="107" t="s">
        <v>1111</v>
      </c>
      <c r="B1531" s="293"/>
      <c r="C1531" s="293"/>
      <c r="D1531" s="293"/>
      <c r="E1531" s="293"/>
      <c r="F1531" s="293"/>
      <c r="G1531" s="293"/>
      <c r="H1531" s="293"/>
      <c r="I1531" s="293"/>
      <c r="J1531" s="293"/>
      <c r="K1531" s="325"/>
      <c r="L1531" s="94"/>
      <c r="M1531" s="481"/>
      <c r="N1531" s="481"/>
      <c r="O1531" s="481"/>
      <c r="P1531" s="481"/>
      <c r="Q1531" s="481"/>
      <c r="R1531" s="481"/>
      <c r="S1531" s="481"/>
      <c r="T1531" s="481"/>
      <c r="U1531" s="481"/>
      <c r="V1531" s="481"/>
      <c r="W1531" s="481"/>
      <c r="X1531" s="481"/>
      <c r="Y1531" s="481"/>
      <c r="Z1531" s="481"/>
      <c r="AA1531" s="481"/>
      <c r="AB1531" s="192"/>
      <c r="AC1531" s="192"/>
      <c r="AD1531" s="192"/>
      <c r="AE1531" s="192"/>
      <c r="AF1531" s="192"/>
      <c r="AG1531" s="192"/>
      <c r="AH1531" s="192"/>
      <c r="AI1531" s="192"/>
      <c r="AJ1531" s="192"/>
      <c r="AK1531" s="192"/>
      <c r="AL1531" s="192"/>
      <c r="AM1531" s="192"/>
      <c r="AN1531" s="192"/>
      <c r="AO1531" s="192"/>
      <c r="AP1531" s="192"/>
      <c r="AQ1531" s="192"/>
      <c r="AR1531" s="192"/>
    </row>
    <row r="1532" spans="1:27" ht="15.75" thickBot="1">
      <c r="A1532" s="51"/>
      <c r="B1532" s="52"/>
      <c r="C1532" s="2"/>
      <c r="D1532" s="2"/>
      <c r="E1532" s="2"/>
      <c r="F1532" s="2"/>
      <c r="G1532" s="2"/>
      <c r="H1532" s="2"/>
      <c r="I1532" s="1"/>
      <c r="J1532" s="192"/>
      <c r="K1532" s="94"/>
      <c r="L1532" s="94"/>
      <c r="M1532" s="192"/>
      <c r="N1532" s="189"/>
      <c r="O1532" s="189"/>
      <c r="Z1532" s="169"/>
      <c r="AA1532" s="169"/>
    </row>
    <row r="1533" spans="1:50" s="664" customFormat="1" ht="28.5" customHeight="1" thickTop="1">
      <c r="A1533" s="746" t="s">
        <v>43</v>
      </c>
      <c r="B1533" s="965" t="s">
        <v>1105</v>
      </c>
      <c r="C1533" s="747" t="s">
        <v>884</v>
      </c>
      <c r="D1533" s="748"/>
      <c r="E1533" s="749" t="s">
        <v>883</v>
      </c>
      <c r="F1533" s="750"/>
      <c r="G1533" s="749" t="s">
        <v>880</v>
      </c>
      <c r="H1533" s="750"/>
      <c r="I1533" s="1273" t="s">
        <v>969</v>
      </c>
      <c r="J1533" s="1274"/>
      <c r="K1533" s="1273" t="s">
        <v>970</v>
      </c>
      <c r="L1533" s="1274"/>
      <c r="M1533" s="898"/>
      <c r="N1533" s="898"/>
      <c r="O1533" s="335"/>
      <c r="P1533" s="335"/>
      <c r="Q1533" s="335"/>
      <c r="R1533" s="335"/>
      <c r="S1533" s="335"/>
      <c r="T1533" s="335"/>
      <c r="U1533" s="335"/>
      <c r="V1533" s="335"/>
      <c r="W1533" s="335"/>
      <c r="X1533" s="335"/>
      <c r="Y1533" s="335"/>
      <c r="Z1533" s="335"/>
      <c r="AA1533" s="335"/>
      <c r="AB1533" s="335"/>
      <c r="AC1533" s="335"/>
      <c r="AD1533" s="335"/>
      <c r="AE1533" s="335"/>
      <c r="AF1533" s="335"/>
      <c r="AG1533" s="335"/>
      <c r="AH1533" s="335"/>
      <c r="AI1533" s="335"/>
      <c r="AJ1533" s="335"/>
      <c r="AK1533" s="335"/>
      <c r="AL1533" s="335"/>
      <c r="AM1533" s="335"/>
      <c r="AN1533" s="335"/>
      <c r="AO1533" s="335"/>
      <c r="AP1533" s="335"/>
      <c r="AQ1533" s="335"/>
      <c r="AR1533" s="335"/>
      <c r="AS1533" s="335"/>
      <c r="AT1533" s="335"/>
      <c r="AU1533" s="335"/>
      <c r="AV1533" s="335"/>
      <c r="AW1533" s="335"/>
      <c r="AX1533" s="335"/>
    </row>
    <row r="1534" spans="1:25" s="192" customFormat="1" ht="15" customHeight="1">
      <c r="A1534" s="177" t="s">
        <v>1110</v>
      </c>
      <c r="B1534" s="76" t="s">
        <v>1106</v>
      </c>
      <c r="C1534" s="1266">
        <f>CEILING(39*$Z$1,0.1)</f>
        <v>48.800000000000004</v>
      </c>
      <c r="D1534" s="1267"/>
      <c r="E1534" s="1266">
        <f>CEILING(42*$Z$1,0.1)</f>
        <v>52.5</v>
      </c>
      <c r="F1534" s="1267"/>
      <c r="G1534" s="1266">
        <f>CEILING(42*$Z$1,0.1)</f>
        <v>52.5</v>
      </c>
      <c r="H1534" s="1267"/>
      <c r="I1534" s="1266">
        <f>CEILING(42*$Z$1,0.1)</f>
        <v>52.5</v>
      </c>
      <c r="J1534" s="1267"/>
      <c r="K1534" s="1266">
        <f>CEILING(39*$Z$1,0.1)</f>
        <v>48.800000000000004</v>
      </c>
      <c r="L1534" s="1267"/>
      <c r="M1534" s="481"/>
      <c r="N1534" s="481"/>
      <c r="O1534" s="481"/>
      <c r="P1534" s="481"/>
      <c r="Q1534" s="481"/>
      <c r="R1534" s="481"/>
      <c r="S1534" s="481"/>
      <c r="T1534" s="481"/>
      <c r="U1534" s="481"/>
      <c r="V1534" s="481"/>
      <c r="W1534" s="481"/>
      <c r="X1534" s="481"/>
      <c r="Y1534" s="481"/>
    </row>
    <row r="1535" spans="1:31" s="192" customFormat="1" ht="15">
      <c r="A1535" s="28" t="s">
        <v>59</v>
      </c>
      <c r="B1535" s="50" t="s">
        <v>1107</v>
      </c>
      <c r="C1535" s="1268">
        <f>CEILING(48*$Z$1,0.1)</f>
        <v>60</v>
      </c>
      <c r="D1535" s="1270"/>
      <c r="E1535" s="1268">
        <f>CEILING(52*$Z$1,0.1)</f>
        <v>65</v>
      </c>
      <c r="F1535" s="1270"/>
      <c r="G1535" s="1268">
        <f>CEILING(52*$Z$1,0.1)</f>
        <v>65</v>
      </c>
      <c r="H1535" s="1270"/>
      <c r="I1535" s="1268">
        <f>CEILING(52*$Z$1,0.1)</f>
        <v>65</v>
      </c>
      <c r="J1535" s="1270"/>
      <c r="K1535" s="1268">
        <f>CEILING(48*$Z$1,0.1)</f>
        <v>60</v>
      </c>
      <c r="L1535" s="1270"/>
      <c r="M1535" s="481"/>
      <c r="N1535" s="481"/>
      <c r="O1535" s="481"/>
      <c r="P1535" s="481"/>
      <c r="Q1535" s="481"/>
      <c r="R1535" s="481"/>
      <c r="S1535" s="20"/>
      <c r="T1535" s="20"/>
      <c r="U1535" s="481"/>
      <c r="V1535" s="481"/>
      <c r="W1535" s="481"/>
      <c r="X1535" s="481"/>
      <c r="Y1535" s="481"/>
      <c r="Z1535" s="481"/>
      <c r="AA1535" s="481"/>
      <c r="AB1535" s="481"/>
      <c r="AC1535" s="481"/>
      <c r="AD1535" s="481"/>
      <c r="AE1535" s="481"/>
    </row>
    <row r="1536" spans="1:44" s="667" customFormat="1" ht="15">
      <c r="A1536" s="850" t="s">
        <v>834</v>
      </c>
      <c r="B1536" s="969" t="s">
        <v>1007</v>
      </c>
      <c r="C1536" s="1284">
        <f>CEILING((C1534*0.5),0.1)</f>
        <v>24.400000000000002</v>
      </c>
      <c r="D1536" s="1285"/>
      <c r="E1536" s="1284">
        <f>CEILING((E1534*0.5),0.1)</f>
        <v>26.3</v>
      </c>
      <c r="F1536" s="1285"/>
      <c r="G1536" s="1284">
        <f>CEILING((G1534*0.5),0.1)</f>
        <v>26.3</v>
      </c>
      <c r="H1536" s="1285"/>
      <c r="I1536" s="1284">
        <f>CEILING((I1534*0.5),0.1)</f>
        <v>26.3</v>
      </c>
      <c r="J1536" s="1285"/>
      <c r="K1536" s="1284">
        <f>CEILING((K1534*0.5),0.1)</f>
        <v>24.400000000000002</v>
      </c>
      <c r="L1536" s="1285"/>
      <c r="M1536" s="481"/>
      <c r="N1536" s="481"/>
      <c r="O1536" s="481"/>
      <c r="P1536" s="481"/>
      <c r="Q1536" s="481"/>
      <c r="R1536" s="481"/>
      <c r="S1536" s="481"/>
      <c r="T1536" s="481"/>
      <c r="U1536" s="481"/>
      <c r="V1536" s="481"/>
      <c r="W1536" s="481"/>
      <c r="X1536" s="481"/>
      <c r="Y1536" s="481"/>
      <c r="Z1536" s="481"/>
      <c r="AA1536" s="481"/>
      <c r="AB1536" s="192"/>
      <c r="AC1536" s="192"/>
      <c r="AD1536" s="192"/>
      <c r="AE1536" s="192"/>
      <c r="AF1536" s="192"/>
      <c r="AG1536" s="192"/>
      <c r="AH1536" s="192"/>
      <c r="AI1536" s="192"/>
      <c r="AJ1536" s="192"/>
      <c r="AK1536" s="192"/>
      <c r="AL1536" s="192"/>
      <c r="AM1536" s="192"/>
      <c r="AN1536" s="192"/>
      <c r="AO1536" s="192"/>
      <c r="AP1536" s="192"/>
      <c r="AQ1536" s="192"/>
      <c r="AR1536" s="192"/>
    </row>
    <row r="1537" spans="1:14" s="871" customFormat="1" ht="17.25" customHeight="1">
      <c r="A1537" s="897" t="s">
        <v>1109</v>
      </c>
      <c r="B1537" s="971"/>
      <c r="C1537" s="971"/>
      <c r="D1537" s="971"/>
      <c r="E1537" s="971"/>
      <c r="F1537" s="971"/>
      <c r="G1537" s="971"/>
      <c r="H1537" s="971"/>
      <c r="I1537" s="971"/>
      <c r="J1537" s="971"/>
      <c r="K1537" s="347"/>
      <c r="L1537" s="332"/>
      <c r="M1537" s="842"/>
      <c r="N1537" s="842"/>
    </row>
    <row r="1538" spans="1:44" s="479" customFormat="1" ht="23.25" customHeight="1">
      <c r="A1538" s="107" t="s">
        <v>1111</v>
      </c>
      <c r="B1538" s="293"/>
      <c r="C1538" s="293"/>
      <c r="D1538" s="293"/>
      <c r="E1538" s="293"/>
      <c r="F1538" s="293"/>
      <c r="G1538" s="293"/>
      <c r="H1538" s="293"/>
      <c r="I1538" s="293"/>
      <c r="J1538" s="293"/>
      <c r="K1538" s="325"/>
      <c r="L1538" s="94"/>
      <c r="M1538" s="481"/>
      <c r="N1538" s="481"/>
      <c r="O1538" s="481"/>
      <c r="P1538" s="481"/>
      <c r="Q1538" s="481"/>
      <c r="R1538" s="481"/>
      <c r="S1538" s="481"/>
      <c r="T1538" s="481"/>
      <c r="U1538" s="481"/>
      <c r="V1538" s="481"/>
      <c r="W1538" s="481"/>
      <c r="X1538" s="481"/>
      <c r="Y1538" s="481"/>
      <c r="Z1538" s="481"/>
      <c r="AA1538" s="481"/>
      <c r="AB1538" s="192"/>
      <c r="AC1538" s="192"/>
      <c r="AD1538" s="192"/>
      <c r="AE1538" s="192"/>
      <c r="AF1538" s="192"/>
      <c r="AG1538" s="192"/>
      <c r="AH1538" s="192"/>
      <c r="AI1538" s="192"/>
      <c r="AJ1538" s="192"/>
      <c r="AK1538" s="192"/>
      <c r="AL1538" s="192"/>
      <c r="AM1538" s="192"/>
      <c r="AN1538" s="192"/>
      <c r="AO1538" s="192"/>
      <c r="AP1538" s="192"/>
      <c r="AQ1538" s="192"/>
      <c r="AR1538" s="192"/>
    </row>
    <row r="1539" spans="1:22" s="192" customFormat="1" ht="15">
      <c r="A1539" s="75"/>
      <c r="B1539" s="44"/>
      <c r="C1539" s="893"/>
      <c r="D1539" s="893"/>
      <c r="E1539" s="893"/>
      <c r="F1539" s="893"/>
      <c r="G1539" s="893"/>
      <c r="H1539" s="893"/>
      <c r="I1539" s="893"/>
      <c r="J1539" s="893"/>
      <c r="K1539" s="325"/>
      <c r="L1539" s="325"/>
      <c r="M1539" s="335"/>
      <c r="N1539" s="481"/>
      <c r="O1539" s="481"/>
      <c r="P1539" s="3"/>
      <c r="Q1539" s="3"/>
      <c r="R1539" s="3"/>
      <c r="S1539" s="3"/>
      <c r="T1539" s="481"/>
      <c r="U1539" s="481"/>
      <c r="V1539" s="481"/>
    </row>
    <row r="1540" spans="1:54" s="967" customFormat="1" ht="28.5" customHeight="1">
      <c r="A1540" s="794" t="s">
        <v>43</v>
      </c>
      <c r="B1540" s="966" t="s">
        <v>1105</v>
      </c>
      <c r="C1540" s="795" t="s">
        <v>884</v>
      </c>
      <c r="D1540" s="796"/>
      <c r="E1540" s="765" t="s">
        <v>883</v>
      </c>
      <c r="F1540" s="766"/>
      <c r="G1540" s="765" t="s">
        <v>880</v>
      </c>
      <c r="H1540" s="766"/>
      <c r="I1540" s="1280" t="s">
        <v>969</v>
      </c>
      <c r="J1540" s="1281"/>
      <c r="K1540" s="1280" t="s">
        <v>970</v>
      </c>
      <c r="L1540" s="1281"/>
      <c r="M1540" s="898"/>
      <c r="N1540" s="898"/>
      <c r="O1540" s="335"/>
      <c r="P1540" s="335"/>
      <c r="Q1540" s="335"/>
      <c r="R1540" s="335"/>
      <c r="S1540" s="335"/>
      <c r="T1540" s="335"/>
      <c r="U1540" s="335"/>
      <c r="V1540" s="335"/>
      <c r="W1540" s="335"/>
      <c r="X1540" s="335"/>
      <c r="Y1540" s="335"/>
      <c r="Z1540" s="335"/>
      <c r="AA1540" s="335"/>
      <c r="AB1540" s="335"/>
      <c r="AC1540" s="335"/>
      <c r="AD1540" s="335"/>
      <c r="AE1540" s="335"/>
      <c r="AF1540" s="335"/>
      <c r="AG1540" s="335"/>
      <c r="AH1540" s="335"/>
      <c r="AI1540" s="335"/>
      <c r="AJ1540" s="335"/>
      <c r="AK1540" s="335"/>
      <c r="AL1540" s="335"/>
      <c r="AM1540" s="335"/>
      <c r="AN1540" s="335"/>
      <c r="AO1540" s="335"/>
      <c r="AP1540" s="335"/>
      <c r="AQ1540" s="335"/>
      <c r="AR1540" s="335"/>
      <c r="AS1540" s="335"/>
      <c r="AT1540" s="335"/>
      <c r="AU1540" s="335"/>
      <c r="AV1540" s="335"/>
      <c r="AW1540" s="335"/>
      <c r="AX1540" s="335"/>
      <c r="AY1540" s="664"/>
      <c r="AZ1540" s="664"/>
      <c r="BA1540" s="664"/>
      <c r="BB1540" s="664"/>
    </row>
    <row r="1541" spans="1:25" s="192" customFormat="1" ht="15" customHeight="1">
      <c r="A1541" s="177" t="s">
        <v>1112</v>
      </c>
      <c r="B1541" s="76" t="s">
        <v>1106</v>
      </c>
      <c r="C1541" s="1266">
        <f>CEILING(41*$Z$1,0.1)</f>
        <v>51.300000000000004</v>
      </c>
      <c r="D1541" s="1267"/>
      <c r="E1541" s="1266">
        <f>CEILING(50*$Z$1,0.1)</f>
        <v>62.5</v>
      </c>
      <c r="F1541" s="1267"/>
      <c r="G1541" s="1266">
        <f>CEILING(50*$Z$1,0.1)</f>
        <v>62.5</v>
      </c>
      <c r="H1541" s="1267"/>
      <c r="I1541" s="1266">
        <f>CEILING(50*$Z$1,0.1)</f>
        <v>62.5</v>
      </c>
      <c r="J1541" s="1267"/>
      <c r="K1541" s="1266">
        <f>CEILING(41*$Z$1,0.1)</f>
        <v>51.300000000000004</v>
      </c>
      <c r="L1541" s="1267"/>
      <c r="M1541" s="481"/>
      <c r="N1541" s="481"/>
      <c r="O1541" s="481"/>
      <c r="P1541" s="481"/>
      <c r="Q1541" s="481"/>
      <c r="R1541" s="481"/>
      <c r="S1541" s="481"/>
      <c r="T1541" s="481"/>
      <c r="U1541" s="481"/>
      <c r="V1541" s="481"/>
      <c r="W1541" s="481"/>
      <c r="X1541" s="481"/>
      <c r="Y1541" s="481"/>
    </row>
    <row r="1542" spans="1:31" s="192" customFormat="1" ht="15">
      <c r="A1542" s="28" t="s">
        <v>59</v>
      </c>
      <c r="B1542" s="50" t="s">
        <v>1107</v>
      </c>
      <c r="C1542" s="1268">
        <f>CEILING(51*$Z$1,0.1)</f>
        <v>63.800000000000004</v>
      </c>
      <c r="D1542" s="1270"/>
      <c r="E1542" s="1268">
        <f>CEILING(62*$Z$1,0.1)</f>
        <v>77.5</v>
      </c>
      <c r="F1542" s="1270"/>
      <c r="G1542" s="1268">
        <f>CEILING(62*$Z$1,0.1)</f>
        <v>77.5</v>
      </c>
      <c r="H1542" s="1270"/>
      <c r="I1542" s="1268">
        <f>CEILING(62*$Z$1,0.1)</f>
        <v>77.5</v>
      </c>
      <c r="J1542" s="1270"/>
      <c r="K1542" s="1268">
        <f>CEILING(51*$Z$1,0.1)</f>
        <v>63.800000000000004</v>
      </c>
      <c r="L1542" s="1270"/>
      <c r="M1542" s="481"/>
      <c r="N1542" s="481"/>
      <c r="O1542" s="481"/>
      <c r="P1542" s="481"/>
      <c r="Q1542" s="481"/>
      <c r="R1542" s="481"/>
      <c r="S1542" s="20"/>
      <c r="T1542" s="20"/>
      <c r="U1542" s="481"/>
      <c r="V1542" s="481"/>
      <c r="W1542" s="481"/>
      <c r="X1542" s="481"/>
      <c r="Y1542" s="481"/>
      <c r="Z1542" s="481"/>
      <c r="AA1542" s="481"/>
      <c r="AB1542" s="481"/>
      <c r="AC1542" s="481"/>
      <c r="AD1542" s="481"/>
      <c r="AE1542" s="481"/>
    </row>
    <row r="1543" spans="1:44" s="667" customFormat="1" ht="15">
      <c r="A1543" s="850" t="s">
        <v>834</v>
      </c>
      <c r="B1543" s="969" t="s">
        <v>1007</v>
      </c>
      <c r="C1543" s="1284">
        <f>CEILING((C1541*0.5),0.1)</f>
        <v>25.700000000000003</v>
      </c>
      <c r="D1543" s="1285"/>
      <c r="E1543" s="1284">
        <f>CEILING((E1541*0.5),0.1)</f>
        <v>31.3</v>
      </c>
      <c r="F1543" s="1285"/>
      <c r="G1543" s="1284">
        <f>CEILING((G1541*0.5),0.1)</f>
        <v>31.3</v>
      </c>
      <c r="H1543" s="1285"/>
      <c r="I1543" s="1284">
        <f>CEILING((I1541*0.5),0.1)</f>
        <v>31.3</v>
      </c>
      <c r="J1543" s="1285"/>
      <c r="K1543" s="1284">
        <f>CEILING((K1541*0.5),0.1)</f>
        <v>25.700000000000003</v>
      </c>
      <c r="L1543" s="1285"/>
      <c r="M1543" s="481"/>
      <c r="N1543" s="481"/>
      <c r="O1543" s="481"/>
      <c r="P1543" s="481"/>
      <c r="Q1543" s="481"/>
      <c r="R1543" s="481"/>
      <c r="S1543" s="481"/>
      <c r="T1543" s="481"/>
      <c r="U1543" s="481"/>
      <c r="V1543" s="481"/>
      <c r="W1543" s="481"/>
      <c r="X1543" s="481"/>
      <c r="Y1543" s="481"/>
      <c r="Z1543" s="481"/>
      <c r="AA1543" s="481"/>
      <c r="AB1543" s="192"/>
      <c r="AC1543" s="192"/>
      <c r="AD1543" s="192"/>
      <c r="AE1543" s="192"/>
      <c r="AF1543" s="192"/>
      <c r="AG1543" s="192"/>
      <c r="AH1543" s="192"/>
      <c r="AI1543" s="192"/>
      <c r="AJ1543" s="192"/>
      <c r="AK1543" s="192"/>
      <c r="AL1543" s="192"/>
      <c r="AM1543" s="192"/>
      <c r="AN1543" s="192"/>
      <c r="AO1543" s="192"/>
      <c r="AP1543" s="192"/>
      <c r="AQ1543" s="192"/>
      <c r="AR1543" s="192"/>
    </row>
    <row r="1544" spans="1:14" s="871" customFormat="1" ht="17.25" customHeight="1">
      <c r="A1544" s="897" t="s">
        <v>1109</v>
      </c>
      <c r="B1544" s="971"/>
      <c r="C1544" s="971"/>
      <c r="D1544" s="971"/>
      <c r="E1544" s="971"/>
      <c r="F1544" s="971"/>
      <c r="G1544" s="971"/>
      <c r="H1544" s="971"/>
      <c r="I1544" s="971"/>
      <c r="J1544" s="971"/>
      <c r="K1544" s="347"/>
      <c r="L1544" s="332"/>
      <c r="M1544" s="842"/>
      <c r="N1544" s="842"/>
    </row>
    <row r="1545" spans="1:44" s="479" customFormat="1" ht="23.25" customHeight="1">
      <c r="A1545" s="107" t="s">
        <v>1111</v>
      </c>
      <c r="B1545" s="293"/>
      <c r="C1545" s="293"/>
      <c r="D1545" s="293"/>
      <c r="E1545" s="293"/>
      <c r="F1545" s="293"/>
      <c r="G1545" s="293"/>
      <c r="H1545" s="293"/>
      <c r="I1545" s="293"/>
      <c r="J1545" s="293"/>
      <c r="K1545" s="325"/>
      <c r="L1545" s="94"/>
      <c r="M1545" s="481"/>
      <c r="N1545" s="481"/>
      <c r="O1545" s="481"/>
      <c r="P1545" s="481"/>
      <c r="Q1545" s="481"/>
      <c r="R1545" s="481"/>
      <c r="S1545" s="481"/>
      <c r="T1545" s="481"/>
      <c r="U1545" s="481"/>
      <c r="V1545" s="481"/>
      <c r="W1545" s="481"/>
      <c r="X1545" s="481"/>
      <c r="Y1545" s="481"/>
      <c r="Z1545" s="481"/>
      <c r="AA1545" s="481"/>
      <c r="AB1545" s="192"/>
      <c r="AC1545" s="192"/>
      <c r="AD1545" s="192"/>
      <c r="AE1545" s="192"/>
      <c r="AF1545" s="192"/>
      <c r="AG1545" s="192"/>
      <c r="AH1545" s="192"/>
      <c r="AI1545" s="192"/>
      <c r="AJ1545" s="192"/>
      <c r="AK1545" s="192"/>
      <c r="AL1545" s="192"/>
      <c r="AM1545" s="192"/>
      <c r="AN1545" s="192"/>
      <c r="AO1545" s="192"/>
      <c r="AP1545" s="192"/>
      <c r="AQ1545" s="192"/>
      <c r="AR1545" s="192"/>
    </row>
    <row r="1546" spans="1:22" s="192" customFormat="1" ht="15.75" thickBot="1">
      <c r="A1546" s="107"/>
      <c r="B1546" s="107"/>
      <c r="C1546" s="107"/>
      <c r="D1546" s="107"/>
      <c r="E1546" s="107"/>
      <c r="F1546" s="107"/>
      <c r="G1546" s="107"/>
      <c r="H1546" s="107"/>
      <c r="I1546" s="897"/>
      <c r="J1546" s="335"/>
      <c r="K1546" s="319"/>
      <c r="L1546" s="319"/>
      <c r="M1546" s="348"/>
      <c r="N1546" s="348"/>
      <c r="O1546" s="481"/>
      <c r="P1546" s="3"/>
      <c r="Q1546" s="3"/>
      <c r="R1546" s="3"/>
      <c r="S1546" s="3"/>
      <c r="T1546" s="481"/>
      <c r="U1546" s="481"/>
      <c r="V1546" s="481"/>
    </row>
    <row r="1547" spans="1:60" s="664" customFormat="1" ht="28.5" customHeight="1" thickTop="1">
      <c r="A1547" s="746" t="s">
        <v>43</v>
      </c>
      <c r="B1547" s="814" t="s">
        <v>961</v>
      </c>
      <c r="C1547" s="747" t="s">
        <v>884</v>
      </c>
      <c r="D1547" s="748"/>
      <c r="E1547" s="749" t="s">
        <v>911</v>
      </c>
      <c r="F1547" s="750"/>
      <c r="G1547" s="749" t="s">
        <v>912</v>
      </c>
      <c r="H1547" s="750"/>
      <c r="I1547" s="1273" t="s">
        <v>969</v>
      </c>
      <c r="J1547" s="1274"/>
      <c r="K1547" s="1273" t="s">
        <v>1023</v>
      </c>
      <c r="L1547" s="1274"/>
      <c r="M1547" s="898"/>
      <c r="N1547" s="898"/>
      <c r="O1547" s="335"/>
      <c r="P1547" s="335"/>
      <c r="Q1547" s="335"/>
      <c r="R1547" s="335"/>
      <c r="S1547" s="335"/>
      <c r="T1547" s="335"/>
      <c r="U1547" s="335"/>
      <c r="V1547" s="335"/>
      <c r="W1547" s="335"/>
      <c r="X1547" s="335"/>
      <c r="Y1547" s="335"/>
      <c r="Z1547" s="335"/>
      <c r="AA1547" s="335"/>
      <c r="AB1547" s="335"/>
      <c r="AC1547" s="335"/>
      <c r="AD1547" s="335"/>
      <c r="AE1547" s="335"/>
      <c r="AF1547" s="335"/>
      <c r="AG1547" s="335"/>
      <c r="AH1547" s="335"/>
      <c r="AI1547" s="335"/>
      <c r="AJ1547" s="335"/>
      <c r="AK1547" s="335"/>
      <c r="AL1547" s="335"/>
      <c r="AM1547" s="335"/>
      <c r="AN1547" s="335"/>
      <c r="AO1547" s="335"/>
      <c r="AP1547" s="335"/>
      <c r="AQ1547" s="335"/>
      <c r="AR1547" s="335"/>
      <c r="AS1547" s="335"/>
      <c r="AT1547" s="335"/>
      <c r="AU1547" s="335"/>
      <c r="AV1547" s="335"/>
      <c r="AW1547" s="335"/>
      <c r="AX1547" s="335"/>
      <c r="AY1547" s="335"/>
      <c r="AZ1547" s="335"/>
      <c r="BA1547" s="335"/>
      <c r="BB1547" s="335"/>
      <c r="BC1547" s="335"/>
      <c r="BD1547" s="335"/>
      <c r="BE1547" s="335"/>
      <c r="BF1547" s="335"/>
      <c r="BG1547" s="335"/>
      <c r="BH1547" s="964"/>
    </row>
    <row r="1548" spans="1:25" ht="15">
      <c r="A1548" s="78" t="s">
        <v>142</v>
      </c>
      <c r="B1548" s="127" t="s">
        <v>51</v>
      </c>
      <c r="C1548" s="1266">
        <f>CEILING(35*$Z$1,0.1)</f>
        <v>43.800000000000004</v>
      </c>
      <c r="D1548" s="1267"/>
      <c r="E1548" s="1266">
        <f>CEILING(39*$Z$1,0.1)</f>
        <v>48.800000000000004</v>
      </c>
      <c r="F1548" s="1326"/>
      <c r="G1548" s="1266">
        <f>CEILING(39*$Z$1,0.1)</f>
        <v>48.800000000000004</v>
      </c>
      <c r="H1548" s="1326"/>
      <c r="I1548" s="1266">
        <f>CEILING(39*$Z$1,0.1)</f>
        <v>48.800000000000004</v>
      </c>
      <c r="J1548" s="1326"/>
      <c r="K1548" s="1266">
        <f>CEILING(35*$Z$1,0.1)</f>
        <v>43.800000000000004</v>
      </c>
      <c r="L1548" s="1267"/>
      <c r="M1548" s="600"/>
      <c r="N1548" s="346"/>
      <c r="P1548" s="3"/>
      <c r="Q1548" s="3"/>
      <c r="R1548" s="3"/>
      <c r="S1548" s="3"/>
      <c r="W1548"/>
      <c r="X1548"/>
      <c r="Y1548"/>
    </row>
    <row r="1549" spans="1:25" ht="15">
      <c r="A1549" s="63"/>
      <c r="B1549" s="29" t="s">
        <v>52</v>
      </c>
      <c r="C1549" s="1268">
        <f>CEILING(44*$Z$1,0.1)</f>
        <v>55</v>
      </c>
      <c r="D1549" s="1270"/>
      <c r="E1549" s="1268">
        <f>CEILING(48*$Z$1,0.1)</f>
        <v>60</v>
      </c>
      <c r="F1549" s="1269"/>
      <c r="G1549" s="1268">
        <f>CEILING(48*$Z$1,0.1)</f>
        <v>60</v>
      </c>
      <c r="H1549" s="1269"/>
      <c r="I1549" s="1268">
        <f>CEILING(48*$Z$1,0.1)</f>
        <v>60</v>
      </c>
      <c r="J1549" s="1269"/>
      <c r="K1549" s="1268">
        <f>CEILING(44*$Z$1,0.1)</f>
        <v>55</v>
      </c>
      <c r="L1549" s="1270"/>
      <c r="M1549" s="600"/>
      <c r="N1549" s="346"/>
      <c r="P1549" s="3"/>
      <c r="Q1549" s="3"/>
      <c r="R1549" s="3"/>
      <c r="S1549" s="3"/>
      <c r="W1549"/>
      <c r="X1549"/>
      <c r="Y1549"/>
    </row>
    <row r="1550" spans="1:25" ht="15">
      <c r="A1550" s="28" t="s">
        <v>59</v>
      </c>
      <c r="B1550" s="36" t="s">
        <v>47</v>
      </c>
      <c r="C1550" s="1268">
        <f>CEILING(28*$Z$1,0.1)</f>
        <v>35</v>
      </c>
      <c r="D1550" s="1270"/>
      <c r="E1550" s="1268">
        <f>CEILING(31*$Z$1,0.1)</f>
        <v>38.800000000000004</v>
      </c>
      <c r="F1550" s="1269"/>
      <c r="G1550" s="1268">
        <f>CEILING(31*$Z$1,0.1)</f>
        <v>38.800000000000004</v>
      </c>
      <c r="H1550" s="1269"/>
      <c r="I1550" s="1268">
        <f>CEILING(31*$Z$1,0.1)</f>
        <v>38.800000000000004</v>
      </c>
      <c r="J1550" s="1269"/>
      <c r="K1550" s="1268">
        <f>CEILING(28*$Z$1,0.1)</f>
        <v>35</v>
      </c>
      <c r="L1550" s="1270"/>
      <c r="M1550" s="600"/>
      <c r="N1550" s="346"/>
      <c r="P1550" s="3"/>
      <c r="Q1550" s="3"/>
      <c r="R1550" s="3"/>
      <c r="S1550" s="3"/>
      <c r="W1550"/>
      <c r="X1550"/>
      <c r="Y1550"/>
    </row>
    <row r="1551" spans="1:25" ht="15">
      <c r="A1551" s="35"/>
      <c r="B1551" s="127" t="s">
        <v>664</v>
      </c>
      <c r="C1551" s="1284">
        <f>CEILING((C1549*0),0.1)</f>
        <v>0</v>
      </c>
      <c r="D1551" s="1285"/>
      <c r="E1551" s="1284">
        <f>CEILING((E1549*0),0.1)</f>
        <v>0</v>
      </c>
      <c r="F1551" s="1285"/>
      <c r="G1551" s="1284">
        <f>CEILING((G1549*0),0.1)</f>
        <v>0</v>
      </c>
      <c r="H1551" s="1285"/>
      <c r="I1551" s="1284">
        <f>CEILING((I1549*0),0.1)</f>
        <v>0</v>
      </c>
      <c r="J1551" s="1285"/>
      <c r="K1551" s="1284">
        <f>CEILING((K1549*0),0.1)</f>
        <v>0</v>
      </c>
      <c r="L1551" s="1285"/>
      <c r="M1551" s="600"/>
      <c r="N1551" s="346"/>
      <c r="P1551" s="3"/>
      <c r="Q1551" s="3"/>
      <c r="R1551" s="3"/>
      <c r="S1551" s="3"/>
      <c r="V1551"/>
      <c r="W1551"/>
      <c r="X1551"/>
      <c r="Y1551"/>
    </row>
    <row r="1552" spans="1:25" ht="15">
      <c r="A1552" s="35"/>
      <c r="B1552" s="10" t="s">
        <v>143</v>
      </c>
      <c r="C1552" s="1266">
        <f>CEILING(40*$Z$1,0.1)</f>
        <v>50</v>
      </c>
      <c r="D1552" s="1267"/>
      <c r="E1552" s="1268">
        <f>CEILING(44*$Z$1,0.1)</f>
        <v>55</v>
      </c>
      <c r="F1552" s="1269"/>
      <c r="G1552" s="1268">
        <f>CEILING(44*$Z$1,0.1)</f>
        <v>55</v>
      </c>
      <c r="H1552" s="1269"/>
      <c r="I1552" s="1268">
        <f>CEILING(44*$Z$1,0.1)</f>
        <v>55</v>
      </c>
      <c r="J1552" s="1269"/>
      <c r="K1552" s="1268">
        <f>CEILING(40*$Z$1,0.1)</f>
        <v>50</v>
      </c>
      <c r="L1552" s="1270"/>
      <c r="M1552" s="600"/>
      <c r="N1552" s="346"/>
      <c r="P1552" s="3"/>
      <c r="Q1552" s="3"/>
      <c r="R1552" s="3"/>
      <c r="S1552" s="3"/>
      <c r="V1552"/>
      <c r="W1552"/>
      <c r="X1552"/>
      <c r="Y1552"/>
    </row>
    <row r="1553" spans="1:25" ht="15.75" thickBot="1">
      <c r="A1553" s="80" t="s">
        <v>834</v>
      </c>
      <c r="B1553" s="42" t="s">
        <v>144</v>
      </c>
      <c r="C1553" s="1275">
        <f>CEILING(48*$Z$1,0.1)</f>
        <v>60</v>
      </c>
      <c r="D1553" s="1277"/>
      <c r="E1553" s="1275">
        <f>CEILING(53*$Z$1,0.1)</f>
        <v>66.3</v>
      </c>
      <c r="F1553" s="1276"/>
      <c r="G1553" s="1275">
        <f>CEILING(53*$Z$1,0.1)</f>
        <v>66.3</v>
      </c>
      <c r="H1553" s="1276"/>
      <c r="I1553" s="1275">
        <f>CEILING(53*$Z$1,0.1)</f>
        <v>66.3</v>
      </c>
      <c r="J1553" s="1276"/>
      <c r="K1553" s="1275">
        <f>CEILING(48*$Z$1,0.1)</f>
        <v>60</v>
      </c>
      <c r="L1553" s="1277"/>
      <c r="M1553" s="600"/>
      <c r="N1553" s="346"/>
      <c r="P1553" s="189"/>
      <c r="Q1553" s="189"/>
      <c r="R1553" s="189"/>
      <c r="S1553" s="189"/>
      <c r="V1553"/>
      <c r="W1553"/>
      <c r="X1553"/>
      <c r="Y1553"/>
    </row>
    <row r="1554" spans="1:44" s="479" customFormat="1" ht="23.25" customHeight="1" thickTop="1">
      <c r="A1554" s="107" t="s">
        <v>1111</v>
      </c>
      <c r="B1554" s="293"/>
      <c r="C1554" s="293"/>
      <c r="D1554" s="293"/>
      <c r="E1554" s="293"/>
      <c r="F1554" s="293"/>
      <c r="G1554" s="293"/>
      <c r="H1554" s="293"/>
      <c r="I1554" s="293"/>
      <c r="J1554" s="293"/>
      <c r="K1554" s="325"/>
      <c r="L1554" s="94"/>
      <c r="M1554" s="481"/>
      <c r="N1554" s="481"/>
      <c r="O1554" s="481"/>
      <c r="P1554" s="481"/>
      <c r="Q1554" s="481"/>
      <c r="R1554" s="481"/>
      <c r="S1554" s="481"/>
      <c r="T1554" s="481"/>
      <c r="U1554" s="481"/>
      <c r="V1554" s="481"/>
      <c r="W1554" s="481"/>
      <c r="X1554" s="481"/>
      <c r="Y1554" s="481"/>
      <c r="Z1554" s="481"/>
      <c r="AA1554" s="481"/>
      <c r="AB1554" s="192"/>
      <c r="AC1554" s="192"/>
      <c r="AD1554" s="192"/>
      <c r="AE1554" s="192"/>
      <c r="AF1554" s="192"/>
      <c r="AG1554" s="192"/>
      <c r="AH1554" s="192"/>
      <c r="AI1554" s="192"/>
      <c r="AJ1554" s="192"/>
      <c r="AK1554" s="192"/>
      <c r="AL1554" s="192"/>
      <c r="AM1554" s="192"/>
      <c r="AN1554" s="192"/>
      <c r="AO1554" s="192"/>
      <c r="AP1554" s="192"/>
      <c r="AQ1554" s="192"/>
      <c r="AR1554" s="192"/>
    </row>
    <row r="1555" spans="1:25" ht="15">
      <c r="A1555" s="370"/>
      <c r="B1555" s="44"/>
      <c r="C1555" s="372"/>
      <c r="D1555" s="372"/>
      <c r="E1555" s="372"/>
      <c r="F1555" s="372"/>
      <c r="G1555" s="372"/>
      <c r="H1555" s="372"/>
      <c r="I1555" s="372"/>
      <c r="J1555" s="372"/>
      <c r="K1555" s="314"/>
      <c r="L1555" s="314"/>
      <c r="M1555" s="600"/>
      <c r="N1555" s="346"/>
      <c r="V1555"/>
      <c r="W1555"/>
      <c r="X1555"/>
      <c r="Y1555"/>
    </row>
    <row r="1556" spans="1:18" ht="15.75" thickBot="1">
      <c r="A1556" s="72"/>
      <c r="B1556" s="52"/>
      <c r="C1556" s="2"/>
      <c r="D1556" s="2"/>
      <c r="E1556" s="2"/>
      <c r="F1556" s="2"/>
      <c r="G1556" s="2"/>
      <c r="H1556" s="2"/>
      <c r="I1556" s="3"/>
      <c r="J1556" s="190"/>
      <c r="K1556" s="314"/>
      <c r="L1556" s="314"/>
      <c r="M1556" s="600"/>
      <c r="N1556" s="346"/>
      <c r="O1556" s="189"/>
      <c r="P1556" s="189"/>
      <c r="Q1556" s="189"/>
      <c r="R1556" s="189"/>
    </row>
    <row r="1557" spans="1:119" s="663" customFormat="1" ht="23.25" customHeight="1" thickTop="1">
      <c r="A1557" s="794" t="s">
        <v>43</v>
      </c>
      <c r="B1557" s="819" t="s">
        <v>1105</v>
      </c>
      <c r="C1557" s="795" t="s">
        <v>884</v>
      </c>
      <c r="D1557" s="796"/>
      <c r="E1557" s="773" t="s">
        <v>911</v>
      </c>
      <c r="F1557" s="766"/>
      <c r="G1557" s="765" t="s">
        <v>912</v>
      </c>
      <c r="H1557" s="766"/>
      <c r="I1557" s="1280" t="s">
        <v>881</v>
      </c>
      <c r="J1557" s="1281"/>
      <c r="K1557" s="1335" t="s">
        <v>882</v>
      </c>
      <c r="L1557" s="1336"/>
      <c r="M1557" s="1323"/>
      <c r="N1557" s="1328"/>
      <c r="O1557" s="335"/>
      <c r="P1557" s="335"/>
      <c r="Q1557" s="335"/>
      <c r="R1557" s="335"/>
      <c r="S1557" s="335"/>
      <c r="T1557" s="335"/>
      <c r="U1557" s="335"/>
      <c r="V1557" s="335"/>
      <c r="W1557" s="335"/>
      <c r="X1557" s="335"/>
      <c r="Y1557" s="335"/>
      <c r="Z1557" s="335"/>
      <c r="AA1557" s="335"/>
      <c r="AB1557" s="335"/>
      <c r="AC1557" s="335"/>
      <c r="AD1557" s="335"/>
      <c r="AE1557" s="335"/>
      <c r="AF1557" s="335"/>
      <c r="AG1557" s="335"/>
      <c r="AH1557" s="335"/>
      <c r="AI1557" s="335"/>
      <c r="AJ1557" s="335"/>
      <c r="AK1557" s="335"/>
      <c r="AL1557" s="192"/>
      <c r="AM1557" s="192"/>
      <c r="AN1557" s="192"/>
      <c r="AO1557" s="192"/>
      <c r="AP1557" s="192"/>
      <c r="AQ1557" s="192"/>
      <c r="AR1557" s="192"/>
      <c r="AS1557" s="192"/>
      <c r="AT1557" s="192"/>
      <c r="AU1557" s="192"/>
      <c r="AV1557" s="192"/>
      <c r="AW1557" s="192"/>
      <c r="AX1557" s="192"/>
      <c r="AY1557" s="192"/>
      <c r="AZ1557" s="192"/>
      <c r="BA1557" s="192"/>
      <c r="BB1557" s="192"/>
      <c r="BC1557" s="192"/>
      <c r="BD1557" s="192"/>
      <c r="BE1557" s="192"/>
      <c r="BF1557" s="192"/>
      <c r="BG1557" s="192"/>
      <c r="BH1557" s="192"/>
      <c r="BI1557" s="192"/>
      <c r="BJ1557" s="192"/>
      <c r="BK1557" s="192"/>
      <c r="BL1557" s="192"/>
      <c r="BM1557" s="192"/>
      <c r="BN1557" s="192"/>
      <c r="BO1557" s="192"/>
      <c r="BP1557" s="192"/>
      <c r="BQ1557" s="192"/>
      <c r="BR1557" s="192"/>
      <c r="BS1557" s="192"/>
      <c r="BT1557" s="192"/>
      <c r="BU1557" s="192"/>
      <c r="BV1557" s="192"/>
      <c r="BW1557" s="192"/>
      <c r="BX1557" s="192"/>
      <c r="BY1557" s="192"/>
      <c r="BZ1557" s="192"/>
      <c r="CA1557" s="192"/>
      <c r="CB1557" s="192"/>
      <c r="CC1557" s="192"/>
      <c r="CD1557" s="192"/>
      <c r="CE1557" s="192"/>
      <c r="CF1557" s="192"/>
      <c r="CG1557" s="192"/>
      <c r="CH1557" s="192"/>
      <c r="CI1557" s="192"/>
      <c r="CJ1557" s="192"/>
      <c r="CK1557" s="192"/>
      <c r="CL1557" s="192"/>
      <c r="CM1557" s="192"/>
      <c r="CN1557" s="192"/>
      <c r="CO1557" s="192"/>
      <c r="CP1557" s="192"/>
      <c r="CQ1557" s="192"/>
      <c r="CR1557" s="192"/>
      <c r="CS1557" s="192"/>
      <c r="CT1557" s="192"/>
      <c r="CU1557" s="192"/>
      <c r="CV1557" s="192"/>
      <c r="CW1557" s="192"/>
      <c r="CX1557" s="192"/>
      <c r="CY1557" s="192"/>
      <c r="CZ1557" s="192"/>
      <c r="DA1557" s="192"/>
      <c r="DB1557" s="192"/>
      <c r="DC1557" s="192"/>
      <c r="DD1557" s="192"/>
      <c r="DE1557" s="192"/>
      <c r="DF1557" s="192"/>
      <c r="DG1557" s="192"/>
      <c r="DH1557" s="192"/>
      <c r="DI1557" s="192"/>
      <c r="DJ1557" s="192"/>
      <c r="DK1557" s="192"/>
      <c r="DL1557" s="192"/>
      <c r="DM1557" s="192"/>
      <c r="DN1557" s="192"/>
      <c r="DO1557" s="192"/>
    </row>
    <row r="1558" spans="1:25" ht="15">
      <c r="A1558" s="128" t="s">
        <v>18</v>
      </c>
      <c r="B1558" s="29" t="s">
        <v>51</v>
      </c>
      <c r="C1558" s="1266">
        <f>CEILING(28*$Z$1,0.1)</f>
        <v>35</v>
      </c>
      <c r="D1558" s="1267"/>
      <c r="E1558" s="1266">
        <f>CEILING(35*$Z$1,0.1)</f>
        <v>43.800000000000004</v>
      </c>
      <c r="F1558" s="1267"/>
      <c r="G1558" s="1266">
        <f>CEILING(28*$Z$1,0.1)</f>
        <v>35</v>
      </c>
      <c r="H1558" s="1267"/>
      <c r="I1558" s="1266">
        <f>CEILING(35*$Z$1,0.1)</f>
        <v>43.800000000000004</v>
      </c>
      <c r="J1558" s="1326"/>
      <c r="K1558" s="1266">
        <f>CEILING(28*$Z$1,0.1)</f>
        <v>35</v>
      </c>
      <c r="L1558" s="1267"/>
      <c r="M1558" s="898"/>
      <c r="N1558" s="898"/>
      <c r="O1558" s="349"/>
      <c r="P1558" s="349"/>
      <c r="Q1558" s="349"/>
      <c r="R1558" s="349"/>
      <c r="S1558" s="335"/>
      <c r="T1558" s="335"/>
      <c r="U1558" s="335"/>
      <c r="X1558"/>
      <c r="Y1558"/>
    </row>
    <row r="1559" spans="1:25" ht="15">
      <c r="A1559" s="28" t="s">
        <v>90</v>
      </c>
      <c r="B1559" s="29" t="s">
        <v>52</v>
      </c>
      <c r="C1559" s="1268">
        <f>CEILING(34*$Z$1,0.1)</f>
        <v>42.5</v>
      </c>
      <c r="D1559" s="1270"/>
      <c r="E1559" s="1268">
        <f>CEILING(42*$Z$1,0.1)</f>
        <v>52.5</v>
      </c>
      <c r="F1559" s="1270"/>
      <c r="G1559" s="1268">
        <f>CEILING(34*$Z$1,0.1)</f>
        <v>42.5</v>
      </c>
      <c r="H1559" s="1270"/>
      <c r="I1559" s="1268">
        <f>CEILING(42*$Z$1,0.1)</f>
        <v>52.5</v>
      </c>
      <c r="J1559" s="1269"/>
      <c r="K1559" s="1268">
        <f>CEILING(34*$Z$1,0.1)</f>
        <v>42.5</v>
      </c>
      <c r="L1559" s="1270"/>
      <c r="M1559" s="898"/>
      <c r="N1559" s="898"/>
      <c r="O1559" s="423"/>
      <c r="P1559" s="421"/>
      <c r="Q1559" s="423"/>
      <c r="R1559" s="423"/>
      <c r="S1559" s="335"/>
      <c r="T1559" s="335"/>
      <c r="U1559" s="335"/>
      <c r="X1559"/>
      <c r="Y1559"/>
    </row>
    <row r="1560" spans="1:23" s="479" customFormat="1" ht="16.5" customHeight="1" thickBot="1">
      <c r="A1560" s="385" t="s">
        <v>425</v>
      </c>
      <c r="B1560" s="115" t="s">
        <v>570</v>
      </c>
      <c r="C1560" s="1275">
        <f>CEILING((C1558*0.7),0.1)</f>
        <v>24.5</v>
      </c>
      <c r="D1560" s="1277"/>
      <c r="E1560" s="1275">
        <f>CEILING((E1558*0.7),0.1)</f>
        <v>30.700000000000003</v>
      </c>
      <c r="F1560" s="1277"/>
      <c r="G1560" s="1275">
        <f>CEILING((G1558*0.7),0.1)</f>
        <v>24.5</v>
      </c>
      <c r="H1560" s="1277"/>
      <c r="I1560" s="1275">
        <f>CEILING((I1558*0.7),0.1)</f>
        <v>30.700000000000003</v>
      </c>
      <c r="J1560" s="1276"/>
      <c r="K1560" s="1275">
        <f>CEILING((K1558*0.7),0.1)</f>
        <v>24.5</v>
      </c>
      <c r="L1560" s="1277"/>
      <c r="M1560" s="1574"/>
      <c r="N1560" s="1288"/>
      <c r="O1560" s="423"/>
      <c r="P1560" s="421"/>
      <c r="Q1560" s="423"/>
      <c r="R1560" s="423"/>
      <c r="S1560" s="335"/>
      <c r="T1560" s="335"/>
      <c r="U1560" s="335"/>
      <c r="V1560" s="480"/>
      <c r="W1560" s="480"/>
    </row>
    <row r="1561" spans="1:23" s="479" customFormat="1" ht="15.75" thickTop="1">
      <c r="A1561" s="75" t="s">
        <v>1113</v>
      </c>
      <c r="B1561" s="44"/>
      <c r="C1561" s="383"/>
      <c r="D1561" s="383"/>
      <c r="E1561" s="383"/>
      <c r="F1561" s="383"/>
      <c r="G1561" s="383"/>
      <c r="H1561" s="383"/>
      <c r="I1561" s="3"/>
      <c r="J1561" s="58"/>
      <c r="K1561" s="354"/>
      <c r="L1561" s="354"/>
      <c r="M1561" s="349"/>
      <c r="N1561" s="349"/>
      <c r="O1561" s="423"/>
      <c r="P1561" s="421"/>
      <c r="Q1561" s="423"/>
      <c r="R1561" s="423"/>
      <c r="S1561" s="335"/>
      <c r="T1561" s="335"/>
      <c r="U1561" s="335"/>
      <c r="V1561" s="480"/>
      <c r="W1561" s="480"/>
    </row>
    <row r="1562" spans="1:25" s="192" customFormat="1" ht="15">
      <c r="A1562" s="58" t="s">
        <v>1114</v>
      </c>
      <c r="B1562" s="58"/>
      <c r="C1562" s="58"/>
      <c r="D1562" s="58"/>
      <c r="E1562" s="58"/>
      <c r="F1562" s="58"/>
      <c r="G1562" s="58"/>
      <c r="H1562" s="58"/>
      <c r="I1562" s="58"/>
      <c r="J1562" s="58"/>
      <c r="K1562" s="354"/>
      <c r="L1562" s="354"/>
      <c r="M1562" s="893"/>
      <c r="N1562" s="893"/>
      <c r="O1562" s="898"/>
      <c r="P1562" s="898"/>
      <c r="Q1562" s="335"/>
      <c r="R1562" s="335"/>
      <c r="S1562" s="335"/>
      <c r="T1562" s="335"/>
      <c r="U1562" s="335"/>
      <c r="V1562" s="481"/>
      <c r="W1562" s="481"/>
      <c r="X1562" s="481"/>
      <c r="Y1562" s="481"/>
    </row>
    <row r="1563" spans="1:23" s="192" customFormat="1" ht="15">
      <c r="A1563" s="75"/>
      <c r="B1563" s="50"/>
      <c r="C1563" s="3"/>
      <c r="D1563" s="3"/>
      <c r="E1563" s="3"/>
      <c r="F1563" s="3"/>
      <c r="G1563" s="3"/>
      <c r="H1563" s="3"/>
      <c r="I1563" s="3"/>
      <c r="J1563" s="149"/>
      <c r="K1563" s="354"/>
      <c r="L1563" s="354"/>
      <c r="M1563" s="893"/>
      <c r="N1563" s="893"/>
      <c r="O1563" s="423"/>
      <c r="P1563" s="421"/>
      <c r="Q1563" s="423"/>
      <c r="R1563" s="423"/>
      <c r="S1563" s="335"/>
      <c r="T1563" s="335"/>
      <c r="U1563" s="335"/>
      <c r="V1563" s="481"/>
      <c r="W1563" s="481"/>
    </row>
    <row r="1564" spans="1:23" s="479" customFormat="1" ht="15">
      <c r="A1564" s="1397" t="s">
        <v>735</v>
      </c>
      <c r="B1564" s="1397"/>
      <c r="C1564" s="1397"/>
      <c r="D1564" s="1397"/>
      <c r="E1564" s="1397"/>
      <c r="F1564" s="1397"/>
      <c r="G1564" s="1397"/>
      <c r="H1564" s="1397"/>
      <c r="I1564" s="146"/>
      <c r="J1564" s="149"/>
      <c r="K1564" s="354"/>
      <c r="L1564" s="354"/>
      <c r="M1564" s="893"/>
      <c r="N1564" s="893"/>
      <c r="O1564" s="335"/>
      <c r="P1564" s="335"/>
      <c r="Q1564" s="335"/>
      <c r="R1564" s="335"/>
      <c r="S1564" s="335"/>
      <c r="T1564" s="335"/>
      <c r="U1564" s="335"/>
      <c r="V1564" s="480"/>
      <c r="W1564" s="480"/>
    </row>
    <row r="1565" spans="1:23" s="479" customFormat="1" ht="15">
      <c r="A1565" s="509" t="s">
        <v>606</v>
      </c>
      <c r="B1565" s="509"/>
      <c r="C1565" s="509"/>
      <c r="D1565" s="509"/>
      <c r="E1565" s="509"/>
      <c r="F1565" s="509"/>
      <c r="G1565" s="509"/>
      <c r="H1565" s="509"/>
      <c r="I1565" s="515"/>
      <c r="J1565" s="601"/>
      <c r="K1565" s="354"/>
      <c r="L1565" s="354"/>
      <c r="M1565" s="893"/>
      <c r="N1565" s="893"/>
      <c r="O1565" s="335"/>
      <c r="P1565" s="335"/>
      <c r="Q1565" s="335"/>
      <c r="R1565" s="335"/>
      <c r="S1565" s="335"/>
      <c r="T1565" s="335"/>
      <c r="U1565" s="335"/>
      <c r="V1565" s="480"/>
      <c r="W1565" s="480"/>
    </row>
    <row r="1566" spans="1:23" s="479" customFormat="1" ht="15" customHeight="1">
      <c r="A1566" s="1397" t="s">
        <v>1231</v>
      </c>
      <c r="B1566" s="1397"/>
      <c r="C1566" s="1397"/>
      <c r="D1566" s="1397"/>
      <c r="E1566" s="1397"/>
      <c r="F1566" s="1397"/>
      <c r="G1566" s="1397"/>
      <c r="H1566" s="1397"/>
      <c r="I1566" s="146"/>
      <c r="J1566" s="31"/>
      <c r="K1566" s="354"/>
      <c r="L1566" s="354"/>
      <c r="M1566" s="893"/>
      <c r="N1566" s="893"/>
      <c r="O1566" s="335"/>
      <c r="P1566" s="335"/>
      <c r="Q1566" s="335"/>
      <c r="R1566" s="335"/>
      <c r="S1566" s="335"/>
      <c r="T1566" s="335"/>
      <c r="U1566" s="335"/>
      <c r="V1566" s="480"/>
      <c r="W1566" s="480"/>
    </row>
    <row r="1567" spans="1:23" s="479" customFormat="1" ht="15" customHeight="1">
      <c r="A1567" s="18"/>
      <c r="B1567" s="18"/>
      <c r="C1567" s="18"/>
      <c r="D1567" s="18"/>
      <c r="E1567" s="18"/>
      <c r="F1567" s="18"/>
      <c r="G1567" s="18"/>
      <c r="H1567" s="18"/>
      <c r="I1567" s="31"/>
      <c r="J1567" s="31"/>
      <c r="K1567" s="354"/>
      <c r="L1567" s="354"/>
      <c r="M1567" s="893"/>
      <c r="N1567" s="898"/>
      <c r="O1567" s="335"/>
      <c r="P1567" s="335"/>
      <c r="Q1567" s="335"/>
      <c r="R1567" s="335"/>
      <c r="S1567" s="335"/>
      <c r="T1567" s="335"/>
      <c r="U1567" s="335"/>
      <c r="V1567" s="480"/>
      <c r="W1567" s="480"/>
    </row>
    <row r="1568" spans="1:23" s="479" customFormat="1" ht="15" customHeight="1">
      <c r="A1568" s="30" t="s">
        <v>19</v>
      </c>
      <c r="B1568" s="31"/>
      <c r="C1568" s="31"/>
      <c r="D1568" s="31"/>
      <c r="E1568" s="31"/>
      <c r="F1568" s="31"/>
      <c r="G1568" s="31"/>
      <c r="H1568" s="31"/>
      <c r="I1568" s="31"/>
      <c r="J1568" s="193"/>
      <c r="K1568" s="354"/>
      <c r="L1568" s="354"/>
      <c r="M1568" s="893"/>
      <c r="N1568" s="898"/>
      <c r="O1568" s="335"/>
      <c r="P1568" s="335"/>
      <c r="Q1568" s="335"/>
      <c r="R1568" s="335"/>
      <c r="S1568" s="335"/>
      <c r="T1568" s="335"/>
      <c r="U1568" s="335"/>
      <c r="V1568" s="480"/>
      <c r="W1568" s="480"/>
    </row>
    <row r="1569" spans="1:23" s="479" customFormat="1" ht="15" customHeight="1">
      <c r="A1569" s="1396" t="s">
        <v>145</v>
      </c>
      <c r="B1569" s="1396"/>
      <c r="C1569" s="1396"/>
      <c r="D1569" s="1396"/>
      <c r="E1569" s="1396"/>
      <c r="F1569" s="1396"/>
      <c r="G1569" s="1396"/>
      <c r="H1569" s="1396"/>
      <c r="I1569" s="193"/>
      <c r="J1569" s="111"/>
      <c r="K1569" s="354"/>
      <c r="L1569" s="354"/>
      <c r="M1569" s="893"/>
      <c r="N1569" s="898"/>
      <c r="O1569" s="335"/>
      <c r="P1569" s="335"/>
      <c r="Q1569" s="335"/>
      <c r="R1569" s="335"/>
      <c r="S1569" s="335"/>
      <c r="T1569" s="335"/>
      <c r="U1569" s="335"/>
      <c r="V1569" s="480"/>
      <c r="W1569" s="480"/>
    </row>
    <row r="1570" spans="1:23" s="479" customFormat="1" ht="16.5" customHeight="1" thickBot="1">
      <c r="A1570" s="651"/>
      <c r="B1570" s="651"/>
      <c r="C1570" s="651"/>
      <c r="D1570" s="651"/>
      <c r="E1570" s="651"/>
      <c r="F1570" s="651"/>
      <c r="G1570" s="651"/>
      <c r="H1570" s="651"/>
      <c r="I1570" s="193"/>
      <c r="J1570" s="111"/>
      <c r="K1570" s="354"/>
      <c r="L1570" s="354"/>
      <c r="M1570" s="893"/>
      <c r="N1570" s="898"/>
      <c r="O1570" s="335"/>
      <c r="P1570" s="335"/>
      <c r="Q1570" s="335"/>
      <c r="R1570" s="335"/>
      <c r="S1570" s="335"/>
      <c r="T1570" s="335"/>
      <c r="U1570" s="335"/>
      <c r="V1570" s="480"/>
      <c r="W1570" s="480"/>
    </row>
    <row r="1571" spans="1:50" s="664" customFormat="1" ht="28.5" customHeight="1" thickTop="1">
      <c r="A1571" s="746" t="s">
        <v>43</v>
      </c>
      <c r="B1571" s="814" t="s">
        <v>1126</v>
      </c>
      <c r="C1571" s="795" t="s">
        <v>884</v>
      </c>
      <c r="D1571" s="796"/>
      <c r="E1571" s="749" t="s">
        <v>911</v>
      </c>
      <c r="F1571" s="750"/>
      <c r="G1571" s="749" t="s">
        <v>912</v>
      </c>
      <c r="H1571" s="750"/>
      <c r="I1571" s="1273" t="s">
        <v>881</v>
      </c>
      <c r="J1571" s="1274"/>
      <c r="K1571" s="1273" t="s">
        <v>882</v>
      </c>
      <c r="L1571" s="1274"/>
      <c r="M1571" s="898"/>
      <c r="N1571" s="898"/>
      <c r="O1571" s="335"/>
      <c r="P1571" s="335"/>
      <c r="Q1571" s="335"/>
      <c r="R1571" s="335"/>
      <c r="S1571" s="335"/>
      <c r="T1571" s="335"/>
      <c r="U1571" s="335"/>
      <c r="V1571" s="335"/>
      <c r="W1571" s="335"/>
      <c r="X1571" s="335"/>
      <c r="Y1571" s="335"/>
      <c r="Z1571" s="335"/>
      <c r="AA1571" s="335"/>
      <c r="AB1571" s="335"/>
      <c r="AC1571" s="335"/>
      <c r="AD1571" s="335"/>
      <c r="AE1571" s="335"/>
      <c r="AF1571" s="335"/>
      <c r="AG1571" s="335"/>
      <c r="AH1571" s="335"/>
      <c r="AI1571" s="335"/>
      <c r="AJ1571" s="335"/>
      <c r="AK1571" s="335"/>
      <c r="AL1571" s="335"/>
      <c r="AM1571" s="335"/>
      <c r="AN1571" s="335"/>
      <c r="AO1571" s="335"/>
      <c r="AP1571" s="335"/>
      <c r="AQ1571" s="335"/>
      <c r="AR1571" s="335"/>
      <c r="AS1571" s="335"/>
      <c r="AT1571" s="335"/>
      <c r="AU1571" s="335"/>
      <c r="AV1571" s="335"/>
      <c r="AW1571" s="335"/>
      <c r="AX1571" s="335"/>
    </row>
    <row r="1572" spans="1:23" s="479" customFormat="1" ht="15">
      <c r="A1572" s="460" t="s">
        <v>772</v>
      </c>
      <c r="B1572" s="133" t="s">
        <v>774</v>
      </c>
      <c r="C1572" s="986">
        <f>CEILING(96*$Z$1,0.1)</f>
        <v>120</v>
      </c>
      <c r="D1572" s="894"/>
      <c r="E1572" s="986">
        <f>CEILING(150*$Z$1,0.1)</f>
        <v>187.5</v>
      </c>
      <c r="F1572" s="894"/>
      <c r="G1572" s="986">
        <f>CEILING(125*$Z$1,0.1)</f>
        <v>156.3</v>
      </c>
      <c r="H1572" s="894"/>
      <c r="I1572" s="986">
        <f>CEILING(125*$Z$1,0.1)</f>
        <v>156.3</v>
      </c>
      <c r="J1572" s="894"/>
      <c r="K1572" s="985">
        <f>CEILING(100*$Z$1,0.1)</f>
        <v>125</v>
      </c>
      <c r="L1572" s="896"/>
      <c r="M1572" s="893"/>
      <c r="N1572" s="898"/>
      <c r="O1572" s="900"/>
      <c r="P1572" s="900"/>
      <c r="Q1572" s="335"/>
      <c r="R1572" s="335"/>
      <c r="S1572" s="335"/>
      <c r="T1572" s="335"/>
      <c r="U1572" s="335"/>
      <c r="V1572" s="480"/>
      <c r="W1572" s="480"/>
    </row>
    <row r="1573" spans="1:23" s="479" customFormat="1" ht="15">
      <c r="A1573" s="458" t="s">
        <v>45</v>
      </c>
      <c r="B1573" s="11" t="s">
        <v>775</v>
      </c>
      <c r="C1573" s="683">
        <f>CEILING(144*$Z$1,0.1)</f>
        <v>180</v>
      </c>
      <c r="D1573" s="684"/>
      <c r="E1573" s="683">
        <f>CEILING(225*$Z$1,0.1)</f>
        <v>281.3</v>
      </c>
      <c r="F1573" s="684"/>
      <c r="G1573" s="683">
        <f>CEILING(188*$Z$1,0.1)</f>
        <v>235</v>
      </c>
      <c r="H1573" s="684"/>
      <c r="I1573" s="683">
        <f>CEILING(188*$Z$1,0.1)</f>
        <v>235</v>
      </c>
      <c r="J1573" s="684"/>
      <c r="K1573" s="683">
        <f>CEILING(150*$Z$1,0.1)</f>
        <v>187.5</v>
      </c>
      <c r="L1573" s="684"/>
      <c r="M1573" s="893"/>
      <c r="N1573" s="898"/>
      <c r="O1573" s="900"/>
      <c r="P1573" s="900"/>
      <c r="Q1573" s="335"/>
      <c r="R1573" s="335"/>
      <c r="S1573" s="335"/>
      <c r="T1573" s="335"/>
      <c r="U1573" s="335"/>
      <c r="V1573" s="480"/>
      <c r="W1573" s="480"/>
    </row>
    <row r="1574" spans="1:23" s="479" customFormat="1" ht="15">
      <c r="A1574" s="461"/>
      <c r="B1574" s="11" t="s">
        <v>776</v>
      </c>
      <c r="C1574" s="986">
        <f>CEILING(106*$Z$1,0.1)</f>
        <v>132.5</v>
      </c>
      <c r="D1574" s="894"/>
      <c r="E1574" s="986">
        <f>CEILING(160*$Z$1,0.1)</f>
        <v>200</v>
      </c>
      <c r="F1574" s="894"/>
      <c r="G1574" s="986">
        <f>CEILING(135*$Z$1,0.1)</f>
        <v>168.8</v>
      </c>
      <c r="H1574" s="894"/>
      <c r="I1574" s="986">
        <f>CEILING(135*$Z$1,0.1)</f>
        <v>168.8</v>
      </c>
      <c r="J1574" s="894"/>
      <c r="K1574" s="986">
        <f>CEILING(110*$Z$1,0.1)</f>
        <v>137.5</v>
      </c>
      <c r="L1574" s="894"/>
      <c r="M1574" s="893"/>
      <c r="N1574" s="898"/>
      <c r="O1574" s="900"/>
      <c r="P1574" s="900"/>
      <c r="Q1574" s="335"/>
      <c r="R1574" s="335"/>
      <c r="S1574" s="335"/>
      <c r="T1574" s="335"/>
      <c r="U1574" s="335"/>
      <c r="V1574" s="480"/>
      <c r="W1574" s="480"/>
    </row>
    <row r="1575" spans="1:25" s="479" customFormat="1" ht="15">
      <c r="A1575" s="398"/>
      <c r="B1575" s="11" t="s">
        <v>777</v>
      </c>
      <c r="C1575" s="683">
        <f>CEILING(159*$Z$1,0.1)</f>
        <v>198.8</v>
      </c>
      <c r="D1575" s="894"/>
      <c r="E1575" s="683">
        <f>CEILING(240*$Z$1,0.1)</f>
        <v>300</v>
      </c>
      <c r="F1575" s="894"/>
      <c r="G1575" s="683">
        <f>CEILING(203*$Z$1,0.1)</f>
        <v>253.8</v>
      </c>
      <c r="H1575" s="894"/>
      <c r="I1575" s="683">
        <f>CEILING(203*$Z$1,0.1)</f>
        <v>253.8</v>
      </c>
      <c r="J1575" s="894"/>
      <c r="K1575" s="683">
        <f>CEILING(165*$Z$1,0.1)</f>
        <v>206.3</v>
      </c>
      <c r="L1575" s="894"/>
      <c r="M1575" s="893"/>
      <c r="N1575" s="898"/>
      <c r="O1575" s="898"/>
      <c r="P1575" s="898"/>
      <c r="Q1575" s="335"/>
      <c r="R1575" s="335"/>
      <c r="S1575" s="335"/>
      <c r="T1575" s="335"/>
      <c r="U1575" s="335"/>
      <c r="V1575" s="480"/>
      <c r="W1575" s="480"/>
      <c r="X1575" s="480"/>
      <c r="Y1575" s="480"/>
    </row>
    <row r="1576" spans="1:25" s="479" customFormat="1" ht="15">
      <c r="A1576" s="398"/>
      <c r="B1576" s="29" t="s">
        <v>778</v>
      </c>
      <c r="C1576" s="986">
        <f>CEILING(121*$Z$1,0.1)</f>
        <v>151.3</v>
      </c>
      <c r="D1576" s="894"/>
      <c r="E1576" s="986">
        <f>CEILING(175*$Z$1,0.1)</f>
        <v>218.8</v>
      </c>
      <c r="F1576" s="894"/>
      <c r="G1576" s="986">
        <f>CEILING(150*$Z$1,0.1)</f>
        <v>187.5</v>
      </c>
      <c r="H1576" s="894"/>
      <c r="I1576" s="986">
        <f>CEILING(150*$Z$1,0.1)</f>
        <v>187.5</v>
      </c>
      <c r="J1576" s="894"/>
      <c r="K1576" s="986">
        <f>CEILING(125*$Z$1,0.1)</f>
        <v>156.3</v>
      </c>
      <c r="L1576" s="894"/>
      <c r="M1576" s="893"/>
      <c r="N1576" s="898"/>
      <c r="O1576" s="898"/>
      <c r="P1576" s="898"/>
      <c r="Q1576" s="335"/>
      <c r="R1576" s="335"/>
      <c r="S1576" s="335"/>
      <c r="T1576" s="335"/>
      <c r="U1576" s="335"/>
      <c r="V1576" s="480"/>
      <c r="W1576" s="480"/>
      <c r="X1576" s="480"/>
      <c r="Y1576" s="480"/>
    </row>
    <row r="1577" spans="1:25" s="479" customFormat="1" ht="15">
      <c r="A1577" s="671"/>
      <c r="B1577" s="29" t="s">
        <v>779</v>
      </c>
      <c r="C1577" s="683">
        <f>CEILING(182*$Z$1,0.1)</f>
        <v>227.5</v>
      </c>
      <c r="D1577" s="684"/>
      <c r="E1577" s="683">
        <f>CEILING(263*$Z$1,0.1)</f>
        <v>328.8</v>
      </c>
      <c r="F1577" s="684"/>
      <c r="G1577" s="683">
        <f>CEILING(225*$Z$1,0.1)</f>
        <v>281.3</v>
      </c>
      <c r="H1577" s="684"/>
      <c r="I1577" s="683">
        <f>CEILING(225*$Z$1,0.1)</f>
        <v>281.3</v>
      </c>
      <c r="J1577" s="684"/>
      <c r="K1577" s="683">
        <f>CEILING(188*$Z$1,0.1)</f>
        <v>235</v>
      </c>
      <c r="L1577" s="684"/>
      <c r="M1577" s="342"/>
      <c r="N1577" s="342"/>
      <c r="O1577" s="898"/>
      <c r="P1577" s="898"/>
      <c r="Q1577" s="335"/>
      <c r="R1577" s="335"/>
      <c r="S1577" s="335"/>
      <c r="T1577" s="335"/>
      <c r="U1577" s="335"/>
      <c r="V1577" s="480"/>
      <c r="W1577" s="480"/>
      <c r="X1577" s="480"/>
      <c r="Y1577" s="480"/>
    </row>
    <row r="1578" spans="1:25" s="479" customFormat="1" ht="15">
      <c r="A1578" s="458"/>
      <c r="B1578" s="29" t="s">
        <v>790</v>
      </c>
      <c r="C1578" s="986">
        <f>CEILING(146*$Z$1,0.1)</f>
        <v>182.5</v>
      </c>
      <c r="D1578" s="894"/>
      <c r="E1578" s="986">
        <f>CEILING(200*$Z$1,0.1)</f>
        <v>250</v>
      </c>
      <c r="F1578" s="894"/>
      <c r="G1578" s="986">
        <f>CEILING(175*$Z$1,0.1)</f>
        <v>218.8</v>
      </c>
      <c r="H1578" s="894"/>
      <c r="I1578" s="986">
        <f>CEILING(175*$Z$1,0.1)</f>
        <v>218.8</v>
      </c>
      <c r="J1578" s="894"/>
      <c r="K1578" s="986">
        <f>CEILING(150*$Z$1,0.1)</f>
        <v>187.5</v>
      </c>
      <c r="L1578" s="894"/>
      <c r="M1578" s="342"/>
      <c r="N1578" s="342"/>
      <c r="O1578" s="898"/>
      <c r="P1578" s="898"/>
      <c r="Q1578" s="335"/>
      <c r="R1578" s="335"/>
      <c r="S1578" s="335"/>
      <c r="T1578" s="335"/>
      <c r="U1578" s="335"/>
      <c r="V1578" s="480"/>
      <c r="W1578" s="480"/>
      <c r="X1578" s="480"/>
      <c r="Y1578" s="480"/>
    </row>
    <row r="1579" spans="1:25" s="479" customFormat="1" ht="15">
      <c r="A1579" s="458"/>
      <c r="B1579" s="29" t="s">
        <v>791</v>
      </c>
      <c r="C1579" s="683">
        <f>CEILING(219*$Z$1,0.1)</f>
        <v>273.8</v>
      </c>
      <c r="D1579" s="894"/>
      <c r="E1579" s="683">
        <f>CEILING(300*$Z$1,0.1)</f>
        <v>375</v>
      </c>
      <c r="F1579" s="894"/>
      <c r="G1579" s="683">
        <f>CEILING(263*$Z$1,0.1)</f>
        <v>328.8</v>
      </c>
      <c r="H1579" s="894"/>
      <c r="I1579" s="683">
        <f>CEILING(263*$Z$1,0.1)</f>
        <v>328.8</v>
      </c>
      <c r="J1579" s="894"/>
      <c r="K1579" s="683">
        <f>CEILING(225*$Z$1,0.1)</f>
        <v>281.3</v>
      </c>
      <c r="L1579" s="894"/>
      <c r="M1579" s="342"/>
      <c r="N1579" s="342"/>
      <c r="O1579" s="898"/>
      <c r="P1579" s="898"/>
      <c r="Q1579" s="335"/>
      <c r="R1579" s="335"/>
      <c r="S1579" s="335"/>
      <c r="T1579" s="335"/>
      <c r="U1579" s="335"/>
      <c r="V1579" s="480"/>
      <c r="W1579" s="480"/>
      <c r="X1579" s="480"/>
      <c r="Y1579" s="480"/>
    </row>
    <row r="1580" spans="1:25" ht="15">
      <c r="A1580" s="458"/>
      <c r="B1580" s="29" t="s">
        <v>780</v>
      </c>
      <c r="C1580" s="986">
        <f>CEILING(181*$Z$1,0.1)</f>
        <v>226.3</v>
      </c>
      <c r="D1580" s="894"/>
      <c r="E1580" s="986">
        <f>CEILING(235*$Z$1,0.1)</f>
        <v>293.8</v>
      </c>
      <c r="F1580" s="894"/>
      <c r="G1580" s="986">
        <f>CEILING(210*$Z$1,0.1)</f>
        <v>262.5</v>
      </c>
      <c r="H1580" s="894"/>
      <c r="I1580" s="986">
        <f>CEILING(210*$Z$1,0.1)</f>
        <v>262.5</v>
      </c>
      <c r="J1580" s="894"/>
      <c r="K1580" s="986">
        <f>CEILING(185*$Z$1,0.1)</f>
        <v>231.3</v>
      </c>
      <c r="L1580" s="894"/>
      <c r="M1580" s="898"/>
      <c r="N1580" s="898"/>
      <c r="O1580" s="423"/>
      <c r="P1580" s="421"/>
      <c r="Q1580" s="423"/>
      <c r="R1580" s="423"/>
      <c r="S1580" s="335"/>
      <c r="T1580" s="335"/>
      <c r="U1580" s="335"/>
      <c r="X1580"/>
      <c r="Y1580"/>
    </row>
    <row r="1581" spans="1:25" ht="15">
      <c r="A1581" s="458"/>
      <c r="B1581" s="29" t="s">
        <v>781</v>
      </c>
      <c r="C1581" s="683">
        <f>CEILING(272*$Z$1,0.1)</f>
        <v>340</v>
      </c>
      <c r="D1581" s="684"/>
      <c r="E1581" s="683">
        <f>CEILING(353*$Z$1,0.1)</f>
        <v>441.3</v>
      </c>
      <c r="F1581" s="684"/>
      <c r="G1581" s="683">
        <f>CEILING(315*$Z$1,0.1)</f>
        <v>393.8</v>
      </c>
      <c r="H1581" s="684"/>
      <c r="I1581" s="683">
        <f>CEILING(315*$Z$1,0.1)</f>
        <v>393.8</v>
      </c>
      <c r="J1581" s="684"/>
      <c r="K1581" s="683">
        <f>CEILING(278*$Z$1,0.1)</f>
        <v>347.5</v>
      </c>
      <c r="L1581" s="684"/>
      <c r="M1581" s="1574"/>
      <c r="N1581" s="1288"/>
      <c r="O1581" s="423"/>
      <c r="P1581" s="421"/>
      <c r="Q1581" s="423"/>
      <c r="R1581" s="423"/>
      <c r="S1581" s="335"/>
      <c r="T1581" s="335"/>
      <c r="U1581" s="335"/>
      <c r="X1581"/>
      <c r="Y1581"/>
    </row>
    <row r="1582" spans="1:25" ht="15">
      <c r="A1582" s="452"/>
      <c r="B1582" s="29" t="s">
        <v>782</v>
      </c>
      <c r="C1582" s="986">
        <f>CEILING(206*$Z$1,0.1)</f>
        <v>257.5</v>
      </c>
      <c r="D1582" s="894"/>
      <c r="E1582" s="986">
        <f>CEILING(260*$Z$1,0.1)</f>
        <v>325</v>
      </c>
      <c r="F1582" s="894"/>
      <c r="G1582" s="986">
        <f>CEILING(235*$Z$1,0.1)</f>
        <v>293.8</v>
      </c>
      <c r="H1582" s="894"/>
      <c r="I1582" s="986">
        <f>CEILING(235*$Z$1,0.1)</f>
        <v>293.8</v>
      </c>
      <c r="J1582" s="894"/>
      <c r="K1582" s="986">
        <f>CEILING(210*$Z$1,0.1)</f>
        <v>262.5</v>
      </c>
      <c r="L1582" s="894"/>
      <c r="M1582" s="349"/>
      <c r="N1582" s="349"/>
      <c r="O1582" s="423"/>
      <c r="P1582" s="421"/>
      <c r="Q1582" s="423"/>
      <c r="R1582" s="423"/>
      <c r="S1582" s="335"/>
      <c r="T1582" s="335"/>
      <c r="U1582" s="335"/>
      <c r="X1582"/>
      <c r="Y1582"/>
    </row>
    <row r="1583" spans="1:25" s="404" customFormat="1" ht="15">
      <c r="A1583" s="452"/>
      <c r="B1583" s="29" t="s">
        <v>783</v>
      </c>
      <c r="C1583" s="683">
        <f>CEILING(309*$Z$1,0.1)</f>
        <v>386.3</v>
      </c>
      <c r="D1583" s="894"/>
      <c r="E1583" s="683">
        <f>CEILING(390*$Z$1,0.1)</f>
        <v>487.5</v>
      </c>
      <c r="F1583" s="894"/>
      <c r="G1583" s="683">
        <f>CEILING(353*$Z$1,0.1)</f>
        <v>441.3</v>
      </c>
      <c r="H1583" s="894"/>
      <c r="I1583" s="683">
        <f>CEILING(353*$Z$1,0.1)</f>
        <v>441.3</v>
      </c>
      <c r="J1583" s="894"/>
      <c r="K1583" s="683">
        <f>CEILING(315*$Z$1,0.1)</f>
        <v>393.8</v>
      </c>
      <c r="L1583" s="894"/>
      <c r="M1583" s="893"/>
      <c r="N1583" s="893"/>
      <c r="O1583" s="898"/>
      <c r="P1583" s="898"/>
      <c r="Q1583" s="335"/>
      <c r="R1583" s="335"/>
      <c r="S1583" s="335"/>
      <c r="T1583" s="335"/>
      <c r="U1583" s="335"/>
      <c r="V1583" s="169"/>
      <c r="W1583" s="169"/>
      <c r="X1583" s="169"/>
      <c r="Y1583" s="169"/>
    </row>
    <row r="1584" spans="1:25" ht="15">
      <c r="A1584" s="452"/>
      <c r="B1584" s="29" t="s">
        <v>784</v>
      </c>
      <c r="C1584" s="986">
        <f>CEILING(331*$Z$1,0.1)</f>
        <v>413.8</v>
      </c>
      <c r="D1584" s="894"/>
      <c r="E1584" s="986">
        <f>CEILING(385*$Z$1,0.1)</f>
        <v>481.3</v>
      </c>
      <c r="F1584" s="894"/>
      <c r="G1584" s="986">
        <f>CEILING(360*$Z$1,0.1)</f>
        <v>450</v>
      </c>
      <c r="H1584" s="894"/>
      <c r="I1584" s="986">
        <f>CEILING(360*$Z$1,0.1)</f>
        <v>450</v>
      </c>
      <c r="J1584" s="894"/>
      <c r="K1584" s="986">
        <f>CEILING(335*$Z$1,0.1)</f>
        <v>418.8</v>
      </c>
      <c r="L1584" s="894"/>
      <c r="M1584" s="893"/>
      <c r="N1584" s="893"/>
      <c r="O1584" s="423"/>
      <c r="P1584" s="421"/>
      <c r="Q1584" s="423"/>
      <c r="R1584" s="423"/>
      <c r="S1584" s="335"/>
      <c r="T1584" s="335"/>
      <c r="U1584" s="335"/>
      <c r="X1584"/>
      <c r="Y1584"/>
    </row>
    <row r="1585" spans="1:25" ht="15">
      <c r="A1585" s="452"/>
      <c r="B1585" s="29" t="s">
        <v>785</v>
      </c>
      <c r="C1585" s="683">
        <f>CEILING(497*$Z$1,0.1)</f>
        <v>621.3000000000001</v>
      </c>
      <c r="D1585" s="684"/>
      <c r="E1585" s="683">
        <f>CEILING(578*$Z$1,0.1)</f>
        <v>722.5</v>
      </c>
      <c r="F1585" s="684"/>
      <c r="G1585" s="683">
        <f>CEILING(540*$Z$1,0.1)</f>
        <v>675</v>
      </c>
      <c r="H1585" s="684"/>
      <c r="I1585" s="683">
        <f>CEILING(540*$Z$1,0.1)</f>
        <v>675</v>
      </c>
      <c r="J1585" s="684"/>
      <c r="K1585" s="683">
        <f>CEILING(503*$Z$1,0.1)</f>
        <v>628.8000000000001</v>
      </c>
      <c r="L1585" s="684"/>
      <c r="M1585" s="893"/>
      <c r="N1585" s="893"/>
      <c r="O1585" s="423"/>
      <c r="P1585" s="421"/>
      <c r="Q1585" s="423"/>
      <c r="R1585" s="423"/>
      <c r="S1585" s="335"/>
      <c r="T1585" s="335"/>
      <c r="U1585" s="335"/>
      <c r="X1585"/>
      <c r="Y1585"/>
    </row>
    <row r="1586" spans="1:25" ht="15">
      <c r="A1586" s="448"/>
      <c r="B1586" s="29" t="s">
        <v>786</v>
      </c>
      <c r="C1586" s="986">
        <f>CEILING(631*$Z$1,0.1)</f>
        <v>788.8000000000001</v>
      </c>
      <c r="D1586" s="894"/>
      <c r="E1586" s="986">
        <f>CEILING(685*$Z$1,0.1)</f>
        <v>856.3000000000001</v>
      </c>
      <c r="F1586" s="894"/>
      <c r="G1586" s="986">
        <f>CEILING(660*$Z$1,0.1)</f>
        <v>825</v>
      </c>
      <c r="H1586" s="894"/>
      <c r="I1586" s="986">
        <f>CEILING(660*$Z$1,0.1)</f>
        <v>825</v>
      </c>
      <c r="J1586" s="894"/>
      <c r="K1586" s="986">
        <f>CEILING(635*$Z$1,0.1)</f>
        <v>793.8000000000001</v>
      </c>
      <c r="L1586" s="894"/>
      <c r="M1586" s="893"/>
      <c r="N1586" s="893"/>
      <c r="O1586" s="424"/>
      <c r="P1586" s="422"/>
      <c r="Q1586" s="424"/>
      <c r="R1586" s="424"/>
      <c r="S1586" s="335"/>
      <c r="T1586" s="335"/>
      <c r="U1586" s="335"/>
      <c r="X1586"/>
      <c r="Y1586"/>
    </row>
    <row r="1587" spans="1:25" ht="16.5" thickBot="1">
      <c r="A1587" s="990" t="s">
        <v>773</v>
      </c>
      <c r="B1587" s="184" t="s">
        <v>787</v>
      </c>
      <c r="C1587" s="987">
        <f>CEILING(947*$Z$1,0.1)</f>
        <v>1183.8</v>
      </c>
      <c r="D1587" s="895"/>
      <c r="E1587" s="987">
        <f>CEILING(1028*$Z$1,0.1)</f>
        <v>1285</v>
      </c>
      <c r="F1587" s="895"/>
      <c r="G1587" s="987">
        <f>CEILING(990*$Z$1,0.1)</f>
        <v>1237.5</v>
      </c>
      <c r="H1587" s="895"/>
      <c r="I1587" s="987">
        <f>CEILING(990*$Z$1,0.1)</f>
        <v>1237.5</v>
      </c>
      <c r="J1587" s="895"/>
      <c r="K1587" s="987">
        <f>CEILING(953*$Z$1,0.1)</f>
        <v>1191.3</v>
      </c>
      <c r="L1587" s="895"/>
      <c r="M1587" s="893"/>
      <c r="N1587" s="893"/>
      <c r="O1587" s="335"/>
      <c r="P1587" s="335"/>
      <c r="Q1587" s="335"/>
      <c r="R1587" s="335"/>
      <c r="S1587" s="335"/>
      <c r="T1587" s="335"/>
      <c r="U1587" s="335"/>
      <c r="X1587"/>
      <c r="Y1587"/>
    </row>
    <row r="1588" spans="1:25" ht="15.75" thickTop="1">
      <c r="A1588" s="542" t="s">
        <v>788</v>
      </c>
      <c r="B1588" s="18"/>
      <c r="C1588" s="18"/>
      <c r="D1588" s="18"/>
      <c r="E1588" s="18"/>
      <c r="F1588" s="18"/>
      <c r="G1588" s="18"/>
      <c r="H1588" s="18"/>
      <c r="I1588" s="18"/>
      <c r="J1588" s="132"/>
      <c r="K1588" s="901"/>
      <c r="L1588" s="970"/>
      <c r="M1588" s="893"/>
      <c r="N1588" s="893"/>
      <c r="O1588" s="335"/>
      <c r="P1588" s="335"/>
      <c r="Q1588" s="335"/>
      <c r="R1588" s="335"/>
      <c r="S1588" s="335"/>
      <c r="T1588" s="335"/>
      <c r="U1588" s="335"/>
      <c r="X1588"/>
      <c r="Y1588"/>
    </row>
    <row r="1589" spans="1:25" ht="15" customHeight="1">
      <c r="A1589" s="172" t="s">
        <v>789</v>
      </c>
      <c r="B1589" s="650"/>
      <c r="C1589" s="650"/>
      <c r="D1589" s="650"/>
      <c r="E1589" s="650"/>
      <c r="F1589" s="650"/>
      <c r="G1589" s="650"/>
      <c r="H1589" s="650"/>
      <c r="I1589" s="650"/>
      <c r="J1589" s="650"/>
      <c r="K1589" s="332"/>
      <c r="L1589" s="901"/>
      <c r="M1589" s="893"/>
      <c r="N1589" s="893"/>
      <c r="O1589" s="335"/>
      <c r="P1589" s="335"/>
      <c r="Q1589" s="335"/>
      <c r="R1589" s="335"/>
      <c r="S1589" s="335"/>
      <c r="T1589" s="335"/>
      <c r="U1589" s="335"/>
      <c r="X1589"/>
      <c r="Y1589"/>
    </row>
    <row r="1590" spans="1:50" s="479" customFormat="1" ht="18" customHeight="1">
      <c r="A1590" s="172" t="s">
        <v>1125</v>
      </c>
      <c r="B1590" s="902"/>
      <c r="C1590" s="22"/>
      <c r="D1590" s="22"/>
      <c r="E1590" s="22"/>
      <c r="F1590" s="22"/>
      <c r="G1590" s="22"/>
      <c r="H1590" s="22"/>
      <c r="I1590" s="22"/>
      <c r="J1590" s="22"/>
      <c r="K1590" s="166"/>
      <c r="L1590" s="166"/>
      <c r="M1590" s="3"/>
      <c r="N1590" s="3"/>
      <c r="O1590" s="331"/>
      <c r="P1590" s="331"/>
      <c r="Q1590" s="331"/>
      <c r="R1590" s="331"/>
      <c r="S1590" s="331"/>
      <c r="T1590" s="331"/>
      <c r="U1590" s="331"/>
      <c r="V1590" s="331"/>
      <c r="W1590" s="331"/>
      <c r="X1590" s="331"/>
      <c r="Y1590" s="331"/>
      <c r="Z1590" s="331"/>
      <c r="AA1590" s="331"/>
      <c r="AB1590" s="331"/>
      <c r="AC1590" s="331"/>
      <c r="AD1590" s="331"/>
      <c r="AE1590" s="331"/>
      <c r="AF1590" s="331"/>
      <c r="AG1590" s="331"/>
      <c r="AH1590" s="331"/>
      <c r="AI1590" s="331"/>
      <c r="AJ1590" s="331"/>
      <c r="AK1590" s="331"/>
      <c r="AL1590" s="331"/>
      <c r="AM1590" s="331"/>
      <c r="AN1590" s="331"/>
      <c r="AO1590" s="331"/>
      <c r="AP1590" s="331"/>
      <c r="AQ1590" s="331"/>
      <c r="AR1590" s="331"/>
      <c r="AS1590" s="331"/>
      <c r="AT1590" s="331"/>
      <c r="AU1590" s="331"/>
      <c r="AV1590" s="331"/>
      <c r="AW1590" s="331"/>
      <c r="AX1590" s="331"/>
    </row>
    <row r="1591" spans="1:48" s="667" customFormat="1" ht="16.5" customHeight="1" thickBot="1">
      <c r="A1591" s="988"/>
      <c r="B1591" s="988"/>
      <c r="C1591" s="988"/>
      <c r="D1591" s="988"/>
      <c r="E1591" s="988"/>
      <c r="F1591" s="988"/>
      <c r="G1591" s="988"/>
      <c r="H1591" s="988"/>
      <c r="I1591" s="988"/>
      <c r="K1591" s="989"/>
      <c r="L1591" s="989"/>
      <c r="M1591" s="893"/>
      <c r="N1591" s="898"/>
      <c r="O1591" s="335"/>
      <c r="P1591" s="335"/>
      <c r="Q1591" s="335"/>
      <c r="R1591" s="335"/>
      <c r="S1591" s="335"/>
      <c r="T1591" s="335"/>
      <c r="U1591" s="335"/>
      <c r="V1591" s="481"/>
      <c r="W1591" s="481"/>
      <c r="X1591" s="192"/>
      <c r="Y1591" s="192"/>
      <c r="Z1591" s="192"/>
      <c r="AA1591" s="192"/>
      <c r="AB1591" s="192"/>
      <c r="AC1591" s="192"/>
      <c r="AD1591" s="192"/>
      <c r="AE1591" s="192"/>
      <c r="AF1591" s="192"/>
      <c r="AG1591" s="192"/>
      <c r="AH1591" s="192"/>
      <c r="AI1591" s="192"/>
      <c r="AJ1591" s="192"/>
      <c r="AK1591" s="192"/>
      <c r="AL1591" s="192"/>
      <c r="AM1591" s="192"/>
      <c r="AN1591" s="192"/>
      <c r="AO1591" s="192"/>
      <c r="AP1591" s="192"/>
      <c r="AQ1591" s="192"/>
      <c r="AR1591" s="192"/>
      <c r="AS1591" s="192"/>
      <c r="AT1591" s="192"/>
      <c r="AU1591" s="192"/>
      <c r="AV1591" s="192"/>
    </row>
    <row r="1592" spans="1:50" s="664" customFormat="1" ht="28.5" customHeight="1" thickTop="1">
      <c r="A1592" s="746" t="s">
        <v>43</v>
      </c>
      <c r="B1592" s="965" t="s">
        <v>1105</v>
      </c>
      <c r="C1592" s="787" t="s">
        <v>884</v>
      </c>
      <c r="D1592" s="788"/>
      <c r="E1592" s="749" t="s">
        <v>883</v>
      </c>
      <c r="F1592" s="750"/>
      <c r="G1592" s="749" t="s">
        <v>880</v>
      </c>
      <c r="H1592" s="750"/>
      <c r="I1592" s="1273" t="s">
        <v>881</v>
      </c>
      <c r="J1592" s="1274"/>
      <c r="K1592" s="1273" t="s">
        <v>882</v>
      </c>
      <c r="L1592" s="1274"/>
      <c r="M1592" s="898"/>
      <c r="N1592" s="898"/>
      <c r="O1592" s="335"/>
      <c r="P1592" s="335"/>
      <c r="Q1592" s="335"/>
      <c r="R1592" s="335"/>
      <c r="S1592" s="335"/>
      <c r="T1592" s="335"/>
      <c r="U1592" s="335"/>
      <c r="V1592" s="335"/>
      <c r="W1592" s="335"/>
      <c r="X1592" s="335"/>
      <c r="Y1592" s="335"/>
      <c r="Z1592" s="335"/>
      <c r="AA1592" s="335"/>
      <c r="AB1592" s="335"/>
      <c r="AC1592" s="335"/>
      <c r="AD1592" s="335"/>
      <c r="AE1592" s="335"/>
      <c r="AF1592" s="335"/>
      <c r="AG1592" s="335"/>
      <c r="AH1592" s="335"/>
      <c r="AI1592" s="335"/>
      <c r="AJ1592" s="335"/>
      <c r="AK1592" s="335"/>
      <c r="AL1592" s="335"/>
      <c r="AM1592" s="335"/>
      <c r="AN1592" s="335"/>
      <c r="AO1592" s="335"/>
      <c r="AP1592" s="335"/>
      <c r="AQ1592" s="335"/>
      <c r="AR1592" s="335"/>
      <c r="AS1592" s="335"/>
      <c r="AT1592" s="335"/>
      <c r="AU1592" s="335"/>
      <c r="AV1592" s="335"/>
      <c r="AW1592" s="335"/>
      <c r="AX1592" s="335"/>
    </row>
    <row r="1593" spans="1:25" s="404" customFormat="1" ht="15">
      <c r="A1593" s="460" t="s">
        <v>146</v>
      </c>
      <c r="B1593" s="133" t="s">
        <v>293</v>
      </c>
      <c r="C1593" s="985">
        <f>CEILING(75*$Z$1,0.1)</f>
        <v>93.80000000000001</v>
      </c>
      <c r="D1593" s="991"/>
      <c r="E1593" s="985">
        <f>CEILING(130*$Z$1,0.1)</f>
        <v>162.5</v>
      </c>
      <c r="F1593" s="991"/>
      <c r="G1593" s="985">
        <f>CEILING(100*$Z$1,0.1)</f>
        <v>125</v>
      </c>
      <c r="H1593" s="991"/>
      <c r="I1593" s="1213">
        <f>CEILING(70*$Z$1,0.1)</f>
        <v>87.5</v>
      </c>
      <c r="J1593" s="1214"/>
      <c r="K1593" s="1213">
        <f>CEILING(53*$Z$1,0.1)</f>
        <v>66.3</v>
      </c>
      <c r="L1593" s="1214"/>
      <c r="M1593" s="618"/>
      <c r="N1593" s="621"/>
      <c r="O1593" s="451"/>
      <c r="P1593" s="451"/>
      <c r="Q1593" s="169"/>
      <c r="R1593" s="169"/>
      <c r="S1593" s="169"/>
      <c r="T1593" s="169"/>
      <c r="U1593" s="169"/>
      <c r="V1593" s="169"/>
      <c r="W1593" s="169"/>
      <c r="X1593" s="169"/>
      <c r="Y1593" s="169"/>
    </row>
    <row r="1594" spans="1:16" ht="15">
      <c r="A1594" s="458" t="s">
        <v>45</v>
      </c>
      <c r="B1594" s="11" t="s">
        <v>294</v>
      </c>
      <c r="C1594" s="986">
        <f>CEILING((C1593+60*$Z$1),0.1)</f>
        <v>168.8</v>
      </c>
      <c r="D1594" s="992"/>
      <c r="E1594" s="986">
        <f>CEILING((E1593+60*$Z$1),0.1)</f>
        <v>237.5</v>
      </c>
      <c r="F1594" s="992"/>
      <c r="G1594" s="986">
        <f>CEILING((G1593+60*$Z$1),0.1)</f>
        <v>200</v>
      </c>
      <c r="H1594" s="992"/>
      <c r="I1594" s="1211">
        <f>CEILING((I1593+60*$Z$1),0.1)</f>
        <v>162.5</v>
      </c>
      <c r="J1594" s="1212"/>
      <c r="K1594" s="1211">
        <f>CEILING((K1593+60*$Z$1),0.1)</f>
        <v>141.3</v>
      </c>
      <c r="L1594" s="1212"/>
      <c r="M1594" s="403"/>
      <c r="N1594" s="342"/>
      <c r="O1594" s="3"/>
      <c r="P1594" s="3"/>
    </row>
    <row r="1595" spans="1:16" ht="15">
      <c r="A1595" s="458"/>
      <c r="B1595" s="122" t="s">
        <v>79</v>
      </c>
      <c r="C1595" s="986">
        <f>CEILING((C1593*0.85),0.1)</f>
        <v>79.80000000000001</v>
      </c>
      <c r="D1595" s="992"/>
      <c r="E1595" s="986">
        <f>CEILING((E1593*0.85),0.1)</f>
        <v>138.20000000000002</v>
      </c>
      <c r="F1595" s="992"/>
      <c r="G1595" s="986">
        <f>CEILING((G1593*0.85),0.1)</f>
        <v>106.30000000000001</v>
      </c>
      <c r="H1595" s="992"/>
      <c r="I1595" s="1211">
        <f>CEILING((I1593*0.85),0.1)</f>
        <v>74.4</v>
      </c>
      <c r="J1595" s="1212"/>
      <c r="K1595" s="1211">
        <f>CEILING((K1593*0.85),0.1)</f>
        <v>56.400000000000006</v>
      </c>
      <c r="L1595" s="1212"/>
      <c r="M1595" s="403"/>
      <c r="N1595" s="342"/>
      <c r="O1595" s="3"/>
      <c r="P1595" s="3"/>
    </row>
    <row r="1596" spans="1:16" ht="15">
      <c r="A1596" s="286"/>
      <c r="B1596" s="226" t="s">
        <v>1184</v>
      </c>
      <c r="C1596" s="986">
        <f>CEILING((C1593*0.5),0.1)</f>
        <v>46.900000000000006</v>
      </c>
      <c r="D1596" s="993"/>
      <c r="E1596" s="986">
        <f>CEILING((E1593*0.5),0.1)</f>
        <v>81.30000000000001</v>
      </c>
      <c r="F1596" s="993"/>
      <c r="G1596" s="986">
        <f>CEILING((G1593*0.5),0.1)</f>
        <v>62.5</v>
      </c>
      <c r="H1596" s="993"/>
      <c r="I1596" s="1211">
        <f>CEILING((I1593*0.5),0.1)</f>
        <v>43.800000000000004</v>
      </c>
      <c r="J1596" s="1212"/>
      <c r="K1596" s="1211">
        <f>CEILING((K1593*0.5),0.1)</f>
        <v>33.2</v>
      </c>
      <c r="L1596" s="1212"/>
      <c r="M1596" s="403"/>
      <c r="N1596" s="342"/>
      <c r="O1596" s="3"/>
      <c r="P1596" s="3"/>
    </row>
    <row r="1597" spans="1:25" s="404" customFormat="1" ht="15">
      <c r="A1597" s="461"/>
      <c r="B1597" s="11" t="s">
        <v>235</v>
      </c>
      <c r="C1597" s="986">
        <f>CEILING(88*$Z$1,0.1)</f>
        <v>110</v>
      </c>
      <c r="D1597" s="993"/>
      <c r="E1597" s="986">
        <f>CEILING(143*$Z$1,0.1)</f>
        <v>178.8</v>
      </c>
      <c r="F1597" s="993"/>
      <c r="G1597" s="986">
        <f>CEILING(113*$Z$1,0.1)</f>
        <v>141.3</v>
      </c>
      <c r="H1597" s="993"/>
      <c r="I1597" s="1211">
        <f>CEILING(80*$Z$1,0.1)</f>
        <v>100</v>
      </c>
      <c r="J1597" s="1212"/>
      <c r="K1597" s="1211">
        <f>CEILING(63*$Z$1,0.1)</f>
        <v>78.80000000000001</v>
      </c>
      <c r="L1597" s="1212"/>
      <c r="M1597" s="403"/>
      <c r="N1597" s="342"/>
      <c r="O1597" s="3"/>
      <c r="P1597" s="3"/>
      <c r="Q1597" s="169"/>
      <c r="R1597" s="169"/>
      <c r="S1597" s="169"/>
      <c r="T1597" s="169"/>
      <c r="U1597" s="169"/>
      <c r="V1597" s="169"/>
      <c r="W1597" s="169"/>
      <c r="X1597" s="169"/>
      <c r="Y1597" s="169"/>
    </row>
    <row r="1598" spans="1:14" ht="17.25" customHeight="1">
      <c r="A1598" s="398"/>
      <c r="B1598" s="11" t="s">
        <v>236</v>
      </c>
      <c r="C1598" s="986">
        <f>CEILING((C1597+70*$Z$1),0.1)</f>
        <v>197.5</v>
      </c>
      <c r="D1598" s="993"/>
      <c r="E1598" s="986">
        <f>CEILING((E1597+70*$Z$1),0.1)</f>
        <v>266.3</v>
      </c>
      <c r="F1598" s="993"/>
      <c r="G1598" s="986">
        <f>CEILING((G1597+70*$Z$1),0.1)</f>
        <v>228.8</v>
      </c>
      <c r="H1598" s="993"/>
      <c r="I1598" s="1211">
        <f>CEILING((I1597+70*$Z$1),0.1)</f>
        <v>187.5</v>
      </c>
      <c r="J1598" s="1212"/>
      <c r="K1598" s="1211">
        <f>CEILING((K1597+70*$Z$1),0.1)</f>
        <v>166.3</v>
      </c>
      <c r="L1598" s="1212"/>
      <c r="M1598" s="1574"/>
      <c r="N1598" s="1288"/>
    </row>
    <row r="1599" spans="1:14" ht="15">
      <c r="A1599" s="398" t="s">
        <v>1332</v>
      </c>
      <c r="B1599" s="29" t="s">
        <v>247</v>
      </c>
      <c r="C1599" s="986">
        <f>CEILING(102*$Z$1,0.1)</f>
        <v>127.5</v>
      </c>
      <c r="D1599" s="993"/>
      <c r="E1599" s="986">
        <f>CEILING(157*$Z$1,0.1)</f>
        <v>196.3</v>
      </c>
      <c r="F1599" s="993"/>
      <c r="G1599" s="986">
        <f>CEILING(127*$Z$1,0.1)</f>
        <v>158.8</v>
      </c>
      <c r="H1599" s="993"/>
      <c r="I1599" s="986">
        <f>CEILING(127*$Z$1,0.1)</f>
        <v>158.8</v>
      </c>
      <c r="J1599" s="993"/>
      <c r="K1599" s="986">
        <f>CEILING(97*$Z$1,0.1)</f>
        <v>121.30000000000001</v>
      </c>
      <c r="L1599" s="993"/>
      <c r="M1599" s="351"/>
      <c r="N1599" s="349"/>
    </row>
    <row r="1600" spans="1:14" ht="15">
      <c r="A1600" s="458"/>
      <c r="B1600" s="29" t="s">
        <v>248</v>
      </c>
      <c r="C1600" s="986">
        <f>CEILING((C1599+80*$Z$1),0.1)</f>
        <v>227.5</v>
      </c>
      <c r="D1600" s="993"/>
      <c r="E1600" s="986">
        <f>CEILING((E1599+80*$Z$1),0.1)</f>
        <v>296.3</v>
      </c>
      <c r="F1600" s="993"/>
      <c r="G1600" s="986">
        <f>CEILING((G1599+80*$Z$1),0.1)</f>
        <v>258.8</v>
      </c>
      <c r="H1600" s="993"/>
      <c r="I1600" s="986">
        <f>CEILING((I1599+80*$Z$1),0.1)</f>
        <v>258.8</v>
      </c>
      <c r="J1600" s="993"/>
      <c r="K1600" s="986">
        <f>CEILING((K1599+80*$Z$1),0.1)</f>
        <v>221.3</v>
      </c>
      <c r="L1600" s="993"/>
      <c r="M1600" s="618"/>
      <c r="N1600" s="619"/>
    </row>
    <row r="1601" spans="1:14" ht="15">
      <c r="A1601" s="655"/>
      <c r="B1601" s="29" t="s">
        <v>493</v>
      </c>
      <c r="C1601" s="986">
        <f>CEILING(105*$Z$1,0.1)</f>
        <v>131.3</v>
      </c>
      <c r="D1601" s="993"/>
      <c r="E1601" s="986">
        <f>CEILING(160*$Z$1,0.1)</f>
        <v>200</v>
      </c>
      <c r="F1601" s="993"/>
      <c r="G1601" s="986">
        <f>CEILING(130*$Z$1,0.1)</f>
        <v>162.5</v>
      </c>
      <c r="H1601" s="993"/>
      <c r="I1601" s="1211">
        <f>CEILING(91*$Z$1,0.1)</f>
        <v>113.80000000000001</v>
      </c>
      <c r="J1601" s="1212"/>
      <c r="K1601" s="1211">
        <f>CEILING(75*$Z$1,0.1)</f>
        <v>93.80000000000001</v>
      </c>
      <c r="L1601" s="1212"/>
      <c r="M1601" s="618"/>
      <c r="N1601" s="619"/>
    </row>
    <row r="1602" spans="1:14" ht="15">
      <c r="A1602" s="458"/>
      <c r="B1602" s="29" t="s">
        <v>370</v>
      </c>
      <c r="C1602" s="986">
        <f>CEILING((C1601+80*$Z$1),0.1)</f>
        <v>231.3</v>
      </c>
      <c r="D1602" s="993"/>
      <c r="E1602" s="986">
        <f>CEILING((E1601+80*$Z$1),0.1)</f>
        <v>300</v>
      </c>
      <c r="F1602" s="993"/>
      <c r="G1602" s="986">
        <f>CEILING((G1601+80*$Z$1),0.1)</f>
        <v>262.5</v>
      </c>
      <c r="H1602" s="993"/>
      <c r="I1602" s="1211">
        <f>CEILING((I1601+80*$Z$1),0.1)</f>
        <v>213.8</v>
      </c>
      <c r="J1602" s="1212"/>
      <c r="K1602" s="1211">
        <f>CEILING((K1601+80*$Z$1),0.1)</f>
        <v>193.8</v>
      </c>
      <c r="L1602" s="1212"/>
      <c r="M1602" s="618"/>
      <c r="N1602" s="619"/>
    </row>
    <row r="1603" spans="1:14" ht="15">
      <c r="A1603" s="448"/>
      <c r="B1603" s="29" t="s">
        <v>495</v>
      </c>
      <c r="C1603" s="986">
        <f>CEILING(135*$Z$1,0.1)</f>
        <v>168.8</v>
      </c>
      <c r="D1603" s="993"/>
      <c r="E1603" s="986">
        <f>CEILING(190*$Z$1,0.1)</f>
        <v>237.5</v>
      </c>
      <c r="F1603" s="993"/>
      <c r="G1603" s="986">
        <f>CEILING(160*$Z$1,0.1)</f>
        <v>200</v>
      </c>
      <c r="H1603" s="993"/>
      <c r="I1603" s="1211">
        <f>CEILING(112*$Z$1,0.1)</f>
        <v>140</v>
      </c>
      <c r="J1603" s="1212"/>
      <c r="K1603" s="1211">
        <f>CEILING(98*$Z$1,0.1)</f>
        <v>122.5</v>
      </c>
      <c r="L1603" s="1212"/>
      <c r="M1603" s="618"/>
      <c r="N1603" s="619"/>
    </row>
    <row r="1604" spans="1:14" ht="16.5" thickBot="1">
      <c r="A1604" s="459" t="s">
        <v>424</v>
      </c>
      <c r="B1604" s="184" t="s">
        <v>494</v>
      </c>
      <c r="C1604" s="994">
        <f>CEILING((C1603+90*$Z$1),0.1)</f>
        <v>281.3</v>
      </c>
      <c r="D1604" s="995"/>
      <c r="E1604" s="994">
        <f>CEILING((E1603+90*$Z$1),0.1)</f>
        <v>350</v>
      </c>
      <c r="F1604" s="995"/>
      <c r="G1604" s="994">
        <f>CEILING((G1603+90*$Z$1),0.1)</f>
        <v>312.5</v>
      </c>
      <c r="H1604" s="995"/>
      <c r="I1604" s="1215">
        <f>CEILING((I1603+90*$Z$1),0.1)</f>
        <v>252.5</v>
      </c>
      <c r="J1604" s="1216"/>
      <c r="K1604" s="1215">
        <f>CEILING((K1603+90*$Z$1),0.1)</f>
        <v>235</v>
      </c>
      <c r="L1604" s="1216"/>
      <c r="M1604" s="618"/>
      <c r="N1604" s="619"/>
    </row>
    <row r="1605" spans="1:25" s="495" customFormat="1" ht="15.75" thickTop="1">
      <c r="A1605" s="107" t="s">
        <v>1128</v>
      </c>
      <c r="B1605" s="107"/>
      <c r="C1605" s="107"/>
      <c r="D1605" s="107"/>
      <c r="E1605" s="107"/>
      <c r="F1605" s="107"/>
      <c r="G1605" s="107"/>
      <c r="H1605" s="107"/>
      <c r="I1605" s="107"/>
      <c r="J1605" s="30"/>
      <c r="K1605" s="112"/>
      <c r="L1605" s="279"/>
      <c r="M1605" s="893"/>
      <c r="N1605" s="893"/>
      <c r="O1605" s="494"/>
      <c r="P1605" s="494"/>
      <c r="Q1605" s="494"/>
      <c r="R1605" s="494"/>
      <c r="S1605" s="494"/>
      <c r="T1605" s="494"/>
      <c r="U1605" s="494"/>
      <c r="V1605" s="494"/>
      <c r="W1605" s="494"/>
      <c r="X1605" s="494"/>
      <c r="Y1605" s="494"/>
    </row>
    <row r="1606" spans="1:14" ht="15">
      <c r="A1606" s="1318" t="s">
        <v>1127</v>
      </c>
      <c r="B1606" s="1318"/>
      <c r="C1606" s="1318"/>
      <c r="D1606" s="1318"/>
      <c r="E1606" s="1318"/>
      <c r="F1606" s="1318"/>
      <c r="G1606" s="1318"/>
      <c r="H1606" s="1318"/>
      <c r="I1606" s="1318"/>
      <c r="J1606" s="1318"/>
      <c r="K1606" s="303"/>
      <c r="L1606" s="325"/>
      <c r="M1606" s="893"/>
      <c r="N1606" s="619"/>
    </row>
    <row r="1607" spans="1:14" ht="15">
      <c r="A1607" s="172" t="s">
        <v>822</v>
      </c>
      <c r="B1607" s="456"/>
      <c r="C1607" s="456"/>
      <c r="D1607" s="456"/>
      <c r="E1607" s="456"/>
      <c r="F1607" s="456"/>
      <c r="G1607" s="456"/>
      <c r="H1607" s="456"/>
      <c r="I1607" s="456"/>
      <c r="J1607" s="456"/>
      <c r="K1607" s="94"/>
      <c r="L1607" s="303"/>
      <c r="M1607" s="893"/>
      <c r="N1607" s="619"/>
    </row>
    <row r="1608" spans="1:12" s="335" customFormat="1" ht="15.75" thickBot="1">
      <c r="A1608" s="997"/>
      <c r="B1608" s="998"/>
      <c r="C1608" s="996"/>
      <c r="D1608" s="996"/>
      <c r="E1608" s="996"/>
      <c r="F1608" s="996"/>
      <c r="G1608" s="996"/>
      <c r="H1608" s="996"/>
      <c r="I1608" s="996"/>
      <c r="J1608" s="900"/>
      <c r="K1608" s="332"/>
      <c r="L1608" s="901"/>
    </row>
    <row r="1609" spans="1:50" s="664" customFormat="1" ht="28.5" customHeight="1" thickTop="1">
      <c r="A1609" s="746" t="s">
        <v>43</v>
      </c>
      <c r="B1609" s="965" t="s">
        <v>1105</v>
      </c>
      <c r="C1609" s="747" t="s">
        <v>884</v>
      </c>
      <c r="D1609" s="748"/>
      <c r="E1609" s="749" t="s">
        <v>883</v>
      </c>
      <c r="F1609" s="750"/>
      <c r="G1609" s="749" t="s">
        <v>880</v>
      </c>
      <c r="H1609" s="750"/>
      <c r="I1609" s="1273" t="s">
        <v>881</v>
      </c>
      <c r="J1609" s="1274"/>
      <c r="K1609" s="1273" t="s">
        <v>882</v>
      </c>
      <c r="L1609" s="1274"/>
      <c r="M1609" s="898"/>
      <c r="N1609" s="898"/>
      <c r="O1609" s="335"/>
      <c r="P1609" s="335"/>
      <c r="Q1609" s="335"/>
      <c r="R1609" s="335"/>
      <c r="S1609" s="335"/>
      <c r="T1609" s="335"/>
      <c r="U1609" s="335"/>
      <c r="V1609" s="335"/>
      <c r="W1609" s="335"/>
      <c r="X1609" s="335"/>
      <c r="Y1609" s="335"/>
      <c r="Z1609" s="335"/>
      <c r="AA1609" s="335"/>
      <c r="AB1609" s="335"/>
      <c r="AC1609" s="335"/>
      <c r="AD1609" s="335"/>
      <c r="AE1609" s="335"/>
      <c r="AF1609" s="335"/>
      <c r="AG1609" s="335"/>
      <c r="AH1609" s="335"/>
      <c r="AI1609" s="335"/>
      <c r="AJ1609" s="335"/>
      <c r="AK1609" s="335"/>
      <c r="AL1609" s="335"/>
      <c r="AM1609" s="335"/>
      <c r="AN1609" s="335"/>
      <c r="AO1609" s="335"/>
      <c r="AP1609" s="335"/>
      <c r="AQ1609" s="335"/>
      <c r="AR1609" s="335"/>
      <c r="AS1609" s="335"/>
      <c r="AT1609" s="335"/>
      <c r="AU1609" s="335"/>
      <c r="AV1609" s="335"/>
      <c r="AW1609" s="335"/>
      <c r="AX1609" s="335"/>
    </row>
    <row r="1610" spans="1:58" ht="15.75" customHeight="1">
      <c r="A1610" s="259" t="s">
        <v>147</v>
      </c>
      <c r="B1610" s="133" t="s">
        <v>293</v>
      </c>
      <c r="C1610" s="986">
        <f>CEILING(75*$Z$1,0.1)</f>
        <v>93.80000000000001</v>
      </c>
      <c r="D1610" s="993"/>
      <c r="E1610" s="1193">
        <f>CEILING(91*$Z$1,0.1)</f>
        <v>113.80000000000001</v>
      </c>
      <c r="F1610" s="1194"/>
      <c r="G1610" s="1193">
        <f>CEILING(70*$Z$1,0.1)</f>
        <v>87.5</v>
      </c>
      <c r="H1610" s="1194"/>
      <c r="I1610" s="1193">
        <f>CEILING(70*$Z$1,0.1)</f>
        <v>87.5</v>
      </c>
      <c r="J1610" s="1194"/>
      <c r="K1610" s="1238">
        <f>CEILING(53*$Z$1,0.1)</f>
        <v>66.3</v>
      </c>
      <c r="L1610" s="1239"/>
      <c r="M1610" s="335"/>
      <c r="N1610" s="331"/>
      <c r="O1610" s="331"/>
      <c r="P1610" s="331"/>
      <c r="Q1610" s="331"/>
      <c r="R1610" s="331"/>
      <c r="S1610" s="331"/>
      <c r="T1610" s="331"/>
      <c r="U1610" s="331"/>
      <c r="V1610" s="331"/>
      <c r="W1610" s="331"/>
      <c r="X1610" s="331"/>
      <c r="Y1610" s="331"/>
      <c r="Z1610" s="331"/>
      <c r="AA1610" s="331"/>
      <c r="AB1610" s="331"/>
      <c r="AC1610" s="331"/>
      <c r="AD1610" s="331"/>
      <c r="AE1610" s="331"/>
      <c r="AF1610" s="331"/>
      <c r="AG1610" s="331"/>
      <c r="AH1610" s="331"/>
      <c r="AI1610" s="331"/>
      <c r="AJ1610" s="331"/>
      <c r="AK1610" s="331"/>
      <c r="AL1610" s="331"/>
      <c r="AM1610" s="331"/>
      <c r="AN1610" s="331"/>
      <c r="AO1610" s="331"/>
      <c r="AP1610" s="331"/>
      <c r="AQ1610" s="331"/>
      <c r="AR1610" s="331"/>
      <c r="AS1610" s="331"/>
      <c r="AT1610" s="331"/>
      <c r="AU1610" s="331"/>
      <c r="AV1610" s="331"/>
      <c r="AW1610" s="331"/>
      <c r="AX1610" s="331"/>
      <c r="AY1610" s="331"/>
      <c r="AZ1610" s="331"/>
      <c r="BA1610" s="331"/>
      <c r="BB1610" s="331"/>
      <c r="BC1610" s="331"/>
      <c r="BD1610" s="331"/>
      <c r="BE1610" s="331"/>
      <c r="BF1610" s="331"/>
    </row>
    <row r="1611" spans="1:13" ht="15">
      <c r="A1611" s="260" t="s">
        <v>45</v>
      </c>
      <c r="B1611" s="11" t="s">
        <v>294</v>
      </c>
      <c r="C1611" s="986">
        <f>CEILING((C1610+60*$Z$1),0.1)</f>
        <v>168.8</v>
      </c>
      <c r="D1611" s="993"/>
      <c r="E1611" s="1193">
        <f>CEILING((E1610+60*$Z$1),0.1)</f>
        <v>188.8</v>
      </c>
      <c r="F1611" s="1194"/>
      <c r="G1611" s="1193">
        <f>CEILING((G1610+60*$Z$1),0.1)</f>
        <v>162.5</v>
      </c>
      <c r="H1611" s="1194"/>
      <c r="I1611" s="1193">
        <f>CEILING((I1610+60*$Z$1),0.1)</f>
        <v>162.5</v>
      </c>
      <c r="J1611" s="1194"/>
      <c r="K1611" s="1193">
        <f>CEILING((K1610+60*$Z$1),0.1)</f>
        <v>141.3</v>
      </c>
      <c r="L1611" s="1194"/>
      <c r="M1611" s="481"/>
    </row>
    <row r="1612" spans="1:14" ht="15">
      <c r="A1612" s="461"/>
      <c r="B1612" s="122" t="s">
        <v>79</v>
      </c>
      <c r="C1612" s="986">
        <f>CEILING((C1610*0.85),0.1)</f>
        <v>79.80000000000001</v>
      </c>
      <c r="D1612" s="993"/>
      <c r="E1612" s="1193">
        <f>CEILING((E1610*0.85),0.1)</f>
        <v>96.80000000000001</v>
      </c>
      <c r="F1612" s="1194"/>
      <c r="G1612" s="1193">
        <f>CEILING((G1610*0.85),0.1)</f>
        <v>74.4</v>
      </c>
      <c r="H1612" s="1194"/>
      <c r="I1612" s="1193">
        <f>CEILING((I1610*0.85),0.1)</f>
        <v>74.4</v>
      </c>
      <c r="J1612" s="1194"/>
      <c r="K1612" s="1193">
        <f>CEILING((K1610*0.85),0.1)</f>
        <v>56.400000000000006</v>
      </c>
      <c r="L1612" s="1194"/>
      <c r="M1612" s="1574"/>
      <c r="N1612" s="1288"/>
    </row>
    <row r="1613" spans="1:14" ht="15">
      <c r="A1613" s="398"/>
      <c r="B1613" s="226" t="s">
        <v>1184</v>
      </c>
      <c r="C1613" s="986">
        <f>CEILING((C1610*0.5),0.1)</f>
        <v>46.900000000000006</v>
      </c>
      <c r="D1613" s="993"/>
      <c r="E1613" s="1193">
        <f>CEILING((E1610*0.5),0.1)</f>
        <v>56.900000000000006</v>
      </c>
      <c r="F1613" s="1194"/>
      <c r="G1613" s="1193">
        <f>CEILING((G1610*0.5),0.1)</f>
        <v>43.800000000000004</v>
      </c>
      <c r="H1613" s="1194"/>
      <c r="I1613" s="1193">
        <f>CEILING((I1610*0.5),0.1)</f>
        <v>43.800000000000004</v>
      </c>
      <c r="J1613" s="1194"/>
      <c r="K1613" s="1193">
        <f>CEILING((K1610*0.5),0.1)</f>
        <v>33.2</v>
      </c>
      <c r="L1613" s="1194"/>
      <c r="M1613" s="351"/>
      <c r="N1613" s="349"/>
    </row>
    <row r="1614" spans="1:25" ht="15">
      <c r="A1614" s="398"/>
      <c r="B1614" s="11" t="s">
        <v>295</v>
      </c>
      <c r="C1614" s="986">
        <f>CEILING(85*$Z$1,0.1)</f>
        <v>106.30000000000001</v>
      </c>
      <c r="D1614" s="993"/>
      <c r="E1614" s="1193">
        <f>CEILING(98*$Z$1,0.1)</f>
        <v>122.5</v>
      </c>
      <c r="F1614" s="1194"/>
      <c r="G1614" s="1193">
        <f>CEILING(77*$Z$1,0.1)</f>
        <v>96.30000000000001</v>
      </c>
      <c r="H1614" s="1194"/>
      <c r="I1614" s="1193">
        <f>CEILING(77*$Z$1,0.1)</f>
        <v>96.30000000000001</v>
      </c>
      <c r="J1614" s="1194"/>
      <c r="K1614" s="1193">
        <f>CEILING(60*$Z$1,0.1)</f>
        <v>75</v>
      </c>
      <c r="L1614" s="1194"/>
      <c r="M1614" s="618"/>
      <c r="N1614" s="619"/>
      <c r="Y1614"/>
    </row>
    <row r="1615" spans="1:14" ht="15">
      <c r="A1615" s="655" t="s">
        <v>1312</v>
      </c>
      <c r="B1615" s="11" t="s">
        <v>296</v>
      </c>
      <c r="C1615" s="986">
        <f>CEILING((C1614+60*$Z$1),0.1)</f>
        <v>181.3</v>
      </c>
      <c r="D1615" s="993"/>
      <c r="E1615" s="1193">
        <f>CEILING((E1614+60*$Z$1),0.1)</f>
        <v>197.5</v>
      </c>
      <c r="F1615" s="1194"/>
      <c r="G1615" s="1193">
        <f>CEILING((G1614+60*$Z$1),0.1)</f>
        <v>171.3</v>
      </c>
      <c r="H1615" s="1194"/>
      <c r="I1615" s="1193">
        <f>CEILING((I1614+60*$Z$1),0.1)</f>
        <v>171.3</v>
      </c>
      <c r="J1615" s="1194"/>
      <c r="K1615" s="1193">
        <f>CEILING((K1614+60*$Z$1),0.1)</f>
        <v>150</v>
      </c>
      <c r="L1615" s="1194"/>
      <c r="M1615" s="618"/>
      <c r="N1615" s="619"/>
    </row>
    <row r="1616" spans="1:14" ht="17.25" customHeight="1">
      <c r="A1616" s="448"/>
      <c r="B1616" s="29" t="s">
        <v>807</v>
      </c>
      <c r="C1616" s="986">
        <f>CEILING(105*$Z$1,0.1)</f>
        <v>131.3</v>
      </c>
      <c r="D1616" s="993"/>
      <c r="E1616" s="1193">
        <f>CEILING(112*$Z$1,0.1)</f>
        <v>140</v>
      </c>
      <c r="F1616" s="1194"/>
      <c r="G1616" s="1193">
        <f>CEILING(91*$Z$1,0.1)</f>
        <v>113.80000000000001</v>
      </c>
      <c r="H1616" s="1194"/>
      <c r="I1616" s="1193">
        <f>CEILING(91*$Z$1,0.1)</f>
        <v>113.80000000000001</v>
      </c>
      <c r="J1616" s="1194"/>
      <c r="K1616" s="1193">
        <f>CEILING(75*$Z$1,0.1)</f>
        <v>93.80000000000001</v>
      </c>
      <c r="L1616" s="1194"/>
      <c r="M1616" s="618"/>
      <c r="N1616" s="619"/>
    </row>
    <row r="1617" spans="1:14" ht="18.75" customHeight="1" thickBot="1">
      <c r="A1617" s="459" t="s">
        <v>423</v>
      </c>
      <c r="B1617" s="184" t="s">
        <v>808</v>
      </c>
      <c r="C1617" s="994">
        <f>CEILING((C1616+70*$Z$1),0.1)</f>
        <v>218.8</v>
      </c>
      <c r="D1617" s="995"/>
      <c r="E1617" s="1236">
        <f>CEILING((E1616+70*$Z$1),0.1)</f>
        <v>227.5</v>
      </c>
      <c r="F1617" s="1237"/>
      <c r="G1617" s="1236">
        <f>CEILING((G1616+70*$Z$1),0.1)</f>
        <v>201.3</v>
      </c>
      <c r="H1617" s="1237"/>
      <c r="I1617" s="1236">
        <f>CEILING((I1616+70*$Z$1),0.1)</f>
        <v>201.3</v>
      </c>
      <c r="J1617" s="1237"/>
      <c r="K1617" s="1236">
        <f>CEILING((K1616+70*$Z$1),0.1)</f>
        <v>181.3</v>
      </c>
      <c r="L1617" s="1237"/>
      <c r="M1617" s="618"/>
      <c r="N1617" s="619"/>
    </row>
    <row r="1618" spans="1:25" s="495" customFormat="1" ht="15.75" thickTop="1">
      <c r="A1618" s="107" t="s">
        <v>1128</v>
      </c>
      <c r="B1618" s="107"/>
      <c r="C1618" s="107"/>
      <c r="D1618" s="107"/>
      <c r="E1618" s="107"/>
      <c r="F1618" s="107"/>
      <c r="G1618" s="107"/>
      <c r="H1618" s="107"/>
      <c r="I1618" s="107"/>
      <c r="J1618" s="30"/>
      <c r="K1618" s="112"/>
      <c r="L1618" s="279"/>
      <c r="M1618" s="893"/>
      <c r="N1618" s="893"/>
      <c r="O1618" s="494"/>
      <c r="P1618" s="494"/>
      <c r="Q1618" s="494"/>
      <c r="R1618" s="494"/>
      <c r="S1618" s="494"/>
      <c r="T1618" s="494"/>
      <c r="U1618" s="494"/>
      <c r="V1618" s="494"/>
      <c r="W1618" s="494"/>
      <c r="X1618" s="494"/>
      <c r="Y1618" s="494"/>
    </row>
    <row r="1619" spans="1:14" ht="15.75" customHeight="1">
      <c r="A1619" s="107" t="s">
        <v>492</v>
      </c>
      <c r="B1619" s="132"/>
      <c r="C1619" s="132"/>
      <c r="D1619" s="132"/>
      <c r="E1619" s="132"/>
      <c r="F1619" s="132"/>
      <c r="G1619" s="132"/>
      <c r="H1619" s="132"/>
      <c r="I1619" s="132"/>
      <c r="J1619" s="258"/>
      <c r="K1619" s="94"/>
      <c r="L1619" s="94"/>
      <c r="M1619" s="893"/>
      <c r="N1619" s="619"/>
    </row>
    <row r="1620" spans="1:13" ht="16.5" customHeight="1">
      <c r="A1620" s="1318" t="s">
        <v>297</v>
      </c>
      <c r="B1620" s="1318"/>
      <c r="C1620" s="1318"/>
      <c r="D1620" s="1318"/>
      <c r="E1620" s="1318"/>
      <c r="F1620" s="1318"/>
      <c r="G1620" s="1318"/>
      <c r="H1620" s="1318"/>
      <c r="I1620" s="1318"/>
      <c r="J1620" s="1318"/>
      <c r="K1620" s="279"/>
      <c r="L1620" s="94"/>
      <c r="M1620" s="481"/>
    </row>
    <row r="1621" spans="1:58" ht="15" customHeight="1">
      <c r="A1621" s="172" t="s">
        <v>823</v>
      </c>
      <c r="B1621" s="897"/>
      <c r="C1621" s="897"/>
      <c r="D1621" s="897"/>
      <c r="E1621" s="897"/>
      <c r="F1621" s="897"/>
      <c r="G1621" s="897"/>
      <c r="H1621" s="897"/>
      <c r="I1621" s="897"/>
      <c r="J1621" s="897"/>
      <c r="K1621" s="1408"/>
      <c r="L1621" s="1408"/>
      <c r="M1621" s="481"/>
      <c r="N1621" s="480"/>
      <c r="O1621" s="480"/>
      <c r="P1621" s="480"/>
      <c r="Q1621" s="480"/>
      <c r="R1621" s="480"/>
      <c r="S1621" s="480"/>
      <c r="T1621" s="480"/>
      <c r="U1621" s="480"/>
      <c r="V1621" s="480"/>
      <c r="W1621" s="480"/>
      <c r="X1621" s="480"/>
      <c r="Y1621" s="480"/>
      <c r="Z1621" s="479"/>
      <c r="AA1621" s="479"/>
      <c r="AB1621" s="479"/>
      <c r="AC1621" s="479"/>
      <c r="AD1621" s="479"/>
      <c r="AE1621" s="479"/>
      <c r="AF1621" s="479"/>
      <c r="AG1621" s="479"/>
      <c r="AH1621" s="479"/>
      <c r="AI1621" s="479"/>
      <c r="AJ1621" s="479"/>
      <c r="AK1621" s="479"/>
      <c r="AL1621" s="479"/>
      <c r="AM1621" s="479"/>
      <c r="AN1621" s="479"/>
      <c r="AO1621" s="479"/>
      <c r="AP1621" s="479"/>
      <c r="AQ1621" s="479"/>
      <c r="AR1621" s="479"/>
      <c r="AS1621" s="479"/>
      <c r="AT1621" s="479"/>
      <c r="AU1621" s="479"/>
      <c r="AV1621" s="479"/>
      <c r="AW1621" s="479"/>
      <c r="AX1621" s="479"/>
      <c r="AY1621" s="479"/>
      <c r="AZ1621" s="479"/>
      <c r="BA1621" s="479"/>
      <c r="BB1621" s="479"/>
      <c r="BC1621" s="479"/>
      <c r="BD1621" s="479"/>
      <c r="BE1621" s="479"/>
      <c r="BF1621" s="479"/>
    </row>
    <row r="1622" spans="1:12" s="335" customFormat="1" ht="15">
      <c r="A1622" s="997"/>
      <c r="B1622" s="998"/>
      <c r="C1622" s="996"/>
      <c r="D1622" s="996"/>
      <c r="E1622" s="996"/>
      <c r="F1622" s="996"/>
      <c r="G1622" s="996"/>
      <c r="H1622" s="996"/>
      <c r="I1622" s="996"/>
      <c r="J1622" s="900"/>
      <c r="K1622" s="332"/>
      <c r="L1622" s="901"/>
    </row>
    <row r="1623" spans="1:72" s="1037" customFormat="1" ht="28.5" customHeight="1">
      <c r="A1623" s="1461" t="s">
        <v>43</v>
      </c>
      <c r="B1623" s="966" t="s">
        <v>1105</v>
      </c>
      <c r="C1623" s="795" t="s">
        <v>884</v>
      </c>
      <c r="D1623" s="796"/>
      <c r="E1623" s="765" t="s">
        <v>883</v>
      </c>
      <c r="F1623" s="766"/>
      <c r="G1623" s="765" t="s">
        <v>880</v>
      </c>
      <c r="H1623" s="766"/>
      <c r="I1623" s="1280" t="s">
        <v>881</v>
      </c>
      <c r="J1623" s="1281"/>
      <c r="K1623" s="1280" t="s">
        <v>882</v>
      </c>
      <c r="L1623" s="1281"/>
      <c r="M1623" s="1016"/>
      <c r="N1623" s="1016"/>
      <c r="O1623" s="335"/>
      <c r="P1623" s="335"/>
      <c r="Q1623" s="335"/>
      <c r="R1623" s="335"/>
      <c r="S1623" s="335"/>
      <c r="T1623" s="335"/>
      <c r="U1623" s="335"/>
      <c r="V1623" s="335"/>
      <c r="W1623" s="335"/>
      <c r="X1623" s="335"/>
      <c r="Y1623" s="335"/>
      <c r="Z1623" s="335"/>
      <c r="AA1623" s="335"/>
      <c r="AB1623" s="335"/>
      <c r="AC1623" s="335"/>
      <c r="AD1623" s="335"/>
      <c r="AE1623" s="335"/>
      <c r="AF1623" s="335"/>
      <c r="AG1623" s="335"/>
      <c r="AH1623" s="335"/>
      <c r="AI1623" s="335"/>
      <c r="AJ1623" s="335"/>
      <c r="AK1623" s="335"/>
      <c r="AL1623" s="335"/>
      <c r="AM1623" s="335"/>
      <c r="AN1623" s="335"/>
      <c r="AO1623" s="335"/>
      <c r="AP1623" s="335"/>
      <c r="AQ1623" s="335"/>
      <c r="AR1623" s="335"/>
      <c r="AS1623" s="335"/>
      <c r="AT1623" s="335"/>
      <c r="AU1623" s="335"/>
      <c r="AV1623" s="335"/>
      <c r="AW1623" s="335"/>
      <c r="AX1623" s="335"/>
      <c r="AY1623" s="335"/>
      <c r="AZ1623" s="335"/>
      <c r="BA1623" s="335"/>
      <c r="BB1623" s="335"/>
      <c r="BC1623" s="335"/>
      <c r="BD1623" s="335"/>
      <c r="BE1623" s="335"/>
      <c r="BF1623" s="335"/>
      <c r="BG1623" s="335"/>
      <c r="BH1623" s="335"/>
      <c r="BI1623" s="335"/>
      <c r="BJ1623" s="335"/>
      <c r="BK1623" s="335"/>
      <c r="BL1623" s="335"/>
      <c r="BM1623" s="335"/>
      <c r="BN1623" s="335"/>
      <c r="BO1623" s="335"/>
      <c r="BP1623" s="335"/>
      <c r="BQ1623" s="335"/>
      <c r="BR1623" s="335"/>
      <c r="BS1623" s="335"/>
      <c r="BT1623" s="335"/>
    </row>
    <row r="1624" spans="1:72" ht="17.25" customHeight="1" hidden="1">
      <c r="A1624" s="1462"/>
      <c r="B1624" s="543"/>
      <c r="C1624" s="1034" t="s">
        <v>101</v>
      </c>
      <c r="D1624" s="1034" t="s">
        <v>103</v>
      </c>
      <c r="E1624" s="1034" t="s">
        <v>101</v>
      </c>
      <c r="F1624" s="1034" t="s">
        <v>140</v>
      </c>
      <c r="G1624" s="1034" t="s">
        <v>101</v>
      </c>
      <c r="H1624" s="1035" t="s">
        <v>103</v>
      </c>
      <c r="I1624" s="1034" t="s">
        <v>101</v>
      </c>
      <c r="J1624" s="1034" t="s">
        <v>103</v>
      </c>
      <c r="K1624" s="1034" t="s">
        <v>101</v>
      </c>
      <c r="L1624" s="1034" t="s">
        <v>103</v>
      </c>
      <c r="M1624" s="335"/>
      <c r="N1624" s="335"/>
      <c r="O1624" s="335"/>
      <c r="P1624" s="335"/>
      <c r="Q1624" s="335"/>
      <c r="R1624" s="335"/>
      <c r="S1624" s="335"/>
      <c r="T1624" s="335"/>
      <c r="U1624" s="335"/>
      <c r="V1624" s="335"/>
      <c r="W1624" s="335"/>
      <c r="X1624" s="335"/>
      <c r="Y1624" s="335"/>
      <c r="Z1624" s="335"/>
      <c r="AA1624" s="335"/>
      <c r="AB1624" s="335"/>
      <c r="AC1624" s="335"/>
      <c r="AD1624" s="335"/>
      <c r="AE1624" s="335"/>
      <c r="AF1624" s="335"/>
      <c r="AG1624" s="335"/>
      <c r="AH1624" s="335"/>
      <c r="AI1624" s="335"/>
      <c r="AJ1624" s="335"/>
      <c r="AK1624" s="335"/>
      <c r="AL1624" s="335"/>
      <c r="AM1624" s="335"/>
      <c r="AN1624" s="335"/>
      <c r="AO1624" s="335"/>
      <c r="AP1624" s="335"/>
      <c r="AQ1624" s="335"/>
      <c r="AR1624" s="335"/>
      <c r="AS1624" s="335"/>
      <c r="AT1624" s="335"/>
      <c r="AU1624" s="335"/>
      <c r="AV1624" s="335"/>
      <c r="AW1624" s="335"/>
      <c r="AX1624" s="335"/>
      <c r="AY1624" s="335"/>
      <c r="AZ1624" s="335"/>
      <c r="BA1624" s="335"/>
      <c r="BB1624" s="335"/>
      <c r="BC1624" s="335"/>
      <c r="BD1624" s="335"/>
      <c r="BE1624" s="335"/>
      <c r="BF1624" s="335"/>
      <c r="BG1624" s="335"/>
      <c r="BH1624" s="335"/>
      <c r="BI1624" s="335"/>
      <c r="BJ1624" s="335"/>
      <c r="BK1624" s="335"/>
      <c r="BL1624" s="335"/>
      <c r="BM1624" s="335"/>
      <c r="BN1624" s="335"/>
      <c r="BO1624" s="335"/>
      <c r="BP1624" s="335"/>
      <c r="BQ1624" s="335"/>
      <c r="BR1624" s="335"/>
      <c r="BS1624" s="335"/>
      <c r="BT1624" s="335"/>
    </row>
    <row r="1625" spans="1:72" ht="18.75" customHeight="1">
      <c r="A1625" s="82" t="s">
        <v>148</v>
      </c>
      <c r="B1625" s="12" t="s">
        <v>824</v>
      </c>
      <c r="C1625" s="985">
        <f>CEILING(55*$Z$1,0.1)</f>
        <v>68.8</v>
      </c>
      <c r="D1625" s="991"/>
      <c r="E1625" s="1238">
        <f>CEILING(70*$Z$1,0.1)</f>
        <v>87.5</v>
      </c>
      <c r="F1625" s="1239"/>
      <c r="G1625" s="1238">
        <f>CEILING(53*$Z$1,0.1)</f>
        <v>66.3</v>
      </c>
      <c r="H1625" s="1239"/>
      <c r="I1625" s="1238">
        <f>CEILING(53*$Z$1,0.1)</f>
        <v>66.3</v>
      </c>
      <c r="J1625" s="1239"/>
      <c r="K1625" s="1238">
        <f>CEILING(42*$Z$1,0.1)</f>
        <v>52.5</v>
      </c>
      <c r="L1625" s="1239"/>
      <c r="M1625" s="335"/>
      <c r="N1625" s="335"/>
      <c r="O1625" s="335"/>
      <c r="P1625" s="335"/>
      <c r="Q1625" s="335"/>
      <c r="R1625" s="335"/>
      <c r="S1625" s="335"/>
      <c r="T1625" s="335"/>
      <c r="U1625" s="335"/>
      <c r="V1625" s="335"/>
      <c r="W1625" s="335"/>
      <c r="X1625" s="335"/>
      <c r="Y1625" s="335"/>
      <c r="Z1625" s="335"/>
      <c r="AA1625" s="335"/>
      <c r="AB1625" s="335"/>
      <c r="AC1625" s="335"/>
      <c r="AD1625" s="335"/>
      <c r="AE1625" s="335"/>
      <c r="AF1625" s="335"/>
      <c r="AG1625" s="335"/>
      <c r="AH1625" s="335"/>
      <c r="AI1625" s="335"/>
      <c r="AJ1625" s="335"/>
      <c r="AK1625" s="335"/>
      <c r="AL1625" s="335"/>
      <c r="AM1625" s="335"/>
      <c r="AN1625" s="335"/>
      <c r="AO1625" s="335"/>
      <c r="AP1625" s="335"/>
      <c r="AQ1625" s="335"/>
      <c r="AR1625" s="335"/>
      <c r="AS1625" s="335"/>
      <c r="AT1625" s="335"/>
      <c r="AU1625" s="335"/>
      <c r="AV1625" s="335"/>
      <c r="AW1625" s="335"/>
      <c r="AX1625" s="335"/>
      <c r="AY1625" s="335"/>
      <c r="AZ1625" s="335"/>
      <c r="BA1625" s="335"/>
      <c r="BB1625" s="335"/>
      <c r="BC1625" s="335"/>
      <c r="BD1625" s="335"/>
      <c r="BE1625" s="335"/>
      <c r="BF1625" s="335"/>
      <c r="BG1625" s="335"/>
      <c r="BH1625" s="335"/>
      <c r="BI1625" s="335"/>
      <c r="BJ1625" s="335"/>
      <c r="BK1625" s="335"/>
      <c r="BL1625" s="335"/>
      <c r="BM1625" s="335"/>
      <c r="BN1625" s="335"/>
      <c r="BO1625" s="335"/>
      <c r="BP1625" s="335"/>
      <c r="BQ1625" s="335"/>
      <c r="BR1625" s="335"/>
      <c r="BS1625" s="335"/>
      <c r="BT1625" s="335"/>
    </row>
    <row r="1626" spans="1:21" ht="24.75" customHeight="1">
      <c r="A1626" s="35" t="s">
        <v>59</v>
      </c>
      <c r="B1626" s="12" t="s">
        <v>825</v>
      </c>
      <c r="C1626" s="986">
        <f>CEILING((C1625+45*$Z$1),0.1)</f>
        <v>125.10000000000001</v>
      </c>
      <c r="D1626" s="993"/>
      <c r="E1626" s="1193">
        <f>CEILING((E1625+45*$Z$1),0.1)</f>
        <v>143.8</v>
      </c>
      <c r="F1626" s="1194"/>
      <c r="G1626" s="1193">
        <f>CEILING((G1625+45*$Z$1),0.1)</f>
        <v>122.60000000000001</v>
      </c>
      <c r="H1626" s="1194"/>
      <c r="I1626" s="1193">
        <f>CEILING((I1625+45*$Z$1),0.1)</f>
        <v>122.60000000000001</v>
      </c>
      <c r="J1626" s="1194"/>
      <c r="K1626" s="1193">
        <f>CEILING((K1625+45*$Z$1),0.1)</f>
        <v>108.80000000000001</v>
      </c>
      <c r="L1626" s="1194"/>
      <c r="M1626" s="1573"/>
      <c r="N1626" s="1439"/>
      <c r="R1626" s="1439"/>
      <c r="S1626" s="1439"/>
      <c r="T1626" s="1439"/>
      <c r="U1626" s="1439"/>
    </row>
    <row r="1627" spans="1:21" ht="29.25" customHeight="1">
      <c r="A1627" s="461"/>
      <c r="B1627" s="123" t="s">
        <v>79</v>
      </c>
      <c r="C1627" s="986">
        <f>CEILING((C1625*0.85),0.1)</f>
        <v>58.5</v>
      </c>
      <c r="D1627" s="993"/>
      <c r="E1627" s="1193">
        <f>CEILING((E1625*0.85),0.1)</f>
        <v>74.4</v>
      </c>
      <c r="F1627" s="1194"/>
      <c r="G1627" s="1193">
        <f>CEILING((G1625*0.85),0.1)</f>
        <v>56.400000000000006</v>
      </c>
      <c r="H1627" s="1194"/>
      <c r="I1627" s="1193">
        <f>CEILING((I1625*0.85),0.1)</f>
        <v>56.400000000000006</v>
      </c>
      <c r="J1627" s="1194"/>
      <c r="K1627" s="1193">
        <f>CEILING((K1625*0.85),0.1)</f>
        <v>44.7</v>
      </c>
      <c r="L1627" s="1194"/>
      <c r="M1627" s="1573"/>
      <c r="N1627" s="1439"/>
      <c r="R1627" s="15"/>
      <c r="S1627" s="15"/>
      <c r="T1627" s="15"/>
      <c r="U1627" s="15"/>
    </row>
    <row r="1628" spans="1:25" s="404" customFormat="1" ht="29.25" customHeight="1">
      <c r="A1628" s="398" t="s">
        <v>1312</v>
      </c>
      <c r="B1628" s="226" t="s">
        <v>1184</v>
      </c>
      <c r="C1628" s="986">
        <f>CEILING((C1625*0.5),0.1)</f>
        <v>34.4</v>
      </c>
      <c r="D1628" s="993"/>
      <c r="E1628" s="1193">
        <f>CEILING((E1625*0.5),0.1)</f>
        <v>43.800000000000004</v>
      </c>
      <c r="F1628" s="1194"/>
      <c r="G1628" s="1193">
        <f>CEILING((G1625*0.5),0.1)</f>
        <v>33.2</v>
      </c>
      <c r="H1628" s="1194"/>
      <c r="I1628" s="1193">
        <f>CEILING((I1625*0.5),0.1)</f>
        <v>33.2</v>
      </c>
      <c r="J1628" s="1194"/>
      <c r="K1628" s="1193">
        <f>CEILING((K1625*0.5),0.1)</f>
        <v>26.3</v>
      </c>
      <c r="L1628" s="1194"/>
      <c r="M1628" s="624"/>
      <c r="N1628" s="622"/>
      <c r="O1628" s="169"/>
      <c r="P1628" s="169"/>
      <c r="Q1628" s="169"/>
      <c r="R1628" s="15"/>
      <c r="S1628" s="15"/>
      <c r="T1628" s="15"/>
      <c r="U1628" s="15"/>
      <c r="V1628" s="169"/>
      <c r="W1628" s="169"/>
      <c r="X1628" s="169"/>
      <c r="Y1628" s="169"/>
    </row>
    <row r="1629" spans="1:25" ht="22.5" customHeight="1">
      <c r="A1629" s="398"/>
      <c r="B1629" s="10" t="s">
        <v>826</v>
      </c>
      <c r="C1629" s="986">
        <f>CEILING(63*$Z$1,0.1)</f>
        <v>78.80000000000001</v>
      </c>
      <c r="D1629" s="993"/>
      <c r="E1629" s="1193">
        <f>CEILING(76*$Z$1,0.1)</f>
        <v>95</v>
      </c>
      <c r="F1629" s="1194"/>
      <c r="G1629" s="1193">
        <f>CEILING(59*$Z$1,0.1)</f>
        <v>73.8</v>
      </c>
      <c r="H1629" s="1194"/>
      <c r="I1629" s="1193">
        <f>CEILING(59*$Z$1,0.1)</f>
        <v>73.8</v>
      </c>
      <c r="J1629" s="1194"/>
      <c r="K1629" s="1193">
        <f>CEILING(48*$Z$1,0.1)</f>
        <v>60</v>
      </c>
      <c r="L1629" s="1194"/>
      <c r="M1629" s="351"/>
      <c r="N1629" s="349"/>
      <c r="R1629" s="3"/>
      <c r="S1629" s="3"/>
      <c r="T1629" s="3"/>
      <c r="U1629" s="3"/>
      <c r="W1629" s="1438"/>
      <c r="X1629" s="1438"/>
      <c r="Y1629" s="1438"/>
    </row>
    <row r="1630" spans="1:25" ht="26.25" customHeight="1" thickBot="1">
      <c r="A1630" s="254" t="s">
        <v>422</v>
      </c>
      <c r="B1630" s="42" t="s">
        <v>827</v>
      </c>
      <c r="C1630" s="994">
        <f>CEILING((C1629+45*$Z$1),0.1)</f>
        <v>135.1</v>
      </c>
      <c r="D1630" s="995"/>
      <c r="E1630" s="1236">
        <f>CEILING((E1629+45*$Z$1),0.1)</f>
        <v>151.3</v>
      </c>
      <c r="F1630" s="1237"/>
      <c r="G1630" s="1236">
        <f>CEILING((G1629+45*$Z$1),0.1)</f>
        <v>130.1</v>
      </c>
      <c r="H1630" s="1237"/>
      <c r="I1630" s="1236">
        <f>CEILING((I1629+45*$Z$1),0.1)</f>
        <v>130.1</v>
      </c>
      <c r="J1630" s="1237"/>
      <c r="K1630" s="1236">
        <f>CEILING((K1629+45*$Z$1),0.1)</f>
        <v>116.30000000000001</v>
      </c>
      <c r="L1630" s="1237"/>
      <c r="M1630" s="621"/>
      <c r="N1630" s="621"/>
      <c r="R1630" s="276"/>
      <c r="S1630" s="3"/>
      <c r="T1630" s="276"/>
      <c r="U1630" s="3"/>
      <c r="W1630" s="1438"/>
      <c r="X1630" s="1438"/>
      <c r="Y1630" s="1438"/>
    </row>
    <row r="1631" spans="1:25" s="495" customFormat="1" ht="16.5" customHeight="1" thickTop="1">
      <c r="A1631" s="107" t="s">
        <v>637</v>
      </c>
      <c r="B1631" s="107"/>
      <c r="C1631" s="107"/>
      <c r="D1631" s="107"/>
      <c r="E1631" s="107"/>
      <c r="F1631" s="107"/>
      <c r="G1631" s="107"/>
      <c r="H1631" s="107"/>
      <c r="I1631" s="897"/>
      <c r="J1631" s="376"/>
      <c r="K1631" s="893"/>
      <c r="L1631" s="893"/>
      <c r="M1631" s="898"/>
      <c r="N1631" s="898"/>
      <c r="O1631" s="494"/>
      <c r="P1631" s="494"/>
      <c r="Q1631" s="494"/>
      <c r="R1631" s="3"/>
      <c r="S1631" s="3"/>
      <c r="T1631" s="3"/>
      <c r="U1631" s="3"/>
      <c r="V1631" s="494"/>
      <c r="W1631" s="1438"/>
      <c r="X1631" s="1438"/>
      <c r="Y1631" s="1438"/>
    </row>
    <row r="1632" spans="1:25" ht="15.75" customHeight="1">
      <c r="A1632" s="1318" t="s">
        <v>211</v>
      </c>
      <c r="B1632" s="1318"/>
      <c r="C1632" s="1318"/>
      <c r="D1632" s="1318"/>
      <c r="E1632" s="1318"/>
      <c r="F1632" s="1318"/>
      <c r="G1632" s="1318"/>
      <c r="H1632" s="1318"/>
      <c r="I1632" s="1318"/>
      <c r="J1632" s="1318"/>
      <c r="K1632" s="499"/>
      <c r="L1632" s="499"/>
      <c r="M1632" s="621"/>
      <c r="N1632" s="621"/>
      <c r="R1632" s="3"/>
      <c r="S1632" s="3"/>
      <c r="T1632" s="3"/>
      <c r="U1632" s="3"/>
      <c r="W1632" s="1438"/>
      <c r="X1632" s="1438"/>
      <c r="Y1632" s="1438"/>
    </row>
    <row r="1633" spans="1:25" ht="15">
      <c r="A1633" s="172" t="s">
        <v>828</v>
      </c>
      <c r="B1633" s="470"/>
      <c r="C1633" s="470"/>
      <c r="D1633" s="470"/>
      <c r="E1633" s="470"/>
      <c r="F1633" s="470"/>
      <c r="G1633" s="470"/>
      <c r="H1633" s="470"/>
      <c r="I1633" s="620"/>
      <c r="J1633" s="620"/>
      <c r="K1633" s="619"/>
      <c r="L1633" s="619"/>
      <c r="M1633" s="621"/>
      <c r="N1633" s="621"/>
      <c r="O1633" s="189"/>
      <c r="R1633" s="3"/>
      <c r="S1633" s="3"/>
      <c r="T1633" s="3"/>
      <c r="U1633" s="3"/>
      <c r="W1633" s="1438"/>
      <c r="X1633" s="1438"/>
      <c r="Y1633" s="1438"/>
    </row>
    <row r="1634" spans="1:25" s="479" customFormat="1" ht="16.5" customHeight="1" thickBot="1">
      <c r="A1634" s="113"/>
      <c r="B1634" s="113"/>
      <c r="C1634" s="113"/>
      <c r="D1634" s="113"/>
      <c r="E1634" s="113"/>
      <c r="F1634" s="113"/>
      <c r="G1634" s="107"/>
      <c r="H1634" s="107"/>
      <c r="I1634" s="620"/>
      <c r="J1634" s="335"/>
      <c r="K1634" s="893"/>
      <c r="L1634" s="893"/>
      <c r="M1634" s="481"/>
      <c r="N1634" s="481"/>
      <c r="O1634" s="481"/>
      <c r="P1634" s="480"/>
      <c r="Q1634" s="480"/>
      <c r="R1634" s="480"/>
      <c r="S1634" s="480"/>
      <c r="T1634" s="480"/>
      <c r="U1634" s="480"/>
      <c r="V1634" s="480"/>
      <c r="W1634" s="1438"/>
      <c r="X1634" s="1438"/>
      <c r="Y1634" s="1438"/>
    </row>
    <row r="1635" spans="1:256" ht="28.5" customHeight="1" thickTop="1">
      <c r="A1635" s="999" t="s">
        <v>43</v>
      </c>
      <c r="B1635" s="1000" t="s">
        <v>1105</v>
      </c>
      <c r="C1635" s="1484" t="s">
        <v>1129</v>
      </c>
      <c r="D1635" s="1485"/>
      <c r="E1635" s="1488" t="s">
        <v>1130</v>
      </c>
      <c r="F1635" s="1489"/>
      <c r="G1635" s="1482"/>
      <c r="H1635" s="1483"/>
      <c r="I1635" s="1288"/>
      <c r="J1635" s="1288"/>
      <c r="K1635" s="893"/>
      <c r="L1635" s="893"/>
      <c r="M1635" s="1288"/>
      <c r="N1635" s="1288"/>
      <c r="O1635" s="481"/>
      <c r="P1635" s="480"/>
      <c r="Q1635" s="480"/>
      <c r="R1635" s="480"/>
      <c r="S1635" s="480"/>
      <c r="T1635" s="480"/>
      <c r="U1635" s="480"/>
      <c r="V1635" s="480"/>
      <c r="W1635" s="1438"/>
      <c r="X1635" s="1438"/>
      <c r="Y1635" s="1438"/>
      <c r="Z1635" s="479"/>
      <c r="AA1635" s="479"/>
      <c r="AB1635" s="479"/>
      <c r="AC1635" s="479"/>
      <c r="AD1635" s="479"/>
      <c r="AE1635" s="479"/>
      <c r="AF1635" s="479"/>
      <c r="AG1635" s="479"/>
      <c r="AH1635" s="479"/>
      <c r="AI1635" s="479"/>
      <c r="AJ1635" s="479"/>
      <c r="AK1635" s="479"/>
      <c r="AL1635" s="479"/>
      <c r="AM1635" s="479"/>
      <c r="AN1635" s="479"/>
      <c r="AO1635" s="479"/>
      <c r="AP1635" s="479"/>
      <c r="AQ1635" s="479"/>
      <c r="AR1635" s="479"/>
      <c r="AS1635" s="479"/>
      <c r="AT1635" s="479"/>
      <c r="AU1635" s="479"/>
      <c r="AV1635" s="479"/>
      <c r="AW1635" s="479"/>
      <c r="AX1635" s="479"/>
      <c r="AY1635" s="479"/>
      <c r="AZ1635" s="479"/>
      <c r="BA1635" s="479"/>
      <c r="BB1635" s="479"/>
      <c r="BC1635" s="479"/>
      <c r="BD1635" s="479"/>
      <c r="BE1635" s="479"/>
      <c r="BF1635" s="479"/>
      <c r="BG1635" s="479"/>
      <c r="BH1635" s="479"/>
      <c r="BI1635" s="479"/>
      <c r="BJ1635" s="479"/>
      <c r="BK1635" s="479"/>
      <c r="BL1635" s="479"/>
      <c r="BM1635" s="479"/>
      <c r="BN1635" s="479"/>
      <c r="BO1635" s="479"/>
      <c r="BP1635" s="479"/>
      <c r="BQ1635" s="479"/>
      <c r="BR1635" s="479"/>
      <c r="BS1635" s="479"/>
      <c r="BT1635" s="479"/>
      <c r="BU1635" s="479"/>
      <c r="BV1635" s="479"/>
      <c r="BW1635" s="479"/>
      <c r="BX1635" s="479"/>
      <c r="BY1635" s="479"/>
      <c r="BZ1635" s="479"/>
      <c r="CA1635" s="479"/>
      <c r="CB1635" s="479"/>
      <c r="CC1635" s="479"/>
      <c r="CD1635" s="479"/>
      <c r="CE1635" s="479"/>
      <c r="CF1635" s="479"/>
      <c r="CG1635" s="479"/>
      <c r="CH1635" s="479"/>
      <c r="CI1635" s="479"/>
      <c r="CJ1635" s="479"/>
      <c r="CK1635" s="479"/>
      <c r="CL1635" s="479"/>
      <c r="CM1635" s="479"/>
      <c r="CN1635" s="479"/>
      <c r="CO1635" s="479"/>
      <c r="CP1635" s="479"/>
      <c r="CQ1635" s="479"/>
      <c r="CR1635" s="479"/>
      <c r="CS1635" s="479"/>
      <c r="CT1635" s="479"/>
      <c r="CU1635" s="479"/>
      <c r="CV1635" s="479"/>
      <c r="CW1635" s="479"/>
      <c r="CX1635" s="479"/>
      <c r="CY1635" s="479"/>
      <c r="CZ1635" s="479"/>
      <c r="DA1635" s="479"/>
      <c r="DB1635" s="479"/>
      <c r="DC1635" s="479"/>
      <c r="DD1635" s="479"/>
      <c r="DE1635" s="479"/>
      <c r="DF1635" s="479"/>
      <c r="DG1635" s="479"/>
      <c r="DH1635" s="479"/>
      <c r="DI1635" s="479"/>
      <c r="DJ1635" s="479"/>
      <c r="DK1635" s="479"/>
      <c r="DL1635" s="479"/>
      <c r="DM1635" s="479"/>
      <c r="DN1635" s="479"/>
      <c r="DO1635" s="479"/>
      <c r="DP1635" s="479"/>
      <c r="DQ1635" s="479"/>
      <c r="DR1635" s="479"/>
      <c r="DS1635" s="479"/>
      <c r="DT1635" s="479"/>
      <c r="DU1635" s="479"/>
      <c r="DV1635" s="479"/>
      <c r="DW1635" s="479"/>
      <c r="DX1635" s="479"/>
      <c r="DY1635" s="479"/>
      <c r="DZ1635" s="479"/>
      <c r="EA1635" s="479"/>
      <c r="EB1635" s="479"/>
      <c r="EC1635" s="479"/>
      <c r="ED1635" s="479"/>
      <c r="EE1635" s="479"/>
      <c r="EF1635" s="479"/>
      <c r="EG1635" s="479"/>
      <c r="EH1635" s="479"/>
      <c r="EI1635" s="479"/>
      <c r="EJ1635" s="479"/>
      <c r="EK1635" s="479"/>
      <c r="EL1635" s="479"/>
      <c r="EM1635" s="479"/>
      <c r="EN1635" s="479"/>
      <c r="EO1635" s="479"/>
      <c r="EP1635" s="479"/>
      <c r="EQ1635" s="479"/>
      <c r="ER1635" s="479"/>
      <c r="ES1635" s="479"/>
      <c r="ET1635" s="479"/>
      <c r="EU1635" s="479"/>
      <c r="EV1635" s="479"/>
      <c r="EW1635" s="479"/>
      <c r="EX1635" s="479"/>
      <c r="EY1635" s="479"/>
      <c r="EZ1635" s="479"/>
      <c r="FA1635" s="479"/>
      <c r="FB1635" s="479"/>
      <c r="FC1635" s="479"/>
      <c r="FD1635" s="479"/>
      <c r="FE1635" s="479"/>
      <c r="FF1635" s="479"/>
      <c r="FG1635" s="479"/>
      <c r="FH1635" s="479"/>
      <c r="FI1635" s="479"/>
      <c r="FJ1635" s="479"/>
      <c r="FK1635" s="479"/>
      <c r="FL1635" s="479"/>
      <c r="FM1635" s="479"/>
      <c r="FN1635" s="479"/>
      <c r="FO1635" s="479"/>
      <c r="FP1635" s="479"/>
      <c r="FQ1635" s="479"/>
      <c r="FR1635" s="479"/>
      <c r="FS1635" s="479"/>
      <c r="FT1635" s="479"/>
      <c r="FU1635" s="479"/>
      <c r="FV1635" s="479"/>
      <c r="FW1635" s="479"/>
      <c r="FX1635" s="479"/>
      <c r="FY1635" s="479"/>
      <c r="FZ1635" s="479"/>
      <c r="GA1635" s="479"/>
      <c r="GB1635" s="479"/>
      <c r="GC1635" s="479"/>
      <c r="GD1635" s="479"/>
      <c r="GE1635" s="479"/>
      <c r="GF1635" s="479"/>
      <c r="GG1635" s="479"/>
      <c r="GH1635" s="479"/>
      <c r="GI1635" s="479"/>
      <c r="GJ1635" s="479"/>
      <c r="GK1635" s="479"/>
      <c r="GL1635" s="479"/>
      <c r="GM1635" s="479"/>
      <c r="GN1635" s="479"/>
      <c r="GO1635" s="479"/>
      <c r="GP1635" s="479"/>
      <c r="GQ1635" s="479"/>
      <c r="GR1635" s="479"/>
      <c r="GS1635" s="479"/>
      <c r="GT1635" s="479"/>
      <c r="GU1635" s="479"/>
      <c r="GV1635" s="479"/>
      <c r="GW1635" s="479"/>
      <c r="GX1635" s="479"/>
      <c r="GY1635" s="479"/>
      <c r="GZ1635" s="479"/>
      <c r="HA1635" s="479"/>
      <c r="HB1635" s="479"/>
      <c r="HC1635" s="479"/>
      <c r="HD1635" s="479"/>
      <c r="HE1635" s="479"/>
      <c r="HF1635" s="479"/>
      <c r="HG1635" s="479"/>
      <c r="HH1635" s="479"/>
      <c r="HI1635" s="479"/>
      <c r="HJ1635" s="479"/>
      <c r="HK1635" s="479"/>
      <c r="HL1635" s="479"/>
      <c r="HM1635" s="479"/>
      <c r="HN1635" s="479"/>
      <c r="HO1635" s="479"/>
      <c r="HP1635" s="479"/>
      <c r="HQ1635" s="479"/>
      <c r="HR1635" s="479"/>
      <c r="HS1635" s="479"/>
      <c r="HT1635" s="479"/>
      <c r="HU1635" s="479"/>
      <c r="HV1635" s="479"/>
      <c r="HW1635" s="479"/>
      <c r="HX1635" s="479"/>
      <c r="HY1635" s="479"/>
      <c r="HZ1635" s="479"/>
      <c r="IA1635" s="479"/>
      <c r="IB1635" s="479"/>
      <c r="IC1635" s="479"/>
      <c r="ID1635" s="479"/>
      <c r="IE1635" s="479"/>
      <c r="IF1635" s="479"/>
      <c r="IG1635" s="479"/>
      <c r="IH1635" s="479"/>
      <c r="II1635" s="479"/>
      <c r="IJ1635" s="479"/>
      <c r="IK1635" s="479"/>
      <c r="IL1635" s="479"/>
      <c r="IM1635" s="479"/>
      <c r="IN1635" s="479"/>
      <c r="IO1635" s="479"/>
      <c r="IP1635" s="479"/>
      <c r="IQ1635" s="479"/>
      <c r="IR1635" s="479"/>
      <c r="IS1635" s="479"/>
      <c r="IT1635" s="479"/>
      <c r="IU1635" s="479"/>
      <c r="IV1635" s="479"/>
    </row>
    <row r="1636" spans="1:26" ht="15">
      <c r="A1636" s="216" t="s">
        <v>149</v>
      </c>
      <c r="B1636" s="800" t="s">
        <v>51</v>
      </c>
      <c r="C1636" s="985">
        <f>CEILING(90*$Z$1,0.1)</f>
        <v>112.5</v>
      </c>
      <c r="D1636" s="991"/>
      <c r="E1636" s="985">
        <f>CEILING(70*$Z$1,0.1)</f>
        <v>87.5</v>
      </c>
      <c r="F1636" s="991"/>
      <c r="G1636" s="1482"/>
      <c r="H1636" s="1483"/>
      <c r="I1636" s="619"/>
      <c r="J1636" s="619"/>
      <c r="K1636" s="893"/>
      <c r="L1636" s="893"/>
      <c r="M1636" s="349"/>
      <c r="N1636" s="349"/>
      <c r="O1636" s="481"/>
      <c r="Q1636" s="15"/>
      <c r="R1636" s="15"/>
      <c r="T1636" s="1438"/>
      <c r="U1636" s="1438"/>
      <c r="V1636" s="1438"/>
      <c r="W1636" s="1438"/>
      <c r="X1636" s="1438"/>
      <c r="Y1636" s="1438"/>
      <c r="Z1636" s="1438"/>
    </row>
    <row r="1637" spans="1:26" ht="15">
      <c r="A1637" s="182" t="s">
        <v>59</v>
      </c>
      <c r="B1637" s="147" t="s">
        <v>52</v>
      </c>
      <c r="C1637" s="986">
        <f>CEILING((C1636+45*$Z$1),0.1)</f>
        <v>168.8</v>
      </c>
      <c r="D1637" s="992"/>
      <c r="E1637" s="986">
        <f>CEILING((E1636+45*$Z$1),0.1)</f>
        <v>143.8</v>
      </c>
      <c r="F1637" s="992"/>
      <c r="G1637" s="1482"/>
      <c r="H1637" s="1483"/>
      <c r="I1637" s="619"/>
      <c r="J1637" s="619"/>
      <c r="K1637" s="893"/>
      <c r="L1637" s="893"/>
      <c r="M1637" s="893"/>
      <c r="N1637" s="893"/>
      <c r="O1637" s="481"/>
      <c r="Q1637" s="3"/>
      <c r="R1637" s="3"/>
      <c r="S1637" s="189"/>
      <c r="T1637" s="1438"/>
      <c r="U1637" s="1438"/>
      <c r="V1637" s="1438"/>
      <c r="W1637" s="1438"/>
      <c r="X1637" s="1438"/>
      <c r="Y1637" s="1438"/>
      <c r="Z1637" s="1438"/>
    </row>
    <row r="1638" spans="1:26" ht="17.25" customHeight="1">
      <c r="A1638" s="206"/>
      <c r="B1638" s="1001" t="s">
        <v>79</v>
      </c>
      <c r="C1638" s="986">
        <f>CEILING((C1636*0.85),0.1)</f>
        <v>95.7</v>
      </c>
      <c r="D1638" s="992"/>
      <c r="E1638" s="986">
        <f>CEILING((E1636*0.85),0.1)</f>
        <v>74.4</v>
      </c>
      <c r="F1638" s="992"/>
      <c r="G1638" s="1482"/>
      <c r="H1638" s="1483"/>
      <c r="I1638" s="619"/>
      <c r="J1638" s="619"/>
      <c r="K1638" s="893"/>
      <c r="L1638" s="893"/>
      <c r="M1638" s="893"/>
      <c r="N1638" s="946"/>
      <c r="O1638" s="481"/>
      <c r="Q1638" s="3"/>
      <c r="R1638" s="3"/>
      <c r="S1638" s="189"/>
      <c r="T1638" s="1438"/>
      <c r="U1638" s="1438"/>
      <c r="V1638" s="1438"/>
      <c r="W1638" s="1438"/>
      <c r="X1638" s="1438"/>
      <c r="Y1638" s="1438"/>
      <c r="Z1638" s="1438"/>
    </row>
    <row r="1639" spans="1:26" ht="15">
      <c r="A1639" s="733"/>
      <c r="B1639" s="226" t="s">
        <v>78</v>
      </c>
      <c r="C1639" s="986">
        <f>CEILING((C1636*0.5),0.1)</f>
        <v>56.300000000000004</v>
      </c>
      <c r="D1639" s="993"/>
      <c r="E1639" s="986">
        <f>CEILING((E1636*0.5),0.1)</f>
        <v>43.800000000000004</v>
      </c>
      <c r="F1639" s="993"/>
      <c r="G1639" s="1482"/>
      <c r="H1639" s="1483"/>
      <c r="I1639" s="619"/>
      <c r="J1639" s="619"/>
      <c r="K1639" s="893"/>
      <c r="L1639" s="893"/>
      <c r="M1639" s="893"/>
      <c r="N1639" s="946"/>
      <c r="O1639" s="481"/>
      <c r="Q1639" s="3"/>
      <c r="R1639" s="3"/>
      <c r="S1639" s="189"/>
      <c r="T1639" s="1438"/>
      <c r="U1639" s="1438"/>
      <c r="V1639" s="1438"/>
      <c r="W1639" s="1438"/>
      <c r="X1639" s="1438"/>
      <c r="Y1639" s="1438"/>
      <c r="Z1639" s="1438"/>
    </row>
    <row r="1640" spans="1:26" s="479" customFormat="1" ht="15">
      <c r="A1640" s="251"/>
      <c r="B1640" s="147" t="s">
        <v>137</v>
      </c>
      <c r="C1640" s="986">
        <f>CEILING(150*$Z$1,0.1)</f>
        <v>187.5</v>
      </c>
      <c r="D1640" s="992"/>
      <c r="E1640" s="986">
        <f>CEILING(130*$Z$1,0.1)</f>
        <v>162.5</v>
      </c>
      <c r="F1640" s="992"/>
      <c r="G1640" s="1482"/>
      <c r="H1640" s="1483"/>
      <c r="I1640" s="619"/>
      <c r="J1640" s="619"/>
      <c r="K1640" s="332"/>
      <c r="L1640" s="628"/>
      <c r="M1640" s="893"/>
      <c r="N1640" s="946"/>
      <c r="O1640" s="481"/>
      <c r="P1640" s="480"/>
      <c r="Q1640" s="3"/>
      <c r="R1640" s="3"/>
      <c r="S1640" s="481"/>
      <c r="T1640" s="1438"/>
      <c r="U1640" s="1438"/>
      <c r="V1640" s="1438"/>
      <c r="W1640" s="1438"/>
      <c r="X1640" s="1438"/>
      <c r="Y1640" s="1438"/>
      <c r="Z1640" s="1438"/>
    </row>
    <row r="1641" spans="1:26" s="479" customFormat="1" ht="15">
      <c r="A1641" s="602" t="s">
        <v>421</v>
      </c>
      <c r="B1641" s="892" t="s">
        <v>243</v>
      </c>
      <c r="C1641" s="1002">
        <f>CEILING((C1640+45*$Z$1),0.1)</f>
        <v>243.8</v>
      </c>
      <c r="D1641" s="1003"/>
      <c r="E1641" s="1002">
        <f>CEILING((E1640+45*$Z$1),0.1)</f>
        <v>218.8</v>
      </c>
      <c r="F1641" s="1003"/>
      <c r="G1641" s="1482"/>
      <c r="H1641" s="1483"/>
      <c r="I1641" s="619"/>
      <c r="J1641" s="619"/>
      <c r="K1641" s="629"/>
      <c r="L1641" s="629"/>
      <c r="M1641" s="893"/>
      <c r="N1641" s="946"/>
      <c r="O1641" s="481"/>
      <c r="P1641" s="480"/>
      <c r="Q1641" s="3"/>
      <c r="R1641" s="3"/>
      <c r="S1641" s="481"/>
      <c r="T1641" s="1438"/>
      <c r="U1641" s="1438"/>
      <c r="V1641" s="1438"/>
      <c r="W1641" s="1438"/>
      <c r="X1641" s="1438"/>
      <c r="Y1641" s="1438"/>
      <c r="Z1641" s="1438"/>
    </row>
    <row r="1642" spans="1:26" s="495" customFormat="1" ht="16.5" customHeight="1">
      <c r="A1642" s="107" t="s">
        <v>637</v>
      </c>
      <c r="B1642" s="107"/>
      <c r="C1642" s="107"/>
      <c r="D1642" s="107"/>
      <c r="E1642" s="107"/>
      <c r="F1642" s="107"/>
      <c r="G1642" s="107"/>
      <c r="H1642" s="107"/>
      <c r="I1642" s="897"/>
      <c r="J1642" s="376"/>
      <c r="K1642" s="893"/>
      <c r="L1642" s="893"/>
      <c r="M1642" s="898"/>
      <c r="N1642" s="898"/>
      <c r="O1642" s="494"/>
      <c r="P1642" s="494"/>
      <c r="Q1642" s="494"/>
      <c r="R1642" s="3"/>
      <c r="S1642" s="3"/>
      <c r="T1642" s="1438"/>
      <c r="U1642" s="1438"/>
      <c r="V1642" s="1438"/>
      <c r="W1642" s="1438"/>
      <c r="X1642" s="1438"/>
      <c r="Y1642" s="1438"/>
      <c r="Z1642" s="1438"/>
    </row>
    <row r="1643" spans="1:26" s="1008" customFormat="1" ht="16.5" customHeight="1">
      <c r="A1643" s="542" t="s">
        <v>1131</v>
      </c>
      <c r="B1643" s="542"/>
      <c r="C1643" s="542"/>
      <c r="D1643" s="542"/>
      <c r="E1643" s="542"/>
      <c r="F1643" s="542"/>
      <c r="G1643" s="542"/>
      <c r="H1643" s="542"/>
      <c r="I1643" s="633"/>
      <c r="J1643" s="1004"/>
      <c r="K1643" s="605"/>
      <c r="L1643" s="605"/>
      <c r="M1643" s="1005"/>
      <c r="N1643" s="1005"/>
      <c r="O1643" s="1006"/>
      <c r="P1643" s="1006"/>
      <c r="Q1643" s="1006"/>
      <c r="R1643" s="1007"/>
      <c r="S1643" s="1007"/>
      <c r="T1643" s="1438"/>
      <c r="U1643" s="1438"/>
      <c r="V1643" s="1438"/>
      <c r="W1643" s="1438"/>
      <c r="X1643" s="1438"/>
      <c r="Y1643" s="1438"/>
      <c r="Z1643" s="1438"/>
    </row>
    <row r="1644" spans="1:26" s="192" customFormat="1" ht="15">
      <c r="A1644" s="955" t="s">
        <v>921</v>
      </c>
      <c r="B1644" s="949"/>
      <c r="C1644" s="949"/>
      <c r="D1644" s="949"/>
      <c r="E1644" s="949"/>
      <c r="F1644" s="949"/>
      <c r="G1644" s="949"/>
      <c r="H1644" s="949"/>
      <c r="I1644" s="949"/>
      <c r="J1644" s="949"/>
      <c r="K1644" s="279"/>
      <c r="L1644" s="279"/>
      <c r="M1644" s="481"/>
      <c r="N1644" s="481"/>
      <c r="O1644" s="481"/>
      <c r="P1644" s="481"/>
      <c r="Q1644" s="481"/>
      <c r="R1644" s="481"/>
      <c r="S1644" s="481"/>
      <c r="T1644" s="1438"/>
      <c r="U1644" s="1438"/>
      <c r="V1644" s="1438"/>
      <c r="W1644" s="1438"/>
      <c r="X1644" s="1438"/>
      <c r="Y1644" s="1438"/>
      <c r="Z1644" s="1438"/>
    </row>
    <row r="1645" spans="1:26" s="192" customFormat="1" ht="15">
      <c r="A1645" s="172"/>
      <c r="B1645" s="945"/>
      <c r="C1645" s="945"/>
      <c r="D1645" s="945"/>
      <c r="E1645" s="945"/>
      <c r="F1645" s="945"/>
      <c r="G1645" s="945"/>
      <c r="H1645" s="945"/>
      <c r="I1645" s="945"/>
      <c r="J1645" s="945"/>
      <c r="K1645" s="946"/>
      <c r="L1645" s="946"/>
      <c r="M1645" s="946"/>
      <c r="N1645" s="946"/>
      <c r="O1645" s="481"/>
      <c r="P1645" s="481"/>
      <c r="Q1645" s="481"/>
      <c r="R1645" s="481"/>
      <c r="S1645" s="481"/>
      <c r="T1645" s="1438"/>
      <c r="U1645" s="1438"/>
      <c r="V1645" s="1438"/>
      <c r="W1645" s="1438"/>
      <c r="X1645" s="1438"/>
      <c r="Y1645" s="1438"/>
      <c r="Z1645" s="1438"/>
    </row>
    <row r="1646" spans="1:50" s="664" customFormat="1" ht="28.5" customHeight="1">
      <c r="A1646" s="794" t="s">
        <v>43</v>
      </c>
      <c r="B1646" s="966" t="s">
        <v>1105</v>
      </c>
      <c r="C1646" s="795" t="s">
        <v>884</v>
      </c>
      <c r="D1646" s="796"/>
      <c r="E1646" s="765" t="s">
        <v>911</v>
      </c>
      <c r="F1646" s="766"/>
      <c r="G1646" s="765" t="s">
        <v>1281</v>
      </c>
      <c r="H1646" s="766"/>
      <c r="I1646" s="1280" t="s">
        <v>969</v>
      </c>
      <c r="J1646" s="1281"/>
      <c r="K1646" s="1280" t="s">
        <v>970</v>
      </c>
      <c r="L1646" s="1281"/>
      <c r="M1646" s="1280"/>
      <c r="N1646" s="1281"/>
      <c r="O1646" s="335"/>
      <c r="P1646" s="335"/>
      <c r="Q1646" s="335"/>
      <c r="R1646" s="335"/>
      <c r="S1646" s="335"/>
      <c r="T1646" s="1438"/>
      <c r="U1646" s="1438"/>
      <c r="V1646" s="1438"/>
      <c r="W1646" s="1438"/>
      <c r="X1646" s="1438"/>
      <c r="Y1646" s="1438"/>
      <c r="Z1646" s="1438"/>
      <c r="AA1646" s="335"/>
      <c r="AB1646" s="335"/>
      <c r="AC1646" s="335"/>
      <c r="AD1646" s="335"/>
      <c r="AE1646" s="335"/>
      <c r="AF1646" s="335"/>
      <c r="AG1646" s="335"/>
      <c r="AH1646" s="335"/>
      <c r="AI1646" s="335"/>
      <c r="AJ1646" s="335"/>
      <c r="AK1646" s="335"/>
      <c r="AL1646" s="335"/>
      <c r="AM1646" s="335"/>
      <c r="AN1646" s="335"/>
      <c r="AO1646" s="335"/>
      <c r="AP1646" s="335"/>
      <c r="AQ1646" s="335"/>
      <c r="AR1646" s="335"/>
      <c r="AS1646" s="335"/>
      <c r="AT1646" s="335"/>
      <c r="AU1646" s="335"/>
      <c r="AV1646" s="335"/>
      <c r="AW1646" s="335"/>
      <c r="AX1646" s="335"/>
    </row>
    <row r="1647" spans="1:26" s="404" customFormat="1" ht="15">
      <c r="A1647" s="216" t="s">
        <v>670</v>
      </c>
      <c r="B1647" s="800" t="s">
        <v>51</v>
      </c>
      <c r="C1647" s="1193">
        <f>CEILING(50*$Z$1,0.1)</f>
        <v>62.5</v>
      </c>
      <c r="D1647" s="1194"/>
      <c r="E1647" s="1193">
        <f>CEILING(55*$Z$1,0.1)</f>
        <v>68.8</v>
      </c>
      <c r="F1647" s="1194"/>
      <c r="G1647" s="1193">
        <f>CEILING(55*$Z$1,0.1)</f>
        <v>68.8</v>
      </c>
      <c r="H1647" s="1194"/>
      <c r="I1647" s="1193">
        <f>CEILING(60*$Z$1,0.1)</f>
        <v>75</v>
      </c>
      <c r="J1647" s="1194"/>
      <c r="K1647" s="1193">
        <f>CEILING(55*$Z$1,0.1)</f>
        <v>68.8</v>
      </c>
      <c r="L1647" s="1194"/>
      <c r="M1647" s="986"/>
      <c r="N1647" s="993"/>
      <c r="O1647" s="169"/>
      <c r="P1647" s="169"/>
      <c r="Q1647" s="169"/>
      <c r="R1647" s="189"/>
      <c r="S1647" s="189"/>
      <c r="T1647" s="1438"/>
      <c r="U1647" s="1438"/>
      <c r="V1647" s="1438"/>
      <c r="W1647" s="1438"/>
      <c r="X1647" s="1438"/>
      <c r="Y1647" s="1438"/>
      <c r="Z1647" s="1438"/>
    </row>
    <row r="1648" spans="1:26" s="404" customFormat="1" ht="15">
      <c r="A1648" s="182" t="s">
        <v>59</v>
      </c>
      <c r="B1648" s="147" t="s">
        <v>52</v>
      </c>
      <c r="C1648" s="1193">
        <f>CEILING((C1647+30*$Z$1),0.1)</f>
        <v>100</v>
      </c>
      <c r="D1648" s="1194"/>
      <c r="E1648" s="1193">
        <f>CEILING((E1647+30*$Z$1),0.1)</f>
        <v>106.30000000000001</v>
      </c>
      <c r="F1648" s="1194"/>
      <c r="G1648" s="1193">
        <f>CEILING((G1647+30*$Z$1),0.1)</f>
        <v>106.30000000000001</v>
      </c>
      <c r="H1648" s="1194"/>
      <c r="I1648" s="1193">
        <f>CEILING((I1647+30*$Z$1),0.1)</f>
        <v>112.5</v>
      </c>
      <c r="J1648" s="1194"/>
      <c r="K1648" s="1193">
        <f>CEILING((K1647+30*$Z$1),0.1)</f>
        <v>106.30000000000001</v>
      </c>
      <c r="L1648" s="1194"/>
      <c r="M1648" s="986"/>
      <c r="N1648" s="992"/>
      <c r="O1648" s="169"/>
      <c r="P1648" s="169"/>
      <c r="Q1648" s="169"/>
      <c r="R1648" s="189"/>
      <c r="S1648" s="189"/>
      <c r="T1648" s="1438"/>
      <c r="U1648" s="1438"/>
      <c r="V1648" s="1438"/>
      <c r="W1648" s="1438"/>
      <c r="X1648" s="1438"/>
      <c r="Y1648" s="1438"/>
      <c r="Z1648" s="1438"/>
    </row>
    <row r="1649" spans="1:26" s="479" customFormat="1" ht="15">
      <c r="A1649" s="206"/>
      <c r="B1649" s="1001" t="s">
        <v>79</v>
      </c>
      <c r="C1649" s="1193">
        <f>CEILING((C1647*0.85),0.1)</f>
        <v>53.2</v>
      </c>
      <c r="D1649" s="1194"/>
      <c r="E1649" s="1193">
        <f>CEILING((E1647*0.85),0.1)</f>
        <v>58.5</v>
      </c>
      <c r="F1649" s="1194"/>
      <c r="G1649" s="1193">
        <f>CEILING((G1647*0.85),0.1)</f>
        <v>58.5</v>
      </c>
      <c r="H1649" s="1194"/>
      <c r="I1649" s="1193">
        <f>CEILING((I1647*0.85),0.1)</f>
        <v>63.800000000000004</v>
      </c>
      <c r="J1649" s="1194"/>
      <c r="K1649" s="1193">
        <f>CEILING((K1647*0.85),0.1)</f>
        <v>58.5</v>
      </c>
      <c r="L1649" s="1194"/>
      <c r="M1649" s="986"/>
      <c r="N1649" s="992"/>
      <c r="O1649" s="480"/>
      <c r="P1649" s="480"/>
      <c r="Q1649" s="480"/>
      <c r="R1649" s="481"/>
      <c r="S1649" s="481"/>
      <c r="T1649" s="1438"/>
      <c r="U1649" s="1438"/>
      <c r="V1649" s="1438"/>
      <c r="W1649" s="1438"/>
      <c r="X1649" s="1438"/>
      <c r="Y1649" s="1438"/>
      <c r="Z1649" s="1438"/>
    </row>
    <row r="1650" spans="1:26" s="479" customFormat="1" ht="15">
      <c r="A1650" s="275"/>
      <c r="B1650" s="147" t="s">
        <v>71</v>
      </c>
      <c r="C1650" s="1193">
        <f>CEILING((C1647*0.5),0.1)</f>
        <v>31.3</v>
      </c>
      <c r="D1650" s="1194"/>
      <c r="E1650" s="1193">
        <f>CEILING((E1647*0.5),0.1)</f>
        <v>34.4</v>
      </c>
      <c r="F1650" s="1194"/>
      <c r="G1650" s="1193">
        <f>CEILING((G1647*0.5),0.1)</f>
        <v>34.4</v>
      </c>
      <c r="H1650" s="1194"/>
      <c r="I1650" s="1193">
        <f>CEILING((I1647*0.5),0.1)</f>
        <v>37.5</v>
      </c>
      <c r="J1650" s="1194"/>
      <c r="K1650" s="1193">
        <f>CEILING((K1647*0.5),0.1)</f>
        <v>34.4</v>
      </c>
      <c r="L1650" s="1194"/>
      <c r="M1650" s="986"/>
      <c r="N1650" s="993"/>
      <c r="O1650" s="480"/>
      <c r="P1650" s="480"/>
      <c r="Q1650" s="480"/>
      <c r="R1650" s="481"/>
      <c r="S1650" s="481"/>
      <c r="T1650" s="1438"/>
      <c r="U1650" s="1438"/>
      <c r="V1650" s="1438"/>
      <c r="W1650" s="1438"/>
      <c r="X1650" s="1438"/>
      <c r="Y1650" s="1438"/>
      <c r="Z1650" s="1438"/>
    </row>
    <row r="1651" spans="1:26" s="479" customFormat="1" ht="15">
      <c r="A1651" s="661" t="s">
        <v>875</v>
      </c>
      <c r="B1651" s="147" t="s">
        <v>9</v>
      </c>
      <c r="C1651" s="1193">
        <f>CEILING(60*$Z$1,0.1)</f>
        <v>75</v>
      </c>
      <c r="D1651" s="1194"/>
      <c r="E1651" s="1193">
        <f>CEILING(65*$Z$1,0.1)</f>
        <v>81.30000000000001</v>
      </c>
      <c r="F1651" s="1194"/>
      <c r="G1651" s="1193">
        <f>CEILING(65*$Z$1,0.1)</f>
        <v>81.30000000000001</v>
      </c>
      <c r="H1651" s="1194"/>
      <c r="I1651" s="1193">
        <f>CEILING(70*$Z$1,0.1)</f>
        <v>87.5</v>
      </c>
      <c r="J1651" s="1194"/>
      <c r="K1651" s="1193">
        <f>CEILING(65*$Z$1,0.1)</f>
        <v>81.30000000000001</v>
      </c>
      <c r="L1651" s="1194"/>
      <c r="M1651" s="986"/>
      <c r="N1651" s="993"/>
      <c r="O1651" s="480"/>
      <c r="P1651" s="480"/>
      <c r="Q1651" s="480"/>
      <c r="R1651" s="481"/>
      <c r="S1651" s="481"/>
      <c r="T1651" s="1438"/>
      <c r="U1651" s="1438"/>
      <c r="V1651" s="1438"/>
      <c r="W1651" s="1438"/>
      <c r="X1651" s="1438"/>
      <c r="Y1651" s="1438"/>
      <c r="Z1651" s="1438"/>
    </row>
    <row r="1652" spans="1:256" s="479" customFormat="1" ht="15">
      <c r="A1652" s="182"/>
      <c r="B1652" s="147" t="s">
        <v>10</v>
      </c>
      <c r="C1652" s="1193">
        <f>CEILING((C1651+30*$Z$1),0.1)</f>
        <v>112.5</v>
      </c>
      <c r="D1652" s="1194"/>
      <c r="E1652" s="1193">
        <f>CEILING((E1651+30*$Z$1),0.1)</f>
        <v>118.80000000000001</v>
      </c>
      <c r="F1652" s="1194"/>
      <c r="G1652" s="1193">
        <f>CEILING((G1651+30*$Z$1),0.1)</f>
        <v>118.80000000000001</v>
      </c>
      <c r="H1652" s="1194"/>
      <c r="I1652" s="1193">
        <f>CEILING((I1651+20*$Z$1),0.1)</f>
        <v>112.5</v>
      </c>
      <c r="J1652" s="1194"/>
      <c r="K1652" s="1193">
        <f>CEILING((K1651+30*$Z$1),0.1)</f>
        <v>118.80000000000001</v>
      </c>
      <c r="L1652" s="1194"/>
      <c r="M1652" s="986"/>
      <c r="N1652" s="992"/>
      <c r="O1652" s="480"/>
      <c r="P1652" s="480"/>
      <c r="Q1652" s="480"/>
      <c r="R1652" s="3"/>
      <c r="S1652" s="3"/>
      <c r="T1652" s="1438"/>
      <c r="U1652" s="1438"/>
      <c r="V1652" s="1438"/>
      <c r="W1652" s="1438"/>
      <c r="X1652" s="1438"/>
      <c r="Y1652" s="1438"/>
      <c r="Z1652" s="1438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  <c r="DL1652"/>
      <c r="DM1652"/>
      <c r="DN1652"/>
      <c r="DO1652"/>
      <c r="DP1652"/>
      <c r="DQ1652"/>
      <c r="DR1652"/>
      <c r="DS1652"/>
      <c r="DT1652"/>
      <c r="DU1652"/>
      <c r="DV1652"/>
      <c r="DW1652"/>
      <c r="DX1652"/>
      <c r="DY1652"/>
      <c r="DZ1652"/>
      <c r="EA1652"/>
      <c r="EB1652"/>
      <c r="EC1652"/>
      <c r="ED1652"/>
      <c r="EE1652"/>
      <c r="EF1652"/>
      <c r="EG1652"/>
      <c r="EH1652"/>
      <c r="EI1652"/>
      <c r="EJ1652"/>
      <c r="EK1652"/>
      <c r="EL1652"/>
      <c r="EM1652"/>
      <c r="EN1652"/>
      <c r="EO1652"/>
      <c r="EP1652"/>
      <c r="EQ1652"/>
      <c r="ER1652"/>
      <c r="ES1652"/>
      <c r="ET1652"/>
      <c r="EU1652"/>
      <c r="EV1652"/>
      <c r="EW1652"/>
      <c r="EX1652"/>
      <c r="EY1652"/>
      <c r="EZ1652"/>
      <c r="FA1652"/>
      <c r="FB1652"/>
      <c r="FC1652"/>
      <c r="FD1652"/>
      <c r="FE1652"/>
      <c r="FF1652"/>
      <c r="FG1652"/>
      <c r="FH1652"/>
      <c r="FI1652"/>
      <c r="FJ1652"/>
      <c r="FK1652"/>
      <c r="FL1652"/>
      <c r="FM1652"/>
      <c r="FN1652"/>
      <c r="FO1652"/>
      <c r="FP1652"/>
      <c r="FQ1652"/>
      <c r="FR1652"/>
      <c r="FS1652"/>
      <c r="FT1652"/>
      <c r="FU1652"/>
      <c r="FV1652"/>
      <c r="FW1652"/>
      <c r="FX1652"/>
      <c r="FY1652"/>
      <c r="FZ1652"/>
      <c r="GA1652"/>
      <c r="GB1652"/>
      <c r="GC1652"/>
      <c r="GD1652"/>
      <c r="GE1652"/>
      <c r="GF1652"/>
      <c r="GG1652"/>
      <c r="GH1652"/>
      <c r="GI1652"/>
      <c r="GJ1652"/>
      <c r="GK1652"/>
      <c r="GL1652"/>
      <c r="GM1652"/>
      <c r="GN1652"/>
      <c r="GO1652"/>
      <c r="GP1652"/>
      <c r="GQ1652"/>
      <c r="GR1652"/>
      <c r="GS1652"/>
      <c r="GT1652"/>
      <c r="GU1652"/>
      <c r="GV1652"/>
      <c r="GW1652"/>
      <c r="GX1652"/>
      <c r="GY1652"/>
      <c r="GZ1652"/>
      <c r="HA1652"/>
      <c r="HB1652"/>
      <c r="HC1652"/>
      <c r="HD1652"/>
      <c r="HE1652"/>
      <c r="HF1652"/>
      <c r="HG1652"/>
      <c r="HH1652"/>
      <c r="HI1652"/>
      <c r="HJ1652"/>
      <c r="HK1652"/>
      <c r="HL1652"/>
      <c r="HM1652"/>
      <c r="HN1652"/>
      <c r="HO1652"/>
      <c r="HP1652"/>
      <c r="HQ1652"/>
      <c r="HR1652"/>
      <c r="HS1652"/>
      <c r="HT1652"/>
      <c r="HU1652"/>
      <c r="HV1652"/>
      <c r="HW1652"/>
      <c r="HX1652"/>
      <c r="HY1652"/>
      <c r="HZ1652"/>
      <c r="IA1652"/>
      <c r="IB1652"/>
      <c r="IC1652"/>
      <c r="ID1652"/>
      <c r="IE1652"/>
      <c r="IF1652"/>
      <c r="IG1652"/>
      <c r="IH1652"/>
      <c r="II1652"/>
      <c r="IJ1652"/>
      <c r="IK1652"/>
      <c r="IL1652"/>
      <c r="IM1652"/>
      <c r="IN1652"/>
      <c r="IO1652"/>
      <c r="IP1652"/>
      <c r="IQ1652"/>
      <c r="IR1652"/>
      <c r="IS1652"/>
      <c r="IT1652"/>
      <c r="IU1652"/>
      <c r="IV1652"/>
    </row>
    <row r="1653" spans="1:26" ht="15">
      <c r="A1653" s="206"/>
      <c r="B1653" s="147" t="s">
        <v>204</v>
      </c>
      <c r="C1653" s="986">
        <f>CEILING(87*$Z$1,0.1)</f>
        <v>108.80000000000001</v>
      </c>
      <c r="D1653" s="993"/>
      <c r="E1653" s="986">
        <f>CEILING(82*$Z$1,0.1)</f>
        <v>102.5</v>
      </c>
      <c r="F1653" s="993"/>
      <c r="G1653" s="986">
        <f>CEILING(100*$Z$1,0.1)</f>
        <v>125</v>
      </c>
      <c r="H1653" s="993"/>
      <c r="I1653" s="986">
        <f>CEILING(87*$Z$1,0.1)</f>
        <v>108.80000000000001</v>
      </c>
      <c r="J1653" s="993"/>
      <c r="K1653" s="986">
        <f>CEILING(93*$Z$1,0.1)</f>
        <v>116.30000000000001</v>
      </c>
      <c r="L1653" s="993"/>
      <c r="M1653" s="986"/>
      <c r="N1653" s="993"/>
      <c r="R1653" s="1440"/>
      <c r="S1653" s="1440"/>
      <c r="T1653" s="1438"/>
      <c r="U1653" s="1438"/>
      <c r="V1653" s="1438"/>
      <c r="W1653" s="1438"/>
      <c r="X1653" s="1438"/>
      <c r="Y1653" s="1438"/>
      <c r="Z1653" s="1438"/>
    </row>
    <row r="1654" spans="1:26" ht="15.75" thickBot="1">
      <c r="A1654" s="443" t="s">
        <v>671</v>
      </c>
      <c r="B1654" s="801" t="s">
        <v>205</v>
      </c>
      <c r="C1654" s="994">
        <f>CEILING((C1653+40*$Z$1),0.1)</f>
        <v>158.8</v>
      </c>
      <c r="D1654" s="995"/>
      <c r="E1654" s="994">
        <f>CEILING((E1653+40*$Z$1),0.1)</f>
        <v>152.5</v>
      </c>
      <c r="F1654" s="995"/>
      <c r="G1654" s="994">
        <f>CEILING((G1653+40*$Z$1),0.1)</f>
        <v>175</v>
      </c>
      <c r="H1654" s="995"/>
      <c r="I1654" s="994">
        <f>CEILING((I1653+40*$Z$1),0.1)</f>
        <v>158.8</v>
      </c>
      <c r="J1654" s="995"/>
      <c r="K1654" s="994">
        <f>CEILING((K1653+40*$Z$1),0.1)</f>
        <v>166.3</v>
      </c>
      <c r="L1654" s="995"/>
      <c r="M1654" s="994"/>
      <c r="N1654" s="995"/>
      <c r="R1654" s="15"/>
      <c r="S1654" s="15"/>
      <c r="T1654" s="1438"/>
      <c r="U1654" s="1438"/>
      <c r="V1654" s="1438"/>
      <c r="W1654" s="1438"/>
      <c r="X1654" s="1438"/>
      <c r="Y1654" s="1438"/>
      <c r="Z1654" s="1438"/>
    </row>
    <row r="1655" spans="1:26" ht="15.75" thickTop="1">
      <c r="A1655" s="75" t="s">
        <v>1138</v>
      </c>
      <c r="B1655" s="148"/>
      <c r="C1655" s="3"/>
      <c r="D1655" s="3"/>
      <c r="E1655" s="3"/>
      <c r="F1655" s="3"/>
      <c r="G1655" s="3"/>
      <c r="H1655" s="3"/>
      <c r="I1655" s="3"/>
      <c r="J1655" s="3"/>
      <c r="K1655" s="600"/>
      <c r="L1655" s="372"/>
      <c r="M1655" s="384"/>
      <c r="N1655" s="384"/>
      <c r="R1655" s="3"/>
      <c r="S1655" s="3"/>
      <c r="T1655" s="1438"/>
      <c r="U1655" s="1438"/>
      <c r="V1655" s="1438"/>
      <c r="W1655" s="1438"/>
      <c r="X1655" s="1438"/>
      <c r="Y1655" s="1438"/>
      <c r="Z1655" s="1438"/>
    </row>
    <row r="1656" spans="1:26" ht="15.75" thickBot="1">
      <c r="A1656" s="113"/>
      <c r="B1656" s="113"/>
      <c r="C1656" s="107"/>
      <c r="D1656" s="107"/>
      <c r="E1656" s="107"/>
      <c r="F1656" s="107"/>
      <c r="G1656" s="107"/>
      <c r="H1656" s="107"/>
      <c r="I1656" s="107"/>
      <c r="J1656" s="107"/>
      <c r="K1656" s="600"/>
      <c r="L1656" s="372"/>
      <c r="M1656" s="384"/>
      <c r="N1656" s="384"/>
      <c r="R1656" s="3"/>
      <c r="S1656" s="3"/>
      <c r="T1656" s="1438"/>
      <c r="U1656" s="1438"/>
      <c r="V1656" s="1438"/>
      <c r="W1656" s="1438"/>
      <c r="X1656" s="1438"/>
      <c r="Y1656" s="1438"/>
      <c r="Z1656" s="1438"/>
    </row>
    <row r="1657" spans="1:50" s="1037" customFormat="1" ht="28.5" customHeight="1" thickTop="1">
      <c r="A1657" s="1039" t="s">
        <v>43</v>
      </c>
      <c r="B1657" s="966" t="s">
        <v>1105</v>
      </c>
      <c r="C1657" s="795" t="s">
        <v>884</v>
      </c>
      <c r="D1657" s="796"/>
      <c r="E1657" s="765" t="s">
        <v>883</v>
      </c>
      <c r="F1657" s="766"/>
      <c r="G1657" s="765" t="s">
        <v>1142</v>
      </c>
      <c r="H1657" s="766"/>
      <c r="I1657" s="1280" t="s">
        <v>1143</v>
      </c>
      <c r="J1657" s="1281"/>
      <c r="K1657" s="1280" t="s">
        <v>882</v>
      </c>
      <c r="L1657" s="1281"/>
      <c r="M1657" s="947"/>
      <c r="N1657" s="947"/>
      <c r="O1657" s="335"/>
      <c r="P1657" s="335"/>
      <c r="Q1657" s="335"/>
      <c r="R1657" s="335"/>
      <c r="S1657" s="335"/>
      <c r="T1657" s="1438"/>
      <c r="U1657" s="1438"/>
      <c r="V1657" s="1438"/>
      <c r="W1657" s="1438"/>
      <c r="X1657" s="1438"/>
      <c r="Y1657" s="1438"/>
      <c r="Z1657" s="1438"/>
      <c r="AA1657" s="852"/>
      <c r="AB1657" s="852"/>
      <c r="AC1657" s="852"/>
      <c r="AD1657" s="852"/>
      <c r="AE1657" s="852"/>
      <c r="AF1657" s="852"/>
      <c r="AG1657" s="852"/>
      <c r="AH1657" s="852"/>
      <c r="AI1657" s="852"/>
      <c r="AJ1657" s="852"/>
      <c r="AK1657" s="852"/>
      <c r="AL1657" s="852"/>
      <c r="AM1657" s="852"/>
      <c r="AN1657" s="852"/>
      <c r="AO1657" s="852"/>
      <c r="AP1657" s="852"/>
      <c r="AQ1657" s="852"/>
      <c r="AR1657" s="852"/>
      <c r="AS1657" s="1036"/>
      <c r="AT1657" s="1036"/>
      <c r="AU1657" s="1036"/>
      <c r="AV1657" s="1036"/>
      <c r="AW1657" s="1036"/>
      <c r="AX1657" s="1036"/>
    </row>
    <row r="1658" spans="1:26" ht="15">
      <c r="A1658" s="34" t="s">
        <v>150</v>
      </c>
      <c r="B1658" s="40" t="s">
        <v>51</v>
      </c>
      <c r="C1658" s="1211">
        <f>CEILING(80*$Z$1,0.1)</f>
        <v>100</v>
      </c>
      <c r="D1658" s="1212"/>
      <c r="E1658" s="1211">
        <f>CEILING(80*$Z$1,0.1)</f>
        <v>100</v>
      </c>
      <c r="F1658" s="1212"/>
      <c r="G1658" s="1211">
        <f>CEILING(80*$Z$1,0.1)</f>
        <v>100</v>
      </c>
      <c r="H1658" s="1212"/>
      <c r="I1658" s="1213">
        <f>CEILING(80*$Z$1,0.1)</f>
        <v>100</v>
      </c>
      <c r="J1658" s="1214"/>
      <c r="K1658" s="1213">
        <f>CEILING(80*$Z$1,0.1)</f>
        <v>100</v>
      </c>
      <c r="L1658" s="1214"/>
      <c r="M1658" s="169"/>
      <c r="R1658" s="3"/>
      <c r="S1658" s="3"/>
      <c r="T1658" s="1438"/>
      <c r="U1658" s="1438"/>
      <c r="V1658" s="1438"/>
      <c r="W1658" s="1438"/>
      <c r="X1658" s="1438"/>
      <c r="Y1658" s="1438"/>
      <c r="Z1658" s="1438"/>
    </row>
    <row r="1659" spans="1:26" ht="15">
      <c r="A1659" s="35" t="s">
        <v>45</v>
      </c>
      <c r="B1659" s="12" t="s">
        <v>52</v>
      </c>
      <c r="C1659" s="1211">
        <f>CEILING((C1658+35*$Z$1),0.1)</f>
        <v>143.8</v>
      </c>
      <c r="D1659" s="1212"/>
      <c r="E1659" s="1211">
        <f>CEILING((E1658+35*$Z$1),0.1)</f>
        <v>143.8</v>
      </c>
      <c r="F1659" s="1212"/>
      <c r="G1659" s="1211">
        <f>CEILING((G1658+35*$Z$1),0.1)</f>
        <v>143.8</v>
      </c>
      <c r="H1659" s="1212"/>
      <c r="I1659" s="1211">
        <f>CEILING((I1658+35*$Z$1),0.1)</f>
        <v>143.8</v>
      </c>
      <c r="J1659" s="1212"/>
      <c r="K1659" s="1211">
        <f>CEILING((K1658+35*$Z$1),0.1)</f>
        <v>143.8</v>
      </c>
      <c r="L1659" s="1212"/>
      <c r="M1659" s="169"/>
      <c r="R1659" s="3"/>
      <c r="S1659" s="3"/>
      <c r="T1659" s="1438"/>
      <c r="U1659" s="1438"/>
      <c r="V1659" s="1438"/>
      <c r="W1659" s="1438"/>
      <c r="X1659" s="1438"/>
      <c r="Y1659" s="1438"/>
      <c r="Z1659" s="1438"/>
    </row>
    <row r="1660" spans="1:26" ht="14.25" customHeight="1">
      <c r="A1660" s="1217" t="s">
        <v>1304</v>
      </c>
      <c r="B1660" s="123" t="s">
        <v>79</v>
      </c>
      <c r="C1660" s="1211">
        <f>CEILING((C1658*0.85),0.1)</f>
        <v>85</v>
      </c>
      <c r="D1660" s="1212"/>
      <c r="E1660" s="1211">
        <f>CEILING((E1658*0.85),0.1)</f>
        <v>85</v>
      </c>
      <c r="F1660" s="1212"/>
      <c r="G1660" s="1211">
        <f>CEILING((G1658*0.85),0.1)</f>
        <v>85</v>
      </c>
      <c r="H1660" s="1212"/>
      <c r="I1660" s="1211">
        <f>CEILING((I1658*0.85),0.1)</f>
        <v>85</v>
      </c>
      <c r="J1660" s="1212"/>
      <c r="K1660" s="1211">
        <f>CEILING((K1658*0.85),0.1)</f>
        <v>85</v>
      </c>
      <c r="L1660" s="1212"/>
      <c r="M1660" s="481"/>
      <c r="T1660" s="1438"/>
      <c r="U1660" s="1438"/>
      <c r="V1660" s="1438"/>
      <c r="W1660" s="1438"/>
      <c r="X1660" s="1438"/>
      <c r="Y1660" s="1438"/>
      <c r="Z1660" s="1438"/>
    </row>
    <row r="1661" spans="1:26" ht="15" customHeight="1" thickBot="1">
      <c r="A1661" s="79" t="s">
        <v>408</v>
      </c>
      <c r="B1661" s="13" t="s">
        <v>71</v>
      </c>
      <c r="C1661" s="1211">
        <f>CEILING((C1658*0.5),0.1)</f>
        <v>50</v>
      </c>
      <c r="D1661" s="1212"/>
      <c r="E1661" s="1211">
        <f>CEILING((E1658*0.5),0.1)</f>
        <v>50</v>
      </c>
      <c r="F1661" s="1212"/>
      <c r="G1661" s="1211">
        <f>CEILING((G1658*0.5),0.1)</f>
        <v>50</v>
      </c>
      <c r="H1661" s="1212"/>
      <c r="I1661" s="1215">
        <f>CEILING((I1658*0.5),0.1)</f>
        <v>50</v>
      </c>
      <c r="J1661" s="1216"/>
      <c r="K1661" s="1215">
        <f>CEILING((K1658*0.5),0.1)</f>
        <v>50</v>
      </c>
      <c r="L1661" s="1216"/>
      <c r="M1661" s="481"/>
      <c r="R1661" s="1440"/>
      <c r="S1661" s="1440"/>
      <c r="T1661" s="1438"/>
      <c r="U1661" s="1438"/>
      <c r="V1661" s="1438"/>
      <c r="W1661" s="1438"/>
      <c r="X1661" s="1438"/>
      <c r="Y1661" s="1438"/>
      <c r="Z1661" s="1438"/>
    </row>
    <row r="1662" spans="1:26" ht="15.75" thickTop="1">
      <c r="A1662" s="107" t="s">
        <v>1141</v>
      </c>
      <c r="B1662" s="194"/>
      <c r="C1662" s="194"/>
      <c r="D1662" s="194"/>
      <c r="E1662" s="194"/>
      <c r="F1662" s="194"/>
      <c r="G1662" s="194"/>
      <c r="H1662" s="194"/>
      <c r="I1662" s="93"/>
      <c r="J1662" s="195"/>
      <c r="K1662" s="359"/>
      <c r="L1662" s="359"/>
      <c r="M1662" s="169"/>
      <c r="R1662" s="15"/>
      <c r="S1662" s="15"/>
      <c r="T1662" s="1438"/>
      <c r="U1662" s="1438"/>
      <c r="V1662" s="1438"/>
      <c r="W1662" s="1438"/>
      <c r="X1662" s="1438"/>
      <c r="Y1662" s="1438"/>
      <c r="Z1662" s="1438"/>
    </row>
    <row r="1663" spans="1:37" s="479" customFormat="1" ht="18" customHeight="1">
      <c r="A1663" s="172"/>
      <c r="B1663" s="949"/>
      <c r="C1663" s="22"/>
      <c r="D1663" s="22"/>
      <c r="E1663" s="22"/>
      <c r="F1663" s="22"/>
      <c r="G1663" s="22"/>
      <c r="H1663" s="22"/>
      <c r="I1663" s="22"/>
      <c r="J1663" s="22"/>
      <c r="K1663" s="166"/>
      <c r="L1663" s="166"/>
      <c r="M1663" s="947"/>
      <c r="N1663" s="947"/>
      <c r="O1663" s="331"/>
      <c r="P1663" s="331"/>
      <c r="Q1663" s="331"/>
      <c r="R1663" s="331"/>
      <c r="S1663" s="331"/>
      <c r="T1663" s="1438"/>
      <c r="U1663" s="1438"/>
      <c r="V1663" s="1438"/>
      <c r="W1663" s="1438"/>
      <c r="X1663" s="1438"/>
      <c r="Y1663" s="1438"/>
      <c r="Z1663" s="1438"/>
      <c r="AA1663" s="331"/>
      <c r="AB1663" s="331"/>
      <c r="AC1663" s="331"/>
      <c r="AD1663" s="331"/>
      <c r="AE1663" s="331"/>
      <c r="AF1663" s="331"/>
      <c r="AG1663" s="331"/>
      <c r="AH1663" s="331"/>
      <c r="AI1663" s="331"/>
      <c r="AJ1663" s="331"/>
      <c r="AK1663" s="331"/>
    </row>
    <row r="1664" spans="1:37" s="479" customFormat="1" ht="18" customHeight="1">
      <c r="A1664" s="172"/>
      <c r="B1664" s="949"/>
      <c r="C1664" s="22"/>
      <c r="D1664" s="22"/>
      <c r="E1664" s="22"/>
      <c r="F1664" s="22"/>
      <c r="G1664" s="22"/>
      <c r="H1664" s="22"/>
      <c r="I1664" s="22"/>
      <c r="J1664" s="22"/>
      <c r="K1664" s="166"/>
      <c r="L1664" s="166"/>
      <c r="M1664" s="947"/>
      <c r="N1664" s="947"/>
      <c r="O1664" s="331"/>
      <c r="P1664" s="331"/>
      <c r="Q1664" s="331"/>
      <c r="R1664" s="331"/>
      <c r="S1664" s="331"/>
      <c r="T1664" s="1438"/>
      <c r="U1664" s="1438"/>
      <c r="V1664" s="1438"/>
      <c r="W1664" s="1438"/>
      <c r="X1664" s="1438"/>
      <c r="Y1664" s="1438"/>
      <c r="Z1664" s="1438"/>
      <c r="AA1664" s="331"/>
      <c r="AB1664" s="331"/>
      <c r="AC1664" s="331"/>
      <c r="AD1664" s="331"/>
      <c r="AE1664" s="331"/>
      <c r="AF1664" s="331"/>
      <c r="AG1664" s="331"/>
      <c r="AH1664" s="331"/>
      <c r="AI1664" s="331"/>
      <c r="AJ1664" s="331"/>
      <c r="AK1664" s="331"/>
    </row>
    <row r="1665" spans="1:26" ht="15.75" thickBot="1">
      <c r="A1665" s="172"/>
      <c r="B1665" s="50"/>
      <c r="C1665" s="3"/>
      <c r="D1665" s="3"/>
      <c r="E1665" s="3"/>
      <c r="F1665" s="3"/>
      <c r="G1665" s="3"/>
      <c r="H1665" s="3"/>
      <c r="I1665" s="562"/>
      <c r="J1665" s="562"/>
      <c r="K1665" s="347"/>
      <c r="L1665" s="347"/>
      <c r="M1665" s="16"/>
      <c r="N1665" s="158"/>
      <c r="R1665" s="3"/>
      <c r="S1665" s="3"/>
      <c r="T1665" s="1438"/>
      <c r="U1665" s="1438"/>
      <c r="V1665" s="1438"/>
      <c r="W1665" s="1438"/>
      <c r="X1665" s="1438"/>
      <c r="Y1665" s="1438"/>
      <c r="Z1665" s="1438"/>
    </row>
    <row r="1666" spans="1:50" s="664" customFormat="1" ht="28.5" customHeight="1" thickTop="1">
      <c r="A1666" s="1040" t="s">
        <v>43</v>
      </c>
      <c r="B1666" s="814" t="s">
        <v>1105</v>
      </c>
      <c r="C1666" s="747" t="s">
        <v>884</v>
      </c>
      <c r="D1666" s="748"/>
      <c r="E1666" s="749" t="s">
        <v>911</v>
      </c>
      <c r="F1666" s="750"/>
      <c r="G1666" s="749" t="s">
        <v>912</v>
      </c>
      <c r="H1666" s="750"/>
      <c r="I1666" s="1273" t="s">
        <v>881</v>
      </c>
      <c r="J1666" s="1274"/>
      <c r="K1666" s="1273" t="s">
        <v>882</v>
      </c>
      <c r="L1666" s="1274"/>
      <c r="M1666" s="947"/>
      <c r="N1666" s="947"/>
      <c r="O1666" s="335"/>
      <c r="P1666" s="335"/>
      <c r="Q1666" s="335"/>
      <c r="R1666" s="335"/>
      <c r="S1666" s="335"/>
      <c r="T1666" s="335"/>
      <c r="U1666" s="335"/>
      <c r="V1666" s="335"/>
      <c r="W1666" s="335"/>
      <c r="X1666" s="335"/>
      <c r="Y1666" s="335"/>
      <c r="Z1666" s="335"/>
      <c r="AA1666" s="335"/>
      <c r="AB1666" s="335"/>
      <c r="AC1666" s="335"/>
      <c r="AD1666" s="335"/>
      <c r="AE1666" s="335"/>
      <c r="AF1666" s="335"/>
      <c r="AG1666" s="335"/>
      <c r="AH1666" s="335"/>
      <c r="AI1666" s="335"/>
      <c r="AJ1666" s="335"/>
      <c r="AK1666" s="335"/>
      <c r="AL1666" s="335"/>
      <c r="AM1666" s="335"/>
      <c r="AN1666" s="335"/>
      <c r="AO1666" s="335"/>
      <c r="AP1666" s="335"/>
      <c r="AQ1666" s="335"/>
      <c r="AR1666" s="335"/>
      <c r="AS1666" s="335"/>
      <c r="AT1666" s="335"/>
      <c r="AU1666" s="335"/>
      <c r="AV1666" s="335"/>
      <c r="AW1666" s="335"/>
      <c r="AX1666" s="335"/>
    </row>
    <row r="1667" spans="1:25" s="479" customFormat="1" ht="15">
      <c r="A1667" s="34" t="s">
        <v>482</v>
      </c>
      <c r="B1667" s="40" t="s">
        <v>51</v>
      </c>
      <c r="C1667" s="985">
        <f>CEILING(80*$Z$1,0.1)</f>
        <v>100</v>
      </c>
      <c r="D1667" s="991"/>
      <c r="E1667" s="985">
        <f>CEILING(100*$Z$1,0.1)</f>
        <v>125</v>
      </c>
      <c r="F1667" s="991"/>
      <c r="G1667" s="985">
        <f>CEILING(90*$Z$1,0.1)</f>
        <v>112.5</v>
      </c>
      <c r="H1667" s="991"/>
      <c r="I1667" s="985">
        <f>CEILING(90*$Z$1,0.1)</f>
        <v>112.5</v>
      </c>
      <c r="J1667" s="991"/>
      <c r="K1667" s="985">
        <f>CEILING(80*$Z$1,0.1)</f>
        <v>100</v>
      </c>
      <c r="L1667" s="991"/>
      <c r="M1667" s="16"/>
      <c r="N1667" s="158"/>
      <c r="O1667" s="480"/>
      <c r="P1667" s="480"/>
      <c r="Q1667" s="480"/>
      <c r="R1667" s="480"/>
      <c r="S1667" s="480"/>
      <c r="T1667" s="480"/>
      <c r="U1667" s="480"/>
      <c r="V1667" s="480"/>
      <c r="W1667" s="480"/>
      <c r="X1667" s="480"/>
      <c r="Y1667" s="480"/>
    </row>
    <row r="1668" spans="1:14" ht="18" customHeight="1">
      <c r="A1668" s="35" t="s">
        <v>839</v>
      </c>
      <c r="B1668" s="12" t="s">
        <v>52</v>
      </c>
      <c r="C1668" s="986">
        <f>CEILING((C1667+36*$Z$1),0.1)</f>
        <v>145</v>
      </c>
      <c r="D1668" s="992"/>
      <c r="E1668" s="986">
        <f>CEILING((E1667+45*$Z$1),0.1)</f>
        <v>181.3</v>
      </c>
      <c r="F1668" s="992"/>
      <c r="G1668" s="986">
        <f>CEILING((G1667+40.4*$Z$1),0.1)</f>
        <v>163</v>
      </c>
      <c r="H1668" s="992"/>
      <c r="I1668" s="986">
        <f>CEILING((I1667+40.4*$Z$1),0.1)</f>
        <v>163</v>
      </c>
      <c r="J1668" s="992"/>
      <c r="K1668" s="986">
        <f>CEILING((K1667+36*$Z$1),0.1)</f>
        <v>145</v>
      </c>
      <c r="L1668" s="992"/>
      <c r="M1668" s="16"/>
      <c r="N1668" s="158"/>
    </row>
    <row r="1669" spans="1:25" s="555" customFormat="1" ht="18" customHeight="1">
      <c r="A1669" s="534"/>
      <c r="B1669" s="123" t="s">
        <v>79</v>
      </c>
      <c r="C1669" s="986">
        <f>CEILING((C1667*0.85),0.1)</f>
        <v>85</v>
      </c>
      <c r="D1669" s="992"/>
      <c r="E1669" s="986">
        <f>CEILING((E1667*0.85),0.1)</f>
        <v>106.30000000000001</v>
      </c>
      <c r="F1669" s="992"/>
      <c r="G1669" s="986">
        <f>CEILING((G1667*0.85),0.1)</f>
        <v>95.7</v>
      </c>
      <c r="H1669" s="992"/>
      <c r="I1669" s="986">
        <f>CEILING((I1667*0.85),0.1)</f>
        <v>95.7</v>
      </c>
      <c r="J1669" s="992"/>
      <c r="K1669" s="986">
        <f>CEILING((K1667*0.85),0.1)</f>
        <v>85</v>
      </c>
      <c r="L1669" s="992"/>
      <c r="M1669" s="552"/>
      <c r="N1669" s="553"/>
      <c r="O1669" s="554"/>
      <c r="P1669" s="554"/>
      <c r="Q1669" s="554"/>
      <c r="R1669" s="554"/>
      <c r="S1669" s="554"/>
      <c r="T1669" s="554"/>
      <c r="U1669" s="554"/>
      <c r="V1669" s="554"/>
      <c r="W1669" s="554"/>
      <c r="X1669" s="554"/>
      <c r="Y1669" s="554"/>
    </row>
    <row r="1670" spans="1:14" ht="15.75" thickBot="1">
      <c r="A1670" s="79" t="s">
        <v>838</v>
      </c>
      <c r="B1670" s="433" t="s">
        <v>909</v>
      </c>
      <c r="C1670" s="994">
        <f>CEILING((C1667*0),0.1)</f>
        <v>0</v>
      </c>
      <c r="D1670" s="995"/>
      <c r="E1670" s="994">
        <f>CEILING((E1667*0.5),0.1)</f>
        <v>62.5</v>
      </c>
      <c r="F1670" s="995"/>
      <c r="G1670" s="994">
        <f>CEILING((G1667*0.5),0.1)</f>
        <v>56.300000000000004</v>
      </c>
      <c r="H1670" s="995"/>
      <c r="I1670" s="994">
        <f>CEILING((I1667*0.5),0.1)</f>
        <v>56.300000000000004</v>
      </c>
      <c r="J1670" s="995"/>
      <c r="K1670" s="994">
        <f>CEILING((K1667*0),0.1)</f>
        <v>0</v>
      </c>
      <c r="L1670" s="995"/>
      <c r="M1670" s="342"/>
      <c r="N1670" s="158"/>
    </row>
    <row r="1671" spans="1:14" ht="15.75" thickTop="1">
      <c r="A1671" s="75" t="s">
        <v>1146</v>
      </c>
      <c r="B1671" s="50"/>
      <c r="C1671" s="3"/>
      <c r="D1671" s="3"/>
      <c r="E1671" s="3"/>
      <c r="F1671" s="3"/>
      <c r="G1671" s="3"/>
      <c r="H1671" s="3"/>
      <c r="I1671" s="600"/>
      <c r="J1671" s="600"/>
      <c r="K1671" s="599"/>
      <c r="L1671" s="507"/>
      <c r="M1671" s="342"/>
      <c r="N1671" s="158"/>
    </row>
    <row r="1672" spans="1:25" s="495" customFormat="1" ht="15.75" customHeight="1">
      <c r="A1672" s="107" t="s">
        <v>1147</v>
      </c>
      <c r="B1672" s="50"/>
      <c r="C1672" s="3"/>
      <c r="D1672" s="3"/>
      <c r="E1672" s="3"/>
      <c r="F1672" s="3"/>
      <c r="G1672" s="3"/>
      <c r="H1672" s="3"/>
      <c r="I1672" s="947"/>
      <c r="J1672" s="947"/>
      <c r="K1672" s="946"/>
      <c r="L1672" s="946"/>
      <c r="M1672" s="342"/>
      <c r="N1672" s="492"/>
      <c r="O1672" s="494"/>
      <c r="P1672" s="494"/>
      <c r="Q1672" s="494"/>
      <c r="R1672" s="494"/>
      <c r="S1672" s="494"/>
      <c r="T1672" s="494"/>
      <c r="U1672" s="494"/>
      <c r="V1672" s="494"/>
      <c r="W1672" s="494"/>
      <c r="X1672" s="494"/>
      <c r="Y1672" s="494"/>
    </row>
    <row r="1673" spans="1:50" s="479" customFormat="1" ht="18" customHeight="1">
      <c r="A1673" s="172"/>
      <c r="B1673" s="949"/>
      <c r="C1673" s="22"/>
      <c r="D1673" s="22"/>
      <c r="E1673" s="22"/>
      <c r="F1673" s="22"/>
      <c r="G1673" s="22"/>
      <c r="H1673" s="22"/>
      <c r="I1673" s="22"/>
      <c r="J1673" s="22"/>
      <c r="K1673" s="166"/>
      <c r="L1673" s="166"/>
      <c r="M1673" s="3"/>
      <c r="N1673" s="3"/>
      <c r="O1673" s="331"/>
      <c r="P1673" s="331"/>
      <c r="Q1673" s="331"/>
      <c r="R1673" s="331"/>
      <c r="S1673" s="331"/>
      <c r="T1673" s="331"/>
      <c r="U1673" s="331"/>
      <c r="V1673" s="331"/>
      <c r="W1673" s="331"/>
      <c r="X1673" s="331"/>
      <c r="Y1673" s="331"/>
      <c r="Z1673" s="331"/>
      <c r="AA1673" s="331"/>
      <c r="AB1673" s="331"/>
      <c r="AC1673" s="331"/>
      <c r="AD1673" s="331"/>
      <c r="AE1673" s="331"/>
      <c r="AF1673" s="331"/>
      <c r="AG1673" s="331"/>
      <c r="AH1673" s="331"/>
      <c r="AI1673" s="331"/>
      <c r="AJ1673" s="331"/>
      <c r="AK1673" s="331"/>
      <c r="AL1673" s="331"/>
      <c r="AM1673" s="331"/>
      <c r="AN1673" s="331"/>
      <c r="AO1673" s="331"/>
      <c r="AP1673" s="331"/>
      <c r="AQ1673" s="331"/>
      <c r="AR1673" s="331"/>
      <c r="AS1673" s="331"/>
      <c r="AT1673" s="331"/>
      <c r="AU1673" s="331"/>
      <c r="AV1673" s="331"/>
      <c r="AW1673" s="331"/>
      <c r="AX1673" s="331"/>
    </row>
    <row r="1674" spans="1:50" s="479" customFormat="1" ht="18" customHeight="1" thickBot="1">
      <c r="A1674" s="172"/>
      <c r="B1674" s="949"/>
      <c r="C1674" s="22"/>
      <c r="D1674" s="22"/>
      <c r="E1674" s="22"/>
      <c r="F1674" s="22"/>
      <c r="G1674" s="22"/>
      <c r="H1674" s="22"/>
      <c r="I1674" s="22"/>
      <c r="J1674" s="22"/>
      <c r="K1674" s="166"/>
      <c r="L1674" s="166"/>
      <c r="M1674" s="3"/>
      <c r="N1674" s="3"/>
      <c r="O1674" s="331"/>
      <c r="P1674" s="331"/>
      <c r="Q1674" s="331"/>
      <c r="R1674" s="331"/>
      <c r="S1674" s="331"/>
      <c r="T1674" s="331"/>
      <c r="U1674" s="331"/>
      <c r="V1674" s="331"/>
      <c r="W1674" s="331"/>
      <c r="X1674" s="331"/>
      <c r="Y1674" s="331"/>
      <c r="Z1674" s="331"/>
      <c r="AA1674" s="331"/>
      <c r="AB1674" s="331"/>
      <c r="AC1674" s="331"/>
      <c r="AD1674" s="331"/>
      <c r="AE1674" s="331"/>
      <c r="AF1674" s="331"/>
      <c r="AG1674" s="331"/>
      <c r="AH1674" s="331"/>
      <c r="AI1674" s="331"/>
      <c r="AJ1674" s="331"/>
      <c r="AK1674" s="331"/>
      <c r="AL1674" s="331"/>
      <c r="AM1674" s="331"/>
      <c r="AN1674" s="331"/>
      <c r="AO1674" s="331"/>
      <c r="AP1674" s="331"/>
      <c r="AQ1674" s="331"/>
      <c r="AR1674" s="331"/>
      <c r="AS1674" s="331"/>
      <c r="AT1674" s="331"/>
      <c r="AU1674" s="331"/>
      <c r="AV1674" s="331"/>
      <c r="AW1674" s="331"/>
      <c r="AX1674" s="331"/>
    </row>
    <row r="1675" spans="1:50" s="664" customFormat="1" ht="28.5" customHeight="1" thickTop="1">
      <c r="A1675" s="1040" t="s">
        <v>43</v>
      </c>
      <c r="B1675" s="814" t="s">
        <v>1105</v>
      </c>
      <c r="C1675" s="747" t="s">
        <v>884</v>
      </c>
      <c r="D1675" s="748"/>
      <c r="E1675" s="749" t="s">
        <v>911</v>
      </c>
      <c r="F1675" s="750"/>
      <c r="G1675" s="749" t="s">
        <v>912</v>
      </c>
      <c r="H1675" s="750"/>
      <c r="I1675" s="1273" t="s">
        <v>881</v>
      </c>
      <c r="J1675" s="1274"/>
      <c r="K1675" s="1273" t="s">
        <v>882</v>
      </c>
      <c r="L1675" s="1274"/>
      <c r="M1675" s="947"/>
      <c r="N1675" s="947"/>
      <c r="O1675" s="335"/>
      <c r="P1675" s="335"/>
      <c r="Q1675" s="335"/>
      <c r="R1675" s="335"/>
      <c r="S1675" s="335"/>
      <c r="T1675" s="335"/>
      <c r="U1675" s="335"/>
      <c r="V1675" s="335"/>
      <c r="W1675" s="335"/>
      <c r="X1675" s="335"/>
      <c r="Y1675" s="335"/>
      <c r="Z1675" s="335"/>
      <c r="AA1675" s="335"/>
      <c r="AB1675" s="335"/>
      <c r="AC1675" s="335"/>
      <c r="AD1675" s="335"/>
      <c r="AE1675" s="335"/>
      <c r="AF1675" s="335"/>
      <c r="AG1675" s="335"/>
      <c r="AH1675" s="335"/>
      <c r="AI1675" s="335"/>
      <c r="AJ1675" s="335"/>
      <c r="AK1675" s="335"/>
      <c r="AL1675" s="335"/>
      <c r="AM1675" s="335"/>
      <c r="AN1675" s="335"/>
      <c r="AO1675" s="335"/>
      <c r="AP1675" s="335"/>
      <c r="AQ1675" s="335"/>
      <c r="AR1675" s="335"/>
      <c r="AS1675" s="335"/>
      <c r="AT1675" s="335"/>
      <c r="AU1675" s="335"/>
      <c r="AV1675" s="335"/>
      <c r="AW1675" s="335"/>
      <c r="AX1675" s="335"/>
    </row>
    <row r="1676" spans="1:14" ht="15">
      <c r="A1676" s="34" t="s">
        <v>151</v>
      </c>
      <c r="B1676" s="131" t="s">
        <v>51</v>
      </c>
      <c r="C1676" s="985">
        <f>CEILING(70*$Z$1,0.1)</f>
        <v>87.5</v>
      </c>
      <c r="D1676" s="991"/>
      <c r="E1676" s="985">
        <f>CEILING(70*$Z$1,0.1)</f>
        <v>87.5</v>
      </c>
      <c r="F1676" s="991"/>
      <c r="G1676" s="985">
        <f>CEILING(70*$Z$1,0.1)</f>
        <v>87.5</v>
      </c>
      <c r="H1676" s="991"/>
      <c r="I1676" s="985">
        <f>CEILING(70*$Z$1,0.1)</f>
        <v>87.5</v>
      </c>
      <c r="J1676" s="991"/>
      <c r="K1676" s="985">
        <f>CEILING(70*$Z$1,0.1)</f>
        <v>87.5</v>
      </c>
      <c r="L1676" s="991"/>
      <c r="M1676" s="508"/>
      <c r="N1676" s="3"/>
    </row>
    <row r="1677" spans="1:25" s="479" customFormat="1" ht="15">
      <c r="A1677" s="151" t="s">
        <v>59</v>
      </c>
      <c r="B1677" s="10" t="s">
        <v>52</v>
      </c>
      <c r="C1677" s="986">
        <f>CEILING((C1676+20*$Z$1),0.1)</f>
        <v>112.5</v>
      </c>
      <c r="D1677" s="992"/>
      <c r="E1677" s="986">
        <f>CEILING((E1676+20*$Z$1),0.1)</f>
        <v>112.5</v>
      </c>
      <c r="F1677" s="992"/>
      <c r="G1677" s="986">
        <f>CEILING((G1676+20*$Z$1),0.1)</f>
        <v>112.5</v>
      </c>
      <c r="H1677" s="992"/>
      <c r="I1677" s="986">
        <f>CEILING((I1676+20*$Z$1),0.1)</f>
        <v>112.5</v>
      </c>
      <c r="J1677" s="992"/>
      <c r="K1677" s="986">
        <f>CEILING((K1676+20*$Z$1),0.1)</f>
        <v>112.5</v>
      </c>
      <c r="L1677" s="992"/>
      <c r="M1677" s="508"/>
      <c r="N1677" s="3"/>
      <c r="O1677" s="480"/>
      <c r="P1677" s="480"/>
      <c r="Q1677" s="480"/>
      <c r="R1677" s="480"/>
      <c r="S1677" s="480"/>
      <c r="T1677" s="480"/>
      <c r="U1677" s="480"/>
      <c r="V1677" s="480"/>
      <c r="W1677" s="480"/>
      <c r="X1677" s="480"/>
      <c r="Y1677" s="480"/>
    </row>
    <row r="1678" spans="1:25" s="479" customFormat="1" ht="15">
      <c r="A1678" s="168"/>
      <c r="B1678" s="123" t="s">
        <v>79</v>
      </c>
      <c r="C1678" s="986">
        <f>CEILING((C1676*0.85),0.1)</f>
        <v>74.4</v>
      </c>
      <c r="D1678" s="992"/>
      <c r="E1678" s="986">
        <f>CEILING((E1676*0.85),0.1)</f>
        <v>74.4</v>
      </c>
      <c r="F1678" s="992"/>
      <c r="G1678" s="986">
        <f>CEILING((G1676*0.85),0.1)</f>
        <v>74.4</v>
      </c>
      <c r="H1678" s="992"/>
      <c r="I1678" s="986">
        <f>CEILING((I1676*0.85),0.1)</f>
        <v>74.4</v>
      </c>
      <c r="J1678" s="992"/>
      <c r="K1678" s="986">
        <f>CEILING((K1676*0.85),0.1)</f>
        <v>74.4</v>
      </c>
      <c r="L1678" s="992"/>
      <c r="M1678" s="508"/>
      <c r="N1678" s="3"/>
      <c r="O1678" s="480"/>
      <c r="P1678" s="480"/>
      <c r="Q1678" s="480"/>
      <c r="R1678" s="480"/>
      <c r="S1678" s="480"/>
      <c r="T1678" s="480"/>
      <c r="U1678" s="480"/>
      <c r="V1678" s="480"/>
      <c r="W1678" s="480"/>
      <c r="X1678" s="480"/>
      <c r="Y1678" s="480"/>
    </row>
    <row r="1679" spans="1:14" ht="15.75" thickBot="1">
      <c r="A1679" s="105" t="s">
        <v>1004</v>
      </c>
      <c r="B1679" s="38" t="s">
        <v>909</v>
      </c>
      <c r="C1679" s="994">
        <f>CEILING((C1676*0.5),0.1)</f>
        <v>43.800000000000004</v>
      </c>
      <c r="D1679" s="995"/>
      <c r="E1679" s="994">
        <f>CEILING((E1676*0.5),0.1)</f>
        <v>43.800000000000004</v>
      </c>
      <c r="F1679" s="995"/>
      <c r="G1679" s="994">
        <f>CEILING((G1676*0.5),0.1)</f>
        <v>43.800000000000004</v>
      </c>
      <c r="H1679" s="995"/>
      <c r="I1679" s="994">
        <f>CEILING((I1676*0.5),0.1)</f>
        <v>43.800000000000004</v>
      </c>
      <c r="J1679" s="995"/>
      <c r="K1679" s="994">
        <f>CEILING((K1676*0.5),0.1)</f>
        <v>43.800000000000004</v>
      </c>
      <c r="L1679" s="995"/>
      <c r="M1679" s="3"/>
      <c r="N1679" s="3"/>
    </row>
    <row r="1680" spans="1:25" s="495" customFormat="1" ht="15.75" customHeight="1" thickTop="1">
      <c r="A1680" s="107" t="s">
        <v>1147</v>
      </c>
      <c r="B1680" s="50"/>
      <c r="C1680" s="3"/>
      <c r="D1680" s="3"/>
      <c r="E1680" s="3"/>
      <c r="F1680" s="3"/>
      <c r="G1680" s="3"/>
      <c r="H1680" s="3"/>
      <c r="I1680" s="947"/>
      <c r="J1680" s="947"/>
      <c r="K1680" s="946"/>
      <c r="L1680" s="946"/>
      <c r="M1680" s="342"/>
      <c r="N1680" s="492"/>
      <c r="O1680" s="494"/>
      <c r="P1680" s="494"/>
      <c r="Q1680" s="494"/>
      <c r="R1680" s="494"/>
      <c r="S1680" s="494"/>
      <c r="T1680" s="494"/>
      <c r="U1680" s="494"/>
      <c r="V1680" s="494"/>
      <c r="W1680" s="494"/>
      <c r="X1680" s="494"/>
      <c r="Y1680" s="494"/>
    </row>
    <row r="1681" spans="1:50" s="479" customFormat="1" ht="18" customHeight="1">
      <c r="A1681" s="172"/>
      <c r="B1681" s="949"/>
      <c r="C1681" s="22"/>
      <c r="D1681" s="22"/>
      <c r="E1681" s="22"/>
      <c r="F1681" s="22"/>
      <c r="G1681" s="22"/>
      <c r="H1681" s="22"/>
      <c r="I1681" s="22"/>
      <c r="J1681" s="22"/>
      <c r="K1681" s="166"/>
      <c r="L1681" s="166"/>
      <c r="M1681" s="3"/>
      <c r="N1681" s="3"/>
      <c r="O1681" s="331"/>
      <c r="P1681" s="331"/>
      <c r="Q1681" s="331"/>
      <c r="R1681" s="331"/>
      <c r="S1681" s="331"/>
      <c r="T1681" s="331"/>
      <c r="U1681" s="331"/>
      <c r="V1681" s="331"/>
      <c r="W1681" s="331"/>
      <c r="X1681" s="331"/>
      <c r="Y1681" s="331"/>
      <c r="Z1681" s="331"/>
      <c r="AA1681" s="331"/>
      <c r="AB1681" s="331"/>
      <c r="AC1681" s="331"/>
      <c r="AD1681" s="331"/>
      <c r="AE1681" s="331"/>
      <c r="AF1681" s="331"/>
      <c r="AG1681" s="331"/>
      <c r="AH1681" s="331"/>
      <c r="AI1681" s="331"/>
      <c r="AJ1681" s="331"/>
      <c r="AK1681" s="331"/>
      <c r="AL1681" s="331"/>
      <c r="AM1681" s="331"/>
      <c r="AN1681" s="331"/>
      <c r="AO1681" s="331"/>
      <c r="AP1681" s="331"/>
      <c r="AQ1681" s="331"/>
      <c r="AR1681" s="331"/>
      <c r="AS1681" s="331"/>
      <c r="AT1681" s="331"/>
      <c r="AU1681" s="331"/>
      <c r="AV1681" s="331"/>
      <c r="AW1681" s="331"/>
      <c r="AX1681" s="331"/>
    </row>
    <row r="1682" spans="1:14" ht="19.5" customHeight="1" thickBot="1">
      <c r="A1682" s="70"/>
      <c r="B1682" s="57"/>
      <c r="C1682" s="57"/>
      <c r="D1682" s="57"/>
      <c r="E1682" s="57"/>
      <c r="F1682" s="57"/>
      <c r="G1682" s="57"/>
      <c r="H1682" s="57"/>
      <c r="I1682" s="58"/>
      <c r="J1682" s="192"/>
      <c r="K1682" s="349"/>
      <c r="L1682" s="349"/>
      <c r="M1682" s="16"/>
      <c r="N1682" s="158"/>
    </row>
    <row r="1683" spans="1:50" s="664" customFormat="1" ht="28.5" customHeight="1" thickTop="1">
      <c r="A1683" s="1041" t="s">
        <v>43</v>
      </c>
      <c r="B1683" s="814" t="s">
        <v>1105</v>
      </c>
      <c r="C1683" s="747" t="s">
        <v>884</v>
      </c>
      <c r="D1683" s="748"/>
      <c r="E1683" s="749" t="s">
        <v>911</v>
      </c>
      <c r="F1683" s="750"/>
      <c r="G1683" s="759" t="s">
        <v>912</v>
      </c>
      <c r="H1683" s="760"/>
      <c r="I1683" s="1273" t="s">
        <v>881</v>
      </c>
      <c r="J1683" s="1274"/>
      <c r="K1683" s="1273" t="s">
        <v>882</v>
      </c>
      <c r="L1683" s="1274"/>
      <c r="M1683" s="947"/>
      <c r="N1683" s="947"/>
      <c r="O1683" s="335"/>
      <c r="P1683" s="335"/>
      <c r="Q1683" s="335"/>
      <c r="R1683" s="335"/>
      <c r="S1683" s="335"/>
      <c r="T1683" s="335"/>
      <c r="U1683" s="335"/>
      <c r="V1683" s="335"/>
      <c r="W1683" s="335"/>
      <c r="X1683" s="335"/>
      <c r="Y1683" s="335"/>
      <c r="Z1683" s="335"/>
      <c r="AA1683" s="335"/>
      <c r="AB1683" s="335"/>
      <c r="AC1683" s="335"/>
      <c r="AD1683" s="335"/>
      <c r="AE1683" s="335"/>
      <c r="AF1683" s="335"/>
      <c r="AG1683" s="335"/>
      <c r="AH1683" s="335"/>
      <c r="AI1683" s="335"/>
      <c r="AJ1683" s="335"/>
      <c r="AK1683" s="335"/>
      <c r="AL1683" s="335"/>
      <c r="AM1683" s="335"/>
      <c r="AN1683" s="335"/>
      <c r="AO1683" s="335"/>
      <c r="AP1683" s="335"/>
      <c r="AQ1683" s="335"/>
      <c r="AR1683" s="335"/>
      <c r="AS1683" s="335"/>
      <c r="AT1683" s="335"/>
      <c r="AU1683" s="335"/>
      <c r="AV1683" s="335"/>
      <c r="AW1683" s="335"/>
      <c r="AX1683" s="335"/>
    </row>
    <row r="1684" spans="1:14" ht="15">
      <c r="A1684" s="27" t="s">
        <v>259</v>
      </c>
      <c r="B1684" s="29" t="s">
        <v>65</v>
      </c>
      <c r="C1684" s="985">
        <f>CEILING(62*$Z$1,0.1)</f>
        <v>77.5</v>
      </c>
      <c r="D1684" s="991"/>
      <c r="E1684" s="985">
        <f>CEILING(77*$Z$1,0.1)</f>
        <v>96.30000000000001</v>
      </c>
      <c r="F1684" s="1576"/>
      <c r="G1684" s="1238">
        <f>CEILING(46*$Z$1,0.1)</f>
        <v>57.5</v>
      </c>
      <c r="H1684" s="1239"/>
      <c r="I1684" s="1238">
        <f>CEILING(46*$Z$1,0.1)</f>
        <v>57.5</v>
      </c>
      <c r="J1684" s="1239"/>
      <c r="K1684" s="1238">
        <f>CEILING(43*$Z$1,0.1)</f>
        <v>53.800000000000004</v>
      </c>
      <c r="L1684" s="1239"/>
      <c r="M1684" s="16"/>
      <c r="N1684" s="20"/>
    </row>
    <row r="1685" spans="1:14" ht="15">
      <c r="A1685" s="28" t="s">
        <v>59</v>
      </c>
      <c r="B1685" s="29" t="s">
        <v>66</v>
      </c>
      <c r="C1685" s="986">
        <f>CEILING((C1684+25*$Z$1),0.1)</f>
        <v>108.80000000000001</v>
      </c>
      <c r="D1685" s="992"/>
      <c r="E1685" s="986">
        <f>CEILING((E1684+25*$Z$1),0.1)</f>
        <v>127.60000000000001</v>
      </c>
      <c r="F1685" s="1577"/>
      <c r="G1685" s="1193">
        <f>CEILING((G1684+25*$Z$1),0.1)</f>
        <v>88.80000000000001</v>
      </c>
      <c r="H1685" s="1194"/>
      <c r="I1685" s="1193">
        <f>CEILING((I1684+25*$Z$1),0.1)</f>
        <v>88.80000000000001</v>
      </c>
      <c r="J1685" s="1194"/>
      <c r="K1685" s="1193">
        <f>CEILING((K1684+25*$Z$1),0.1)</f>
        <v>85.10000000000001</v>
      </c>
      <c r="L1685" s="1194"/>
      <c r="M1685" s="16"/>
      <c r="N1685" s="20"/>
    </row>
    <row r="1686" spans="1:25" ht="15">
      <c r="A1686" s="20"/>
      <c r="B1686" s="29" t="s">
        <v>322</v>
      </c>
      <c r="C1686" s="986">
        <f>CEILING((C1684*0.85),0.1)</f>
        <v>65.9</v>
      </c>
      <c r="D1686" s="992"/>
      <c r="E1686" s="986">
        <f>CEILING((E1684*0.85),0.1)</f>
        <v>81.9</v>
      </c>
      <c r="F1686" s="1577"/>
      <c r="G1686" s="1193">
        <f>CEILING((G1684*0.85),0.1)</f>
        <v>48.900000000000006</v>
      </c>
      <c r="H1686" s="1194"/>
      <c r="I1686" s="1193">
        <f>CEILING((I1684*0.85),0.1)</f>
        <v>48.900000000000006</v>
      </c>
      <c r="J1686" s="1194"/>
      <c r="K1686" s="1193">
        <f>CEILING((K1684*0.85),0.1)</f>
        <v>45.800000000000004</v>
      </c>
      <c r="L1686" s="1194"/>
      <c r="M1686" s="16"/>
      <c r="N1686" s="20"/>
      <c r="S1686" s="1438"/>
      <c r="T1686" s="1438"/>
      <c r="U1686" s="1438"/>
      <c r="V1686" s="1438"/>
      <c r="W1686" s="1438"/>
      <c r="X1686" s="1438"/>
      <c r="Y1686" s="1438"/>
    </row>
    <row r="1687" spans="1:25" ht="15">
      <c r="A1687" s="642"/>
      <c r="B1687" s="29" t="s">
        <v>71</v>
      </c>
      <c r="C1687" s="986">
        <f>CEILING((C1684*0.5),0.1)</f>
        <v>38.800000000000004</v>
      </c>
      <c r="D1687" s="993"/>
      <c r="E1687" s="986">
        <f>CEILING((E1684*0.5),0.1)</f>
        <v>48.2</v>
      </c>
      <c r="F1687" s="1038"/>
      <c r="G1687" s="1193">
        <f>CEILING((G1684*0.5),0.1)</f>
        <v>28.8</v>
      </c>
      <c r="H1687" s="1194"/>
      <c r="I1687" s="1193">
        <f>CEILING((I1684*0.5),0.1)</f>
        <v>28.8</v>
      </c>
      <c r="J1687" s="1194"/>
      <c r="K1687" s="1193">
        <f>CEILING((K1684*0.5),0.1)</f>
        <v>26.900000000000002</v>
      </c>
      <c r="L1687" s="1194"/>
      <c r="M1687" s="16"/>
      <c r="N1687" s="20"/>
      <c r="S1687" s="1438"/>
      <c r="T1687" s="1438"/>
      <c r="U1687" s="1438"/>
      <c r="V1687" s="1438"/>
      <c r="W1687" s="1438"/>
      <c r="X1687" s="1438"/>
      <c r="Y1687" s="1438"/>
    </row>
    <row r="1688" spans="1:25" ht="17.25" customHeight="1">
      <c r="A1688" s="596" t="s">
        <v>1336</v>
      </c>
      <c r="B1688" s="29" t="s">
        <v>221</v>
      </c>
      <c r="C1688" s="986">
        <f>CEILING(72*$Z$1,0.1)</f>
        <v>90</v>
      </c>
      <c r="D1688" s="993"/>
      <c r="E1688" s="986">
        <f>CEILING(87*$Z$1,0.1)</f>
        <v>108.80000000000001</v>
      </c>
      <c r="F1688" s="1038"/>
      <c r="G1688" s="1193">
        <f>CEILING(52*$Z$1,0.1)</f>
        <v>65</v>
      </c>
      <c r="H1688" s="1194"/>
      <c r="I1688" s="1193">
        <f>CEILING(52*$Z$1,0.1)</f>
        <v>65</v>
      </c>
      <c r="J1688" s="1194"/>
      <c r="K1688" s="1193">
        <f>CEILING(51*$Z$1,0.1)</f>
        <v>63.800000000000004</v>
      </c>
      <c r="L1688" s="1194"/>
      <c r="M1688" s="16"/>
      <c r="N1688" s="20"/>
      <c r="S1688" s="1438"/>
      <c r="T1688" s="1438"/>
      <c r="U1688" s="1438"/>
      <c r="V1688" s="1438"/>
      <c r="W1688" s="1438"/>
      <c r="X1688" s="1438"/>
      <c r="Y1688" s="1438"/>
    </row>
    <row r="1689" spans="1:25" ht="16.5" customHeight="1" thickBot="1">
      <c r="A1689" s="80" t="s">
        <v>419</v>
      </c>
      <c r="B1689" s="184" t="s">
        <v>222</v>
      </c>
      <c r="C1689" s="994">
        <f>CEILING((C1688+30*$Z$1),0.1)</f>
        <v>127.5</v>
      </c>
      <c r="D1689" s="995"/>
      <c r="E1689" s="994">
        <f>CEILING((E1688+30*$Z$1),0.1)</f>
        <v>146.3</v>
      </c>
      <c r="F1689" s="1578"/>
      <c r="G1689" s="1236">
        <f>CEILING((G1688+30*$Z$1),0.1)</f>
        <v>102.5</v>
      </c>
      <c r="H1689" s="1237"/>
      <c r="I1689" s="1236">
        <f>CEILING((I1688+30*$Z$1),0.1)</f>
        <v>102.5</v>
      </c>
      <c r="J1689" s="1237"/>
      <c r="K1689" s="1236">
        <f>CEILING((K1688+30*$Z$1),0.1)</f>
        <v>101.30000000000001</v>
      </c>
      <c r="L1689" s="1237"/>
      <c r="M1689" s="16"/>
      <c r="N1689" s="20"/>
      <c r="S1689" s="1438"/>
      <c r="T1689" s="1438"/>
      <c r="U1689" s="1438"/>
      <c r="V1689" s="1438"/>
      <c r="W1689" s="1438"/>
      <c r="X1689" s="1438"/>
      <c r="Y1689" s="1438"/>
    </row>
    <row r="1690" spans="1:25" s="479" customFormat="1" ht="16.5" customHeight="1" thickTop="1">
      <c r="A1690" s="75" t="s">
        <v>1148</v>
      </c>
      <c r="B1690" s="50"/>
      <c r="C1690" s="1038"/>
      <c r="D1690" s="1038"/>
      <c r="E1690" s="1038"/>
      <c r="F1690" s="1038"/>
      <c r="G1690" s="1038"/>
      <c r="H1690" s="1038"/>
      <c r="I1690" s="1038"/>
      <c r="J1690" s="1038"/>
      <c r="K1690" s="1038"/>
      <c r="L1690" s="1038"/>
      <c r="M1690" s="16"/>
      <c r="N1690" s="20"/>
      <c r="O1690" s="480"/>
      <c r="P1690" s="480"/>
      <c r="Q1690" s="480"/>
      <c r="R1690" s="480"/>
      <c r="S1690" s="1438"/>
      <c r="T1690" s="1438"/>
      <c r="U1690" s="1438"/>
      <c r="V1690" s="1438"/>
      <c r="W1690" s="1438"/>
      <c r="X1690" s="1438"/>
      <c r="Y1690" s="1438"/>
    </row>
    <row r="1691" spans="1:25" ht="16.5" customHeight="1">
      <c r="A1691" s="364" t="s">
        <v>1147</v>
      </c>
      <c r="B1691" s="129"/>
      <c r="C1691" s="3"/>
      <c r="D1691" s="3"/>
      <c r="E1691" s="3"/>
      <c r="F1691" s="3"/>
      <c r="G1691" s="3"/>
      <c r="H1691" s="3"/>
      <c r="I1691" s="3"/>
      <c r="J1691" s="3"/>
      <c r="K1691" s="279"/>
      <c r="L1691" s="279"/>
      <c r="M1691" s="16"/>
      <c r="N1691" s="20"/>
      <c r="S1691" s="1438"/>
      <c r="T1691" s="1438"/>
      <c r="U1691" s="1438"/>
      <c r="V1691" s="1438"/>
      <c r="W1691" s="1438"/>
      <c r="X1691" s="1438"/>
      <c r="Y1691" s="1438"/>
    </row>
    <row r="1692" spans="1:50" s="479" customFormat="1" ht="18" customHeight="1">
      <c r="A1692" s="172"/>
      <c r="B1692" s="949"/>
      <c r="C1692" s="22"/>
      <c r="D1692" s="22"/>
      <c r="E1692" s="22"/>
      <c r="F1692" s="22"/>
      <c r="G1692" s="22"/>
      <c r="H1692" s="22"/>
      <c r="I1692" s="22"/>
      <c r="J1692" s="22"/>
      <c r="K1692" s="166"/>
      <c r="L1692" s="166"/>
      <c r="M1692" s="3"/>
      <c r="N1692" s="3"/>
      <c r="O1692" s="331"/>
      <c r="P1692" s="331"/>
      <c r="Q1692" s="331"/>
      <c r="R1692" s="331"/>
      <c r="S1692" s="1438"/>
      <c r="T1692" s="1438"/>
      <c r="U1692" s="1438"/>
      <c r="V1692" s="1438"/>
      <c r="W1692" s="1438"/>
      <c r="X1692" s="1438"/>
      <c r="Y1692" s="1438"/>
      <c r="Z1692" s="331"/>
      <c r="AA1692" s="331"/>
      <c r="AB1692" s="331"/>
      <c r="AC1692" s="331"/>
      <c r="AD1692" s="331"/>
      <c r="AE1692" s="331"/>
      <c r="AF1692" s="331"/>
      <c r="AG1692" s="331"/>
      <c r="AH1692" s="331"/>
      <c r="AI1692" s="331"/>
      <c r="AJ1692" s="331"/>
      <c r="AK1692" s="331"/>
      <c r="AL1692" s="331"/>
      <c r="AM1692" s="331"/>
      <c r="AN1692" s="331"/>
      <c r="AO1692" s="331"/>
      <c r="AP1692" s="331"/>
      <c r="AQ1692" s="331"/>
      <c r="AR1692" s="331"/>
      <c r="AS1692" s="331"/>
      <c r="AT1692" s="331"/>
      <c r="AU1692" s="331"/>
      <c r="AV1692" s="331"/>
      <c r="AW1692" s="331"/>
      <c r="AX1692" s="331"/>
    </row>
    <row r="1693" spans="1:25" ht="18" customHeight="1" thickBot="1">
      <c r="A1693" s="46"/>
      <c r="B1693" s="46"/>
      <c r="C1693" s="46"/>
      <c r="D1693" s="46"/>
      <c r="E1693" s="46"/>
      <c r="F1693" s="46"/>
      <c r="G1693" s="46"/>
      <c r="H1693" s="46"/>
      <c r="I1693" s="46"/>
      <c r="J1693" s="551"/>
      <c r="K1693" s="279"/>
      <c r="L1693" s="279"/>
      <c r="M1693" s="16"/>
      <c r="N1693" s="20"/>
      <c r="S1693" s="1438"/>
      <c r="T1693" s="1438"/>
      <c r="U1693" s="1438"/>
      <c r="V1693" s="1438"/>
      <c r="W1693" s="1438"/>
      <c r="X1693" s="1438"/>
      <c r="Y1693" s="1438"/>
    </row>
    <row r="1694" spans="1:25" s="1042" customFormat="1" ht="28.5" customHeight="1" thickTop="1">
      <c r="A1694" s="1041" t="s">
        <v>43</v>
      </c>
      <c r="B1694" s="814" t="s">
        <v>1105</v>
      </c>
      <c r="C1694" s="747" t="s">
        <v>884</v>
      </c>
      <c r="D1694" s="748"/>
      <c r="E1694" s="749" t="s">
        <v>911</v>
      </c>
      <c r="F1694" s="750"/>
      <c r="G1694" s="749" t="s">
        <v>912</v>
      </c>
      <c r="H1694" s="750"/>
      <c r="I1694" s="1273" t="s">
        <v>881</v>
      </c>
      <c r="J1694" s="1274"/>
      <c r="K1694" s="1273" t="s">
        <v>882</v>
      </c>
      <c r="L1694" s="1274"/>
      <c r="M1694" s="947"/>
      <c r="N1694" s="947"/>
      <c r="O1694" s="335"/>
      <c r="P1694" s="335"/>
      <c r="Q1694" s="335"/>
      <c r="R1694" s="335"/>
      <c r="S1694" s="1438"/>
      <c r="T1694" s="1438"/>
      <c r="U1694" s="1438"/>
      <c r="V1694" s="1438"/>
      <c r="W1694" s="1438"/>
      <c r="X1694" s="1438"/>
      <c r="Y1694" s="1438"/>
    </row>
    <row r="1695" spans="1:25" s="404" customFormat="1" ht="18" customHeight="1">
      <c r="A1695" s="242" t="s">
        <v>323</v>
      </c>
      <c r="B1695" s="147" t="s">
        <v>51</v>
      </c>
      <c r="C1695" s="985">
        <f>CEILING(52*$Z$1,0.1)</f>
        <v>65</v>
      </c>
      <c r="D1695" s="991"/>
      <c r="E1695" s="985">
        <f>CEILING(67*$Z$1,0.1)</f>
        <v>83.80000000000001</v>
      </c>
      <c r="F1695" s="991"/>
      <c r="G1695" s="985">
        <f>CEILING(60*$Z$1,0.1)</f>
        <v>75</v>
      </c>
      <c r="H1695" s="991"/>
      <c r="I1695" s="985">
        <f>CEILING(60*$Z$1,0.1)</f>
        <v>75</v>
      </c>
      <c r="J1695" s="991"/>
      <c r="K1695" s="985">
        <f>CEILING(40*$Z$1,0.1)</f>
        <v>50</v>
      </c>
      <c r="L1695" s="991"/>
      <c r="M1695" s="16"/>
      <c r="N1695" s="20"/>
      <c r="O1695" s="169"/>
      <c r="P1695" s="169"/>
      <c r="Q1695" s="169"/>
      <c r="R1695" s="169"/>
      <c r="S1695" s="1438"/>
      <c r="T1695" s="1438"/>
      <c r="U1695" s="1438"/>
      <c r="V1695" s="1438"/>
      <c r="W1695" s="1438"/>
      <c r="X1695" s="1438"/>
      <c r="Y1695" s="1438"/>
    </row>
    <row r="1696" spans="1:25" s="404" customFormat="1" ht="18" customHeight="1">
      <c r="A1696" s="243" t="s">
        <v>90</v>
      </c>
      <c r="B1696" s="147" t="s">
        <v>52</v>
      </c>
      <c r="C1696" s="986">
        <f>CEILING((C1695+20*$Z$1),0.1)</f>
        <v>90</v>
      </c>
      <c r="D1696" s="992"/>
      <c r="E1696" s="986">
        <f>CEILING((E1695+20*$Z$1),0.1)</f>
        <v>108.80000000000001</v>
      </c>
      <c r="F1696" s="992"/>
      <c r="G1696" s="986">
        <f>CEILING((G1695+20*$Z$1),0.1)</f>
        <v>100</v>
      </c>
      <c r="H1696" s="992"/>
      <c r="I1696" s="986">
        <f>CEILING((I1695+20*$Z$1),0.1)</f>
        <v>100</v>
      </c>
      <c r="J1696" s="992"/>
      <c r="K1696" s="986">
        <f>CEILING((K1695+20*$Z$1),0.1)</f>
        <v>75</v>
      </c>
      <c r="L1696" s="992"/>
      <c r="M1696" s="16"/>
      <c r="N1696" s="20"/>
      <c r="O1696" s="169"/>
      <c r="P1696" s="169"/>
      <c r="Q1696" s="169"/>
      <c r="R1696" s="169"/>
      <c r="S1696" s="1438"/>
      <c r="T1696" s="1438"/>
      <c r="U1696" s="1438"/>
      <c r="V1696" s="1438"/>
      <c r="W1696" s="1438"/>
      <c r="X1696" s="1438"/>
      <c r="Y1696" s="1438"/>
    </row>
    <row r="1697" spans="1:25" s="404" customFormat="1" ht="18" customHeight="1">
      <c r="A1697" s="243"/>
      <c r="B1697" s="29" t="s">
        <v>47</v>
      </c>
      <c r="C1697" s="986">
        <f>CEILING((C1695*0.85),0.1)</f>
        <v>55.300000000000004</v>
      </c>
      <c r="D1697" s="992"/>
      <c r="E1697" s="986">
        <f>CEILING((E1695*0.85),0.1)</f>
        <v>71.3</v>
      </c>
      <c r="F1697" s="992"/>
      <c r="G1697" s="986">
        <f>CEILING((G1695*0.85),0.1)</f>
        <v>63.800000000000004</v>
      </c>
      <c r="H1697" s="992"/>
      <c r="I1697" s="986">
        <f>CEILING((I1695*0.85),0.1)</f>
        <v>63.800000000000004</v>
      </c>
      <c r="J1697" s="992"/>
      <c r="K1697" s="986">
        <f>CEILING((K1695*0.85),0.1)</f>
        <v>42.5</v>
      </c>
      <c r="L1697" s="992"/>
      <c r="M1697" s="16"/>
      <c r="N1697" s="20"/>
      <c r="O1697" s="169"/>
      <c r="P1697" s="169"/>
      <c r="Q1697" s="169"/>
      <c r="R1697" s="169"/>
      <c r="S1697" s="1438"/>
      <c r="T1697" s="1438"/>
      <c r="U1697" s="1438"/>
      <c r="V1697" s="1438"/>
      <c r="W1697" s="1438"/>
      <c r="X1697" s="1438"/>
      <c r="Y1697" s="1438"/>
    </row>
    <row r="1698" spans="1:25" s="404" customFormat="1" ht="18" customHeight="1">
      <c r="A1698" s="243"/>
      <c r="B1698" s="147" t="s">
        <v>71</v>
      </c>
      <c r="C1698" s="986">
        <f>CEILING((C1695*0.5),0.1)</f>
        <v>32.5</v>
      </c>
      <c r="D1698" s="993"/>
      <c r="E1698" s="986">
        <f>CEILING((E1695*0.5),0.1)</f>
        <v>41.900000000000006</v>
      </c>
      <c r="F1698" s="993"/>
      <c r="G1698" s="986">
        <f>CEILING((G1695*0.5),0.1)</f>
        <v>37.5</v>
      </c>
      <c r="H1698" s="993"/>
      <c r="I1698" s="986">
        <f>CEILING((I1695*0.5),0.1)</f>
        <v>37.5</v>
      </c>
      <c r="J1698" s="993"/>
      <c r="K1698" s="986">
        <f>CEILING((K1695*0.5),0.1)</f>
        <v>25</v>
      </c>
      <c r="L1698" s="993"/>
      <c r="M1698" s="16"/>
      <c r="N1698" s="20"/>
      <c r="O1698" s="169"/>
      <c r="P1698" s="169"/>
      <c r="Q1698" s="169"/>
      <c r="R1698" s="169"/>
      <c r="S1698" s="1438"/>
      <c r="T1698" s="1438"/>
      <c r="U1698" s="1438"/>
      <c r="V1698" s="1438"/>
      <c r="W1698" s="1438"/>
      <c r="X1698" s="1438"/>
      <c r="Y1698" s="1438"/>
    </row>
    <row r="1699" spans="1:25" s="479" customFormat="1" ht="18" customHeight="1">
      <c r="A1699" s="741"/>
      <c r="B1699" s="142" t="s">
        <v>44</v>
      </c>
      <c r="C1699" s="986">
        <f>CEILING(62*$Z$1,0.1)</f>
        <v>77.5</v>
      </c>
      <c r="D1699" s="993"/>
      <c r="E1699" s="986">
        <f>CEILING(77*$Z$1,0.1)</f>
        <v>96.30000000000001</v>
      </c>
      <c r="F1699" s="993"/>
      <c r="G1699" s="986">
        <f>CEILING(70*$Z$1,0.1)</f>
        <v>87.5</v>
      </c>
      <c r="H1699" s="993"/>
      <c r="I1699" s="986">
        <f>CEILING(70*$Z$1,0.1)</f>
        <v>87.5</v>
      </c>
      <c r="J1699" s="993"/>
      <c r="K1699" s="986">
        <f>CEILING(50*$Z$1,0.1)</f>
        <v>62.5</v>
      </c>
      <c r="L1699" s="993"/>
      <c r="M1699" s="16"/>
      <c r="N1699" s="20"/>
      <c r="O1699" s="480"/>
      <c r="P1699" s="480"/>
      <c r="Q1699" s="480"/>
      <c r="R1699" s="480"/>
      <c r="S1699" s="1438"/>
      <c r="T1699" s="1438"/>
      <c r="U1699" s="1438"/>
      <c r="V1699" s="1438"/>
      <c r="W1699" s="1438"/>
      <c r="X1699" s="1438"/>
      <c r="Y1699" s="1438"/>
    </row>
    <row r="1700" spans="1:25" s="479" customFormat="1" ht="15.75" thickBot="1">
      <c r="A1700" s="80" t="s">
        <v>418</v>
      </c>
      <c r="B1700" s="289" t="s">
        <v>46</v>
      </c>
      <c r="C1700" s="994">
        <f>CEILING((C1699+20*$Z$1),0.1)</f>
        <v>102.5</v>
      </c>
      <c r="D1700" s="995"/>
      <c r="E1700" s="994">
        <f>CEILING((E1699+20*$Z$1),0.1)</f>
        <v>121.30000000000001</v>
      </c>
      <c r="F1700" s="995"/>
      <c r="G1700" s="994">
        <f>CEILING((G1699+20*$Z$1),0.1)</f>
        <v>112.5</v>
      </c>
      <c r="H1700" s="995"/>
      <c r="I1700" s="994">
        <f>CEILING((I1699+20*$Z$1),0.1)</f>
        <v>112.5</v>
      </c>
      <c r="J1700" s="995"/>
      <c r="K1700" s="994">
        <f>CEILING((K1699+20*$Z$1),0.1)</f>
        <v>87.5</v>
      </c>
      <c r="L1700" s="995"/>
      <c r="M1700" s="481"/>
      <c r="N1700" s="480"/>
      <c r="O1700" s="480"/>
      <c r="P1700" s="480"/>
      <c r="Q1700" s="480"/>
      <c r="R1700" s="480"/>
      <c r="S1700" s="1438"/>
      <c r="T1700" s="1438"/>
      <c r="U1700" s="1438"/>
      <c r="V1700" s="1438"/>
      <c r="W1700" s="1438"/>
      <c r="X1700" s="1438"/>
      <c r="Y1700" s="1438"/>
    </row>
    <row r="1701" spans="1:25" s="479" customFormat="1" ht="16.5" customHeight="1" thickTop="1">
      <c r="A1701" s="75" t="s">
        <v>1148</v>
      </c>
      <c r="B1701" s="50"/>
      <c r="C1701" s="1038"/>
      <c r="D1701" s="1038"/>
      <c r="E1701" s="1038"/>
      <c r="F1701" s="1038"/>
      <c r="G1701" s="1038"/>
      <c r="H1701" s="1038"/>
      <c r="I1701" s="1038"/>
      <c r="J1701" s="1038"/>
      <c r="K1701" s="1038"/>
      <c r="L1701" s="1038"/>
      <c r="M1701" s="16"/>
      <c r="N1701" s="20"/>
      <c r="O1701" s="480"/>
      <c r="P1701" s="480"/>
      <c r="Q1701" s="480"/>
      <c r="R1701" s="480"/>
      <c r="S1701" s="1438"/>
      <c r="T1701" s="1438"/>
      <c r="U1701" s="1438"/>
      <c r="V1701" s="1438"/>
      <c r="W1701" s="1438"/>
      <c r="X1701" s="1438"/>
      <c r="Y1701" s="1438"/>
    </row>
    <row r="1702" spans="1:25" s="479" customFormat="1" ht="16.5" customHeight="1">
      <c r="A1702" s="364" t="s">
        <v>1147</v>
      </c>
      <c r="B1702" s="129"/>
      <c r="C1702" s="3"/>
      <c r="D1702" s="3"/>
      <c r="E1702" s="3"/>
      <c r="F1702" s="3"/>
      <c r="G1702" s="3"/>
      <c r="H1702" s="3"/>
      <c r="I1702" s="3"/>
      <c r="J1702" s="3"/>
      <c r="K1702" s="279"/>
      <c r="L1702" s="279"/>
      <c r="M1702" s="16"/>
      <c r="N1702" s="20"/>
      <c r="O1702" s="480"/>
      <c r="P1702" s="480"/>
      <c r="Q1702" s="480"/>
      <c r="R1702" s="480"/>
      <c r="S1702" s="1438"/>
      <c r="T1702" s="1438"/>
      <c r="U1702" s="1438"/>
      <c r="V1702" s="1438"/>
      <c r="W1702" s="1438"/>
      <c r="X1702" s="1438"/>
      <c r="Y1702" s="1438"/>
    </row>
    <row r="1703" spans="1:50" s="479" customFormat="1" ht="18" customHeight="1">
      <c r="A1703" s="172"/>
      <c r="B1703" s="949"/>
      <c r="C1703" s="22"/>
      <c r="D1703" s="22"/>
      <c r="E1703" s="22"/>
      <c r="F1703" s="22"/>
      <c r="G1703" s="22"/>
      <c r="H1703" s="22"/>
      <c r="I1703" s="22"/>
      <c r="J1703" s="22"/>
      <c r="K1703" s="166"/>
      <c r="L1703" s="166"/>
      <c r="M1703" s="3"/>
      <c r="N1703" s="3"/>
      <c r="O1703" s="331"/>
      <c r="P1703" s="331"/>
      <c r="Q1703" s="331"/>
      <c r="R1703" s="331"/>
      <c r="S1703" s="1438"/>
      <c r="T1703" s="1438"/>
      <c r="U1703" s="1438"/>
      <c r="V1703" s="1438"/>
      <c r="W1703" s="1438"/>
      <c r="X1703" s="1438"/>
      <c r="Y1703" s="1438"/>
      <c r="Z1703" s="331"/>
      <c r="AA1703" s="331"/>
      <c r="AB1703" s="331"/>
      <c r="AC1703" s="331"/>
      <c r="AD1703" s="331"/>
      <c r="AE1703" s="331"/>
      <c r="AF1703" s="331"/>
      <c r="AG1703" s="331"/>
      <c r="AH1703" s="331"/>
      <c r="AI1703" s="331"/>
      <c r="AJ1703" s="331"/>
      <c r="AK1703" s="331"/>
      <c r="AL1703" s="331"/>
      <c r="AM1703" s="331"/>
      <c r="AN1703" s="331"/>
      <c r="AO1703" s="331"/>
      <c r="AP1703" s="331"/>
      <c r="AQ1703" s="331"/>
      <c r="AR1703" s="331"/>
      <c r="AS1703" s="331"/>
      <c r="AT1703" s="331"/>
      <c r="AU1703" s="331"/>
      <c r="AV1703" s="331"/>
      <c r="AW1703" s="331"/>
      <c r="AX1703" s="331"/>
    </row>
    <row r="1704" spans="1:25" s="479" customFormat="1" ht="15.75" thickBot="1">
      <c r="A1704" s="107"/>
      <c r="B1704" s="113"/>
      <c r="C1704" s="107"/>
      <c r="D1704" s="107"/>
      <c r="E1704" s="107"/>
      <c r="F1704" s="107"/>
      <c r="G1704" s="107"/>
      <c r="H1704" s="107"/>
      <c r="I1704" s="107"/>
      <c r="J1704" s="107"/>
      <c r="K1704" s="313"/>
      <c r="L1704" s="313"/>
      <c r="M1704" s="480"/>
      <c r="N1704" s="480"/>
      <c r="O1704" s="480"/>
      <c r="P1704" s="480"/>
      <c r="Q1704" s="480"/>
      <c r="R1704" s="480"/>
      <c r="S1704" s="1438"/>
      <c r="T1704" s="1438"/>
      <c r="U1704" s="1438"/>
      <c r="V1704" s="1438"/>
      <c r="W1704" s="1438"/>
      <c r="X1704" s="1438"/>
      <c r="Y1704" s="1438"/>
    </row>
    <row r="1705" spans="1:25" s="1042" customFormat="1" ht="28.5" customHeight="1" thickTop="1">
      <c r="A1705" s="1041" t="s">
        <v>43</v>
      </c>
      <c r="B1705" s="814" t="s">
        <v>1105</v>
      </c>
      <c r="C1705" s="747" t="s">
        <v>884</v>
      </c>
      <c r="D1705" s="748"/>
      <c r="E1705" s="749" t="s">
        <v>911</v>
      </c>
      <c r="F1705" s="750"/>
      <c r="G1705" s="749" t="s">
        <v>912</v>
      </c>
      <c r="H1705" s="750"/>
      <c r="I1705" s="1273" t="s">
        <v>969</v>
      </c>
      <c r="J1705" s="1274"/>
      <c r="K1705" s="1273" t="s">
        <v>970</v>
      </c>
      <c r="L1705" s="1274"/>
      <c r="M1705" s="947"/>
      <c r="N1705" s="947"/>
      <c r="O1705" s="335"/>
      <c r="P1705" s="335"/>
      <c r="Q1705" s="335"/>
      <c r="R1705" s="335"/>
      <c r="S1705" s="1438"/>
      <c r="T1705" s="1438"/>
      <c r="U1705" s="1438"/>
      <c r="V1705" s="1438"/>
      <c r="W1705" s="1438"/>
      <c r="X1705" s="1438"/>
      <c r="Y1705" s="1438"/>
    </row>
    <row r="1706" spans="1:25" s="479" customFormat="1" ht="15">
      <c r="A1706" s="49" t="s">
        <v>152</v>
      </c>
      <c r="B1706" s="77" t="s">
        <v>51</v>
      </c>
      <c r="C1706" s="985">
        <f>CEILING(35*$Z$1,0.1)</f>
        <v>43.800000000000004</v>
      </c>
      <c r="D1706" s="991"/>
      <c r="E1706" s="985">
        <f>CEILING(40*$Z$1,0.1)</f>
        <v>50</v>
      </c>
      <c r="F1706" s="991"/>
      <c r="G1706" s="985">
        <f>CEILING(40*$Z$1,0.1)</f>
        <v>50</v>
      </c>
      <c r="H1706" s="991"/>
      <c r="I1706" s="985">
        <f>CEILING(40*$Z$1,0.1)</f>
        <v>50</v>
      </c>
      <c r="J1706" s="991"/>
      <c r="K1706" s="985">
        <f>CEILING(35*$Z$1,0.1)</f>
        <v>43.800000000000004</v>
      </c>
      <c r="L1706" s="991"/>
      <c r="M1706" s="480"/>
      <c r="N1706" s="480"/>
      <c r="O1706" s="480"/>
      <c r="P1706" s="480"/>
      <c r="Q1706" s="480"/>
      <c r="R1706" s="480"/>
      <c r="S1706" s="1438"/>
      <c r="T1706" s="1438"/>
      <c r="U1706" s="1438"/>
      <c r="V1706" s="1438"/>
      <c r="W1706" s="1438"/>
      <c r="X1706" s="1438"/>
      <c r="Y1706" s="1438"/>
    </row>
    <row r="1707" spans="1:25" s="479" customFormat="1" ht="15">
      <c r="A1707" s="47" t="s">
        <v>59</v>
      </c>
      <c r="B1707" s="29" t="s">
        <v>52</v>
      </c>
      <c r="C1707" s="986">
        <f>CEILING((C1706+9*$Z$1),0.1)</f>
        <v>55.1</v>
      </c>
      <c r="D1707" s="992"/>
      <c r="E1707" s="986">
        <f>CEILING((E1706+10*$Z$1),0.1)</f>
        <v>62.5</v>
      </c>
      <c r="F1707" s="992"/>
      <c r="G1707" s="986">
        <f>CEILING((G1706+10*$Z$1),0.1)</f>
        <v>62.5</v>
      </c>
      <c r="H1707" s="992"/>
      <c r="I1707" s="986">
        <f>CEILING((I1706+10*$Z$1),0.1)</f>
        <v>62.5</v>
      </c>
      <c r="J1707" s="992"/>
      <c r="K1707" s="986">
        <f>CEILING((K1706+9*$Z$1),0.1)</f>
        <v>55.1</v>
      </c>
      <c r="L1707" s="992"/>
      <c r="M1707" s="480"/>
      <c r="N1707" s="480"/>
      <c r="O1707" s="480"/>
      <c r="P1707" s="480"/>
      <c r="Q1707" s="480"/>
      <c r="R1707" s="480"/>
      <c r="S1707" s="1438"/>
      <c r="T1707" s="1438"/>
      <c r="U1707" s="1438"/>
      <c r="V1707" s="1438"/>
      <c r="W1707" s="1438"/>
      <c r="X1707" s="1438"/>
      <c r="Y1707" s="1438"/>
    </row>
    <row r="1708" spans="1:25" ht="15">
      <c r="A1708" s="47"/>
      <c r="B1708" s="127" t="s">
        <v>79</v>
      </c>
      <c r="C1708" s="986">
        <f>CEILING((C1706*0.8),0.1)</f>
        <v>35.1</v>
      </c>
      <c r="D1708" s="992"/>
      <c r="E1708" s="986">
        <f>CEILING((E1706*0.8),0.1)</f>
        <v>40</v>
      </c>
      <c r="F1708" s="992"/>
      <c r="G1708" s="986">
        <f>CEILING((G1706*0.8),0.1)</f>
        <v>40</v>
      </c>
      <c r="H1708" s="992"/>
      <c r="I1708" s="986">
        <f>CEILING((I1706*0.8),0.1)</f>
        <v>40</v>
      </c>
      <c r="J1708" s="992"/>
      <c r="K1708" s="986">
        <f>CEILING((K1706*0.8),0.1)</f>
        <v>35.1</v>
      </c>
      <c r="L1708" s="992"/>
      <c r="M1708" s="189"/>
      <c r="P1708" s="189"/>
      <c r="Q1708" s="3"/>
      <c r="R1708" s="3"/>
      <c r="S1708" s="1438"/>
      <c r="T1708" s="1438"/>
      <c r="U1708" s="1438"/>
      <c r="V1708" s="1438"/>
      <c r="W1708" s="1438"/>
      <c r="X1708" s="1438"/>
      <c r="Y1708" s="1438"/>
    </row>
    <row r="1709" spans="1:25" ht="15">
      <c r="A1709" s="186"/>
      <c r="B1709" s="127" t="s">
        <v>84</v>
      </c>
      <c r="C1709" s="986">
        <f>CEILING((C1706*0),0.1)</f>
        <v>0</v>
      </c>
      <c r="D1709" s="993"/>
      <c r="E1709" s="986">
        <f>CEILING((E1706*0),0.1)</f>
        <v>0</v>
      </c>
      <c r="F1709" s="993"/>
      <c r="G1709" s="986">
        <f>CEILING((G1706*0),0.1)</f>
        <v>0</v>
      </c>
      <c r="H1709" s="993"/>
      <c r="I1709" s="986">
        <f>CEILING((I1706*0),0.1)</f>
        <v>0</v>
      </c>
      <c r="J1709" s="993"/>
      <c r="K1709" s="986">
        <f>CEILING((K1706*0),0.1)</f>
        <v>0</v>
      </c>
      <c r="L1709" s="993"/>
      <c r="M1709" s="189"/>
      <c r="P1709" s="189"/>
      <c r="Q1709" s="3"/>
      <c r="R1709" s="3"/>
      <c r="S1709" s="1438"/>
      <c r="T1709" s="1438"/>
      <c r="U1709" s="1438"/>
      <c r="V1709" s="1438"/>
      <c r="W1709" s="1438"/>
      <c r="X1709" s="1438"/>
      <c r="Y1709" s="1438"/>
    </row>
    <row r="1710" spans="1:25" ht="15" customHeight="1" thickBot="1">
      <c r="A1710" s="80" t="s">
        <v>417</v>
      </c>
      <c r="B1710" s="13" t="s">
        <v>85</v>
      </c>
      <c r="C1710" s="994">
        <f>CEILING((C1707*0.5),0.1)</f>
        <v>27.6</v>
      </c>
      <c r="D1710" s="995"/>
      <c r="E1710" s="994">
        <f>CEILING((E1707*0.5),0.1)</f>
        <v>31.3</v>
      </c>
      <c r="F1710" s="995"/>
      <c r="G1710" s="994">
        <f>CEILING((G1707*0.5),0.1)</f>
        <v>31.3</v>
      </c>
      <c r="H1710" s="995"/>
      <c r="I1710" s="994">
        <f>CEILING((I1707*0.5),0.1)</f>
        <v>31.3</v>
      </c>
      <c r="J1710" s="995"/>
      <c r="K1710" s="994">
        <f>CEILING((K1707*0.5),0.1)</f>
        <v>27.6</v>
      </c>
      <c r="L1710" s="995"/>
      <c r="M1710" s="169"/>
      <c r="P1710" s="189"/>
      <c r="Q1710" s="189"/>
      <c r="R1710" s="189"/>
      <c r="S1710" s="1438"/>
      <c r="T1710" s="1438"/>
      <c r="U1710" s="1438"/>
      <c r="V1710" s="1438"/>
      <c r="W1710" s="1438"/>
      <c r="X1710" s="1438"/>
      <c r="Y1710" s="1438"/>
    </row>
    <row r="1711" spans="1:25" ht="15.75" thickTop="1">
      <c r="A1711" s="106" t="s">
        <v>377</v>
      </c>
      <c r="B1711" s="29" t="s">
        <v>378</v>
      </c>
      <c r="C1711" s="1043">
        <f>CEILING(45*$Z$1,0.1)</f>
        <v>56.300000000000004</v>
      </c>
      <c r="D1711" s="1044"/>
      <c r="E1711" s="1043">
        <f>CEILING(50*$Z$1,0.1)</f>
        <v>62.5</v>
      </c>
      <c r="F1711" s="1044"/>
      <c r="G1711" s="1043">
        <f>CEILING(50*$Z$1,0.1)</f>
        <v>62.5</v>
      </c>
      <c r="H1711" s="1044"/>
      <c r="I1711" s="1043">
        <f>CEILING(50*$Z$1,0.1)</f>
        <v>62.5</v>
      </c>
      <c r="J1711" s="1044"/>
      <c r="K1711" s="1043">
        <f>CEILING(45*$Z$1,0.1)</f>
        <v>56.300000000000004</v>
      </c>
      <c r="L1711" s="1044"/>
      <c r="M1711" s="169"/>
      <c r="S1711" s="1438"/>
      <c r="T1711" s="1438"/>
      <c r="U1711" s="1438"/>
      <c r="V1711" s="1438"/>
      <c r="W1711" s="1438"/>
      <c r="X1711" s="1438"/>
      <c r="Y1711" s="1438"/>
    </row>
    <row r="1712" spans="1:25" ht="15">
      <c r="A1712" s="47" t="s">
        <v>59</v>
      </c>
      <c r="B1712" s="29" t="s">
        <v>379</v>
      </c>
      <c r="C1712" s="986">
        <f>CEILING((C1711+20*$Z$1),0.1)</f>
        <v>81.30000000000001</v>
      </c>
      <c r="D1712" s="992"/>
      <c r="E1712" s="986">
        <f>CEILING((E1711+20*$Z$1),0.1)</f>
        <v>87.5</v>
      </c>
      <c r="F1712" s="992"/>
      <c r="G1712" s="986">
        <f>CEILING((G1711+20*$Z$1),0.1)</f>
        <v>87.5</v>
      </c>
      <c r="H1712" s="992"/>
      <c r="I1712" s="986">
        <f>CEILING((I1711+20*$Z$1),0.1)</f>
        <v>87.5</v>
      </c>
      <c r="J1712" s="992"/>
      <c r="K1712" s="986">
        <f>CEILING((K1711+20*$Z$1),0.1)</f>
        <v>81.30000000000001</v>
      </c>
      <c r="L1712" s="992"/>
      <c r="M1712" s="169"/>
      <c r="S1712" s="1438"/>
      <c r="T1712" s="1438"/>
      <c r="U1712" s="1438"/>
      <c r="V1712" s="1438"/>
      <c r="W1712" s="1438"/>
      <c r="X1712" s="1438"/>
      <c r="Y1712" s="1438"/>
    </row>
    <row r="1713" spans="1:25" ht="17.25" customHeight="1">
      <c r="A1713" s="186"/>
      <c r="B1713" s="127" t="s">
        <v>84</v>
      </c>
      <c r="C1713" s="986">
        <f>CEILING((C1711*0),0.1)</f>
        <v>0</v>
      </c>
      <c r="D1713" s="992"/>
      <c r="E1713" s="986">
        <f>CEILING((E1711*0),0.1)</f>
        <v>0</v>
      </c>
      <c r="F1713" s="992"/>
      <c r="G1713" s="986">
        <f>CEILING((G1711*0),0.1)</f>
        <v>0</v>
      </c>
      <c r="H1713" s="992"/>
      <c r="I1713" s="986">
        <f>CEILING((I1711*0),0.1)</f>
        <v>0</v>
      </c>
      <c r="J1713" s="992"/>
      <c r="K1713" s="986">
        <f>CEILING((K1711*0),0.1)</f>
        <v>0</v>
      </c>
      <c r="L1713" s="992"/>
      <c r="M1713" s="169"/>
      <c r="S1713" s="1438"/>
      <c r="T1713" s="1438"/>
      <c r="U1713" s="1438"/>
      <c r="V1713" s="1438"/>
      <c r="W1713" s="1438"/>
      <c r="X1713" s="1438"/>
      <c r="Y1713" s="1438"/>
    </row>
    <row r="1714" spans="1:13" ht="15">
      <c r="A1714" s="186"/>
      <c r="B1714" s="127" t="s">
        <v>85</v>
      </c>
      <c r="C1714" s="986">
        <f>CEILING((C1711*0.5),0.1)</f>
        <v>28.200000000000003</v>
      </c>
      <c r="D1714" s="993"/>
      <c r="E1714" s="986">
        <f>CEILING((E1711*0.5),0.1)</f>
        <v>31.3</v>
      </c>
      <c r="F1714" s="993"/>
      <c r="G1714" s="986">
        <f>CEILING((G1711*0.5),0.1)</f>
        <v>31.3</v>
      </c>
      <c r="H1714" s="993"/>
      <c r="I1714" s="986">
        <f>CEILING((I1711*0.5),0.1)</f>
        <v>31.3</v>
      </c>
      <c r="J1714" s="993"/>
      <c r="K1714" s="986">
        <f>CEILING((K1711*0.5),0.1)</f>
        <v>28.200000000000003</v>
      </c>
      <c r="L1714" s="993"/>
      <c r="M1714" s="189"/>
    </row>
    <row r="1715" spans="1:13" ht="15.75" thickBot="1">
      <c r="A1715" s="80" t="s">
        <v>417</v>
      </c>
      <c r="B1715" s="184" t="s">
        <v>667</v>
      </c>
      <c r="C1715" s="994">
        <f>CEILING(149*$Z$1,0.1)</f>
        <v>186.3</v>
      </c>
      <c r="D1715" s="995"/>
      <c r="E1715" s="994">
        <f>CEILING(149*$Z$1,0.1)</f>
        <v>186.3</v>
      </c>
      <c r="F1715" s="995"/>
      <c r="G1715" s="994">
        <f>CEILING(149*$Z$1,0.1)</f>
        <v>186.3</v>
      </c>
      <c r="H1715" s="995"/>
      <c r="I1715" s="994">
        <f>CEILING(149*$Z$1,0.1)</f>
        <v>186.3</v>
      </c>
      <c r="J1715" s="995"/>
      <c r="K1715" s="994">
        <f>CEILING(149*$Z$1,0.1)</f>
        <v>186.3</v>
      </c>
      <c r="L1715" s="995"/>
      <c r="M1715" s="189"/>
    </row>
    <row r="1716" spans="1:13" ht="15.75" thickTop="1">
      <c r="A1716" s="106" t="s">
        <v>357</v>
      </c>
      <c r="B1716" s="29" t="s">
        <v>378</v>
      </c>
      <c r="C1716" s="1043">
        <f>CEILING(55*$Z$1,0.1)</f>
        <v>68.8</v>
      </c>
      <c r="D1716" s="1044"/>
      <c r="E1716" s="1043">
        <f>CEILING(60*$Z$1,0.1)</f>
        <v>75</v>
      </c>
      <c r="F1716" s="1044"/>
      <c r="G1716" s="1043">
        <f>CEILING(60*$Z$1,0.1)</f>
        <v>75</v>
      </c>
      <c r="H1716" s="1044"/>
      <c r="I1716" s="1043">
        <f>CEILING(60*$Z$1,0.1)</f>
        <v>75</v>
      </c>
      <c r="J1716" s="1044"/>
      <c r="K1716" s="1043">
        <f>CEILING(55*$Z$1,0.1)</f>
        <v>68.8</v>
      </c>
      <c r="L1716" s="1044"/>
      <c r="M1716" s="189"/>
    </row>
    <row r="1717" spans="1:25" ht="16.5" customHeight="1">
      <c r="A1717" s="47" t="s">
        <v>59</v>
      </c>
      <c r="B1717" s="29" t="s">
        <v>379</v>
      </c>
      <c r="C1717" s="986">
        <f>CEILING((C1716+20*$Z$1),0.1)</f>
        <v>93.80000000000001</v>
      </c>
      <c r="D1717" s="992"/>
      <c r="E1717" s="986">
        <f>CEILING((E1716+20*$Z$1),0.1)</f>
        <v>100</v>
      </c>
      <c r="F1717" s="992"/>
      <c r="G1717" s="986">
        <f>CEILING((G1716+20*$Z$1),0.1)</f>
        <v>100</v>
      </c>
      <c r="H1717" s="992"/>
      <c r="I1717" s="986">
        <f>CEILING((I1716+20*$Z$1),0.1)</f>
        <v>100</v>
      </c>
      <c r="J1717" s="992"/>
      <c r="K1717" s="986">
        <f>CEILING((K1716+20*$Z$1),0.1)</f>
        <v>93.80000000000001</v>
      </c>
      <c r="L1717" s="992"/>
      <c r="M1717" s="169"/>
      <c r="W1717"/>
      <c r="X1717"/>
      <c r="Y1717"/>
    </row>
    <row r="1718" spans="1:25" ht="15">
      <c r="A1718" s="186"/>
      <c r="B1718" s="127" t="s">
        <v>84</v>
      </c>
      <c r="C1718" s="986">
        <f>CEILING((C1716*0),0.1)</f>
        <v>0</v>
      </c>
      <c r="D1718" s="992"/>
      <c r="E1718" s="986">
        <f>CEILING((E1716*0),0.1)</f>
        <v>0</v>
      </c>
      <c r="F1718" s="992"/>
      <c r="G1718" s="986">
        <f>CEILING((G1716*0),0.1)</f>
        <v>0</v>
      </c>
      <c r="H1718" s="992"/>
      <c r="I1718" s="986">
        <f>CEILING((I1716*0),0.1)</f>
        <v>0</v>
      </c>
      <c r="J1718" s="992"/>
      <c r="K1718" s="986">
        <f>CEILING((K1716*0),0.1)</f>
        <v>0</v>
      </c>
      <c r="L1718" s="992"/>
      <c r="M1718" s="169"/>
      <c r="W1718"/>
      <c r="X1718"/>
      <c r="Y1718"/>
    </row>
    <row r="1719" spans="1:25" ht="15">
      <c r="A1719" s="186"/>
      <c r="B1719" s="127" t="s">
        <v>85</v>
      </c>
      <c r="C1719" s="986">
        <f>CEILING((C1716*0.5),0.1)</f>
        <v>34.4</v>
      </c>
      <c r="D1719" s="993"/>
      <c r="E1719" s="986">
        <f>CEILING((E1716*0.5),0.1)</f>
        <v>37.5</v>
      </c>
      <c r="F1719" s="993"/>
      <c r="G1719" s="986">
        <f>CEILING((G1716*0.5),0.1)</f>
        <v>37.5</v>
      </c>
      <c r="H1719" s="993"/>
      <c r="I1719" s="986">
        <f>CEILING((I1716*0.5),0.1)</f>
        <v>37.5</v>
      </c>
      <c r="J1719" s="993"/>
      <c r="K1719" s="986">
        <f>CEILING((K1716*0.5),0.1)</f>
        <v>34.4</v>
      </c>
      <c r="L1719" s="993"/>
      <c r="M1719" s="169"/>
      <c r="W1719"/>
      <c r="X1719"/>
      <c r="Y1719"/>
    </row>
    <row r="1720" spans="1:25" ht="15.75" thickBot="1">
      <c r="A1720" s="80" t="s">
        <v>416</v>
      </c>
      <c r="B1720" s="294" t="s">
        <v>668</v>
      </c>
      <c r="C1720" s="994">
        <f>CEILING(215*$Z$1,0.1)</f>
        <v>268.8</v>
      </c>
      <c r="D1720" s="995"/>
      <c r="E1720" s="994">
        <f>CEILING(215*$Z$1,0.1)</f>
        <v>268.8</v>
      </c>
      <c r="F1720" s="995"/>
      <c r="G1720" s="994">
        <f>CEILING(215*$Z$1,0.1)</f>
        <v>268.8</v>
      </c>
      <c r="H1720" s="995"/>
      <c r="I1720" s="994">
        <f>CEILING(215*$Z$1,0.1)</f>
        <v>268.8</v>
      </c>
      <c r="J1720" s="995"/>
      <c r="K1720" s="994">
        <f>CEILING(215*$Z$1,0.1)</f>
        <v>268.8</v>
      </c>
      <c r="L1720" s="995"/>
      <c r="M1720" s="169"/>
      <c r="W1720"/>
      <c r="X1720"/>
      <c r="Y1720"/>
    </row>
    <row r="1721" spans="1:22" s="479" customFormat="1" ht="15.75" thickTop="1">
      <c r="A1721" s="75" t="s">
        <v>981</v>
      </c>
      <c r="B1721" s="1045"/>
      <c r="C1721" s="1038"/>
      <c r="D1721" s="1038"/>
      <c r="E1721" s="1038"/>
      <c r="F1721" s="1038"/>
      <c r="G1721" s="1038"/>
      <c r="H1721" s="1038"/>
      <c r="I1721" s="1038"/>
      <c r="J1721" s="1038"/>
      <c r="K1721" s="1038"/>
      <c r="L1721" s="1038"/>
      <c r="M1721" s="480"/>
      <c r="N1721" s="480"/>
      <c r="O1721" s="480"/>
      <c r="P1721" s="480"/>
      <c r="Q1721" s="480"/>
      <c r="R1721" s="480"/>
      <c r="S1721" s="480"/>
      <c r="T1721" s="480"/>
      <c r="U1721" s="480"/>
      <c r="V1721" s="480"/>
    </row>
    <row r="1722" spans="1:13" ht="15">
      <c r="A1722" s="370" t="s">
        <v>1149</v>
      </c>
      <c r="B1722" s="50"/>
      <c r="C1722" s="3"/>
      <c r="D1722" s="3"/>
      <c r="E1722" s="3"/>
      <c r="F1722" s="3"/>
      <c r="G1722" s="406"/>
      <c r="H1722" s="406"/>
      <c r="I1722" s="406"/>
      <c r="J1722" s="406"/>
      <c r="K1722" s="347"/>
      <c r="L1722" s="347"/>
      <c r="M1722" s="169"/>
    </row>
    <row r="1723" spans="1:37" s="192" customFormat="1" ht="15">
      <c r="A1723" s="955" t="s">
        <v>972</v>
      </c>
      <c r="B1723" s="949"/>
      <c r="C1723" s="949"/>
      <c r="D1723" s="949"/>
      <c r="E1723" s="949"/>
      <c r="F1723" s="949"/>
      <c r="G1723" s="949"/>
      <c r="H1723" s="949"/>
      <c r="I1723" s="949"/>
      <c r="J1723" s="949"/>
      <c r="K1723" s="279"/>
      <c r="L1723" s="279"/>
      <c r="M1723" s="335"/>
      <c r="N1723" s="335"/>
      <c r="O1723" s="335"/>
      <c r="P1723" s="335"/>
      <c r="Q1723" s="335"/>
      <c r="R1723" s="335"/>
      <c r="S1723" s="335"/>
      <c r="T1723" s="335"/>
      <c r="U1723" s="335"/>
      <c r="V1723" s="335"/>
      <c r="W1723" s="335"/>
      <c r="X1723" s="335"/>
      <c r="Y1723" s="335"/>
      <c r="Z1723" s="335"/>
      <c r="AA1723" s="335"/>
      <c r="AB1723" s="335"/>
      <c r="AC1723" s="335"/>
      <c r="AD1723" s="335"/>
      <c r="AE1723" s="335"/>
      <c r="AF1723" s="335"/>
      <c r="AG1723" s="335"/>
      <c r="AH1723" s="335"/>
      <c r="AI1723" s="335"/>
      <c r="AJ1723" s="335"/>
      <c r="AK1723" s="335"/>
    </row>
    <row r="1724" spans="1:25" s="479" customFormat="1" ht="15.75" thickBot="1">
      <c r="A1724" s="397"/>
      <c r="B1724" s="52"/>
      <c r="C1724" s="3"/>
      <c r="D1724" s="3"/>
      <c r="E1724" s="3"/>
      <c r="F1724" s="3"/>
      <c r="G1724" s="500"/>
      <c r="H1724" s="500"/>
      <c r="I1724" s="500"/>
      <c r="J1724" s="500"/>
      <c r="K1724" s="347"/>
      <c r="L1724" s="347"/>
      <c r="M1724" s="20"/>
      <c r="N1724" s="480"/>
      <c r="O1724" s="480"/>
      <c r="P1724" s="480"/>
      <c r="Q1724" s="3"/>
      <c r="R1724" s="3"/>
      <c r="S1724" s="481"/>
      <c r="T1724" s="480"/>
      <c r="U1724" s="480"/>
      <c r="V1724" s="480"/>
      <c r="W1724" s="480"/>
      <c r="X1724" s="480"/>
      <c r="Y1724" s="480"/>
    </row>
    <row r="1725" spans="1:50" s="1037" customFormat="1" ht="28.5" customHeight="1" thickTop="1">
      <c r="A1725" s="1046" t="s">
        <v>43</v>
      </c>
      <c r="B1725" s="966" t="s">
        <v>1105</v>
      </c>
      <c r="C1725" s="795" t="s">
        <v>884</v>
      </c>
      <c r="D1725" s="796"/>
      <c r="E1725" s="765" t="s">
        <v>1150</v>
      </c>
      <c r="F1725" s="766"/>
      <c r="G1725" s="765" t="s">
        <v>1151</v>
      </c>
      <c r="H1725" s="766"/>
      <c r="I1725" s="1280" t="s">
        <v>1143</v>
      </c>
      <c r="J1725" s="1281"/>
      <c r="K1725" s="1280" t="s">
        <v>882</v>
      </c>
      <c r="L1725" s="1281"/>
      <c r="M1725" s="947"/>
      <c r="N1725" s="947"/>
      <c r="O1725" s="335"/>
      <c r="P1725" s="335"/>
      <c r="Q1725" s="335"/>
      <c r="R1725" s="335"/>
      <c r="S1725" s="335"/>
      <c r="T1725" s="480"/>
      <c r="U1725" s="480"/>
      <c r="V1725" s="480"/>
      <c r="W1725" s="480"/>
      <c r="X1725" s="480"/>
      <c r="Y1725" s="480"/>
      <c r="Z1725" s="479"/>
      <c r="AA1725" s="852"/>
      <c r="AB1725" s="852"/>
      <c r="AC1725" s="852"/>
      <c r="AD1725" s="852"/>
      <c r="AE1725" s="852"/>
      <c r="AF1725" s="852"/>
      <c r="AG1725" s="852"/>
      <c r="AH1725" s="852"/>
      <c r="AI1725" s="852"/>
      <c r="AJ1725" s="852"/>
      <c r="AK1725" s="852"/>
      <c r="AL1725" s="852"/>
      <c r="AM1725" s="852"/>
      <c r="AN1725" s="852"/>
      <c r="AO1725" s="852"/>
      <c r="AP1725" s="852"/>
      <c r="AQ1725" s="852"/>
      <c r="AR1725" s="852"/>
      <c r="AS1725" s="1036"/>
      <c r="AT1725" s="1036"/>
      <c r="AU1725" s="1036"/>
      <c r="AV1725" s="1036"/>
      <c r="AW1725" s="1036"/>
      <c r="AX1725" s="1036"/>
    </row>
    <row r="1726" spans="1:14" ht="15">
      <c r="A1726" s="34" t="s">
        <v>574</v>
      </c>
      <c r="B1726" s="77" t="s">
        <v>51</v>
      </c>
      <c r="C1726" s="985">
        <f>CEILING(30*$Z$1,0.1)</f>
        <v>37.5</v>
      </c>
      <c r="D1726" s="991"/>
      <c r="E1726" s="985">
        <f>CEILING(35*$Z$1,0.1)</f>
        <v>43.800000000000004</v>
      </c>
      <c r="F1726" s="991"/>
      <c r="G1726" s="985">
        <f>CEILING(30*$Z$1,0.1)</f>
        <v>37.5</v>
      </c>
      <c r="H1726" s="991"/>
      <c r="I1726" s="985">
        <f>CEILING(30*$Z$1,0.1)</f>
        <v>37.5</v>
      </c>
      <c r="J1726" s="991"/>
      <c r="K1726" s="985">
        <f>CEILING(30*$Z$1,0.1)</f>
        <v>37.5</v>
      </c>
      <c r="L1726" s="991"/>
      <c r="M1726" s="660"/>
      <c r="N1726" s="146"/>
    </row>
    <row r="1727" spans="1:21" ht="15">
      <c r="A1727" s="35" t="s">
        <v>90</v>
      </c>
      <c r="B1727" s="29" t="s">
        <v>52</v>
      </c>
      <c r="C1727" s="986">
        <f>CEILING((C1726+12*$Z$1),0.1)</f>
        <v>52.5</v>
      </c>
      <c r="D1727" s="992"/>
      <c r="E1727" s="986">
        <f>CEILING((E1726+12*$Z$1),0.1)</f>
        <v>58.800000000000004</v>
      </c>
      <c r="F1727" s="992"/>
      <c r="G1727" s="986">
        <f>CEILING((G1726+12*$Z$1),0.1)</f>
        <v>52.5</v>
      </c>
      <c r="H1727" s="992"/>
      <c r="I1727" s="986">
        <f>CEILING((I1726+12*$Z$1),0.1)</f>
        <v>52.5</v>
      </c>
      <c r="J1727" s="992"/>
      <c r="K1727" s="986">
        <f>CEILING((K1726+12*$Z$1),0.1)</f>
        <v>52.5</v>
      </c>
      <c r="L1727" s="992"/>
      <c r="M1727" s="660"/>
      <c r="N1727" s="149"/>
      <c r="O1727" s="481"/>
      <c r="P1727" s="481"/>
      <c r="Q1727" s="481"/>
      <c r="R1727" s="481"/>
      <c r="S1727" s="481"/>
      <c r="T1727" s="481"/>
      <c r="U1727" s="481"/>
    </row>
    <row r="1728" spans="1:21" ht="15">
      <c r="A1728" s="168"/>
      <c r="B1728" s="29" t="s">
        <v>47</v>
      </c>
      <c r="C1728" s="986">
        <f>CEILING((C1726*0.85),0.1)</f>
        <v>31.900000000000002</v>
      </c>
      <c r="D1728" s="992"/>
      <c r="E1728" s="986">
        <f>CEILING((E1726*0.85),0.1)</f>
        <v>37.300000000000004</v>
      </c>
      <c r="F1728" s="992"/>
      <c r="G1728" s="986">
        <f>CEILING((G1726*0.85),0.1)</f>
        <v>31.900000000000002</v>
      </c>
      <c r="H1728" s="992"/>
      <c r="I1728" s="986">
        <f>CEILING((I1726*0.85),0.1)</f>
        <v>31.900000000000002</v>
      </c>
      <c r="J1728" s="992"/>
      <c r="K1728" s="986">
        <f>CEILING((K1726*0.85),0.1)</f>
        <v>31.900000000000002</v>
      </c>
      <c r="L1728" s="992"/>
      <c r="M1728" s="660"/>
      <c r="N1728" s="149"/>
      <c r="O1728" s="481"/>
      <c r="P1728" s="481"/>
      <c r="Q1728" s="481"/>
      <c r="R1728" s="481"/>
      <c r="S1728" s="481"/>
      <c r="T1728" s="481"/>
      <c r="U1728" s="481"/>
    </row>
    <row r="1729" spans="1:21" ht="17.25" customHeight="1" thickBot="1">
      <c r="A1729" s="79" t="s">
        <v>415</v>
      </c>
      <c r="B1729" s="13" t="s">
        <v>71</v>
      </c>
      <c r="C1729" s="994">
        <f>CEILING((C1726*0.5),0.1)</f>
        <v>18.8</v>
      </c>
      <c r="D1729" s="995"/>
      <c r="E1729" s="994">
        <f>CEILING((E1726*0.5),0.1)</f>
        <v>21.900000000000002</v>
      </c>
      <c r="F1729" s="995"/>
      <c r="G1729" s="994">
        <f>CEILING((G1726*0.5),0.1)</f>
        <v>18.8</v>
      </c>
      <c r="H1729" s="995"/>
      <c r="I1729" s="994">
        <f>CEILING((I1726*0.5),0.1)</f>
        <v>18.8</v>
      </c>
      <c r="J1729" s="995"/>
      <c r="K1729" s="994">
        <f>CEILING((K1726*0.5),0.1)</f>
        <v>18.8</v>
      </c>
      <c r="L1729" s="995"/>
      <c r="M1729" s="660"/>
      <c r="N1729" s="149"/>
      <c r="O1729" s="481"/>
      <c r="P1729" s="481"/>
      <c r="Q1729" s="481"/>
      <c r="R1729" s="481"/>
      <c r="S1729" s="481"/>
      <c r="T1729" s="481"/>
      <c r="U1729" s="481"/>
    </row>
    <row r="1730" spans="1:25" s="495" customFormat="1" ht="17.25" customHeight="1" thickTop="1">
      <c r="A1730" s="107" t="s">
        <v>1152</v>
      </c>
      <c r="B1730" s="50"/>
      <c r="C1730" s="3"/>
      <c r="D1730" s="946"/>
      <c r="E1730" s="946"/>
      <c r="F1730" s="946"/>
      <c r="G1730" s="946"/>
      <c r="H1730" s="946"/>
      <c r="I1730" s="947"/>
      <c r="J1730" s="947"/>
      <c r="K1730" s="347"/>
      <c r="L1730" s="347"/>
      <c r="M1730" s="660"/>
      <c r="N1730" s="149"/>
      <c r="O1730" s="1097"/>
      <c r="P1730" s="1097"/>
      <c r="Q1730" s="1097"/>
      <c r="R1730" s="1097"/>
      <c r="S1730" s="1097"/>
      <c r="T1730" s="1097"/>
      <c r="U1730" s="1097"/>
      <c r="V1730" s="494"/>
      <c r="W1730" s="494"/>
      <c r="X1730" s="494"/>
      <c r="Y1730" s="494"/>
    </row>
    <row r="1731" spans="1:25" s="479" customFormat="1" ht="16.5" customHeight="1">
      <c r="A1731" s="107" t="s">
        <v>336</v>
      </c>
      <c r="B1731" s="107"/>
      <c r="C1731" s="107"/>
      <c r="D1731" s="107"/>
      <c r="E1731" s="107"/>
      <c r="F1731" s="107"/>
      <c r="G1731" s="107"/>
      <c r="H1731" s="107"/>
      <c r="I1731" s="20"/>
      <c r="J1731" s="480"/>
      <c r="K1731" s="314"/>
      <c r="L1731" s="314"/>
      <c r="M1731" s="481"/>
      <c r="N1731" s="481"/>
      <c r="O1731" s="481"/>
      <c r="P1731" s="481"/>
      <c r="Q1731" s="481"/>
      <c r="R1731" s="481"/>
      <c r="S1731" s="481"/>
      <c r="T1731" s="481"/>
      <c r="U1731" s="481"/>
      <c r="V1731" s="480"/>
      <c r="W1731" s="480"/>
      <c r="X1731" s="480"/>
      <c r="Y1731" s="480"/>
    </row>
    <row r="1732" spans="1:37" s="479" customFormat="1" ht="18" customHeight="1">
      <c r="A1732" s="172" t="s">
        <v>1153</v>
      </c>
      <c r="B1732" s="949"/>
      <c r="C1732" s="22"/>
      <c r="D1732" s="22"/>
      <c r="E1732" s="22"/>
      <c r="F1732" s="22"/>
      <c r="G1732" s="22"/>
      <c r="H1732" s="22"/>
      <c r="I1732" s="22"/>
      <c r="J1732" s="22"/>
      <c r="K1732" s="166"/>
      <c r="L1732" s="166"/>
      <c r="M1732" s="1016"/>
      <c r="N1732" s="1016"/>
      <c r="O1732" s="335"/>
      <c r="P1732" s="335"/>
      <c r="Q1732" s="335"/>
      <c r="R1732" s="335"/>
      <c r="S1732" s="335"/>
      <c r="T1732" s="481"/>
      <c r="U1732" s="481"/>
      <c r="V1732" s="169"/>
      <c r="W1732" s="169"/>
      <c r="X1732" s="169"/>
      <c r="Y1732" s="169"/>
      <c r="Z1732" s="404"/>
      <c r="AA1732" s="331"/>
      <c r="AB1732" s="331"/>
      <c r="AC1732" s="331"/>
      <c r="AD1732" s="331"/>
      <c r="AE1732" s="331"/>
      <c r="AF1732" s="331"/>
      <c r="AG1732" s="331"/>
      <c r="AH1732" s="331"/>
      <c r="AI1732" s="331"/>
      <c r="AJ1732" s="331"/>
      <c r="AK1732" s="331"/>
    </row>
    <row r="1733" spans="1:37" s="479" customFormat="1" ht="18" customHeight="1">
      <c r="A1733" s="172" t="s">
        <v>1154</v>
      </c>
      <c r="B1733" s="949"/>
      <c r="C1733" s="22"/>
      <c r="D1733" s="22"/>
      <c r="E1733" s="22"/>
      <c r="F1733" s="22"/>
      <c r="G1733" s="22"/>
      <c r="H1733" s="22"/>
      <c r="I1733" s="22"/>
      <c r="J1733" s="22"/>
      <c r="K1733" s="166"/>
      <c r="L1733" s="166"/>
      <c r="M1733" s="947"/>
      <c r="N1733" s="947"/>
      <c r="O1733" s="331"/>
      <c r="P1733" s="331"/>
      <c r="Q1733" s="331"/>
      <c r="R1733" s="331"/>
      <c r="S1733" s="331"/>
      <c r="T1733" s="480"/>
      <c r="U1733" s="480"/>
      <c r="V1733" s="480"/>
      <c r="W1733" s="480"/>
      <c r="X1733" s="480"/>
      <c r="Y1733" s="480"/>
      <c r="AA1733" s="331"/>
      <c r="AB1733" s="331"/>
      <c r="AC1733" s="331"/>
      <c r="AD1733" s="331"/>
      <c r="AE1733" s="331"/>
      <c r="AF1733" s="331"/>
      <c r="AG1733" s="331"/>
      <c r="AH1733" s="331"/>
      <c r="AI1733" s="331"/>
      <c r="AJ1733" s="331"/>
      <c r="AK1733" s="331"/>
    </row>
    <row r="1734" spans="1:25" s="404" customFormat="1" ht="16.5" customHeight="1">
      <c r="A1734" s="107"/>
      <c r="B1734" s="107"/>
      <c r="C1734" s="107"/>
      <c r="D1734" s="107"/>
      <c r="E1734" s="107"/>
      <c r="F1734" s="107"/>
      <c r="G1734" s="107"/>
      <c r="H1734" s="107"/>
      <c r="I1734" s="20"/>
      <c r="J1734" s="480"/>
      <c r="K1734" s="314"/>
      <c r="L1734" s="314"/>
      <c r="M1734" s="169"/>
      <c r="N1734" s="169"/>
      <c r="O1734" s="169"/>
      <c r="P1734" s="169"/>
      <c r="Q1734" s="169"/>
      <c r="R1734" s="169"/>
      <c r="S1734" s="169"/>
      <c r="T1734" s="169"/>
      <c r="U1734" s="169"/>
      <c r="V1734" s="169"/>
      <c r="W1734" s="169"/>
      <c r="X1734" s="169"/>
      <c r="Y1734" s="169"/>
    </row>
    <row r="1735" spans="1:50" s="1037" customFormat="1" ht="28.5" customHeight="1">
      <c r="A1735" s="1040" t="s">
        <v>43</v>
      </c>
      <c r="B1735" s="966" t="s">
        <v>1105</v>
      </c>
      <c r="C1735" s="795" t="s">
        <v>1158</v>
      </c>
      <c r="D1735" s="796"/>
      <c r="E1735" s="765" t="s">
        <v>1159</v>
      </c>
      <c r="F1735" s="766"/>
      <c r="G1735" s="765" t="s">
        <v>1140</v>
      </c>
      <c r="H1735" s="766"/>
      <c r="I1735" s="1280" t="s">
        <v>881</v>
      </c>
      <c r="J1735" s="1281"/>
      <c r="K1735" s="1280" t="s">
        <v>882</v>
      </c>
      <c r="L1735" s="1281"/>
      <c r="M1735" s="947"/>
      <c r="N1735" s="947"/>
      <c r="O1735" s="335"/>
      <c r="P1735" s="335"/>
      <c r="Q1735" s="335"/>
      <c r="R1735" s="335"/>
      <c r="S1735" s="335"/>
      <c r="T1735" s="480"/>
      <c r="U1735" s="480"/>
      <c r="V1735" s="480"/>
      <c r="W1735" s="480"/>
      <c r="X1735" s="480"/>
      <c r="Y1735" s="480"/>
      <c r="Z1735" s="479"/>
      <c r="AA1735" s="852"/>
      <c r="AB1735" s="852"/>
      <c r="AC1735" s="852"/>
      <c r="AD1735" s="852"/>
      <c r="AE1735" s="852"/>
      <c r="AF1735" s="852"/>
      <c r="AG1735" s="852"/>
      <c r="AH1735" s="852"/>
      <c r="AI1735" s="852"/>
      <c r="AJ1735" s="852"/>
      <c r="AK1735" s="852"/>
      <c r="AL1735" s="852"/>
      <c r="AM1735" s="852"/>
      <c r="AN1735" s="852"/>
      <c r="AO1735" s="852"/>
      <c r="AP1735" s="852"/>
      <c r="AQ1735" s="852"/>
      <c r="AR1735" s="852"/>
      <c r="AS1735" s="1036"/>
      <c r="AT1735" s="1036"/>
      <c r="AU1735" s="1036"/>
      <c r="AV1735" s="1036"/>
      <c r="AW1735" s="1036"/>
      <c r="AX1735" s="1036"/>
    </row>
    <row r="1736" spans="1:25" s="404" customFormat="1" ht="16.5" customHeight="1">
      <c r="A1736" s="34" t="s">
        <v>153</v>
      </c>
      <c r="B1736" s="77" t="s">
        <v>51</v>
      </c>
      <c r="C1736" s="985">
        <f>CEILING(26*$Z$1,0.1)</f>
        <v>32.5</v>
      </c>
      <c r="D1736" s="991"/>
      <c r="E1736" s="985">
        <f>CEILING(40*$Z$1,0.1)</f>
        <v>50</v>
      </c>
      <c r="F1736" s="991"/>
      <c r="G1736" s="985">
        <f>CEILING(29*$Z$1,0.1)</f>
        <v>36.300000000000004</v>
      </c>
      <c r="H1736" s="991"/>
      <c r="I1736" s="985">
        <f>CEILING(29*$Z$1,0.1)</f>
        <v>36.300000000000004</v>
      </c>
      <c r="J1736" s="991"/>
      <c r="K1736" s="985">
        <f>CEILING(29*$Z$1,0.1)</f>
        <v>36.300000000000004</v>
      </c>
      <c r="L1736" s="991"/>
      <c r="M1736" s="169"/>
      <c r="N1736" s="169"/>
      <c r="O1736" s="169"/>
      <c r="P1736" s="169"/>
      <c r="Q1736" s="169"/>
      <c r="R1736" s="169"/>
      <c r="S1736" s="169"/>
      <c r="T1736" s="169"/>
      <c r="U1736" s="169"/>
      <c r="V1736" s="169"/>
      <c r="W1736" s="169"/>
      <c r="X1736" s="169"/>
      <c r="Y1736" s="169"/>
    </row>
    <row r="1737" spans="1:25" s="404" customFormat="1" ht="15" customHeight="1">
      <c r="A1737" s="35" t="s">
        <v>1155</v>
      </c>
      <c r="B1737" s="29" t="s">
        <v>52</v>
      </c>
      <c r="C1737" s="986">
        <f>CEILING((C1736+15*$Z$1),0.1)</f>
        <v>51.300000000000004</v>
      </c>
      <c r="D1737" s="992"/>
      <c r="E1737" s="986">
        <f>CEILING((E1736+15*$Z$1),0.1)</f>
        <v>68.8</v>
      </c>
      <c r="F1737" s="992"/>
      <c r="G1737" s="986">
        <f>CEILING((G1736+15*$Z$1),0.1)</f>
        <v>55.1</v>
      </c>
      <c r="H1737" s="992"/>
      <c r="I1737" s="986">
        <f>CEILING((I1736+15*$Z$1),0.1)</f>
        <v>55.1</v>
      </c>
      <c r="J1737" s="992"/>
      <c r="K1737" s="986">
        <f>CEILING((K1736+15*$Z$1),0.1)</f>
        <v>55.1</v>
      </c>
      <c r="L1737" s="992"/>
      <c r="M1737" s="169"/>
      <c r="N1737" s="169"/>
      <c r="O1737" s="169"/>
      <c r="P1737" s="169"/>
      <c r="Q1737" s="169"/>
      <c r="R1737" s="169"/>
      <c r="S1737" s="169"/>
      <c r="T1737" s="169"/>
      <c r="U1737" s="169"/>
      <c r="V1737" s="169"/>
      <c r="W1737" s="169"/>
      <c r="X1737" s="169"/>
      <c r="Y1737" s="169"/>
    </row>
    <row r="1738" spans="1:25" s="404" customFormat="1" ht="18.75" customHeight="1" thickBot="1">
      <c r="A1738" s="79" t="s">
        <v>581</v>
      </c>
      <c r="B1738" s="13" t="s">
        <v>71</v>
      </c>
      <c r="C1738" s="994">
        <f>CEILING((C1736*0.5),0.1)</f>
        <v>16.3</v>
      </c>
      <c r="D1738" s="995"/>
      <c r="E1738" s="994">
        <f>CEILING((E1736*0.5),0.1)</f>
        <v>25</v>
      </c>
      <c r="F1738" s="995"/>
      <c r="G1738" s="994">
        <f>CEILING((G1736*0.5),0.1)</f>
        <v>18.2</v>
      </c>
      <c r="H1738" s="995"/>
      <c r="I1738" s="994">
        <f>CEILING((I1736*0.5),0.1)</f>
        <v>18.2</v>
      </c>
      <c r="J1738" s="995"/>
      <c r="K1738" s="994">
        <f>CEILING((K1736*0.5),0.1)</f>
        <v>18.2</v>
      </c>
      <c r="L1738" s="995"/>
      <c r="M1738" s="169"/>
      <c r="N1738" s="169"/>
      <c r="O1738" s="169"/>
      <c r="P1738" s="169"/>
      <c r="Q1738" s="169"/>
      <c r="R1738" s="169"/>
      <c r="S1738" s="169"/>
      <c r="T1738" s="169"/>
      <c r="U1738" s="169"/>
      <c r="V1738" s="169"/>
      <c r="W1738" s="169"/>
      <c r="X1738" s="169"/>
      <c r="Y1738" s="169"/>
    </row>
    <row r="1739" spans="1:25" s="404" customFormat="1" ht="16.5" customHeight="1" thickTop="1">
      <c r="A1739" s="107" t="s">
        <v>1113</v>
      </c>
      <c r="B1739" s="107"/>
      <c r="C1739" s="107"/>
      <c r="D1739" s="107"/>
      <c r="E1739" s="107"/>
      <c r="F1739" s="107"/>
      <c r="G1739" s="107"/>
      <c r="H1739" s="107"/>
      <c r="I1739" s="378"/>
      <c r="J1739" s="660"/>
      <c r="K1739" s="660"/>
      <c r="L1739" s="660"/>
      <c r="M1739" s="169"/>
      <c r="N1739" s="169"/>
      <c r="O1739" s="169"/>
      <c r="P1739" s="169"/>
      <c r="Q1739" s="169"/>
      <c r="R1739" s="169"/>
      <c r="S1739" s="169"/>
      <c r="T1739" s="169"/>
      <c r="U1739" s="169"/>
      <c r="V1739" s="169"/>
      <c r="W1739" s="169"/>
      <c r="X1739" s="169"/>
      <c r="Y1739" s="169"/>
    </row>
    <row r="1740" spans="1:25" s="479" customFormat="1" ht="16.5" customHeight="1">
      <c r="A1740" s="107" t="s">
        <v>1156</v>
      </c>
      <c r="B1740" s="107"/>
      <c r="C1740" s="107"/>
      <c r="D1740" s="107"/>
      <c r="E1740" s="107"/>
      <c r="F1740" s="107"/>
      <c r="G1740" s="107"/>
      <c r="H1740" s="107"/>
      <c r="I1740" s="945"/>
      <c r="J1740" s="660"/>
      <c r="K1740" s="660"/>
      <c r="L1740" s="660"/>
      <c r="M1740" s="480"/>
      <c r="N1740" s="480"/>
      <c r="O1740" s="480"/>
      <c r="P1740" s="480"/>
      <c r="Q1740" s="480"/>
      <c r="R1740" s="480"/>
      <c r="S1740" s="480"/>
      <c r="T1740" s="480"/>
      <c r="U1740" s="480"/>
      <c r="V1740" s="480"/>
      <c r="W1740" s="480"/>
      <c r="X1740" s="480"/>
      <c r="Y1740" s="480"/>
    </row>
    <row r="1741" spans="1:37" s="192" customFormat="1" ht="15">
      <c r="A1741" s="955" t="s">
        <v>1157</v>
      </c>
      <c r="B1741" s="949"/>
      <c r="C1741" s="949"/>
      <c r="D1741" s="949"/>
      <c r="E1741" s="949"/>
      <c r="F1741" s="949"/>
      <c r="G1741" s="949"/>
      <c r="H1741" s="949"/>
      <c r="I1741" s="949"/>
      <c r="J1741" s="949"/>
      <c r="K1741" s="279"/>
      <c r="L1741" s="279"/>
      <c r="M1741" s="335"/>
      <c r="N1741" s="335"/>
      <c r="O1741" s="335"/>
      <c r="P1741" s="335"/>
      <c r="Q1741" s="335"/>
      <c r="R1741" s="335"/>
      <c r="S1741" s="335"/>
      <c r="T1741" s="335"/>
      <c r="U1741" s="335"/>
      <c r="V1741" s="335"/>
      <c r="W1741" s="335"/>
      <c r="X1741" s="335"/>
      <c r="Y1741" s="335"/>
      <c r="Z1741" s="335"/>
      <c r="AA1741" s="335"/>
      <c r="AB1741" s="335"/>
      <c r="AC1741" s="335"/>
      <c r="AD1741" s="335"/>
      <c r="AE1741" s="335"/>
      <c r="AF1741" s="335"/>
      <c r="AG1741" s="335"/>
      <c r="AH1741" s="335"/>
      <c r="AI1741" s="335"/>
      <c r="AJ1741" s="335"/>
      <c r="AK1741" s="335"/>
    </row>
    <row r="1742" spans="1:25" s="479" customFormat="1" ht="19.5" customHeight="1" thickBot="1">
      <c r="A1742" s="72"/>
      <c r="B1742" s="130"/>
      <c r="C1742" s="2"/>
      <c r="D1742" s="2"/>
      <c r="E1742" s="2"/>
      <c r="F1742" s="2"/>
      <c r="G1742" s="2"/>
      <c r="H1742" s="2"/>
      <c r="I1742" s="372"/>
      <c r="J1742" s="660"/>
      <c r="K1742" s="660"/>
      <c r="L1742" s="660"/>
      <c r="M1742" s="659"/>
      <c r="N1742" s="659"/>
      <c r="O1742" s="659"/>
      <c r="P1742" s="659"/>
      <c r="Q1742" s="659"/>
      <c r="R1742" s="659"/>
      <c r="S1742" s="480"/>
      <c r="T1742" s="480"/>
      <c r="U1742" s="480"/>
      <c r="V1742" s="480"/>
      <c r="W1742" s="480"/>
      <c r="X1742" s="480"/>
      <c r="Y1742" s="480"/>
    </row>
    <row r="1743" spans="1:50" s="1037" customFormat="1" ht="28.5" customHeight="1" thickTop="1">
      <c r="A1743" s="1046" t="s">
        <v>43</v>
      </c>
      <c r="B1743" s="966" t="s">
        <v>1105</v>
      </c>
      <c r="C1743" s="795" t="s">
        <v>884</v>
      </c>
      <c r="D1743" s="796"/>
      <c r="E1743" s="765" t="s">
        <v>1150</v>
      </c>
      <c r="F1743" s="766"/>
      <c r="G1743" s="765" t="s">
        <v>1151</v>
      </c>
      <c r="H1743" s="766"/>
      <c r="I1743" s="1280" t="s">
        <v>1143</v>
      </c>
      <c r="J1743" s="1281"/>
      <c r="K1743" s="1280" t="s">
        <v>882</v>
      </c>
      <c r="L1743" s="1281"/>
      <c r="M1743" s="947"/>
      <c r="N1743" s="947"/>
      <c r="O1743" s="335"/>
      <c r="P1743" s="335"/>
      <c r="Q1743" s="335"/>
      <c r="R1743" s="335"/>
      <c r="S1743" s="335"/>
      <c r="T1743" s="480"/>
      <c r="U1743" s="480"/>
      <c r="V1743" s="480"/>
      <c r="W1743" s="480"/>
      <c r="X1743" s="480"/>
      <c r="Y1743" s="480"/>
      <c r="Z1743" s="479"/>
      <c r="AA1743" s="852"/>
      <c r="AB1743" s="852"/>
      <c r="AC1743" s="852"/>
      <c r="AD1743" s="852"/>
      <c r="AE1743" s="852"/>
      <c r="AF1743" s="852"/>
      <c r="AG1743" s="852"/>
      <c r="AH1743" s="852"/>
      <c r="AI1743" s="852"/>
      <c r="AJ1743" s="852"/>
      <c r="AK1743" s="852"/>
      <c r="AL1743" s="852"/>
      <c r="AM1743" s="852"/>
      <c r="AN1743" s="852"/>
      <c r="AO1743" s="852"/>
      <c r="AP1743" s="852"/>
      <c r="AQ1743" s="852"/>
      <c r="AR1743" s="852"/>
      <c r="AS1743" s="1036"/>
      <c r="AT1743" s="1036"/>
      <c r="AU1743" s="1036"/>
      <c r="AV1743" s="1036"/>
      <c r="AW1743" s="1036"/>
      <c r="AX1743" s="1036"/>
    </row>
    <row r="1744" spans="1:25" s="479" customFormat="1" ht="17.25" customHeight="1">
      <c r="A1744" s="34" t="s">
        <v>38</v>
      </c>
      <c r="B1744" s="77" t="s">
        <v>51</v>
      </c>
      <c r="C1744" s="985">
        <f>CEILING(40*$Z$1,0.1)</f>
        <v>50</v>
      </c>
      <c r="D1744" s="991"/>
      <c r="E1744" s="985">
        <f>CEILING(46*$Z$1,0.1)</f>
        <v>57.5</v>
      </c>
      <c r="F1744" s="991"/>
      <c r="G1744" s="985">
        <f>CEILING(40*$Z$1,0.1)</f>
        <v>50</v>
      </c>
      <c r="H1744" s="991"/>
      <c r="I1744" s="985">
        <f>CEILING(40*$Z$1,0.1)</f>
        <v>50</v>
      </c>
      <c r="J1744" s="991"/>
      <c r="K1744" s="985">
        <f>CEILING(40*$Z$1,0.1)</f>
        <v>50</v>
      </c>
      <c r="L1744" s="991"/>
      <c r="M1744" s="659"/>
      <c r="N1744" s="659"/>
      <c r="O1744" s="659"/>
      <c r="P1744" s="659"/>
      <c r="Q1744" s="659"/>
      <c r="R1744" s="659"/>
      <c r="S1744" s="480"/>
      <c r="T1744" s="480"/>
      <c r="U1744" s="480"/>
      <c r="V1744" s="480"/>
      <c r="W1744" s="480"/>
      <c r="X1744" s="480"/>
      <c r="Y1744" s="480"/>
    </row>
    <row r="1745" spans="1:25" s="479" customFormat="1" ht="17.25" customHeight="1">
      <c r="A1745" s="35" t="s">
        <v>90</v>
      </c>
      <c r="B1745" s="29" t="s">
        <v>52</v>
      </c>
      <c r="C1745" s="986">
        <f>CEILING((C1744+20*$Z$1),0.1)</f>
        <v>75</v>
      </c>
      <c r="D1745" s="992"/>
      <c r="E1745" s="986">
        <f>CEILING((E1744+23*$Z$1),0.1)</f>
        <v>86.30000000000001</v>
      </c>
      <c r="F1745" s="992"/>
      <c r="G1745" s="986">
        <f>CEILING((G1744+20*$Z$1),0.1)</f>
        <v>75</v>
      </c>
      <c r="H1745" s="992"/>
      <c r="I1745" s="986">
        <f>CEILING((I1744+20*$Z$1),0.1)</f>
        <v>75</v>
      </c>
      <c r="J1745" s="992"/>
      <c r="K1745" s="986">
        <f>CEILING((K1744+20*$Z$1),0.1)</f>
        <v>75</v>
      </c>
      <c r="L1745" s="992"/>
      <c r="M1745" s="659"/>
      <c r="N1745" s="659"/>
      <c r="O1745" s="659"/>
      <c r="P1745" s="659"/>
      <c r="Q1745" s="659"/>
      <c r="R1745" s="659"/>
      <c r="S1745" s="480"/>
      <c r="T1745" s="480"/>
      <c r="U1745" s="480"/>
      <c r="V1745" s="480"/>
      <c r="W1745" s="480"/>
      <c r="X1745" s="480"/>
      <c r="Y1745" s="480"/>
    </row>
    <row r="1746" spans="1:25" s="479" customFormat="1" ht="16.5" customHeight="1">
      <c r="A1746" s="168"/>
      <c r="B1746" s="29" t="s">
        <v>47</v>
      </c>
      <c r="C1746" s="986">
        <f>CEILING((C1744*0.85),0.1)</f>
        <v>42.5</v>
      </c>
      <c r="D1746" s="992"/>
      <c r="E1746" s="986">
        <f>CEILING((E1744*0.85),0.1)</f>
        <v>48.900000000000006</v>
      </c>
      <c r="F1746" s="992"/>
      <c r="G1746" s="986">
        <f>CEILING((G1744*0.85),0.1)</f>
        <v>42.5</v>
      </c>
      <c r="H1746" s="992"/>
      <c r="I1746" s="986">
        <f>CEILING((I1744*0.85),0.1)</f>
        <v>42.5</v>
      </c>
      <c r="J1746" s="992"/>
      <c r="K1746" s="986">
        <f>CEILING((K1744*0.85),0.1)</f>
        <v>42.5</v>
      </c>
      <c r="L1746" s="992"/>
      <c r="M1746" s="659"/>
      <c r="N1746" s="659"/>
      <c r="O1746" s="659"/>
      <c r="P1746" s="659"/>
      <c r="Q1746" s="659"/>
      <c r="R1746" s="659"/>
      <c r="S1746" s="480"/>
      <c r="T1746" s="480"/>
      <c r="U1746" s="480"/>
      <c r="V1746" s="480"/>
      <c r="W1746" s="480"/>
      <c r="X1746" s="480"/>
      <c r="Y1746" s="480"/>
    </row>
    <row r="1747" spans="1:25" s="479" customFormat="1" ht="15.75" customHeight="1" thickBot="1">
      <c r="A1747" s="79" t="s">
        <v>415</v>
      </c>
      <c r="B1747" s="13" t="s">
        <v>71</v>
      </c>
      <c r="C1747" s="994">
        <f>CEILING((C1744*0.5),0.1)</f>
        <v>25</v>
      </c>
      <c r="D1747" s="995"/>
      <c r="E1747" s="994">
        <f>CEILING((E1744*0.5),0.1)</f>
        <v>28.8</v>
      </c>
      <c r="F1747" s="995"/>
      <c r="G1747" s="994">
        <f>CEILING((G1744*0.5),0.1)</f>
        <v>25</v>
      </c>
      <c r="H1747" s="995"/>
      <c r="I1747" s="994">
        <f>CEILING((I1744*0.5),0.1)</f>
        <v>25</v>
      </c>
      <c r="J1747" s="995"/>
      <c r="K1747" s="994">
        <f>CEILING((K1744*0.5),0.1)</f>
        <v>25</v>
      </c>
      <c r="L1747" s="995"/>
      <c r="M1747" s="659"/>
      <c r="N1747" s="659"/>
      <c r="O1747" s="659"/>
      <c r="P1747" s="659"/>
      <c r="Q1747" s="659"/>
      <c r="R1747" s="659"/>
      <c r="S1747" s="480"/>
      <c r="T1747" s="480"/>
      <c r="U1747" s="480"/>
      <c r="V1747" s="480"/>
      <c r="W1747" s="480"/>
      <c r="X1747" s="480"/>
      <c r="Y1747" s="480"/>
    </row>
    <row r="1748" spans="1:25" s="404" customFormat="1" ht="16.5" customHeight="1" thickTop="1">
      <c r="A1748" s="107" t="s">
        <v>1113</v>
      </c>
      <c r="B1748" s="107"/>
      <c r="C1748" s="107"/>
      <c r="D1748" s="107"/>
      <c r="E1748" s="107"/>
      <c r="F1748" s="107"/>
      <c r="G1748" s="107"/>
      <c r="H1748" s="107"/>
      <c r="I1748" s="20"/>
      <c r="J1748" s="169"/>
      <c r="K1748" s="94"/>
      <c r="L1748" s="314"/>
      <c r="M1748" s="169"/>
      <c r="N1748" s="169"/>
      <c r="O1748" s="169"/>
      <c r="P1748" s="169"/>
      <c r="Q1748" s="169"/>
      <c r="R1748" s="169"/>
      <c r="S1748" s="169"/>
      <c r="T1748" s="169"/>
      <c r="U1748" s="169"/>
      <c r="V1748" s="169"/>
      <c r="W1748" s="169"/>
      <c r="X1748" s="169"/>
      <c r="Y1748" s="169"/>
    </row>
    <row r="1749" spans="1:25" s="479" customFormat="1" ht="16.5" customHeight="1">
      <c r="A1749" s="107" t="s">
        <v>698</v>
      </c>
      <c r="B1749" s="107"/>
      <c r="C1749" s="107"/>
      <c r="D1749" s="107"/>
      <c r="E1749" s="107"/>
      <c r="F1749" s="107"/>
      <c r="G1749" s="107"/>
      <c r="H1749" s="107"/>
      <c r="I1749" s="20"/>
      <c r="J1749" s="480"/>
      <c r="K1749" s="94"/>
      <c r="L1749" s="314"/>
      <c r="M1749" s="480"/>
      <c r="N1749" s="480"/>
      <c r="O1749" s="480"/>
      <c r="P1749" s="480"/>
      <c r="Q1749" s="480"/>
      <c r="R1749" s="480"/>
      <c r="S1749" s="480"/>
      <c r="T1749" s="480"/>
      <c r="U1749" s="480"/>
      <c r="V1749" s="480"/>
      <c r="W1749" s="480"/>
      <c r="X1749" s="480"/>
      <c r="Y1749" s="480"/>
    </row>
    <row r="1750" spans="1:37" s="479" customFormat="1" ht="18" customHeight="1">
      <c r="A1750" s="172" t="s">
        <v>1153</v>
      </c>
      <c r="B1750" s="949"/>
      <c r="C1750" s="22"/>
      <c r="D1750" s="22"/>
      <c r="E1750" s="22"/>
      <c r="F1750" s="22"/>
      <c r="G1750" s="22"/>
      <c r="H1750" s="22"/>
      <c r="I1750" s="22"/>
      <c r="J1750" s="22"/>
      <c r="K1750" s="166"/>
      <c r="L1750" s="166"/>
      <c r="M1750" s="947"/>
      <c r="N1750" s="947"/>
      <c r="O1750" s="331"/>
      <c r="P1750" s="331"/>
      <c r="Q1750" s="331"/>
      <c r="R1750" s="331"/>
      <c r="S1750" s="331"/>
      <c r="T1750" s="480"/>
      <c r="U1750" s="480"/>
      <c r="V1750" s="480"/>
      <c r="W1750" s="480"/>
      <c r="X1750" s="480"/>
      <c r="Y1750" s="480"/>
      <c r="AA1750" s="331"/>
      <c r="AB1750" s="331"/>
      <c r="AC1750" s="331"/>
      <c r="AD1750" s="331"/>
      <c r="AE1750" s="331"/>
      <c r="AF1750" s="331"/>
      <c r="AG1750" s="331"/>
      <c r="AH1750" s="331"/>
      <c r="AI1750" s="331"/>
      <c r="AJ1750" s="331"/>
      <c r="AK1750" s="331"/>
    </row>
    <row r="1751" spans="1:37" s="479" customFormat="1" ht="18" customHeight="1">
      <c r="A1751" s="172" t="s">
        <v>1154</v>
      </c>
      <c r="B1751" s="949"/>
      <c r="C1751" s="22"/>
      <c r="D1751" s="22"/>
      <c r="E1751" s="22"/>
      <c r="F1751" s="22"/>
      <c r="G1751" s="22"/>
      <c r="H1751" s="22"/>
      <c r="I1751" s="22"/>
      <c r="J1751" s="22"/>
      <c r="K1751" s="166"/>
      <c r="L1751" s="166"/>
      <c r="M1751" s="947"/>
      <c r="N1751" s="947"/>
      <c r="O1751" s="331"/>
      <c r="P1751" s="331"/>
      <c r="Q1751" s="331"/>
      <c r="R1751" s="331"/>
      <c r="S1751" s="331"/>
      <c r="T1751" s="480"/>
      <c r="U1751" s="480"/>
      <c r="V1751" s="480"/>
      <c r="W1751" s="480"/>
      <c r="X1751" s="480"/>
      <c r="Y1751" s="480"/>
      <c r="AA1751" s="331"/>
      <c r="AB1751" s="331"/>
      <c r="AC1751" s="331"/>
      <c r="AD1751" s="331"/>
      <c r="AE1751" s="331"/>
      <c r="AF1751" s="331"/>
      <c r="AG1751" s="331"/>
      <c r="AH1751" s="331"/>
      <c r="AI1751" s="331"/>
      <c r="AJ1751" s="331"/>
      <c r="AK1751" s="331"/>
    </row>
    <row r="1752" spans="1:25" s="404" customFormat="1" ht="15" customHeight="1">
      <c r="A1752" s="172"/>
      <c r="B1752" s="50"/>
      <c r="C1752" s="3"/>
      <c r="D1752" s="3"/>
      <c r="E1752" s="3"/>
      <c r="F1752" s="3"/>
      <c r="G1752" s="3"/>
      <c r="H1752" s="3"/>
      <c r="I1752" s="564"/>
      <c r="J1752" s="564"/>
      <c r="K1752" s="94"/>
      <c r="L1752" s="314"/>
      <c r="M1752" s="169"/>
      <c r="N1752" s="169"/>
      <c r="O1752" s="169"/>
      <c r="P1752" s="169"/>
      <c r="Q1752" s="169"/>
      <c r="R1752" s="169"/>
      <c r="S1752" s="169"/>
      <c r="T1752" s="169"/>
      <c r="U1752" s="169"/>
      <c r="V1752" s="169"/>
      <c r="W1752" s="169"/>
      <c r="X1752" s="169"/>
      <c r="Y1752" s="169"/>
    </row>
    <row r="1753" spans="1:50" s="1037" customFormat="1" ht="28.5" customHeight="1">
      <c r="A1753" s="1040" t="s">
        <v>43</v>
      </c>
      <c r="B1753" s="966" t="s">
        <v>1105</v>
      </c>
      <c r="C1753" s="795" t="s">
        <v>884</v>
      </c>
      <c r="D1753" s="796"/>
      <c r="E1753" s="765" t="s">
        <v>1160</v>
      </c>
      <c r="F1753" s="766"/>
      <c r="G1753" s="765" t="s">
        <v>1151</v>
      </c>
      <c r="H1753" s="766"/>
      <c r="I1753" s="1280" t="s">
        <v>1143</v>
      </c>
      <c r="J1753" s="1281"/>
      <c r="K1753" s="1280" t="s">
        <v>882</v>
      </c>
      <c r="L1753" s="1281"/>
      <c r="M1753" s="947"/>
      <c r="N1753" s="947"/>
      <c r="O1753" s="335"/>
      <c r="P1753" s="335"/>
      <c r="Q1753" s="335"/>
      <c r="R1753" s="335"/>
      <c r="S1753" s="335"/>
      <c r="T1753" s="480"/>
      <c r="U1753" s="480"/>
      <c r="V1753" s="480"/>
      <c r="W1753" s="480"/>
      <c r="X1753" s="480"/>
      <c r="Y1753" s="480"/>
      <c r="Z1753" s="479"/>
      <c r="AA1753" s="852"/>
      <c r="AB1753" s="852"/>
      <c r="AC1753" s="852"/>
      <c r="AD1753" s="852"/>
      <c r="AE1753" s="852"/>
      <c r="AF1753" s="852"/>
      <c r="AG1753" s="852"/>
      <c r="AH1753" s="852"/>
      <c r="AI1753" s="852"/>
      <c r="AJ1753" s="852"/>
      <c r="AK1753" s="852"/>
      <c r="AL1753" s="852"/>
      <c r="AM1753" s="852"/>
      <c r="AN1753" s="852"/>
      <c r="AO1753" s="852"/>
      <c r="AP1753" s="852"/>
      <c r="AQ1753" s="852"/>
      <c r="AR1753" s="852"/>
      <c r="AS1753" s="1036"/>
      <c r="AT1753" s="1036"/>
      <c r="AU1753" s="1036"/>
      <c r="AV1753" s="1036"/>
      <c r="AW1753" s="1036"/>
      <c r="AX1753" s="1036"/>
    </row>
    <row r="1754" spans="1:25" s="404" customFormat="1" ht="15" customHeight="1">
      <c r="A1754" s="34" t="s">
        <v>750</v>
      </c>
      <c r="B1754" s="77" t="s">
        <v>51</v>
      </c>
      <c r="C1754" s="985">
        <f>CEILING(52*$Z$1,0.1)</f>
        <v>65</v>
      </c>
      <c r="D1754" s="991"/>
      <c r="E1754" s="985">
        <f>CEILING(60*$Z$1,0.1)</f>
        <v>75</v>
      </c>
      <c r="F1754" s="991"/>
      <c r="G1754" s="985">
        <f>CEILING(60*$Z$1,0.1)</f>
        <v>75</v>
      </c>
      <c r="H1754" s="991"/>
      <c r="I1754" s="985">
        <f>CEILING(60*$Z$1,0.1)</f>
        <v>75</v>
      </c>
      <c r="J1754" s="991"/>
      <c r="K1754" s="985">
        <f>CEILING(60*$Z$1,0.1)</f>
        <v>75</v>
      </c>
      <c r="L1754" s="991"/>
      <c r="M1754" s="169"/>
      <c r="N1754" s="169"/>
      <c r="O1754" s="169"/>
      <c r="P1754" s="169"/>
      <c r="Q1754" s="169"/>
      <c r="R1754" s="169"/>
      <c r="S1754" s="169"/>
      <c r="T1754" s="169"/>
      <c r="U1754" s="169"/>
      <c r="V1754" s="169"/>
      <c r="W1754" s="169"/>
      <c r="X1754" s="169"/>
      <c r="Y1754" s="169"/>
    </row>
    <row r="1755" spans="1:25" s="404" customFormat="1" ht="14.25" customHeight="1">
      <c r="A1755" s="35"/>
      <c r="B1755" s="29" t="s">
        <v>52</v>
      </c>
      <c r="C1755" s="986">
        <f>CEILING((C1754+25*$Z$1),0.1)</f>
        <v>96.30000000000001</v>
      </c>
      <c r="D1755" s="993"/>
      <c r="E1755" s="986">
        <f>CEILING((E1754+20*$Z$1),0.1)</f>
        <v>100</v>
      </c>
      <c r="F1755" s="993"/>
      <c r="G1755" s="986">
        <f>CEILING((G1754+20*$Z$1),0.1)</f>
        <v>100</v>
      </c>
      <c r="H1755" s="993"/>
      <c r="I1755" s="986">
        <f>CEILING((I1754+20*$Z$1),0.1)</f>
        <v>100</v>
      </c>
      <c r="J1755" s="993"/>
      <c r="K1755" s="986">
        <f>CEILING((K1754+20*$Z$1),0.1)</f>
        <v>100</v>
      </c>
      <c r="L1755" s="993"/>
      <c r="M1755" s="169"/>
      <c r="N1755" s="169"/>
      <c r="O1755" s="169"/>
      <c r="P1755" s="169"/>
      <c r="Q1755" s="169"/>
      <c r="R1755" s="169"/>
      <c r="S1755" s="169"/>
      <c r="T1755" s="169"/>
      <c r="U1755" s="169"/>
      <c r="V1755" s="169"/>
      <c r="W1755" s="169"/>
      <c r="X1755" s="169"/>
      <c r="Y1755" s="169"/>
    </row>
    <row r="1756" spans="1:25" s="404" customFormat="1" ht="17.25" customHeight="1" thickBot="1">
      <c r="A1756" s="72" t="s">
        <v>745</v>
      </c>
      <c r="B1756" s="184" t="s">
        <v>582</v>
      </c>
      <c r="C1756" s="994">
        <f>CEILING((C1754*0.5),0.1)</f>
        <v>32.5</v>
      </c>
      <c r="D1756" s="995"/>
      <c r="E1756" s="994">
        <f>CEILING((E1754*0.5),0.1)</f>
        <v>37.5</v>
      </c>
      <c r="F1756" s="995"/>
      <c r="G1756" s="994">
        <f>CEILING((G1754*0.5),0.1)</f>
        <v>37.5</v>
      </c>
      <c r="H1756" s="995"/>
      <c r="I1756" s="994">
        <f>CEILING((I1754*0.5),0.1)</f>
        <v>37.5</v>
      </c>
      <c r="J1756" s="995"/>
      <c r="K1756" s="994">
        <f>CEILING((K1754*0.5),0.1)</f>
        <v>37.5</v>
      </c>
      <c r="L1756" s="995"/>
      <c r="M1756" s="169"/>
      <c r="N1756" s="169"/>
      <c r="O1756" s="169"/>
      <c r="P1756" s="169"/>
      <c r="Q1756" s="169"/>
      <c r="R1756" s="169"/>
      <c r="S1756" s="169"/>
      <c r="T1756" s="169"/>
      <c r="U1756" s="169"/>
      <c r="V1756" s="169"/>
      <c r="W1756" s="169"/>
      <c r="X1756" s="169"/>
      <c r="Y1756" s="169"/>
    </row>
    <row r="1757" spans="1:25" s="479" customFormat="1" ht="16.5" customHeight="1" thickTop="1">
      <c r="A1757" s="107" t="s">
        <v>1113</v>
      </c>
      <c r="B1757" s="107"/>
      <c r="C1757" s="107"/>
      <c r="D1757" s="107"/>
      <c r="E1757" s="107"/>
      <c r="F1757" s="107"/>
      <c r="G1757" s="107"/>
      <c r="H1757" s="107"/>
      <c r="I1757" s="945"/>
      <c r="J1757" s="660"/>
      <c r="K1757" s="660"/>
      <c r="L1757" s="660"/>
      <c r="M1757" s="480"/>
      <c r="N1757" s="480"/>
      <c r="O1757" s="480"/>
      <c r="P1757" s="480"/>
      <c r="Q1757" s="480"/>
      <c r="R1757" s="480"/>
      <c r="S1757" s="480"/>
      <c r="T1757" s="480"/>
      <c r="U1757" s="480"/>
      <c r="V1757" s="480"/>
      <c r="W1757" s="480"/>
      <c r="X1757" s="480"/>
      <c r="Y1757" s="480"/>
    </row>
    <row r="1758" spans="1:25" s="404" customFormat="1" ht="17.25" customHeight="1">
      <c r="A1758" s="603"/>
      <c r="B1758" s="604"/>
      <c r="C1758" s="605"/>
      <c r="D1758" s="605"/>
      <c r="E1758" s="85"/>
      <c r="F1758" s="85"/>
      <c r="G1758" s="85"/>
      <c r="H1758" s="85"/>
      <c r="I1758" s="659"/>
      <c r="J1758" s="659"/>
      <c r="K1758" s="659"/>
      <c r="L1758" s="659"/>
      <c r="M1758" s="169"/>
      <c r="N1758" s="169"/>
      <c r="O1758" s="169"/>
      <c r="P1758" s="169"/>
      <c r="Q1758" s="169"/>
      <c r="R1758" s="169"/>
      <c r="S1758" s="169"/>
      <c r="T1758" s="169"/>
      <c r="U1758" s="169"/>
      <c r="V1758" s="169"/>
      <c r="W1758" s="169"/>
      <c r="X1758" s="169"/>
      <c r="Y1758" s="169"/>
    </row>
    <row r="1759" spans="1:25" s="404" customFormat="1" ht="16.5" customHeight="1" thickBot="1">
      <c r="A1759" s="113"/>
      <c r="B1759" s="113"/>
      <c r="C1759" s="107"/>
      <c r="D1759" s="107"/>
      <c r="E1759" s="107"/>
      <c r="F1759" s="107"/>
      <c r="G1759" s="107"/>
      <c r="H1759" s="107"/>
      <c r="I1759" s="107"/>
      <c r="J1759" s="196"/>
      <c r="K1759" s="94"/>
      <c r="L1759" s="314"/>
      <c r="M1759" s="335"/>
      <c r="N1759" s="169"/>
      <c r="O1759" s="169"/>
      <c r="P1759" s="169"/>
      <c r="Q1759" s="169"/>
      <c r="R1759" s="169"/>
      <c r="S1759" s="169"/>
      <c r="T1759" s="169"/>
      <c r="U1759" s="169"/>
      <c r="V1759" s="169"/>
      <c r="W1759" s="169"/>
      <c r="X1759" s="169"/>
      <c r="Y1759" s="169"/>
    </row>
    <row r="1760" spans="1:50" s="1037" customFormat="1" ht="28.5" customHeight="1" thickTop="1">
      <c r="A1760" s="1046" t="s">
        <v>43</v>
      </c>
      <c r="B1760" s="966" t="s">
        <v>1105</v>
      </c>
      <c r="C1760" s="795" t="s">
        <v>884</v>
      </c>
      <c r="D1760" s="796"/>
      <c r="E1760" s="765" t="s">
        <v>1160</v>
      </c>
      <c r="F1760" s="766"/>
      <c r="G1760" s="765" t="s">
        <v>1151</v>
      </c>
      <c r="H1760" s="766"/>
      <c r="I1760" s="1280" t="s">
        <v>1161</v>
      </c>
      <c r="J1760" s="1281"/>
      <c r="K1760" s="1280" t="s">
        <v>970</v>
      </c>
      <c r="L1760" s="1281"/>
      <c r="M1760" s="947"/>
      <c r="N1760" s="947"/>
      <c r="O1760" s="335"/>
      <c r="P1760" s="335"/>
      <c r="Q1760" s="335"/>
      <c r="R1760" s="335"/>
      <c r="S1760" s="335"/>
      <c r="T1760" s="480"/>
      <c r="U1760" s="480"/>
      <c r="V1760" s="480"/>
      <c r="W1760" s="480"/>
      <c r="X1760" s="480"/>
      <c r="Y1760" s="480"/>
      <c r="Z1760" s="479"/>
      <c r="AA1760" s="852"/>
      <c r="AB1760" s="852"/>
      <c r="AC1760" s="852"/>
      <c r="AD1760" s="852"/>
      <c r="AE1760" s="852"/>
      <c r="AF1760" s="852"/>
      <c r="AG1760" s="852"/>
      <c r="AH1760" s="852"/>
      <c r="AI1760" s="852"/>
      <c r="AJ1760" s="852"/>
      <c r="AK1760" s="852"/>
      <c r="AL1760" s="852"/>
      <c r="AM1760" s="852"/>
      <c r="AN1760" s="852"/>
      <c r="AO1760" s="852"/>
      <c r="AP1760" s="852"/>
      <c r="AQ1760" s="852"/>
      <c r="AR1760" s="852"/>
      <c r="AS1760" s="1036"/>
      <c r="AT1760" s="1036"/>
      <c r="AU1760" s="1036"/>
      <c r="AV1760" s="1036"/>
      <c r="AW1760" s="1036"/>
      <c r="AX1760" s="1036"/>
    </row>
    <row r="1761" spans="1:25" s="404" customFormat="1" ht="17.25" customHeight="1">
      <c r="A1761" s="431" t="s">
        <v>751</v>
      </c>
      <c r="B1761" s="77" t="s">
        <v>51</v>
      </c>
      <c r="C1761" s="985">
        <f>CEILING(50*$Z$1,0.1)</f>
        <v>62.5</v>
      </c>
      <c r="D1761" s="991"/>
      <c r="E1761" s="985">
        <f>CEILING(55*$Z$1,0.1)</f>
        <v>68.8</v>
      </c>
      <c r="F1761" s="991"/>
      <c r="G1761" s="985">
        <f>CEILING(55*$Z$1,0.1)</f>
        <v>68.8</v>
      </c>
      <c r="H1761" s="991"/>
      <c r="I1761" s="985">
        <f>CEILING(55*$Z$1,0.1)</f>
        <v>68.8</v>
      </c>
      <c r="J1761" s="991"/>
      <c r="K1761" s="985">
        <f>CEILING(50*$Z$1,0.1)</f>
        <v>62.5</v>
      </c>
      <c r="L1761" s="991"/>
      <c r="M1761" s="335"/>
      <c r="N1761" s="169"/>
      <c r="O1761" s="169"/>
      <c r="P1761" s="169"/>
      <c r="Q1761" s="169"/>
      <c r="R1761" s="169"/>
      <c r="S1761" s="169"/>
      <c r="T1761" s="169"/>
      <c r="U1761" s="169"/>
      <c r="V1761" s="169"/>
      <c r="W1761" s="169"/>
      <c r="X1761" s="169"/>
      <c r="Y1761" s="169"/>
    </row>
    <row r="1762" spans="1:25" s="404" customFormat="1" ht="15.75" customHeight="1">
      <c r="A1762" s="35" t="s">
        <v>59</v>
      </c>
      <c r="B1762" s="29" t="s">
        <v>52</v>
      </c>
      <c r="C1762" s="986">
        <f>CEILING((C1761+12*$Z$1),0.1)</f>
        <v>77.5</v>
      </c>
      <c r="D1762" s="992"/>
      <c r="E1762" s="986">
        <f>CEILING((E1761+14*$Z$1),0.1)</f>
        <v>86.30000000000001</v>
      </c>
      <c r="F1762" s="992"/>
      <c r="G1762" s="986">
        <f>CEILING((G1761+14*$Z$1),0.1)</f>
        <v>86.30000000000001</v>
      </c>
      <c r="H1762" s="992"/>
      <c r="I1762" s="986">
        <f>CEILING((I1761+14*$Z$1),0.1)</f>
        <v>86.30000000000001</v>
      </c>
      <c r="J1762" s="992"/>
      <c r="K1762" s="986">
        <f>CEILING((K1761+12*$Z$1),0.1)</f>
        <v>77.5</v>
      </c>
      <c r="L1762" s="992"/>
      <c r="M1762" s="335"/>
      <c r="N1762" s="169"/>
      <c r="O1762" s="169"/>
      <c r="P1762" s="169"/>
      <c r="Q1762" s="169"/>
      <c r="R1762" s="169"/>
      <c r="S1762" s="169"/>
      <c r="T1762" s="169"/>
      <c r="U1762" s="169"/>
      <c r="V1762" s="169"/>
      <c r="W1762" s="169"/>
      <c r="X1762" s="169"/>
      <c r="Y1762" s="169"/>
    </row>
    <row r="1763" spans="1:25" s="404" customFormat="1" ht="17.25" customHeight="1">
      <c r="A1763" s="84"/>
      <c r="B1763" s="29" t="s">
        <v>47</v>
      </c>
      <c r="C1763" s="986">
        <f>CEILING((C1761*0.8),0.1)</f>
        <v>50</v>
      </c>
      <c r="D1763" s="992"/>
      <c r="E1763" s="986">
        <f>CEILING((E1761*0.8),0.1)</f>
        <v>55.1</v>
      </c>
      <c r="F1763" s="992"/>
      <c r="G1763" s="986">
        <f>CEILING((G1761*0.8),0.1)</f>
        <v>55.1</v>
      </c>
      <c r="H1763" s="992"/>
      <c r="I1763" s="986">
        <f>CEILING((I1761*0.8),0.1)</f>
        <v>55.1</v>
      </c>
      <c r="J1763" s="992"/>
      <c r="K1763" s="986">
        <f>CEILING((K1761*0.8),0.1)</f>
        <v>50</v>
      </c>
      <c r="L1763" s="992"/>
      <c r="M1763" s="331"/>
      <c r="N1763" s="169"/>
      <c r="O1763" s="169"/>
      <c r="P1763" s="169"/>
      <c r="Q1763" s="169"/>
      <c r="R1763" s="169"/>
      <c r="S1763" s="169"/>
      <c r="T1763" s="169"/>
      <c r="U1763" s="169"/>
      <c r="V1763" s="169"/>
      <c r="W1763" s="169"/>
      <c r="X1763" s="169"/>
      <c r="Y1763" s="169"/>
    </row>
    <row r="1764" spans="1:13" ht="15.75" thickBot="1">
      <c r="A1764" s="72" t="s">
        <v>834</v>
      </c>
      <c r="B1764" s="13" t="s">
        <v>85</v>
      </c>
      <c r="C1764" s="994">
        <f>CEILING((C1761*0.5),0.1)</f>
        <v>31.3</v>
      </c>
      <c r="D1764" s="995"/>
      <c r="E1764" s="994">
        <f>CEILING((E1761*0.5),0.1)</f>
        <v>34.4</v>
      </c>
      <c r="F1764" s="995"/>
      <c r="G1764" s="994">
        <f>CEILING((G1761*0.5),0.1)</f>
        <v>34.4</v>
      </c>
      <c r="H1764" s="995"/>
      <c r="I1764" s="994">
        <f>CEILING((I1761*0.5),0.1)</f>
        <v>34.4</v>
      </c>
      <c r="J1764" s="995"/>
      <c r="K1764" s="994">
        <f>CEILING((K1761*0.5),0.1)</f>
        <v>31.3</v>
      </c>
      <c r="L1764" s="995"/>
      <c r="M1764" s="331"/>
    </row>
    <row r="1765" spans="1:25" s="479" customFormat="1" ht="16.5" customHeight="1" thickTop="1">
      <c r="A1765" s="107" t="s">
        <v>1113</v>
      </c>
      <c r="B1765" s="107"/>
      <c r="C1765" s="107"/>
      <c r="D1765" s="107"/>
      <c r="E1765" s="107"/>
      <c r="F1765" s="107"/>
      <c r="G1765" s="107"/>
      <c r="H1765" s="107"/>
      <c r="I1765" s="945"/>
      <c r="J1765" s="660"/>
      <c r="K1765" s="660"/>
      <c r="L1765" s="660"/>
      <c r="M1765" s="480"/>
      <c r="N1765" s="480"/>
      <c r="O1765" s="480"/>
      <c r="P1765" s="480"/>
      <c r="Q1765" s="480"/>
      <c r="R1765" s="480"/>
      <c r="S1765" s="480"/>
      <c r="T1765" s="480"/>
      <c r="U1765" s="480"/>
      <c r="V1765" s="480"/>
      <c r="W1765" s="480"/>
      <c r="X1765" s="480"/>
      <c r="Y1765" s="480"/>
    </row>
    <row r="1766" spans="1:25" s="479" customFormat="1" ht="15">
      <c r="A1766" s="370" t="s">
        <v>1149</v>
      </c>
      <c r="B1766" s="50"/>
      <c r="C1766" s="3"/>
      <c r="D1766" s="3"/>
      <c r="E1766" s="3"/>
      <c r="F1766" s="3"/>
      <c r="G1766" s="947"/>
      <c r="H1766" s="947"/>
      <c r="I1766" s="947"/>
      <c r="J1766" s="947"/>
      <c r="K1766" s="347"/>
      <c r="L1766" s="347"/>
      <c r="M1766" s="480"/>
      <c r="N1766" s="480"/>
      <c r="O1766" s="480"/>
      <c r="P1766" s="480"/>
      <c r="Q1766" s="480"/>
      <c r="R1766" s="480"/>
      <c r="S1766" s="480"/>
      <c r="T1766" s="480"/>
      <c r="U1766" s="480"/>
      <c r="V1766" s="480"/>
      <c r="W1766" s="480"/>
      <c r="X1766" s="480"/>
      <c r="Y1766" s="480"/>
    </row>
    <row r="1767" spans="1:25" s="479" customFormat="1" ht="15">
      <c r="A1767" s="370"/>
      <c r="B1767" s="50"/>
      <c r="C1767" s="3"/>
      <c r="D1767" s="3"/>
      <c r="E1767" s="3"/>
      <c r="F1767" s="3"/>
      <c r="G1767" s="947"/>
      <c r="H1767" s="947"/>
      <c r="I1767" s="947"/>
      <c r="J1767" s="947"/>
      <c r="K1767" s="347"/>
      <c r="L1767" s="347"/>
      <c r="M1767" s="480"/>
      <c r="N1767" s="480"/>
      <c r="O1767" s="480"/>
      <c r="P1767" s="480"/>
      <c r="Q1767" s="480"/>
      <c r="R1767" s="480"/>
      <c r="S1767" s="480"/>
      <c r="T1767" s="480"/>
      <c r="U1767" s="480"/>
      <c r="V1767" s="480"/>
      <c r="W1767" s="480"/>
      <c r="X1767" s="480"/>
      <c r="Y1767" s="480"/>
    </row>
    <row r="1768" spans="1:50" s="1037" customFormat="1" ht="28.5" customHeight="1">
      <c r="A1768" s="1047" t="s">
        <v>43</v>
      </c>
      <c r="B1768" s="966" t="s">
        <v>1105</v>
      </c>
      <c r="C1768" s="795" t="s">
        <v>884</v>
      </c>
      <c r="D1768" s="796"/>
      <c r="E1768" s="765" t="s">
        <v>1160</v>
      </c>
      <c r="F1768" s="766"/>
      <c r="G1768" s="765" t="s">
        <v>1140</v>
      </c>
      <c r="H1768" s="766"/>
      <c r="I1768" s="1280" t="s">
        <v>881</v>
      </c>
      <c r="J1768" s="1281"/>
      <c r="K1768" s="1280" t="s">
        <v>882</v>
      </c>
      <c r="L1768" s="1281"/>
      <c r="M1768" s="947"/>
      <c r="N1768" s="947"/>
      <c r="O1768" s="335"/>
      <c r="P1768" s="335"/>
      <c r="Q1768" s="335"/>
      <c r="R1768" s="335"/>
      <c r="S1768" s="335"/>
      <c r="T1768" s="480"/>
      <c r="U1768" s="480"/>
      <c r="V1768" s="480"/>
      <c r="W1768" s="480"/>
      <c r="X1768" s="480"/>
      <c r="Y1768" s="480"/>
      <c r="Z1768" s="479"/>
      <c r="AA1768" s="852"/>
      <c r="AB1768" s="852"/>
      <c r="AC1768" s="852"/>
      <c r="AD1768" s="852"/>
      <c r="AE1768" s="852"/>
      <c r="AF1768" s="852"/>
      <c r="AG1768" s="852"/>
      <c r="AH1768" s="852"/>
      <c r="AI1768" s="852"/>
      <c r="AJ1768" s="852"/>
      <c r="AK1768" s="852"/>
      <c r="AL1768" s="852"/>
      <c r="AM1768" s="852"/>
      <c r="AN1768" s="852"/>
      <c r="AO1768" s="852"/>
      <c r="AP1768" s="852"/>
      <c r="AQ1768" s="852"/>
      <c r="AR1768" s="852"/>
      <c r="AS1768" s="1036"/>
      <c r="AT1768" s="1036"/>
      <c r="AU1768" s="1036"/>
      <c r="AV1768" s="1036"/>
      <c r="AW1768" s="1036"/>
      <c r="AX1768" s="1036"/>
    </row>
    <row r="1769" spans="1:15" s="404" customFormat="1" ht="15">
      <c r="A1769" s="34" t="s">
        <v>1162</v>
      </c>
      <c r="B1769" s="77" t="s">
        <v>51</v>
      </c>
      <c r="C1769" s="985">
        <f>CEILING(33*$Z$1,0.1)</f>
        <v>41.300000000000004</v>
      </c>
      <c r="D1769" s="991"/>
      <c r="E1769" s="985">
        <f>CEILING(36*$Z$1,0.1)</f>
        <v>45</v>
      </c>
      <c r="F1769" s="991"/>
      <c r="G1769" s="985">
        <f>CEILING(36*$Z$1,0.1)</f>
        <v>45</v>
      </c>
      <c r="H1769" s="991"/>
      <c r="I1769" s="985">
        <f>CEILING(36*$Z$1,0.1)</f>
        <v>45</v>
      </c>
      <c r="J1769" s="991"/>
      <c r="K1769" s="985">
        <f>CEILING(33*$Z$1,0.1)</f>
        <v>41.300000000000004</v>
      </c>
      <c r="L1769" s="991"/>
      <c r="M1769" s="345"/>
      <c r="N1769" s="345"/>
      <c r="O1769" s="345"/>
    </row>
    <row r="1770" spans="1:15" s="404" customFormat="1" ht="15">
      <c r="A1770" s="35" t="s">
        <v>90</v>
      </c>
      <c r="B1770" s="29" t="s">
        <v>52</v>
      </c>
      <c r="C1770" s="986">
        <f>CEILING((C1769+6*$Z$1),0.1)</f>
        <v>48.800000000000004</v>
      </c>
      <c r="D1770" s="992"/>
      <c r="E1770" s="986">
        <f>CEILING((E1769+6*$Z$1),0.1)</f>
        <v>52.5</v>
      </c>
      <c r="F1770" s="992"/>
      <c r="G1770" s="986">
        <f>CEILING((G1769+6*$Z$1),0.1)</f>
        <v>52.5</v>
      </c>
      <c r="H1770" s="992"/>
      <c r="I1770" s="986">
        <f>CEILING((I1769+6*$Z$1),0.1)</f>
        <v>52.5</v>
      </c>
      <c r="J1770" s="992"/>
      <c r="K1770" s="986">
        <f>CEILING((K1769+6*$Z$1),0.1)</f>
        <v>48.800000000000004</v>
      </c>
      <c r="L1770" s="992"/>
      <c r="M1770" s="345"/>
      <c r="N1770" s="345"/>
      <c r="O1770" s="345"/>
    </row>
    <row r="1771" spans="1:15" s="404" customFormat="1" ht="15">
      <c r="A1771" s="84"/>
      <c r="B1771" s="29" t="s">
        <v>569</v>
      </c>
      <c r="C1771" s="986">
        <f>CEILING((C1769*0),0.1)</f>
        <v>0</v>
      </c>
      <c r="D1771" s="992"/>
      <c r="E1771" s="986">
        <f>CEILING((E1769*0),0.1)</f>
        <v>0</v>
      </c>
      <c r="F1771" s="992"/>
      <c r="G1771" s="986">
        <f>CEILING((G1769*0),0.1)</f>
        <v>0</v>
      </c>
      <c r="H1771" s="992"/>
      <c r="I1771" s="986">
        <f>CEILING((I1769*0),0.1)</f>
        <v>0</v>
      </c>
      <c r="J1771" s="992"/>
      <c r="K1771" s="986">
        <f>CEILING((K1769*0),0.1)</f>
        <v>0</v>
      </c>
      <c r="L1771" s="992"/>
      <c r="M1771" s="345"/>
      <c r="N1771" s="345"/>
      <c r="O1771" s="345"/>
    </row>
    <row r="1772" spans="1:15" s="404" customFormat="1" ht="15.75" thickBot="1">
      <c r="A1772" s="72" t="s">
        <v>414</v>
      </c>
      <c r="B1772" s="115" t="s">
        <v>570</v>
      </c>
      <c r="C1772" s="994">
        <f>CEILING((C1769*0.5),0.1)</f>
        <v>20.700000000000003</v>
      </c>
      <c r="D1772" s="995"/>
      <c r="E1772" s="994">
        <f>CEILING((E1769*0.5),0.1)</f>
        <v>22.5</v>
      </c>
      <c r="F1772" s="995"/>
      <c r="G1772" s="994">
        <f>CEILING((G1769*0.5),0.1)</f>
        <v>22.5</v>
      </c>
      <c r="H1772" s="995"/>
      <c r="I1772" s="994">
        <f>CEILING((I1769*0.5),0.1)</f>
        <v>22.5</v>
      </c>
      <c r="J1772" s="995"/>
      <c r="K1772" s="994">
        <f>CEILING((K1769*0.5),0.1)</f>
        <v>20.700000000000003</v>
      </c>
      <c r="L1772" s="995"/>
      <c r="M1772" s="345"/>
      <c r="N1772" s="345"/>
      <c r="O1772" s="345"/>
    </row>
    <row r="1773" spans="1:25" s="479" customFormat="1" ht="16.5" customHeight="1" thickTop="1">
      <c r="A1773" s="107" t="s">
        <v>1113</v>
      </c>
      <c r="B1773" s="107"/>
      <c r="C1773" s="107"/>
      <c r="D1773" s="107"/>
      <c r="E1773" s="107"/>
      <c r="F1773" s="107"/>
      <c r="G1773" s="107"/>
      <c r="H1773" s="107"/>
      <c r="I1773" s="945"/>
      <c r="J1773" s="660"/>
      <c r="K1773" s="660"/>
      <c r="L1773" s="660"/>
      <c r="M1773" s="480"/>
      <c r="N1773" s="480"/>
      <c r="O1773" s="480"/>
      <c r="P1773" s="480"/>
      <c r="Q1773" s="480"/>
      <c r="R1773" s="480"/>
      <c r="S1773" s="480"/>
      <c r="T1773" s="480"/>
      <c r="U1773" s="480"/>
      <c r="V1773" s="480"/>
      <c r="W1773" s="480"/>
      <c r="X1773" s="480"/>
      <c r="Y1773" s="480"/>
    </row>
    <row r="1774" spans="1:25" s="1101" customFormat="1" ht="16.5" customHeight="1">
      <c r="A1774" s="150" t="s">
        <v>1200</v>
      </c>
      <c r="B1774" s="93"/>
      <c r="C1774" s="107"/>
      <c r="D1774" s="107"/>
      <c r="E1774" s="107"/>
      <c r="F1774" s="107"/>
      <c r="G1774" s="107"/>
      <c r="H1774" s="107"/>
      <c r="I1774" s="107"/>
      <c r="J1774" s="1100"/>
      <c r="K1774" s="279"/>
      <c r="L1774" s="279"/>
      <c r="M1774" s="956"/>
      <c r="N1774" s="956"/>
      <c r="O1774" s="956"/>
      <c r="P1774" s="956"/>
      <c r="Q1774" s="956"/>
      <c r="R1774" s="956"/>
      <c r="S1774" s="956"/>
      <c r="T1774" s="956"/>
      <c r="U1774" s="956"/>
      <c r="V1774" s="956"/>
      <c r="W1774" s="956"/>
      <c r="X1774" s="956"/>
      <c r="Y1774" s="956"/>
    </row>
    <row r="1775" spans="1:15" s="192" customFormat="1" ht="15">
      <c r="A1775" s="107"/>
      <c r="B1775" s="107"/>
      <c r="C1775" s="107"/>
      <c r="D1775" s="107"/>
      <c r="E1775" s="107"/>
      <c r="F1775" s="107"/>
      <c r="G1775" s="107"/>
      <c r="H1775" s="107"/>
      <c r="I1775" s="107"/>
      <c r="J1775" s="196"/>
      <c r="K1775" s="335"/>
      <c r="L1775" s="335"/>
      <c r="M1775" s="1048"/>
      <c r="N1775" s="1048"/>
      <c r="O1775" s="1048"/>
    </row>
    <row r="1776" spans="1:50" s="1037" customFormat="1" ht="28.5" customHeight="1">
      <c r="A1776" s="1459" t="s">
        <v>43</v>
      </c>
      <c r="B1776" s="966" t="s">
        <v>1105</v>
      </c>
      <c r="C1776" s="795" t="s">
        <v>884</v>
      </c>
      <c r="D1776" s="796"/>
      <c r="E1776" s="765" t="s">
        <v>1160</v>
      </c>
      <c r="F1776" s="766"/>
      <c r="G1776" s="765" t="s">
        <v>1151</v>
      </c>
      <c r="H1776" s="766"/>
      <c r="I1776" s="1280" t="s">
        <v>1163</v>
      </c>
      <c r="J1776" s="1281"/>
      <c r="K1776" s="1280" t="s">
        <v>882</v>
      </c>
      <c r="L1776" s="1281"/>
      <c r="M1776" s="947"/>
      <c r="N1776" s="947"/>
      <c r="O1776" s="335"/>
      <c r="P1776" s="335"/>
      <c r="Q1776" s="335"/>
      <c r="R1776" s="335"/>
      <c r="S1776" s="335"/>
      <c r="T1776" s="480"/>
      <c r="U1776" s="480"/>
      <c r="V1776" s="480"/>
      <c r="W1776" s="480"/>
      <c r="X1776" s="480"/>
      <c r="Y1776" s="480"/>
      <c r="Z1776" s="479"/>
      <c r="AA1776" s="852"/>
      <c r="AB1776" s="852"/>
      <c r="AC1776" s="852"/>
      <c r="AD1776" s="852"/>
      <c r="AE1776" s="852"/>
      <c r="AF1776" s="852"/>
      <c r="AG1776" s="852"/>
      <c r="AH1776" s="852"/>
      <c r="AI1776" s="852"/>
      <c r="AJ1776" s="852"/>
      <c r="AK1776" s="852"/>
      <c r="AL1776" s="852"/>
      <c r="AM1776" s="852"/>
      <c r="AN1776" s="852"/>
      <c r="AO1776" s="852"/>
      <c r="AP1776" s="852"/>
      <c r="AQ1776" s="852"/>
      <c r="AR1776" s="852"/>
      <c r="AS1776" s="1036"/>
      <c r="AT1776" s="1036"/>
      <c r="AU1776" s="1036"/>
      <c r="AV1776" s="1036"/>
      <c r="AW1776" s="1036"/>
      <c r="AX1776" s="1036"/>
    </row>
    <row r="1777" spans="1:15" s="404" customFormat="1" ht="15" customHeight="1" hidden="1">
      <c r="A1777" s="1460"/>
      <c r="B1777" s="687"/>
      <c r="C1777" s="675" t="s">
        <v>101</v>
      </c>
      <c r="D1777" s="688" t="s">
        <v>103</v>
      </c>
      <c r="E1777" s="675" t="s">
        <v>101</v>
      </c>
      <c r="F1777" s="689" t="s">
        <v>103</v>
      </c>
      <c r="G1777" s="675" t="s">
        <v>101</v>
      </c>
      <c r="H1777" s="689" t="s">
        <v>103</v>
      </c>
      <c r="I1777" s="630"/>
      <c r="J1777" s="630"/>
      <c r="K1777" s="630"/>
      <c r="L1777" s="630"/>
      <c r="M1777" s="345"/>
      <c r="N1777" s="345"/>
      <c r="O1777" s="345"/>
    </row>
    <row r="1778" spans="1:15" s="404" customFormat="1" ht="15">
      <c r="A1778" s="431" t="s">
        <v>771</v>
      </c>
      <c r="B1778" s="77" t="s">
        <v>51</v>
      </c>
      <c r="C1778" s="985">
        <f>CEILING(32*$Z$1,0.1)</f>
        <v>40</v>
      </c>
      <c r="D1778" s="991"/>
      <c r="E1778" s="985">
        <f>CEILING(35*$Z$1,0.1)</f>
        <v>43.800000000000004</v>
      </c>
      <c r="F1778" s="991"/>
      <c r="G1778" s="985">
        <f>CEILING(35*$Z$1,0.1)</f>
        <v>43.800000000000004</v>
      </c>
      <c r="H1778" s="991"/>
      <c r="I1778" s="985">
        <f>CEILING(35*$Z$1,0.1)</f>
        <v>43.800000000000004</v>
      </c>
      <c r="J1778" s="991"/>
      <c r="K1778" s="985">
        <f>CEILING(32*$Z$1,0.1)</f>
        <v>40</v>
      </c>
      <c r="L1778" s="991"/>
      <c r="M1778" s="345"/>
      <c r="N1778" s="345"/>
      <c r="O1778" s="345"/>
    </row>
    <row r="1779" spans="1:15" s="404" customFormat="1" ht="15">
      <c r="A1779" s="432" t="s">
        <v>177</v>
      </c>
      <c r="B1779" s="29" t="s">
        <v>52</v>
      </c>
      <c r="C1779" s="986">
        <f>CEILING((C1778+5*$Z$1),0.1)</f>
        <v>46.300000000000004</v>
      </c>
      <c r="D1779" s="992"/>
      <c r="E1779" s="986">
        <f>CEILING((E1778+6*$Z$1),0.1)</f>
        <v>51.300000000000004</v>
      </c>
      <c r="F1779" s="992"/>
      <c r="G1779" s="986">
        <f>CEILING((G1778+6*$Z$1),0.1)</f>
        <v>51.300000000000004</v>
      </c>
      <c r="H1779" s="992"/>
      <c r="I1779" s="986">
        <f>CEILING((I1778+6*$Z$1),0.1)</f>
        <v>51.300000000000004</v>
      </c>
      <c r="J1779" s="992"/>
      <c r="K1779" s="986">
        <f>CEILING((K1778+5*$Z$1),0.1)</f>
        <v>46.300000000000004</v>
      </c>
      <c r="L1779" s="992"/>
      <c r="M1779" s="345"/>
      <c r="N1779" s="345"/>
      <c r="O1779" s="345"/>
    </row>
    <row r="1780" spans="1:15" s="404" customFormat="1" ht="15.75" thickBot="1">
      <c r="A1780" s="72" t="s">
        <v>769</v>
      </c>
      <c r="B1780" s="184" t="s">
        <v>1164</v>
      </c>
      <c r="C1780" s="994">
        <f>CEILING((C1778*0),0.1)</f>
        <v>0</v>
      </c>
      <c r="D1780" s="995"/>
      <c r="E1780" s="994">
        <f>CEILING((E1778*0),0.1)</f>
        <v>0</v>
      </c>
      <c r="F1780" s="995"/>
      <c r="G1780" s="994">
        <f>CEILING((G1778*0),0.1)</f>
        <v>0</v>
      </c>
      <c r="H1780" s="995"/>
      <c r="I1780" s="994">
        <f>CEILING((I1778*0),0.1)</f>
        <v>0</v>
      </c>
      <c r="J1780" s="995"/>
      <c r="K1780" s="994">
        <f>CEILING((K1778*0),0.1)</f>
        <v>0</v>
      </c>
      <c r="L1780" s="995"/>
      <c r="M1780" s="345"/>
      <c r="N1780" s="345"/>
      <c r="O1780" s="345"/>
    </row>
    <row r="1781" spans="1:25" s="479" customFormat="1" ht="16.5" customHeight="1" thickTop="1">
      <c r="A1781" s="107" t="s">
        <v>1113</v>
      </c>
      <c r="B1781" s="107"/>
      <c r="C1781" s="107"/>
      <c r="D1781" s="107"/>
      <c r="E1781" s="107"/>
      <c r="F1781" s="107"/>
      <c r="G1781" s="107"/>
      <c r="H1781" s="107"/>
      <c r="I1781" s="945"/>
      <c r="J1781" s="660"/>
      <c r="K1781" s="660"/>
      <c r="L1781" s="660"/>
      <c r="M1781" s="480"/>
      <c r="N1781" s="480"/>
      <c r="O1781" s="480"/>
      <c r="P1781" s="480"/>
      <c r="Q1781" s="480"/>
      <c r="R1781" s="480"/>
      <c r="S1781" s="480"/>
      <c r="T1781" s="480"/>
      <c r="U1781" s="480"/>
      <c r="V1781" s="480"/>
      <c r="W1781" s="480"/>
      <c r="X1781" s="480"/>
      <c r="Y1781" s="480"/>
    </row>
    <row r="1782" spans="1:25" s="1101" customFormat="1" ht="16.5" customHeight="1">
      <c r="A1782" s="150" t="s">
        <v>1200</v>
      </c>
      <c r="B1782" s="93"/>
      <c r="C1782" s="107"/>
      <c r="D1782" s="107"/>
      <c r="E1782" s="107"/>
      <c r="F1782" s="107"/>
      <c r="G1782" s="107"/>
      <c r="H1782" s="107"/>
      <c r="I1782" s="107"/>
      <c r="J1782" s="1100"/>
      <c r="K1782" s="279"/>
      <c r="L1782" s="279"/>
      <c r="M1782" s="956"/>
      <c r="N1782" s="956"/>
      <c r="O1782" s="956"/>
      <c r="P1782" s="956"/>
      <c r="Q1782" s="956"/>
      <c r="R1782" s="956"/>
      <c r="S1782" s="956"/>
      <c r="T1782" s="956"/>
      <c r="U1782" s="956"/>
      <c r="V1782" s="956"/>
      <c r="W1782" s="956"/>
      <c r="X1782" s="956"/>
      <c r="Y1782" s="956"/>
    </row>
    <row r="1783" spans="1:15" s="404" customFormat="1" ht="15">
      <c r="A1783" s="73"/>
      <c r="B1783" s="76"/>
      <c r="C1783" s="74"/>
      <c r="D1783" s="74"/>
      <c r="E1783" s="74"/>
      <c r="F1783" s="74"/>
      <c r="G1783" s="74"/>
      <c r="H1783" s="74"/>
      <c r="I1783" s="16"/>
      <c r="J1783" s="16"/>
      <c r="K1783" s="331"/>
      <c r="L1783" s="331"/>
      <c r="M1783" s="345"/>
      <c r="N1783" s="345"/>
      <c r="O1783" s="345"/>
    </row>
    <row r="1784" spans="1:15" s="404" customFormat="1" ht="15">
      <c r="A1784" s="1458" t="s">
        <v>154</v>
      </c>
      <c r="B1784" s="1458"/>
      <c r="C1784" s="1458"/>
      <c r="D1784" s="1458"/>
      <c r="E1784" s="1458"/>
      <c r="F1784" s="1458"/>
      <c r="G1784" s="1458"/>
      <c r="H1784" s="1458"/>
      <c r="I1784" s="1458"/>
      <c r="J1784" s="169"/>
      <c r="K1784" s="331"/>
      <c r="L1784" s="331"/>
      <c r="M1784" s="345"/>
      <c r="N1784" s="345"/>
      <c r="O1784" s="345"/>
    </row>
    <row r="1785" spans="1:15" s="479" customFormat="1" ht="15">
      <c r="A1785" s="391"/>
      <c r="B1785" s="391"/>
      <c r="C1785" s="391"/>
      <c r="D1785" s="391"/>
      <c r="E1785" s="391"/>
      <c r="F1785" s="391"/>
      <c r="G1785" s="391"/>
      <c r="H1785" s="391"/>
      <c r="I1785" s="391"/>
      <c r="J1785" s="169"/>
      <c r="K1785" s="331"/>
      <c r="L1785" s="331"/>
      <c r="M1785" s="345"/>
      <c r="N1785" s="345"/>
      <c r="O1785" s="345"/>
    </row>
    <row r="1786" spans="1:60" s="751" customFormat="1" ht="38.25" customHeight="1">
      <c r="A1786" s="1040" t="s">
        <v>43</v>
      </c>
      <c r="B1786" s="1054" t="s">
        <v>1172</v>
      </c>
      <c r="C1786" s="1468" t="s">
        <v>1173</v>
      </c>
      <c r="D1786" s="1481"/>
      <c r="E1786" s="1456" t="s">
        <v>1174</v>
      </c>
      <c r="F1786" s="1457"/>
      <c r="G1786" s="1456" t="s">
        <v>1175</v>
      </c>
      <c r="H1786" s="1457"/>
      <c r="I1786" s="1456" t="s">
        <v>1176</v>
      </c>
      <c r="J1786" s="1457"/>
      <c r="K1786" s="1456" t="s">
        <v>1177</v>
      </c>
      <c r="L1786" s="1457"/>
      <c r="M1786" s="331"/>
      <c r="N1786" s="331"/>
      <c r="O1786" s="331"/>
      <c r="P1786" s="331"/>
      <c r="Q1786" s="331"/>
      <c r="R1786" s="331"/>
      <c r="S1786" s="331"/>
      <c r="T1786" s="331"/>
      <c r="U1786" s="331"/>
      <c r="V1786" s="331"/>
      <c r="W1786" s="331"/>
      <c r="X1786" s="331"/>
      <c r="Y1786" s="331"/>
      <c r="Z1786" s="331"/>
      <c r="AA1786" s="331"/>
      <c r="AB1786" s="331"/>
      <c r="AC1786" s="331"/>
      <c r="AD1786" s="331"/>
      <c r="AE1786" s="331"/>
      <c r="AF1786" s="331"/>
      <c r="AG1786" s="331"/>
      <c r="AH1786" s="331"/>
      <c r="AI1786" s="331"/>
      <c r="AJ1786" s="331"/>
      <c r="AK1786" s="331"/>
      <c r="AL1786" s="331"/>
      <c r="AM1786" s="331"/>
      <c r="AN1786" s="331"/>
      <c r="AO1786" s="331"/>
      <c r="AP1786" s="331"/>
      <c r="AQ1786" s="331"/>
      <c r="AR1786" s="331"/>
      <c r="AS1786" s="331"/>
      <c r="AT1786" s="331"/>
      <c r="AU1786" s="331"/>
      <c r="AV1786" s="331"/>
      <c r="AW1786" s="331"/>
      <c r="AX1786" s="331"/>
      <c r="AY1786" s="331"/>
      <c r="AZ1786" s="331"/>
      <c r="BA1786" s="331"/>
      <c r="BB1786" s="331"/>
      <c r="BC1786" s="331"/>
      <c r="BD1786" s="331"/>
      <c r="BE1786" s="331"/>
      <c r="BF1786" s="331"/>
      <c r="BG1786" s="331"/>
      <c r="BH1786" s="331"/>
    </row>
    <row r="1787" spans="1:60" ht="15">
      <c r="A1787" s="434" t="s">
        <v>383</v>
      </c>
      <c r="B1787" s="133" t="s">
        <v>384</v>
      </c>
      <c r="C1787" s="985">
        <f>CEILING(165*$Z$1,0.1)</f>
        <v>206.3</v>
      </c>
      <c r="D1787" s="991"/>
      <c r="E1787" s="985">
        <f>CEILING(190*$Z$1,0.1)</f>
        <v>237.5</v>
      </c>
      <c r="F1787" s="991"/>
      <c r="G1787" s="985">
        <f>CEILING(245*$Z$1,0.1)</f>
        <v>306.3</v>
      </c>
      <c r="H1787" s="991"/>
      <c r="I1787" s="985">
        <f>CEILING(210*$Z$1,0.1)</f>
        <v>262.5</v>
      </c>
      <c r="J1787" s="991"/>
      <c r="K1787" s="985">
        <f>CEILING(165*$Z$1,0.1)</f>
        <v>206.3</v>
      </c>
      <c r="L1787" s="991"/>
      <c r="M1787" s="331"/>
      <c r="N1787" s="331"/>
      <c r="O1787" s="331"/>
      <c r="P1787" s="331"/>
      <c r="Q1787" s="331"/>
      <c r="R1787" s="331"/>
      <c r="S1787" s="331"/>
      <c r="T1787" s="331"/>
      <c r="U1787" s="331"/>
      <c r="V1787" s="331"/>
      <c r="W1787" s="331"/>
      <c r="X1787" s="331"/>
      <c r="Y1787" s="331"/>
      <c r="Z1787" s="331"/>
      <c r="AA1787" s="331"/>
      <c r="AB1787" s="331"/>
      <c r="AC1787" s="331"/>
      <c r="AD1787" s="331"/>
      <c r="AE1787" s="331"/>
      <c r="AF1787" s="331"/>
      <c r="AG1787" s="331"/>
      <c r="AH1787" s="331"/>
      <c r="AI1787" s="331"/>
      <c r="AJ1787" s="331"/>
      <c r="AK1787" s="331"/>
      <c r="AL1787" s="331"/>
      <c r="AM1787" s="331"/>
      <c r="AN1787" s="331"/>
      <c r="AO1787" s="331"/>
      <c r="AP1787" s="331"/>
      <c r="AQ1787" s="331"/>
      <c r="AR1787" s="331"/>
      <c r="AS1787" s="331"/>
      <c r="AT1787" s="331"/>
      <c r="AU1787" s="331"/>
      <c r="AV1787" s="331"/>
      <c r="AW1787" s="331"/>
      <c r="AX1787" s="331"/>
      <c r="AY1787" s="331"/>
      <c r="AZ1787" s="331"/>
      <c r="BA1787" s="331"/>
      <c r="BB1787" s="331"/>
      <c r="BC1787" s="331"/>
      <c r="BD1787" s="331"/>
      <c r="BE1787" s="331"/>
      <c r="BF1787" s="331"/>
      <c r="BG1787" s="331"/>
      <c r="BH1787" s="331"/>
    </row>
    <row r="1788" spans="1:60" ht="15" customHeight="1">
      <c r="A1788" s="435" t="s">
        <v>45</v>
      </c>
      <c r="B1788" s="436" t="s">
        <v>385</v>
      </c>
      <c r="C1788" s="986">
        <f>CEILING(330*$Z$1,0.1)</f>
        <v>412.5</v>
      </c>
      <c r="D1788" s="993"/>
      <c r="E1788" s="986">
        <f>CEILING(380*$Z$1,0.1)</f>
        <v>475</v>
      </c>
      <c r="F1788" s="993"/>
      <c r="G1788" s="986">
        <f>CEILING(490*$Z$1,0.1)</f>
        <v>612.5</v>
      </c>
      <c r="H1788" s="993"/>
      <c r="I1788" s="986">
        <f>CEILING(420*$Z$1,0.1)</f>
        <v>525</v>
      </c>
      <c r="J1788" s="993"/>
      <c r="K1788" s="986">
        <f>CEILING(330*$Z$1,0.1)</f>
        <v>412.5</v>
      </c>
      <c r="L1788" s="993"/>
      <c r="M1788" s="331"/>
      <c r="N1788" s="331"/>
      <c r="O1788" s="331"/>
      <c r="P1788" s="331"/>
      <c r="Q1788" s="331"/>
      <c r="R1788" s="331"/>
      <c r="S1788" s="331"/>
      <c r="T1788" s="331"/>
      <c r="U1788" s="331"/>
      <c r="V1788" s="331"/>
      <c r="W1788" s="331"/>
      <c r="X1788" s="331"/>
      <c r="Y1788" s="331"/>
      <c r="Z1788" s="331"/>
      <c r="AA1788" s="331"/>
      <c r="AB1788" s="331"/>
      <c r="AC1788" s="331"/>
      <c r="AD1788" s="331"/>
      <c r="AE1788" s="331"/>
      <c r="AF1788" s="331"/>
      <c r="AG1788" s="331"/>
      <c r="AH1788" s="331"/>
      <c r="AI1788" s="331"/>
      <c r="AJ1788" s="331"/>
      <c r="AK1788" s="331"/>
      <c r="AL1788" s="331"/>
      <c r="AM1788" s="331"/>
      <c r="AN1788" s="331"/>
      <c r="AO1788" s="331"/>
      <c r="AP1788" s="331"/>
      <c r="AQ1788" s="331"/>
      <c r="AR1788" s="331"/>
      <c r="AS1788" s="331"/>
      <c r="AT1788" s="331"/>
      <c r="AU1788" s="331"/>
      <c r="AV1788" s="331"/>
      <c r="AW1788" s="331"/>
      <c r="AX1788" s="331"/>
      <c r="AY1788" s="331"/>
      <c r="AZ1788" s="331"/>
      <c r="BA1788" s="331"/>
      <c r="BB1788" s="331"/>
      <c r="BC1788" s="331"/>
      <c r="BD1788" s="331"/>
      <c r="BE1788" s="331"/>
      <c r="BF1788" s="331"/>
      <c r="BG1788" s="331"/>
      <c r="BH1788" s="331"/>
    </row>
    <row r="1789" spans="1:25" ht="16.5" customHeight="1">
      <c r="A1789" s="432"/>
      <c r="B1789" s="436" t="s">
        <v>76</v>
      </c>
      <c r="C1789" s="986">
        <f>CEILING(175*$Z$1,0.1)</f>
        <v>218.8</v>
      </c>
      <c r="D1789" s="993"/>
      <c r="E1789" s="986">
        <f>CEILING(200*$Z$1,0.1)</f>
        <v>250</v>
      </c>
      <c r="F1789" s="993"/>
      <c r="G1789" s="986">
        <f>CEILING(255*$Z$1,0.1)</f>
        <v>318.8</v>
      </c>
      <c r="H1789" s="993"/>
      <c r="I1789" s="986">
        <f>CEILING(220*$Z$1,0.1)</f>
        <v>275</v>
      </c>
      <c r="J1789" s="993"/>
      <c r="K1789" s="986">
        <f>CEILING(175*$Z$1,0.1)</f>
        <v>218.8</v>
      </c>
      <c r="L1789" s="993"/>
      <c r="M1789" s="169"/>
      <c r="T1789"/>
      <c r="U1789"/>
      <c r="V1789"/>
      <c r="W1789"/>
      <c r="X1789"/>
      <c r="Y1789"/>
    </row>
    <row r="1790" spans="1:25" ht="16.5" customHeight="1">
      <c r="A1790" s="432"/>
      <c r="B1790" s="436" t="s">
        <v>77</v>
      </c>
      <c r="C1790" s="986">
        <f>CEILING(350*$Z$1,0.1)</f>
        <v>437.5</v>
      </c>
      <c r="D1790" s="993"/>
      <c r="E1790" s="986">
        <f>CEILING(400*$Z$1,0.1)</f>
        <v>500</v>
      </c>
      <c r="F1790" s="993"/>
      <c r="G1790" s="986">
        <f>CEILING(510*$Z$1,0.1)</f>
        <v>637.5</v>
      </c>
      <c r="H1790" s="993"/>
      <c r="I1790" s="986">
        <f>CEILING(440*$Z$1,0.1)</f>
        <v>550</v>
      </c>
      <c r="J1790" s="993"/>
      <c r="K1790" s="986">
        <f>CEILING(350*$Z$1,0.1)</f>
        <v>437.5</v>
      </c>
      <c r="L1790" s="993"/>
      <c r="M1790" s="169"/>
      <c r="T1790"/>
      <c r="U1790"/>
      <c r="V1790"/>
      <c r="W1790"/>
      <c r="X1790"/>
      <c r="Y1790"/>
    </row>
    <row r="1791" spans="1:25" ht="15">
      <c r="A1791" s="437"/>
      <c r="B1791" s="436" t="s">
        <v>386</v>
      </c>
      <c r="C1791" s="986">
        <f>CEILING(190*$Z$1,0.1)</f>
        <v>237.5</v>
      </c>
      <c r="D1791" s="993"/>
      <c r="E1791" s="986">
        <f>CEILING(215*$Z$1,0.1)</f>
        <v>268.8</v>
      </c>
      <c r="F1791" s="993"/>
      <c r="G1791" s="986">
        <f>CEILING(275*$Z$1,0.1)</f>
        <v>343.8</v>
      </c>
      <c r="H1791" s="993"/>
      <c r="I1791" s="986">
        <f>CEILING(235*$Z$1,0.1)</f>
        <v>293.8</v>
      </c>
      <c r="J1791" s="993"/>
      <c r="K1791" s="986">
        <f>CEILING(190*$Z$1,0.1)</f>
        <v>237.5</v>
      </c>
      <c r="L1791" s="993"/>
      <c r="M1791" s="169"/>
      <c r="T1791"/>
      <c r="U1791"/>
      <c r="V1791"/>
      <c r="W1791"/>
      <c r="X1791"/>
      <c r="Y1791"/>
    </row>
    <row r="1792" spans="1:25" ht="15">
      <c r="A1792" s="1145" t="s">
        <v>876</v>
      </c>
      <c r="B1792" s="436" t="s">
        <v>387</v>
      </c>
      <c r="C1792" s="986">
        <f>CEILING(380*$Z$1,0.1)</f>
        <v>475</v>
      </c>
      <c r="D1792" s="993"/>
      <c r="E1792" s="986">
        <f>CEILING(430*$Z$1,0.1)</f>
        <v>537.5</v>
      </c>
      <c r="F1792" s="993"/>
      <c r="G1792" s="986">
        <f>CEILING(550*$Z$1,0.1)</f>
        <v>687.5</v>
      </c>
      <c r="H1792" s="993"/>
      <c r="I1792" s="986">
        <f>CEILING(470*$Z$1,0.1)</f>
        <v>587.5</v>
      </c>
      <c r="J1792" s="993"/>
      <c r="K1792" s="986">
        <f>CEILING(380*$Z$1,0.1)</f>
        <v>475</v>
      </c>
      <c r="L1792" s="993"/>
      <c r="M1792" s="169"/>
      <c r="S1792"/>
      <c r="T1792"/>
      <c r="U1792"/>
      <c r="V1792"/>
      <c r="W1792"/>
      <c r="X1792"/>
      <c r="Y1792"/>
    </row>
    <row r="1793" spans="1:25" ht="15">
      <c r="A1793" s="1145" t="s">
        <v>1178</v>
      </c>
      <c r="B1793" s="436" t="s">
        <v>388</v>
      </c>
      <c r="C1793" s="986">
        <f>CEILING(200*$Z$1,0.1)</f>
        <v>250</v>
      </c>
      <c r="D1793" s="993"/>
      <c r="E1793" s="986">
        <f>CEILING(230*$Z$1,0.1)</f>
        <v>287.5</v>
      </c>
      <c r="F1793" s="993"/>
      <c r="G1793" s="986">
        <f>CEILING(290*$Z$1,0.1)</f>
        <v>362.5</v>
      </c>
      <c r="H1793" s="993"/>
      <c r="I1793" s="986">
        <f>CEILING(250*$Z$1,0.1)</f>
        <v>312.5</v>
      </c>
      <c r="J1793" s="993"/>
      <c r="K1793" s="986">
        <f>CEILING(200*$Z$1,0.1)</f>
        <v>250</v>
      </c>
      <c r="L1793" s="993"/>
      <c r="M1793" s="169"/>
      <c r="U1793"/>
      <c r="V1793"/>
      <c r="W1793"/>
      <c r="X1793"/>
      <c r="Y1793"/>
    </row>
    <row r="1794" spans="1:25" ht="14.25" customHeight="1">
      <c r="A1794" s="1145" t="s">
        <v>1181</v>
      </c>
      <c r="B1794" s="436" t="s">
        <v>389</v>
      </c>
      <c r="C1794" s="986">
        <f>CEILING(400*$Z$1,0.1)</f>
        <v>500</v>
      </c>
      <c r="D1794" s="993"/>
      <c r="E1794" s="986">
        <f>CEILING(460*$Z$1,0.1)</f>
        <v>575</v>
      </c>
      <c r="F1794" s="993"/>
      <c r="G1794" s="986">
        <f>CEILING(580*$Z$1,0.1)</f>
        <v>725</v>
      </c>
      <c r="H1794" s="993"/>
      <c r="I1794" s="986">
        <f>CEILING(500*$Z$1,0.1)</f>
        <v>625</v>
      </c>
      <c r="J1794" s="993"/>
      <c r="K1794" s="986">
        <f>CEILING(400*$Z$1,0.1)</f>
        <v>500</v>
      </c>
      <c r="L1794" s="993"/>
      <c r="M1794" s="169"/>
      <c r="V1794"/>
      <c r="W1794"/>
      <c r="X1794"/>
      <c r="Y1794"/>
    </row>
    <row r="1795" spans="1:25" ht="14.25" customHeight="1">
      <c r="A1795" s="1145" t="s">
        <v>1179</v>
      </c>
      <c r="B1795" s="436" t="s">
        <v>390</v>
      </c>
      <c r="C1795" s="986">
        <f>CEILING(232.5*$Z$1,0.1)</f>
        <v>290.7</v>
      </c>
      <c r="D1795" s="993"/>
      <c r="E1795" s="986">
        <f>CEILING(260*$Z$1,0.1)</f>
        <v>325</v>
      </c>
      <c r="F1795" s="993"/>
      <c r="G1795" s="986">
        <f>CEILING(322.5*$Z$1,0.1)</f>
        <v>403.20000000000005</v>
      </c>
      <c r="H1795" s="993"/>
      <c r="I1795" s="986">
        <f>CEILING(280*$Z$1,0.1)</f>
        <v>350</v>
      </c>
      <c r="J1795" s="993"/>
      <c r="K1795" s="986">
        <f>CEILING(232.5*$Z$1,0.1)</f>
        <v>290.7</v>
      </c>
      <c r="L1795" s="993"/>
      <c r="M1795" s="16"/>
      <c r="N1795" s="20"/>
      <c r="V1795"/>
      <c r="W1795"/>
      <c r="X1795"/>
      <c r="Y1795"/>
    </row>
    <row r="1796" spans="1:25" ht="14.25" customHeight="1">
      <c r="A1796" s="1145" t="s">
        <v>1180</v>
      </c>
      <c r="B1796" s="436" t="s">
        <v>836</v>
      </c>
      <c r="C1796" s="986">
        <f>CEILING(465*$Z$1,0.1)</f>
        <v>581.3000000000001</v>
      </c>
      <c r="D1796" s="993"/>
      <c r="E1796" s="986">
        <f>CEILING(520*$Z$1,0.1)</f>
        <v>650</v>
      </c>
      <c r="F1796" s="993"/>
      <c r="G1796" s="986">
        <f>CEILING(645*$Z$1,0.1)</f>
        <v>806.3000000000001</v>
      </c>
      <c r="H1796" s="993"/>
      <c r="I1796" s="986">
        <f>CEILING(560*$Z$1,0.1)</f>
        <v>700</v>
      </c>
      <c r="J1796" s="993"/>
      <c r="K1796" s="986">
        <f>CEILING(465*$Z$1,0.1)</f>
        <v>581.3000000000001</v>
      </c>
      <c r="L1796" s="993"/>
      <c r="M1796" s="45"/>
      <c r="N1796" s="45"/>
      <c r="V1796"/>
      <c r="W1796"/>
      <c r="X1796"/>
      <c r="Y1796"/>
    </row>
    <row r="1797" spans="1:25" ht="16.5" customHeight="1">
      <c r="A1797" s="1146"/>
      <c r="B1797" s="436" t="s">
        <v>575</v>
      </c>
      <c r="C1797" s="986">
        <f>CEILING(250*$Z$1,0.1)</f>
        <v>312.5</v>
      </c>
      <c r="D1797" s="993"/>
      <c r="E1797" s="986">
        <f>CEILING(280*$Z$1,0.1)</f>
        <v>350</v>
      </c>
      <c r="F1797" s="993"/>
      <c r="G1797" s="986">
        <f>CEILING(340*$Z$1,0.1)</f>
        <v>425</v>
      </c>
      <c r="H1797" s="993"/>
      <c r="I1797" s="986">
        <f>CEILING(297.5*$Z$1,0.1)</f>
        <v>371.90000000000003</v>
      </c>
      <c r="J1797" s="993"/>
      <c r="K1797" s="986">
        <f>CEILING(250*$Z$1,0.1)</f>
        <v>312.5</v>
      </c>
      <c r="L1797" s="993"/>
      <c r="M1797" s="169"/>
      <c r="V1797"/>
      <c r="W1797"/>
      <c r="X1797"/>
      <c r="Y1797"/>
    </row>
    <row r="1798" spans="1:21" s="541" customFormat="1" ht="14.25" customHeight="1">
      <c r="A1798" s="1147" t="s">
        <v>1183</v>
      </c>
      <c r="B1798" s="436" t="s">
        <v>391</v>
      </c>
      <c r="C1798" s="986">
        <f>CEILING(262.5*$Z$1,0.1)</f>
        <v>328.20000000000005</v>
      </c>
      <c r="D1798" s="993"/>
      <c r="E1798" s="986">
        <f>CEILING(280*$Z$1,0.1)</f>
        <v>350</v>
      </c>
      <c r="F1798" s="993"/>
      <c r="G1798" s="986">
        <f>CEILING(350*$Z$1,0.1)</f>
        <v>437.5</v>
      </c>
      <c r="H1798" s="993"/>
      <c r="I1798" s="986">
        <f>CEILING(310*$Z$1,0.1)</f>
        <v>387.5</v>
      </c>
      <c r="J1798" s="993"/>
      <c r="K1798" s="986">
        <f>CEILING(262.5*$Z$1,0.1)</f>
        <v>328.20000000000005</v>
      </c>
      <c r="L1798" s="993"/>
      <c r="M1798" s="540"/>
      <c r="N1798" s="540"/>
      <c r="O1798" s="540"/>
      <c r="P1798" s="540"/>
      <c r="Q1798" s="540"/>
      <c r="R1798" s="540"/>
      <c r="S1798" s="540"/>
      <c r="T1798" s="540"/>
      <c r="U1798" s="540"/>
    </row>
    <row r="1799" spans="1:25" ht="17.25" customHeight="1">
      <c r="A1799" s="743" t="s">
        <v>1182</v>
      </c>
      <c r="B1799" s="11" t="s">
        <v>392</v>
      </c>
      <c r="C1799" s="986">
        <f>CEILING(525*$Z$1,0.1)</f>
        <v>656.3000000000001</v>
      </c>
      <c r="D1799" s="993"/>
      <c r="E1799" s="986">
        <f>CEILING(560*$Z$1,0.1)</f>
        <v>700</v>
      </c>
      <c r="F1799" s="993"/>
      <c r="G1799" s="986">
        <f>CEILING(700*$Z$1,0.1)</f>
        <v>875</v>
      </c>
      <c r="H1799" s="993"/>
      <c r="I1799" s="986">
        <f>CEILING(620*$Z$1,0.1)</f>
        <v>775</v>
      </c>
      <c r="J1799" s="993"/>
      <c r="K1799" s="986">
        <f>CEILING(525*$Z$1,0.1)</f>
        <v>656.3000000000001</v>
      </c>
      <c r="L1799" s="993"/>
      <c r="M1799" s="169"/>
      <c r="V1799"/>
      <c r="W1799"/>
      <c r="X1799"/>
      <c r="Y1799"/>
    </row>
    <row r="1800" spans="1:25" ht="14.25" customHeight="1">
      <c r="A1800" s="432"/>
      <c r="B1800" s="436" t="s">
        <v>393</v>
      </c>
      <c r="C1800" s="986">
        <f>CEILING(505*$Z$1,0.1)</f>
        <v>631.3000000000001</v>
      </c>
      <c r="D1800" s="993"/>
      <c r="E1800" s="986">
        <f>CEILING(535*$Z$1,0.1)</f>
        <v>668.8000000000001</v>
      </c>
      <c r="F1800" s="993"/>
      <c r="G1800" s="986">
        <f>CEILING(600*$Z$1,0.1)</f>
        <v>750</v>
      </c>
      <c r="H1800" s="993"/>
      <c r="I1800" s="986">
        <f>CEILING(555*$Z$1,0.1)</f>
        <v>693.8000000000001</v>
      </c>
      <c r="J1800" s="993"/>
      <c r="K1800" s="986">
        <f>CEILING(505*$Z$1,0.1)</f>
        <v>631.3000000000001</v>
      </c>
      <c r="L1800" s="993"/>
      <c r="M1800" s="169"/>
      <c r="V1800"/>
      <c r="W1800"/>
      <c r="X1800"/>
      <c r="Y1800"/>
    </row>
    <row r="1801" spans="1:25" ht="16.5" customHeight="1">
      <c r="A1801" s="432"/>
      <c r="B1801" s="436" t="s">
        <v>394</v>
      </c>
      <c r="C1801" s="986">
        <f>CEILING(1010*$Z$1,0.1)</f>
        <v>1262.5</v>
      </c>
      <c r="D1801" s="993"/>
      <c r="E1801" s="986">
        <f>CEILING(1070*$Z$1,0.1)</f>
        <v>1337.5</v>
      </c>
      <c r="F1801" s="993"/>
      <c r="G1801" s="986">
        <f>CEILING(1200*$Z$1,0.1)</f>
        <v>1500</v>
      </c>
      <c r="H1801" s="993"/>
      <c r="I1801" s="986">
        <f>CEILING(1110*$Z$1,0.1)</f>
        <v>1387.5</v>
      </c>
      <c r="J1801" s="993"/>
      <c r="K1801" s="986">
        <f>CEILING(1010*$Z$1,0.1)</f>
        <v>1262.5</v>
      </c>
      <c r="L1801" s="993"/>
      <c r="M1801" s="169"/>
      <c r="V1801"/>
      <c r="W1801"/>
      <c r="X1801"/>
      <c r="Y1801"/>
    </row>
    <row r="1802" spans="1:25" ht="16.5" customHeight="1">
      <c r="A1802" s="432"/>
      <c r="B1802" s="11" t="s">
        <v>395</v>
      </c>
      <c r="C1802" s="1061">
        <v>0</v>
      </c>
      <c r="D1802" s="1062"/>
      <c r="E1802" s="1061">
        <v>0</v>
      </c>
      <c r="F1802" s="1062"/>
      <c r="G1802" s="1061">
        <v>0</v>
      </c>
      <c r="H1802" s="1062"/>
      <c r="I1802" s="1061">
        <v>0</v>
      </c>
      <c r="J1802" s="1062"/>
      <c r="K1802" s="1061">
        <v>0</v>
      </c>
      <c r="L1802" s="1062"/>
      <c r="M1802" s="169"/>
      <c r="V1802"/>
      <c r="W1802"/>
      <c r="X1802"/>
      <c r="Y1802"/>
    </row>
    <row r="1803" spans="1:25" ht="16.5" customHeight="1">
      <c r="A1803" s="432"/>
      <c r="B1803" s="11" t="s">
        <v>1219</v>
      </c>
      <c r="C1803" s="986">
        <f>CEILING(45*$Z$1,0.1)</f>
        <v>56.300000000000004</v>
      </c>
      <c r="D1803" s="993"/>
      <c r="E1803" s="986">
        <f>CEILING(45*$Z$1,0.1)</f>
        <v>56.300000000000004</v>
      </c>
      <c r="F1803" s="993"/>
      <c r="G1803" s="986">
        <f>CEILING(45*$Z$1,0.1)</f>
        <v>56.300000000000004</v>
      </c>
      <c r="H1803" s="993"/>
      <c r="I1803" s="986">
        <f>CEILING(45*$Z$1,0.1)</f>
        <v>56.300000000000004</v>
      </c>
      <c r="J1803" s="993"/>
      <c r="K1803" s="986">
        <f>CEILING(45*$Z$1,0.1)</f>
        <v>56.300000000000004</v>
      </c>
      <c r="L1803" s="993"/>
      <c r="M1803" s="169"/>
      <c r="V1803"/>
      <c r="W1803"/>
      <c r="X1803"/>
      <c r="Y1803"/>
    </row>
    <row r="1804" spans="1:25" ht="16.5" customHeight="1" thickBot="1">
      <c r="A1804" s="438" t="s">
        <v>856</v>
      </c>
      <c r="B1804" s="617" t="s">
        <v>79</v>
      </c>
      <c r="C1804" s="994">
        <f>CEILING(90*$Z$1,0.1)</f>
        <v>112.5</v>
      </c>
      <c r="D1804" s="995"/>
      <c r="E1804" s="994">
        <f>CEILING(90*$Z$1,0.1)</f>
        <v>112.5</v>
      </c>
      <c r="F1804" s="995"/>
      <c r="G1804" s="994">
        <f>CEILING(90*$Z$1,0.1)</f>
        <v>112.5</v>
      </c>
      <c r="H1804" s="995"/>
      <c r="I1804" s="994">
        <f>CEILING(90*$Z$1,0.1)</f>
        <v>112.5</v>
      </c>
      <c r="J1804" s="995"/>
      <c r="K1804" s="994">
        <f>CEILING(90*$Z$1,0.1)</f>
        <v>112.5</v>
      </c>
      <c r="L1804" s="995"/>
      <c r="M1804" s="169"/>
      <c r="V1804"/>
      <c r="W1804"/>
      <c r="X1804"/>
      <c r="Y1804"/>
    </row>
    <row r="1805" spans="1:21" s="957" customFormat="1" ht="17.25" customHeight="1" thickTop="1">
      <c r="A1805" s="1271" t="s">
        <v>396</v>
      </c>
      <c r="B1805" s="1271"/>
      <c r="C1805" s="1272"/>
      <c r="D1805" s="1272"/>
      <c r="E1805" s="1271"/>
      <c r="F1805" s="1271"/>
      <c r="G1805" s="1272"/>
      <c r="H1805" s="1272"/>
      <c r="I1805" s="173"/>
      <c r="J1805" s="732"/>
      <c r="K1805" s="279"/>
      <c r="L1805" s="279"/>
      <c r="M1805" s="956"/>
      <c r="N1805" s="956"/>
      <c r="O1805" s="956"/>
      <c r="P1805" s="956"/>
      <c r="Q1805" s="956"/>
      <c r="R1805" s="956"/>
      <c r="S1805" s="956"/>
      <c r="T1805" s="956"/>
      <c r="U1805" s="956"/>
    </row>
    <row r="1806" spans="1:25" ht="15.75" customHeight="1">
      <c r="A1806" s="440" t="s">
        <v>397</v>
      </c>
      <c r="B1806" s="441"/>
      <c r="C1806" s="441"/>
      <c r="D1806" s="441"/>
      <c r="E1806" s="441"/>
      <c r="F1806" s="441"/>
      <c r="G1806" s="441"/>
      <c r="H1806" s="441"/>
      <c r="I1806" s="173"/>
      <c r="J1806" s="331"/>
      <c r="K1806" s="279"/>
      <c r="L1806" s="279"/>
      <c r="M1806" s="169"/>
      <c r="V1806"/>
      <c r="W1806"/>
      <c r="X1806"/>
      <c r="Y1806"/>
    </row>
    <row r="1807" spans="1:25" ht="17.25" customHeight="1">
      <c r="A1807" s="556" t="s">
        <v>837</v>
      </c>
      <c r="B1807" s="557"/>
      <c r="C1807" s="557"/>
      <c r="D1807" s="557"/>
      <c r="E1807" s="557"/>
      <c r="F1807" s="557"/>
      <c r="G1807" s="441"/>
      <c r="H1807" s="441"/>
      <c r="I1807" s="173"/>
      <c r="J1807" s="331"/>
      <c r="K1807" s="279"/>
      <c r="L1807" s="279"/>
      <c r="M1807" s="169"/>
      <c r="V1807"/>
      <c r="W1807"/>
      <c r="X1807"/>
      <c r="Y1807"/>
    </row>
    <row r="1808" spans="1:21" s="479" customFormat="1" ht="17.25" customHeight="1">
      <c r="A1808" s="556"/>
      <c r="B1808" s="557"/>
      <c r="C1808" s="557"/>
      <c r="D1808" s="557"/>
      <c r="E1808" s="557"/>
      <c r="F1808" s="557"/>
      <c r="G1808" s="441"/>
      <c r="H1808" s="441"/>
      <c r="I1808" s="173"/>
      <c r="J1808" s="331"/>
      <c r="K1808" s="279"/>
      <c r="L1808" s="279"/>
      <c r="M1808" s="480"/>
      <c r="N1808" s="480"/>
      <c r="O1808" s="480"/>
      <c r="P1808" s="480"/>
      <c r="Q1808" s="480"/>
      <c r="R1808" s="480"/>
      <c r="S1808" s="480"/>
      <c r="T1808" s="480"/>
      <c r="U1808" s="480"/>
    </row>
    <row r="1809" spans="1:21" s="479" customFormat="1" ht="32.25" customHeight="1">
      <c r="A1809" s="1040" t="s">
        <v>43</v>
      </c>
      <c r="B1809" s="1054" t="s">
        <v>1172</v>
      </c>
      <c r="C1809" s="1468" t="s">
        <v>1277</v>
      </c>
      <c r="D1809" s="1481"/>
      <c r="E1809" s="1456" t="s">
        <v>1278</v>
      </c>
      <c r="F1809" s="1457"/>
      <c r="G1809" s="1456" t="s">
        <v>1279</v>
      </c>
      <c r="H1809" s="1457"/>
      <c r="I1809" s="173"/>
      <c r="J1809" s="331"/>
      <c r="K1809" s="279"/>
      <c r="L1809" s="279"/>
      <c r="M1809" s="480"/>
      <c r="N1809" s="480"/>
      <c r="O1809" s="480"/>
      <c r="P1809" s="480"/>
      <c r="Q1809" s="480"/>
      <c r="R1809" s="480"/>
      <c r="S1809" s="480"/>
      <c r="T1809" s="480"/>
      <c r="U1809" s="480"/>
    </row>
    <row r="1810" spans="1:21" s="479" customFormat="1" ht="17.25" customHeight="1">
      <c r="A1810" s="434" t="s">
        <v>1208</v>
      </c>
      <c r="B1810" s="133" t="s">
        <v>1207</v>
      </c>
      <c r="C1810" s="985">
        <f>CEILING(140*$Z$1,0.1)</f>
        <v>175</v>
      </c>
      <c r="D1810" s="991"/>
      <c r="E1810" s="985">
        <f>CEILING(120*$Z$1,0.1)</f>
        <v>150</v>
      </c>
      <c r="F1810" s="991"/>
      <c r="G1810" s="985">
        <f>CEILING(110*$Z$1,0.1)</f>
        <v>137.5</v>
      </c>
      <c r="H1810" s="991"/>
      <c r="I1810" s="173"/>
      <c r="J1810" s="331"/>
      <c r="K1810" s="279"/>
      <c r="L1810" s="279"/>
      <c r="M1810" s="480"/>
      <c r="N1810" s="480"/>
      <c r="O1810" s="480"/>
      <c r="P1810" s="480"/>
      <c r="Q1810" s="480"/>
      <c r="R1810" s="480"/>
      <c r="S1810" s="480"/>
      <c r="T1810" s="480"/>
      <c r="U1810" s="480"/>
    </row>
    <row r="1811" spans="1:21" s="479" customFormat="1" ht="17.25" customHeight="1">
      <c r="A1811" s="435" t="s">
        <v>45</v>
      </c>
      <c r="B1811" s="436" t="s">
        <v>1209</v>
      </c>
      <c r="C1811" s="986">
        <f>CEILING(280*$Z$1,0.1)</f>
        <v>350</v>
      </c>
      <c r="D1811" s="993"/>
      <c r="E1811" s="986">
        <f>CEILING(240*$Z$1,0.1)</f>
        <v>300</v>
      </c>
      <c r="F1811" s="993"/>
      <c r="G1811" s="986">
        <f>CEILING(220*$Z$1,0.1)</f>
        <v>275</v>
      </c>
      <c r="H1811" s="993"/>
      <c r="I1811" s="173"/>
      <c r="J1811" s="331"/>
      <c r="K1811" s="279"/>
      <c r="L1811" s="279"/>
      <c r="M1811" s="480"/>
      <c r="N1811" s="480"/>
      <c r="O1811" s="480"/>
      <c r="P1811" s="480"/>
      <c r="Q1811" s="480"/>
      <c r="R1811" s="480"/>
      <c r="S1811" s="480"/>
      <c r="T1811" s="480"/>
      <c r="U1811" s="480"/>
    </row>
    <row r="1812" spans="1:21" s="479" customFormat="1" ht="17.25" customHeight="1">
      <c r="A1812" s="432"/>
      <c r="B1812" s="436" t="s">
        <v>1210</v>
      </c>
      <c r="C1812" s="986">
        <f>CEILING(155*$Z$1,0.1)</f>
        <v>193.8</v>
      </c>
      <c r="D1812" s="993"/>
      <c r="E1812" s="986">
        <f>CEILING(135*$Z$1,0.1)</f>
        <v>168.8</v>
      </c>
      <c r="F1812" s="993"/>
      <c r="G1812" s="986">
        <f>CEILING(125*$Z$1,0.1)</f>
        <v>156.3</v>
      </c>
      <c r="H1812" s="993"/>
      <c r="I1812" s="173"/>
      <c r="J1812" s="331"/>
      <c r="K1812" s="279"/>
      <c r="L1812" s="279"/>
      <c r="M1812" s="480"/>
      <c r="N1812" s="480"/>
      <c r="O1812" s="480"/>
      <c r="P1812" s="480"/>
      <c r="Q1812" s="480"/>
      <c r="R1812" s="480"/>
      <c r="S1812" s="480"/>
      <c r="T1812" s="480"/>
      <c r="U1812" s="480"/>
    </row>
    <row r="1813" spans="1:21" s="479" customFormat="1" ht="17.25" customHeight="1">
      <c r="A1813" s="432"/>
      <c r="B1813" s="436" t="s">
        <v>1211</v>
      </c>
      <c r="C1813" s="986">
        <f>CEILING(310*$Z$1,0.1)</f>
        <v>387.5</v>
      </c>
      <c r="D1813" s="993"/>
      <c r="E1813" s="986">
        <f>CEILING(270*$Z$1,0.1)</f>
        <v>337.5</v>
      </c>
      <c r="F1813" s="993"/>
      <c r="G1813" s="986">
        <f>CEILING(250*$Z$1,0.1)</f>
        <v>312.5</v>
      </c>
      <c r="H1813" s="993"/>
      <c r="I1813" s="173"/>
      <c r="J1813" s="331"/>
      <c r="K1813" s="279"/>
      <c r="L1813" s="279"/>
      <c r="M1813" s="480"/>
      <c r="N1813" s="480"/>
      <c r="O1813" s="480"/>
      <c r="P1813" s="480"/>
      <c r="Q1813" s="480"/>
      <c r="R1813" s="480"/>
      <c r="S1813" s="480"/>
      <c r="T1813" s="480"/>
      <c r="U1813" s="480"/>
    </row>
    <row r="1814" spans="1:21" s="479" customFormat="1" ht="17.25" customHeight="1">
      <c r="A1814" s="437"/>
      <c r="B1814" s="436" t="s">
        <v>1212</v>
      </c>
      <c r="C1814" s="986">
        <f>CEILING(170*$Z$1,0.1)</f>
        <v>212.5</v>
      </c>
      <c r="D1814" s="993"/>
      <c r="E1814" s="986">
        <f>CEILING(150*$Z$1,0.1)</f>
        <v>187.5</v>
      </c>
      <c r="F1814" s="993"/>
      <c r="G1814" s="986">
        <f>CEILING(140*$Z$1,0.1)</f>
        <v>175</v>
      </c>
      <c r="H1814" s="993"/>
      <c r="I1814" s="173"/>
      <c r="J1814" s="331"/>
      <c r="K1814" s="279"/>
      <c r="L1814" s="279"/>
      <c r="M1814" s="480"/>
      <c r="N1814" s="480"/>
      <c r="O1814" s="480"/>
      <c r="P1814" s="480"/>
      <c r="Q1814" s="480"/>
      <c r="R1814" s="480"/>
      <c r="S1814" s="480"/>
      <c r="T1814" s="480"/>
      <c r="U1814" s="480"/>
    </row>
    <row r="1815" spans="1:21" s="479" customFormat="1" ht="17.25" customHeight="1">
      <c r="A1815" s="1145" t="s">
        <v>876</v>
      </c>
      <c r="B1815" s="436" t="s">
        <v>1213</v>
      </c>
      <c r="C1815" s="986">
        <f>CEILING(340*$Z$1,0.1)</f>
        <v>425</v>
      </c>
      <c r="D1815" s="993"/>
      <c r="E1815" s="986">
        <f>CEILING(300*$Z$1,0.1)</f>
        <v>375</v>
      </c>
      <c r="F1815" s="993"/>
      <c r="G1815" s="986">
        <f>CEILING(280*$Z$1,0.1)</f>
        <v>350</v>
      </c>
      <c r="H1815" s="993"/>
      <c r="I1815" s="173"/>
      <c r="J1815" s="331"/>
      <c r="K1815" s="279"/>
      <c r="L1815" s="279"/>
      <c r="M1815" s="480"/>
      <c r="N1815" s="480"/>
      <c r="O1815" s="480"/>
      <c r="P1815" s="480"/>
      <c r="Q1815" s="480"/>
      <c r="R1815" s="480"/>
      <c r="S1815" s="480"/>
      <c r="T1815" s="480"/>
      <c r="U1815" s="480"/>
    </row>
    <row r="1816" spans="1:21" s="479" customFormat="1" ht="17.25" customHeight="1">
      <c r="A1816" s="1145" t="s">
        <v>1178</v>
      </c>
      <c r="B1816" s="436" t="s">
        <v>1214</v>
      </c>
      <c r="C1816" s="986">
        <f>CEILING(185*$Z$1,0.1)</f>
        <v>231.3</v>
      </c>
      <c r="D1816" s="993"/>
      <c r="E1816" s="986">
        <f>CEILING(165*$Z$1,0.1)</f>
        <v>206.3</v>
      </c>
      <c r="F1816" s="993"/>
      <c r="G1816" s="986">
        <f>CEILING(155*$Z$1,0.1)</f>
        <v>193.8</v>
      </c>
      <c r="H1816" s="993"/>
      <c r="I1816" s="173"/>
      <c r="J1816" s="331"/>
      <c r="K1816" s="279"/>
      <c r="L1816" s="279"/>
      <c r="M1816" s="480"/>
      <c r="N1816" s="480"/>
      <c r="O1816" s="480"/>
      <c r="P1816" s="480"/>
      <c r="Q1816" s="480"/>
      <c r="R1816" s="480"/>
      <c r="S1816" s="480"/>
      <c r="T1816" s="480"/>
      <c r="U1816" s="480"/>
    </row>
    <row r="1817" spans="1:21" s="479" customFormat="1" ht="17.25" customHeight="1">
      <c r="A1817" s="1145" t="s">
        <v>1181</v>
      </c>
      <c r="B1817" s="436" t="s">
        <v>1215</v>
      </c>
      <c r="C1817" s="986">
        <f>CEILING(370*$Z$1,0.1)</f>
        <v>462.5</v>
      </c>
      <c r="D1817" s="993"/>
      <c r="E1817" s="986">
        <f>CEILING(330*$Z$1,0.1)</f>
        <v>412.5</v>
      </c>
      <c r="F1817" s="993"/>
      <c r="G1817" s="986">
        <f>CEILING(310*$Z$1,0.1)</f>
        <v>387.5</v>
      </c>
      <c r="H1817" s="993"/>
      <c r="I1817" s="173"/>
      <c r="J1817" s="331"/>
      <c r="K1817" s="279"/>
      <c r="L1817" s="279"/>
      <c r="M1817" s="480"/>
      <c r="N1817" s="480"/>
      <c r="O1817" s="480"/>
      <c r="P1817" s="480"/>
      <c r="Q1817" s="480"/>
      <c r="R1817" s="480"/>
      <c r="S1817" s="480"/>
      <c r="T1817" s="480"/>
      <c r="U1817" s="480"/>
    </row>
    <row r="1818" spans="1:21" s="479" customFormat="1" ht="17.25" customHeight="1">
      <c r="A1818" s="1145" t="s">
        <v>1179</v>
      </c>
      <c r="B1818" s="436" t="s">
        <v>364</v>
      </c>
      <c r="C1818" s="986">
        <f>CEILING(200*$Z$1,0.1)</f>
        <v>250</v>
      </c>
      <c r="D1818" s="993"/>
      <c r="E1818" s="986">
        <f>CEILING(180*$Z$1,0.1)</f>
        <v>225</v>
      </c>
      <c r="F1818" s="993"/>
      <c r="G1818" s="986">
        <f>CEILING(170*$Z$1,0.1)</f>
        <v>212.5</v>
      </c>
      <c r="H1818" s="993"/>
      <c r="I1818" s="173"/>
      <c r="J1818" s="331"/>
      <c r="K1818" s="279"/>
      <c r="L1818" s="279"/>
      <c r="M1818" s="480"/>
      <c r="N1818" s="480"/>
      <c r="O1818" s="480"/>
      <c r="P1818" s="480"/>
      <c r="Q1818" s="480"/>
      <c r="R1818" s="480"/>
      <c r="S1818" s="480"/>
      <c r="T1818" s="480"/>
      <c r="U1818" s="480"/>
    </row>
    <row r="1819" spans="1:21" s="479" customFormat="1" ht="17.25" customHeight="1">
      <c r="A1819" s="1145" t="s">
        <v>1180</v>
      </c>
      <c r="B1819" s="436" t="s">
        <v>747</v>
      </c>
      <c r="C1819" s="986">
        <f>CEILING(400*$Z$1,0.1)</f>
        <v>500</v>
      </c>
      <c r="D1819" s="993"/>
      <c r="E1819" s="986">
        <f>CEILING(360*$Z$1,0.1)</f>
        <v>450</v>
      </c>
      <c r="F1819" s="993"/>
      <c r="G1819" s="986">
        <f>CEILING(340*$Z$1,0.1)</f>
        <v>425</v>
      </c>
      <c r="H1819" s="993"/>
      <c r="I1819" s="173"/>
      <c r="J1819" s="331"/>
      <c r="K1819" s="279"/>
      <c r="L1819" s="279"/>
      <c r="M1819" s="480"/>
      <c r="N1819" s="480"/>
      <c r="O1819" s="480"/>
      <c r="P1819" s="480"/>
      <c r="Q1819" s="480"/>
      <c r="R1819" s="480"/>
      <c r="S1819" s="480"/>
      <c r="T1819" s="480"/>
      <c r="U1819" s="480"/>
    </row>
    <row r="1820" spans="1:21" s="479" customFormat="1" ht="17.25" customHeight="1">
      <c r="A1820" s="1146"/>
      <c r="B1820" s="436" t="s">
        <v>1216</v>
      </c>
      <c r="C1820" s="986">
        <f>CEILING(265*$Z$1,0.1)</f>
        <v>331.3</v>
      </c>
      <c r="D1820" s="993"/>
      <c r="E1820" s="986">
        <f>CEILING(235*$Z$1,0.1)</f>
        <v>293.8</v>
      </c>
      <c r="F1820" s="993"/>
      <c r="G1820" s="986">
        <f>CEILING(220*$Z$1,0.1)</f>
        <v>275</v>
      </c>
      <c r="H1820" s="993"/>
      <c r="I1820" s="173"/>
      <c r="J1820" s="331"/>
      <c r="K1820" s="279"/>
      <c r="L1820" s="279"/>
      <c r="M1820" s="480"/>
      <c r="N1820" s="480"/>
      <c r="O1820" s="480"/>
      <c r="P1820" s="480"/>
      <c r="Q1820" s="480"/>
      <c r="R1820" s="480"/>
      <c r="S1820" s="480"/>
      <c r="T1820" s="480"/>
      <c r="U1820" s="480"/>
    </row>
    <row r="1821" spans="1:21" s="479" customFormat="1" ht="17.25" customHeight="1">
      <c r="A1821" s="1147" t="s">
        <v>1183</v>
      </c>
      <c r="B1821" s="436" t="s">
        <v>1217</v>
      </c>
      <c r="C1821" s="986">
        <f>CEILING(530*$Z$1,0.1)</f>
        <v>662.5</v>
      </c>
      <c r="D1821" s="993"/>
      <c r="E1821" s="986">
        <f>CEILING(470*$Z$1,0.1)</f>
        <v>587.5</v>
      </c>
      <c r="F1821" s="993"/>
      <c r="G1821" s="986">
        <f>CEILING(440*$Z$1,0.1)</f>
        <v>550</v>
      </c>
      <c r="H1821" s="993"/>
      <c r="I1821" s="173"/>
      <c r="J1821" s="331"/>
      <c r="K1821" s="279"/>
      <c r="L1821" s="279"/>
      <c r="M1821" s="480"/>
      <c r="N1821" s="480"/>
      <c r="O1821" s="480"/>
      <c r="P1821" s="480"/>
      <c r="Q1821" s="480"/>
      <c r="R1821" s="480"/>
      <c r="S1821" s="480"/>
      <c r="T1821" s="480"/>
      <c r="U1821" s="480"/>
    </row>
    <row r="1822" spans="1:21" s="479" customFormat="1" ht="17.25" customHeight="1">
      <c r="A1822" s="743" t="s">
        <v>1182</v>
      </c>
      <c r="B1822" s="11" t="s">
        <v>1218</v>
      </c>
      <c r="C1822" s="986"/>
      <c r="D1822" s="993"/>
      <c r="E1822" s="986"/>
      <c r="F1822" s="993"/>
      <c r="G1822" s="986"/>
      <c r="H1822" s="993"/>
      <c r="I1822" s="173"/>
      <c r="J1822" s="331"/>
      <c r="K1822" s="279"/>
      <c r="L1822" s="279"/>
      <c r="M1822" s="480"/>
      <c r="N1822" s="480"/>
      <c r="O1822" s="480"/>
      <c r="P1822" s="480"/>
      <c r="Q1822" s="480"/>
      <c r="R1822" s="480"/>
      <c r="S1822" s="480"/>
      <c r="T1822" s="480"/>
      <c r="U1822" s="480"/>
    </row>
    <row r="1823" spans="1:21" s="479" customFormat="1" ht="17.25" customHeight="1">
      <c r="A1823" s="432"/>
      <c r="B1823" s="11" t="s">
        <v>395</v>
      </c>
      <c r="C1823" s="1061">
        <v>0</v>
      </c>
      <c r="D1823" s="1062"/>
      <c r="E1823" s="1061">
        <v>0</v>
      </c>
      <c r="F1823" s="1062"/>
      <c r="G1823" s="1061">
        <v>0</v>
      </c>
      <c r="H1823" s="1062"/>
      <c r="I1823" s="173"/>
      <c r="J1823" s="331"/>
      <c r="K1823" s="279"/>
      <c r="L1823" s="279"/>
      <c r="M1823" s="480"/>
      <c r="N1823" s="480"/>
      <c r="O1823" s="480"/>
      <c r="P1823" s="480"/>
      <c r="Q1823" s="480"/>
      <c r="R1823" s="480"/>
      <c r="S1823" s="480"/>
      <c r="T1823" s="480"/>
      <c r="U1823" s="480"/>
    </row>
    <row r="1824" spans="1:21" s="479" customFormat="1" ht="17.25" customHeight="1">
      <c r="A1824" s="432"/>
      <c r="B1824" s="11" t="s">
        <v>1219</v>
      </c>
      <c r="C1824" s="986">
        <f>CEILING(35*$Z$1,0.1)</f>
        <v>43.800000000000004</v>
      </c>
      <c r="D1824" s="993"/>
      <c r="E1824" s="986">
        <f>CEILING(35*$Z$1,0.1)</f>
        <v>43.800000000000004</v>
      </c>
      <c r="F1824" s="993"/>
      <c r="G1824" s="986">
        <f>CEILING(35*$Z$1,0.1)</f>
        <v>43.800000000000004</v>
      </c>
      <c r="H1824" s="993"/>
      <c r="I1824" s="173"/>
      <c r="J1824" s="331"/>
      <c r="K1824" s="279"/>
      <c r="L1824" s="279"/>
      <c r="M1824" s="480"/>
      <c r="N1824" s="480"/>
      <c r="O1824" s="480"/>
      <c r="P1824" s="480"/>
      <c r="Q1824" s="480"/>
      <c r="R1824" s="480"/>
      <c r="S1824" s="480"/>
      <c r="T1824" s="480"/>
      <c r="U1824" s="480"/>
    </row>
    <row r="1825" spans="1:21" s="479" customFormat="1" ht="17.25" customHeight="1" thickBot="1">
      <c r="A1825" s="438" t="s">
        <v>856</v>
      </c>
      <c r="B1825" s="617" t="s">
        <v>79</v>
      </c>
      <c r="C1825" s="994">
        <f>CEILING(70*$Z$1,0.1)</f>
        <v>87.5</v>
      </c>
      <c r="D1825" s="995"/>
      <c r="E1825" s="994">
        <f>CEILING(70*$Z$1,0.1)</f>
        <v>87.5</v>
      </c>
      <c r="F1825" s="995"/>
      <c r="G1825" s="994">
        <f>CEILING(70*$Z$1,0.1)</f>
        <v>87.5</v>
      </c>
      <c r="H1825" s="995"/>
      <c r="I1825" s="173"/>
      <c r="J1825" s="331"/>
      <c r="K1825" s="279"/>
      <c r="L1825" s="279"/>
      <c r="M1825" s="480"/>
      <c r="N1825" s="480"/>
      <c r="O1825" s="480"/>
      <c r="P1825" s="480"/>
      <c r="Q1825" s="480"/>
      <c r="R1825" s="480"/>
      <c r="S1825" s="480"/>
      <c r="T1825" s="480"/>
      <c r="U1825" s="480"/>
    </row>
    <row r="1826" spans="1:21" s="479" customFormat="1" ht="17.25" customHeight="1" thickTop="1">
      <c r="A1826" s="556"/>
      <c r="B1826" s="557"/>
      <c r="C1826" s="557"/>
      <c r="D1826" s="557"/>
      <c r="E1826" s="557"/>
      <c r="F1826" s="557"/>
      <c r="G1826" s="441"/>
      <c r="H1826" s="441"/>
      <c r="I1826" s="173"/>
      <c r="J1826" s="331"/>
      <c r="K1826" s="279"/>
      <c r="L1826" s="279"/>
      <c r="M1826" s="480"/>
      <c r="N1826" s="480"/>
      <c r="O1826" s="480"/>
      <c r="P1826" s="480"/>
      <c r="Q1826" s="480"/>
      <c r="R1826" s="480"/>
      <c r="S1826" s="480"/>
      <c r="T1826" s="480"/>
      <c r="U1826" s="480"/>
    </row>
    <row r="1827" spans="1:21" s="479" customFormat="1" ht="15.75" customHeight="1">
      <c r="A1827" s="440" t="s">
        <v>397</v>
      </c>
      <c r="B1827" s="441"/>
      <c r="C1827" s="441"/>
      <c r="D1827" s="441"/>
      <c r="E1827" s="441"/>
      <c r="F1827" s="441"/>
      <c r="G1827" s="441"/>
      <c r="H1827" s="441"/>
      <c r="I1827" s="173"/>
      <c r="J1827" s="331"/>
      <c r="K1827" s="279"/>
      <c r="L1827" s="279"/>
      <c r="M1827" s="480"/>
      <c r="N1827" s="480"/>
      <c r="O1827" s="480"/>
      <c r="P1827" s="480"/>
      <c r="Q1827" s="480"/>
      <c r="R1827" s="480"/>
      <c r="S1827" s="480"/>
      <c r="T1827" s="480"/>
      <c r="U1827" s="480"/>
    </row>
    <row r="1828" spans="1:21" s="479" customFormat="1" ht="17.25" customHeight="1">
      <c r="A1828" s="556" t="s">
        <v>1220</v>
      </c>
      <c r="B1828" s="557"/>
      <c r="C1828" s="557"/>
      <c r="D1828" s="557"/>
      <c r="E1828" s="557"/>
      <c r="F1828" s="557"/>
      <c r="G1828" s="441"/>
      <c r="H1828" s="441"/>
      <c r="I1828" s="173"/>
      <c r="J1828" s="331"/>
      <c r="K1828" s="279"/>
      <c r="L1828" s="279"/>
      <c r="M1828" s="480"/>
      <c r="N1828" s="480"/>
      <c r="O1828" s="480"/>
      <c r="P1828" s="480"/>
      <c r="Q1828" s="480"/>
      <c r="R1828" s="480"/>
      <c r="S1828" s="480"/>
      <c r="T1828" s="480"/>
      <c r="U1828" s="480"/>
    </row>
    <row r="1829" spans="1:21" s="479" customFormat="1" ht="17.25" customHeight="1">
      <c r="A1829" s="556"/>
      <c r="B1829" s="557"/>
      <c r="C1829" s="557"/>
      <c r="D1829" s="557"/>
      <c r="E1829" s="557"/>
      <c r="F1829" s="557"/>
      <c r="G1829" s="441"/>
      <c r="H1829" s="441"/>
      <c r="I1829" s="173"/>
      <c r="J1829" s="331"/>
      <c r="K1829" s="279"/>
      <c r="L1829" s="279"/>
      <c r="M1829" s="480"/>
      <c r="N1829" s="480"/>
      <c r="O1829" s="480"/>
      <c r="P1829" s="480"/>
      <c r="Q1829" s="480"/>
      <c r="R1829" s="480"/>
      <c r="S1829" s="480"/>
      <c r="T1829" s="480"/>
      <c r="U1829" s="480"/>
    </row>
    <row r="1830" spans="1:12" s="1060" customFormat="1" ht="16.5" customHeight="1" thickBot="1">
      <c r="A1830" s="1055"/>
      <c r="B1830" s="1055"/>
      <c r="C1830" s="1055"/>
      <c r="D1830" s="1055"/>
      <c r="E1830" s="1056"/>
      <c r="F1830" s="1056"/>
      <c r="G1830" s="1056"/>
      <c r="H1830" s="1056"/>
      <c r="I1830" s="1057"/>
      <c r="J1830" s="1058"/>
      <c r="K1830" s="1059"/>
      <c r="L1830" s="1059"/>
    </row>
    <row r="1831" spans="1:25" ht="15.75" thickTop="1">
      <c r="A1831" s="1226" t="s">
        <v>43</v>
      </c>
      <c r="B1831" s="1227"/>
      <c r="C1831" s="1465" t="s">
        <v>1292</v>
      </c>
      <c r="D1831" s="1466"/>
      <c r="E1831" s="1463"/>
      <c r="F1831" s="1464"/>
      <c r="G1831" s="1464"/>
      <c r="H1831" s="1464"/>
      <c r="I1831" s="210"/>
      <c r="J1831" s="210"/>
      <c r="K1831" s="539"/>
      <c r="L1831" s="539"/>
      <c r="M1831" s="169"/>
      <c r="V1831"/>
      <c r="W1831"/>
      <c r="X1831"/>
      <c r="Y1831"/>
    </row>
    <row r="1832" spans="1:25" ht="15">
      <c r="A1832" s="1228"/>
      <c r="B1832" s="1233" t="s">
        <v>1307</v>
      </c>
      <c r="C1832" s="1229" t="s">
        <v>101</v>
      </c>
      <c r="D1832" s="1230" t="s">
        <v>103</v>
      </c>
      <c r="E1832" s="351"/>
      <c r="F1832" s="349"/>
      <c r="G1832" s="349"/>
      <c r="H1832" s="349"/>
      <c r="I1832" s="15"/>
      <c r="J1832" s="15"/>
      <c r="K1832" s="166"/>
      <c r="L1832" s="314"/>
      <c r="M1832" s="169"/>
      <c r="V1832"/>
      <c r="W1832"/>
      <c r="X1832"/>
      <c r="Y1832"/>
    </row>
    <row r="1833" spans="1:21" s="541" customFormat="1" ht="15">
      <c r="A1833" s="98" t="s">
        <v>155</v>
      </c>
      <c r="B1833" s="133" t="s">
        <v>156</v>
      </c>
      <c r="C1833" s="1231">
        <f>CEILING(258*$Z$1,0.1)</f>
        <v>322.5</v>
      </c>
      <c r="D1833" s="1231"/>
      <c r="E1833" s="1205"/>
      <c r="F1833" s="390"/>
      <c r="G1833" s="390"/>
      <c r="H1833" s="390"/>
      <c r="I1833" s="3"/>
      <c r="J1833" s="3"/>
      <c r="K1833" s="166"/>
      <c r="L1833" s="314"/>
      <c r="M1833" s="540"/>
      <c r="N1833" s="540"/>
      <c r="O1833" s="540"/>
      <c r="P1833" s="540"/>
      <c r="Q1833" s="540"/>
      <c r="R1833" s="540"/>
      <c r="S1833" s="540"/>
      <c r="T1833" s="540"/>
      <c r="U1833" s="540"/>
    </row>
    <row r="1834" spans="1:21" s="541" customFormat="1" ht="15">
      <c r="A1834" s="28" t="s">
        <v>45</v>
      </c>
      <c r="B1834" s="11" t="s">
        <v>157</v>
      </c>
      <c r="C1834" s="1232">
        <f>CEILING(258*$Z$1,0.1)</f>
        <v>322.5</v>
      </c>
      <c r="D1834" s="1232"/>
      <c r="E1834" s="1205"/>
      <c r="F1834" s="390"/>
      <c r="G1834" s="390"/>
      <c r="H1834" s="390"/>
      <c r="I1834" s="3"/>
      <c r="J1834" s="3"/>
      <c r="K1834" s="166"/>
      <c r="L1834" s="314"/>
      <c r="M1834" s="540"/>
      <c r="N1834" s="540"/>
      <c r="O1834" s="540"/>
      <c r="P1834" s="540"/>
      <c r="Q1834" s="540"/>
      <c r="R1834" s="540"/>
      <c r="S1834" s="540"/>
      <c r="T1834" s="540"/>
      <c r="U1834" s="540"/>
    </row>
    <row r="1835" spans="1:25" ht="15">
      <c r="A1835" s="35"/>
      <c r="B1835" s="11" t="s">
        <v>345</v>
      </c>
      <c r="C1835" s="1232">
        <f>CEILING(346*$Z$1,0.1)</f>
        <v>432.5</v>
      </c>
      <c r="D1835" s="1234"/>
      <c r="E1835" s="1205"/>
      <c r="F1835" s="390"/>
      <c r="G1835" s="390"/>
      <c r="H1835" s="390"/>
      <c r="I1835" s="3"/>
      <c r="J1835" s="3"/>
      <c r="K1835" s="166"/>
      <c r="L1835" s="314"/>
      <c r="M1835" s="169"/>
      <c r="X1835"/>
      <c r="Y1835"/>
    </row>
    <row r="1836" spans="1:13" ht="15">
      <c r="A1836" s="35"/>
      <c r="B1836" s="11" t="s">
        <v>346</v>
      </c>
      <c r="C1836" s="1232">
        <f>CEILING(346*$Z$1,0.1)</f>
        <v>432.5</v>
      </c>
      <c r="D1836" s="1234"/>
      <c r="E1836" s="1205"/>
      <c r="F1836" s="390"/>
      <c r="G1836" s="390"/>
      <c r="H1836" s="390"/>
      <c r="I1836" s="3"/>
      <c r="J1836" s="3"/>
      <c r="K1836" s="94"/>
      <c r="L1836" s="314"/>
      <c r="M1836" s="169"/>
    </row>
    <row r="1837" spans="1:13" ht="15">
      <c r="A1837" s="35"/>
      <c r="B1837" s="10" t="s">
        <v>158</v>
      </c>
      <c r="C1837" s="1232">
        <f>CEILING(618*$Z$1,0.1)</f>
        <v>772.5</v>
      </c>
      <c r="D1837" s="1234"/>
      <c r="E1837" s="1205"/>
      <c r="F1837" s="390"/>
      <c r="G1837" s="390"/>
      <c r="H1837" s="390"/>
      <c r="I1837" s="3"/>
      <c r="J1837" s="3"/>
      <c r="K1837" s="94"/>
      <c r="L1837" s="94"/>
      <c r="M1837" s="169"/>
    </row>
    <row r="1838" spans="1:13" ht="15">
      <c r="A1838" s="534"/>
      <c r="B1838" s="10" t="s">
        <v>159</v>
      </c>
      <c r="C1838" s="1232">
        <f>CEILING(618*$Z$1,0.1)</f>
        <v>772.5</v>
      </c>
      <c r="D1838" s="1234"/>
      <c r="E1838" s="1205"/>
      <c r="F1838" s="390"/>
      <c r="G1838" s="390"/>
      <c r="H1838" s="390"/>
      <c r="I1838" s="3"/>
      <c r="J1838" s="3"/>
      <c r="K1838" s="94"/>
      <c r="L1838" s="94"/>
      <c r="M1838" s="169"/>
    </row>
    <row r="1839" spans="1:13" ht="15.75" customHeight="1">
      <c r="A1839" s="35"/>
      <c r="B1839" s="10" t="s">
        <v>160</v>
      </c>
      <c r="C1839" s="1232">
        <f>CEILING(721*$Z$1,0.1)</f>
        <v>901.3000000000001</v>
      </c>
      <c r="D1839" s="1234"/>
      <c r="E1839" s="1205"/>
      <c r="F1839" s="390"/>
      <c r="G1839" s="390"/>
      <c r="H1839" s="390"/>
      <c r="I1839" s="3"/>
      <c r="J1839" s="3"/>
      <c r="K1839" s="94"/>
      <c r="L1839" s="94"/>
      <c r="M1839" s="169"/>
    </row>
    <row r="1840" spans="1:13" ht="15" customHeight="1">
      <c r="A1840" s="35"/>
      <c r="B1840" s="10" t="s">
        <v>161</v>
      </c>
      <c r="C1840" s="1232">
        <f>CEILING(721*$Z$1,0.1)</f>
        <v>901.3000000000001</v>
      </c>
      <c r="D1840" s="1234"/>
      <c r="E1840" s="1205"/>
      <c r="F1840" s="390"/>
      <c r="G1840" s="390"/>
      <c r="H1840" s="390"/>
      <c r="I1840" s="3"/>
      <c r="J1840" s="3"/>
      <c r="K1840" s="94"/>
      <c r="L1840" s="94"/>
      <c r="M1840" s="169"/>
    </row>
    <row r="1841" spans="1:13" ht="15.75" customHeight="1">
      <c r="A1841" s="35"/>
      <c r="B1841" s="10" t="s">
        <v>162</v>
      </c>
      <c r="C1841" s="1232">
        <f>CEILING(1030*$Z$1,0.1)</f>
        <v>1287.5</v>
      </c>
      <c r="D1841" s="5"/>
      <c r="E1841" s="1205"/>
      <c r="F1841" s="1205"/>
      <c r="G1841" s="390"/>
      <c r="H1841" s="390"/>
      <c r="I1841" s="3"/>
      <c r="J1841" s="3"/>
      <c r="K1841" s="94"/>
      <c r="L1841" s="94"/>
      <c r="M1841" s="169"/>
    </row>
    <row r="1842" spans="1:13" ht="15.75" customHeight="1" thickBot="1">
      <c r="A1842" s="79" t="s">
        <v>630</v>
      </c>
      <c r="B1842" s="42" t="s">
        <v>163</v>
      </c>
      <c r="C1842" s="1235">
        <f>CEILING(1030*$Z$1,0.1)</f>
        <v>1287.5</v>
      </c>
      <c r="D1842" s="6"/>
      <c r="E1842" s="1205"/>
      <c r="F1842" s="1205"/>
      <c r="G1842" s="390"/>
      <c r="H1842" s="390"/>
      <c r="I1842" s="3"/>
      <c r="J1842" s="3"/>
      <c r="K1842" s="94"/>
      <c r="L1842" s="94"/>
      <c r="M1842" s="169"/>
    </row>
    <row r="1843" spans="1:21" s="1131" customFormat="1" ht="17.25" customHeight="1" thickTop="1">
      <c r="A1843" s="1271" t="s">
        <v>1309</v>
      </c>
      <c r="B1843" s="1271"/>
      <c r="C1843" s="1272"/>
      <c r="D1843" s="1272"/>
      <c r="E1843" s="1272"/>
      <c r="F1843" s="1272"/>
      <c r="G1843" s="1272"/>
      <c r="H1843" s="1272"/>
      <c r="I1843" s="173"/>
      <c r="J1843" s="1129"/>
      <c r="K1843" s="279"/>
      <c r="L1843" s="279"/>
      <c r="M1843" s="1130"/>
      <c r="N1843" s="1130"/>
      <c r="O1843" s="1130"/>
      <c r="P1843" s="1130"/>
      <c r="Q1843" s="1130"/>
      <c r="R1843" s="1130"/>
      <c r="S1843" s="1130"/>
      <c r="T1843" s="1130"/>
      <c r="U1843" s="1130"/>
    </row>
    <row r="1844" spans="1:12" s="331" customFormat="1" ht="15">
      <c r="A1844" s="737" t="s">
        <v>1310</v>
      </c>
      <c r="B1844" s="738"/>
      <c r="C1844" s="739"/>
      <c r="D1844" s="739"/>
      <c r="E1844" s="739"/>
      <c r="F1844" s="739"/>
      <c r="G1844" s="739"/>
      <c r="H1844" s="739"/>
      <c r="I1844" s="739"/>
      <c r="J1844" s="739"/>
      <c r="K1844" s="740"/>
      <c r="L1844" s="740"/>
    </row>
    <row r="1845" spans="1:12" s="1263" customFormat="1" ht="15">
      <c r="A1845" s="1259" t="s">
        <v>1308</v>
      </c>
      <c r="B1845" s="1260"/>
      <c r="C1845" s="1261"/>
      <c r="D1845" s="1261"/>
      <c r="E1845" s="1261"/>
      <c r="F1845" s="1261"/>
      <c r="G1845" s="1261"/>
      <c r="H1845" s="1261"/>
      <c r="I1845" s="1261"/>
      <c r="J1845" s="1261"/>
      <c r="K1845" s="1262"/>
      <c r="L1845" s="1262"/>
    </row>
    <row r="1846" spans="1:14" ht="15.75" thickBot="1">
      <c r="A1846" s="535"/>
      <c r="B1846" s="536"/>
      <c r="C1846" s="537"/>
      <c r="D1846" s="537"/>
      <c r="E1846" s="537"/>
      <c r="F1846" s="537"/>
      <c r="G1846" s="537"/>
      <c r="H1846" s="537"/>
      <c r="I1846" s="537"/>
      <c r="J1846" s="538"/>
      <c r="K1846" s="94"/>
      <c r="L1846" s="94"/>
      <c r="M1846" s="16"/>
      <c r="N1846" s="20"/>
    </row>
    <row r="1847" spans="1:54" s="1064" customFormat="1" ht="28.5" customHeight="1" thickTop="1">
      <c r="A1847" s="1065" t="s">
        <v>43</v>
      </c>
      <c r="B1847" s="1054" t="s">
        <v>1172</v>
      </c>
      <c r="C1847" s="798" t="s">
        <v>884</v>
      </c>
      <c r="D1847" s="799"/>
      <c r="E1847" s="765" t="s">
        <v>1160</v>
      </c>
      <c r="F1847" s="766"/>
      <c r="G1847" s="765" t="s">
        <v>1140</v>
      </c>
      <c r="H1847" s="766"/>
      <c r="I1847" s="1280" t="s">
        <v>881</v>
      </c>
      <c r="J1847" s="1281"/>
      <c r="K1847" s="1280" t="s">
        <v>882</v>
      </c>
      <c r="L1847" s="1281"/>
      <c r="M1847" s="947"/>
      <c r="N1847" s="947"/>
      <c r="O1847" s="335"/>
      <c r="P1847" s="335"/>
      <c r="Q1847" s="335"/>
      <c r="R1847" s="335"/>
      <c r="S1847" s="335"/>
      <c r="T1847" s="331"/>
      <c r="U1847" s="331"/>
      <c r="V1847" s="331"/>
      <c r="W1847" s="331"/>
      <c r="X1847" s="331"/>
      <c r="Y1847" s="331"/>
      <c r="Z1847" s="331"/>
      <c r="AA1847" s="852"/>
      <c r="AB1847" s="852"/>
      <c r="AC1847" s="852"/>
      <c r="AD1847" s="852"/>
      <c r="AE1847" s="852"/>
      <c r="AF1847" s="852"/>
      <c r="AG1847" s="852"/>
      <c r="AH1847" s="852"/>
      <c r="AI1847" s="852"/>
      <c r="AJ1847" s="852"/>
      <c r="AK1847" s="852"/>
      <c r="AL1847" s="852"/>
      <c r="AM1847" s="852"/>
      <c r="AN1847" s="852"/>
      <c r="AO1847" s="852"/>
      <c r="AP1847" s="852"/>
      <c r="AQ1847" s="852"/>
      <c r="AR1847" s="852"/>
      <c r="AS1847" s="1036"/>
      <c r="AT1847" s="1036"/>
      <c r="AU1847" s="1036"/>
      <c r="AV1847" s="1036"/>
      <c r="AW1847" s="1036"/>
      <c r="AX1847" s="1036"/>
      <c r="AY1847" s="1036"/>
      <c r="AZ1847" s="1036"/>
      <c r="BA1847" s="1036"/>
      <c r="BB1847" s="1036"/>
    </row>
    <row r="1848" spans="1:26" s="479" customFormat="1" ht="15">
      <c r="A1848" s="1071" t="s">
        <v>164</v>
      </c>
      <c r="B1848" s="1066" t="s">
        <v>23</v>
      </c>
      <c r="C1848" s="985">
        <f>CEILING(125*$Z$1,0.1)</f>
        <v>156.3</v>
      </c>
      <c r="D1848" s="991"/>
      <c r="E1848" s="985">
        <f>CEILING(170*$Z$1,0.1)</f>
        <v>212.5</v>
      </c>
      <c r="F1848" s="991"/>
      <c r="G1848" s="985">
        <f>CEILING(140*$Z$1,0.1)</f>
        <v>175</v>
      </c>
      <c r="H1848" s="991"/>
      <c r="I1848" s="985">
        <f>CEILING(140*$Z$1,0.1)</f>
        <v>175</v>
      </c>
      <c r="J1848" s="991"/>
      <c r="K1848" s="985">
        <f>CEILING(125*$Z$1,0.1)</f>
        <v>156.3</v>
      </c>
      <c r="L1848" s="991"/>
      <c r="M1848" s="20"/>
      <c r="N1848" s="158"/>
      <c r="O1848" s="480"/>
      <c r="P1848" s="480"/>
      <c r="Q1848" s="480"/>
      <c r="R1848" s="481"/>
      <c r="S1848" s="481"/>
      <c r="T1848" s="169"/>
      <c r="U1848" s="169"/>
      <c r="V1848" s="169"/>
      <c r="W1848" s="169"/>
      <c r="X1848" s="169"/>
      <c r="Y1848" s="169"/>
      <c r="Z1848" s="404"/>
    </row>
    <row r="1849" spans="1:26" s="479" customFormat="1" ht="15">
      <c r="A1849" s="35" t="s">
        <v>45</v>
      </c>
      <c r="B1849" s="11" t="s">
        <v>24</v>
      </c>
      <c r="C1849" s="986">
        <f>CEILING((C1848+87.4*$Z$1),0.1)</f>
        <v>265.6</v>
      </c>
      <c r="D1849" s="993"/>
      <c r="E1849" s="986">
        <f>CEILING((E1848+119*$Z$1),0.1)</f>
        <v>361.3</v>
      </c>
      <c r="F1849" s="993"/>
      <c r="G1849" s="986">
        <f>CEILING((G1848+98*$Z$1),0.1)</f>
        <v>297.5</v>
      </c>
      <c r="H1849" s="993"/>
      <c r="I1849" s="986">
        <f>CEILING((I1848+98*$Z$1),0.1)</f>
        <v>297.5</v>
      </c>
      <c r="J1849" s="993"/>
      <c r="K1849" s="986">
        <f>CEILING((K1848+87.4*$Z$1),0.1)</f>
        <v>265.6</v>
      </c>
      <c r="L1849" s="993"/>
      <c r="M1849" s="20"/>
      <c r="N1849" s="158"/>
      <c r="O1849" s="480"/>
      <c r="P1849" s="480"/>
      <c r="Q1849" s="480"/>
      <c r="R1849" s="481"/>
      <c r="S1849" s="481"/>
      <c r="T1849" s="169"/>
      <c r="U1849" s="169"/>
      <c r="V1849" s="169"/>
      <c r="W1849" s="169"/>
      <c r="X1849" s="169"/>
      <c r="Y1849" s="169"/>
      <c r="Z1849" s="404"/>
    </row>
    <row r="1850" spans="1:21" s="404" customFormat="1" ht="17.25" customHeight="1">
      <c r="A1850" s="35"/>
      <c r="B1850" s="127" t="s">
        <v>79</v>
      </c>
      <c r="C1850" s="986">
        <f>CEILING((C1848*0.85),0.1)</f>
        <v>132.9</v>
      </c>
      <c r="D1850" s="993"/>
      <c r="E1850" s="986">
        <f>CEILING((E1848*0.85),0.1)</f>
        <v>180.70000000000002</v>
      </c>
      <c r="F1850" s="993"/>
      <c r="G1850" s="986">
        <f>CEILING((G1848*0.85),0.1)</f>
        <v>148.8</v>
      </c>
      <c r="H1850" s="993"/>
      <c r="I1850" s="986">
        <f>CEILING((I1848*0.85),0.1)</f>
        <v>148.8</v>
      </c>
      <c r="J1850" s="993"/>
      <c r="K1850" s="986">
        <f>CEILING((K1848*0.85),0.1)</f>
        <v>132.9</v>
      </c>
      <c r="L1850" s="993"/>
      <c r="M1850" s="169"/>
      <c r="N1850" s="169"/>
      <c r="O1850" s="169"/>
      <c r="P1850" s="169"/>
      <c r="Q1850" s="169"/>
      <c r="R1850" s="169"/>
      <c r="S1850" s="169"/>
      <c r="T1850" s="169"/>
      <c r="U1850" s="169"/>
    </row>
    <row r="1851" spans="1:21" s="404" customFormat="1" ht="14.25" customHeight="1">
      <c r="A1851" s="35"/>
      <c r="B1851" s="1070" t="s">
        <v>1184</v>
      </c>
      <c r="C1851" s="986">
        <f>CEILING((C1848*0.5),0.1)</f>
        <v>78.2</v>
      </c>
      <c r="D1851" s="993"/>
      <c r="E1851" s="986">
        <f>CEILING((E1848*0.5),0.1)</f>
        <v>106.30000000000001</v>
      </c>
      <c r="F1851" s="993"/>
      <c r="G1851" s="986">
        <f>CEILING((G1848*0.5),0.1)</f>
        <v>87.5</v>
      </c>
      <c r="H1851" s="993"/>
      <c r="I1851" s="986">
        <f>CEILING((I1848*0.5),0.1)</f>
        <v>87.5</v>
      </c>
      <c r="J1851" s="993"/>
      <c r="K1851" s="986">
        <f>CEILING((K1848*0.5),0.1)</f>
        <v>78.2</v>
      </c>
      <c r="L1851" s="993"/>
      <c r="M1851" s="169"/>
      <c r="N1851" s="169"/>
      <c r="O1851" s="169"/>
      <c r="P1851" s="169"/>
      <c r="Q1851" s="169"/>
      <c r="R1851" s="169"/>
      <c r="S1851" s="169"/>
      <c r="T1851" s="169"/>
      <c r="U1851" s="169"/>
    </row>
    <row r="1852" spans="1:21" s="404" customFormat="1" ht="16.5" customHeight="1">
      <c r="A1852" s="35"/>
      <c r="B1852" s="29" t="s">
        <v>27</v>
      </c>
      <c r="C1852" s="986">
        <f>CEILING(138*$Z$1,0.1)</f>
        <v>172.5</v>
      </c>
      <c r="D1852" s="993"/>
      <c r="E1852" s="986">
        <f>CEILING(187*$Z$1,0.1)</f>
        <v>233.8</v>
      </c>
      <c r="F1852" s="993"/>
      <c r="G1852" s="986">
        <f>CEILING(154*$Z$1,0.1)</f>
        <v>192.5</v>
      </c>
      <c r="H1852" s="993"/>
      <c r="I1852" s="986">
        <f>CEILING(154*$Z$1,0.1)</f>
        <v>192.5</v>
      </c>
      <c r="J1852" s="993"/>
      <c r="K1852" s="986">
        <f>CEILING(138*$Z$1,0.1)</f>
        <v>172.5</v>
      </c>
      <c r="L1852" s="993"/>
      <c r="M1852" s="169"/>
      <c r="N1852" s="169"/>
      <c r="O1852" s="169"/>
      <c r="P1852" s="169"/>
      <c r="Q1852" s="169"/>
      <c r="R1852" s="169"/>
      <c r="S1852" s="169"/>
      <c r="T1852" s="169"/>
      <c r="U1852" s="169"/>
    </row>
    <row r="1853" spans="1:21" s="404" customFormat="1" ht="16.5" customHeight="1">
      <c r="A1853" s="35"/>
      <c r="B1853" s="29" t="s">
        <v>28</v>
      </c>
      <c r="C1853" s="986">
        <f>CEILING((C1852+96.5*$Z$1),0.1)</f>
        <v>293.2</v>
      </c>
      <c r="D1853" s="993"/>
      <c r="E1853" s="986">
        <f>CEILING((E1852+130.8*$Z$1),0.1)</f>
        <v>397.3</v>
      </c>
      <c r="F1853" s="993"/>
      <c r="G1853" s="986">
        <f>CEILING((G1852+107.7*$Z$1),0.1)</f>
        <v>327.20000000000005</v>
      </c>
      <c r="H1853" s="993"/>
      <c r="I1853" s="986">
        <f>CEILING((I1852+107.7*$Z$1),0.1)</f>
        <v>327.20000000000005</v>
      </c>
      <c r="J1853" s="993"/>
      <c r="K1853" s="986">
        <f>CEILING((K1852+96.5*$Z$1),0.1)</f>
        <v>293.2</v>
      </c>
      <c r="L1853" s="993"/>
      <c r="M1853" s="169"/>
      <c r="N1853" s="169"/>
      <c r="O1853" s="169"/>
      <c r="P1853" s="169"/>
      <c r="Q1853" s="169"/>
      <c r="R1853" s="169"/>
      <c r="S1853" s="169"/>
      <c r="T1853" s="169"/>
      <c r="U1853" s="169"/>
    </row>
    <row r="1854" spans="1:21" s="404" customFormat="1" ht="16.5" customHeight="1">
      <c r="A1854" s="35"/>
      <c r="B1854" s="29" t="s">
        <v>31</v>
      </c>
      <c r="C1854" s="986">
        <f>CEILING(144*$Z$1,0.1)</f>
        <v>180</v>
      </c>
      <c r="D1854" s="993"/>
      <c r="E1854" s="986">
        <f>CEILING(196*$Z$1,0.1)</f>
        <v>245</v>
      </c>
      <c r="F1854" s="993"/>
      <c r="G1854" s="986">
        <f>CEILING(161*$Z$1,0.1)</f>
        <v>201.3</v>
      </c>
      <c r="H1854" s="993"/>
      <c r="I1854" s="986">
        <f>CEILING(161*$Z$1,0.1)</f>
        <v>201.3</v>
      </c>
      <c r="J1854" s="993"/>
      <c r="K1854" s="986">
        <f>CEILING(144*$Z$1,0.1)</f>
        <v>180</v>
      </c>
      <c r="L1854" s="993"/>
      <c r="M1854" s="169"/>
      <c r="N1854" s="169"/>
      <c r="O1854" s="169"/>
      <c r="P1854" s="169"/>
      <c r="Q1854" s="169"/>
      <c r="R1854" s="169"/>
      <c r="S1854" s="169"/>
      <c r="T1854" s="169"/>
      <c r="U1854" s="169"/>
    </row>
    <row r="1855" spans="1:21" s="404" customFormat="1" ht="16.5" customHeight="1">
      <c r="A1855" s="35"/>
      <c r="B1855" s="418" t="s">
        <v>32</v>
      </c>
      <c r="C1855" s="986">
        <f>CEILING((C1854+101*$Z$1),0.1)</f>
        <v>306.3</v>
      </c>
      <c r="D1855" s="993"/>
      <c r="E1855" s="986">
        <f>CEILING((E1854+137.4*$Z$1),0.1)</f>
        <v>416.8</v>
      </c>
      <c r="F1855" s="993"/>
      <c r="G1855" s="986">
        <f>CEILING((G1854+112.5*$Z$1),0.1)</f>
        <v>342</v>
      </c>
      <c r="H1855" s="993"/>
      <c r="I1855" s="986">
        <f>CEILING((I1854+112.5*$Z$1),0.1)</f>
        <v>342</v>
      </c>
      <c r="J1855" s="993"/>
      <c r="K1855" s="986">
        <f>CEILING((K1854+101*$Z$1),0.1)</f>
        <v>306.3</v>
      </c>
      <c r="L1855" s="993"/>
      <c r="M1855" s="169"/>
      <c r="N1855" s="169"/>
      <c r="O1855" s="169"/>
      <c r="P1855" s="169"/>
      <c r="Q1855" s="169"/>
      <c r="R1855" s="169"/>
      <c r="S1855" s="169"/>
      <c r="T1855" s="169"/>
      <c r="U1855" s="169"/>
    </row>
    <row r="1856" spans="1:21" s="404" customFormat="1" ht="17.25" customHeight="1">
      <c r="A1856" s="35"/>
      <c r="B1856" s="29" t="s">
        <v>25</v>
      </c>
      <c r="C1856" s="985">
        <f>CEILING(138*$Z$1,0.1)</f>
        <v>172.5</v>
      </c>
      <c r="D1856" s="991"/>
      <c r="E1856" s="985">
        <f>CEILING(187*$Z$1,0.1)</f>
        <v>233.8</v>
      </c>
      <c r="F1856" s="991"/>
      <c r="G1856" s="985">
        <f>CEILING(154*$Z$1,0.1)</f>
        <v>192.5</v>
      </c>
      <c r="H1856" s="991"/>
      <c r="I1856" s="985">
        <f>CEILING(154*$Z$1,0.1)</f>
        <v>192.5</v>
      </c>
      <c r="J1856" s="991"/>
      <c r="K1856" s="985">
        <f>CEILING(138*$Z$1,0.1)</f>
        <v>172.5</v>
      </c>
      <c r="L1856" s="991"/>
      <c r="M1856" s="169"/>
      <c r="N1856" s="169"/>
      <c r="O1856" s="169"/>
      <c r="P1856" s="169"/>
      <c r="Q1856" s="169"/>
      <c r="R1856" s="169"/>
      <c r="S1856" s="169"/>
      <c r="T1856" s="169"/>
      <c r="U1856" s="169"/>
    </row>
    <row r="1857" spans="1:21" s="404" customFormat="1" ht="15.75" customHeight="1">
      <c r="A1857" s="35"/>
      <c r="B1857" s="29" t="s">
        <v>26</v>
      </c>
      <c r="C1857" s="986">
        <f>CEILING((C1856+96.5*$Z$1),0.1)</f>
        <v>293.2</v>
      </c>
      <c r="D1857" s="993"/>
      <c r="E1857" s="986">
        <f>CEILING((E1856+130.8*$Z$1),0.1)</f>
        <v>397.3</v>
      </c>
      <c r="F1857" s="993"/>
      <c r="G1857" s="986">
        <f>CEILING((G1856+107.7*$Z$1),0.1)</f>
        <v>327.20000000000005</v>
      </c>
      <c r="H1857" s="993"/>
      <c r="I1857" s="986">
        <f>CEILING((I1856+107.7*$Z$1),0.1)</f>
        <v>327.20000000000005</v>
      </c>
      <c r="J1857" s="993"/>
      <c r="K1857" s="986">
        <f>CEILING((K1856+96.5*$Z$1),0.1)</f>
        <v>293.2</v>
      </c>
      <c r="L1857" s="993"/>
      <c r="M1857" s="169"/>
      <c r="N1857" s="169"/>
      <c r="O1857" s="169"/>
      <c r="P1857" s="169"/>
      <c r="Q1857" s="169"/>
      <c r="R1857" s="169"/>
      <c r="S1857" s="169"/>
      <c r="T1857" s="169"/>
      <c r="U1857" s="169"/>
    </row>
    <row r="1858" spans="1:21" s="404" customFormat="1" ht="16.5" customHeight="1">
      <c r="A1858" s="35"/>
      <c r="B1858" s="29" t="s">
        <v>47</v>
      </c>
      <c r="C1858" s="986">
        <f>CEILING((C1856*0.85),0.1)</f>
        <v>146.70000000000002</v>
      </c>
      <c r="D1858" s="993"/>
      <c r="E1858" s="986">
        <f>CEILING((E1856*0.85),0.1)</f>
        <v>198.8</v>
      </c>
      <c r="F1858" s="993"/>
      <c r="G1858" s="986">
        <f>CEILING((G1856*0.85),0.1)</f>
        <v>163.70000000000002</v>
      </c>
      <c r="H1858" s="993"/>
      <c r="I1858" s="986">
        <f>CEILING((I1856*0.85),0.1)</f>
        <v>163.70000000000002</v>
      </c>
      <c r="J1858" s="993"/>
      <c r="K1858" s="986">
        <f>CEILING((K1856*0.85),0.1)</f>
        <v>146.70000000000002</v>
      </c>
      <c r="L1858" s="993"/>
      <c r="M1858" s="169"/>
      <c r="N1858" s="169"/>
      <c r="O1858" s="169"/>
      <c r="P1858" s="169"/>
      <c r="Q1858" s="169"/>
      <c r="R1858" s="169"/>
      <c r="S1858" s="169"/>
      <c r="T1858" s="169"/>
      <c r="U1858" s="169"/>
    </row>
    <row r="1859" spans="1:21" s="404" customFormat="1" ht="16.5" customHeight="1">
      <c r="A1859" s="35"/>
      <c r="B1859" s="1070" t="s">
        <v>1184</v>
      </c>
      <c r="C1859" s="986">
        <f>CEILING((C1856*0.5),0.1)</f>
        <v>86.30000000000001</v>
      </c>
      <c r="D1859" s="993"/>
      <c r="E1859" s="986">
        <f>CEILING((E1856*0.5),0.1)</f>
        <v>116.9</v>
      </c>
      <c r="F1859" s="993"/>
      <c r="G1859" s="986">
        <f>CEILING((G1856*0.5),0.1)</f>
        <v>96.30000000000001</v>
      </c>
      <c r="H1859" s="993"/>
      <c r="I1859" s="986">
        <f>CEILING((I1856*0.5),0.1)</f>
        <v>96.30000000000001</v>
      </c>
      <c r="J1859" s="993"/>
      <c r="K1859" s="986">
        <f>CEILING((K1856*0.5),0.1)</f>
        <v>86.30000000000001</v>
      </c>
      <c r="L1859" s="993"/>
      <c r="M1859" s="169"/>
      <c r="N1859" s="169"/>
      <c r="O1859" s="169"/>
      <c r="P1859" s="169"/>
      <c r="Q1859" s="169"/>
      <c r="R1859" s="169"/>
      <c r="S1859" s="169"/>
      <c r="T1859" s="169"/>
      <c r="U1859" s="169"/>
    </row>
    <row r="1860" spans="1:21" s="404" customFormat="1" ht="15">
      <c r="A1860" s="35"/>
      <c r="B1860" s="29" t="s">
        <v>703</v>
      </c>
      <c r="C1860" s="986">
        <f>CEILING(144*$Z$1,0.1)</f>
        <v>180</v>
      </c>
      <c r="D1860" s="993"/>
      <c r="E1860" s="986">
        <f>CEILING(196*$Z$1,0.1)</f>
        <v>245</v>
      </c>
      <c r="F1860" s="993"/>
      <c r="G1860" s="986">
        <f>CEILING(161*$Z$1,0.1)</f>
        <v>201.3</v>
      </c>
      <c r="H1860" s="993"/>
      <c r="I1860" s="986">
        <f>CEILING(161*$Z$1,0.1)</f>
        <v>201.3</v>
      </c>
      <c r="J1860" s="993"/>
      <c r="K1860" s="986">
        <f>CEILING(144*$Z$1,0.1)</f>
        <v>180</v>
      </c>
      <c r="L1860" s="993"/>
      <c r="M1860" s="169"/>
      <c r="N1860" s="169"/>
      <c r="O1860" s="169"/>
      <c r="P1860" s="169"/>
      <c r="Q1860" s="169"/>
      <c r="R1860" s="169"/>
      <c r="S1860" s="169"/>
      <c r="T1860" s="169"/>
      <c r="U1860" s="169"/>
    </row>
    <row r="1861" spans="1:21" s="404" customFormat="1" ht="15">
      <c r="A1861" s="534"/>
      <c r="B1861" s="29" t="s">
        <v>704</v>
      </c>
      <c r="C1861" s="986">
        <f>CEILING((C1860+101*$Z$1),0.1)</f>
        <v>306.3</v>
      </c>
      <c r="D1861" s="993"/>
      <c r="E1861" s="986">
        <f>CEILING((E1860+137.4*$Z$1),0.1)</f>
        <v>416.8</v>
      </c>
      <c r="F1861" s="993"/>
      <c r="G1861" s="986">
        <f>CEILING((G1860+112.5*$Z$1),0.1)</f>
        <v>342</v>
      </c>
      <c r="H1861" s="993"/>
      <c r="I1861" s="986">
        <f>CEILING((I1860+112.5*$Z$1),0.1)</f>
        <v>342</v>
      </c>
      <c r="J1861" s="993"/>
      <c r="K1861" s="986">
        <f>CEILING((K1860+101*$Z$1),0.1)</f>
        <v>306.3</v>
      </c>
      <c r="L1861" s="993"/>
      <c r="M1861" s="169"/>
      <c r="N1861" s="169"/>
      <c r="O1861" s="169"/>
      <c r="P1861" s="169"/>
      <c r="Q1861" s="169"/>
      <c r="R1861" s="169"/>
      <c r="S1861" s="169"/>
      <c r="T1861" s="169"/>
      <c r="U1861" s="169"/>
    </row>
    <row r="1862" spans="1:25" s="404" customFormat="1" ht="15">
      <c r="A1862" s="35"/>
      <c r="B1862" s="29" t="s">
        <v>47</v>
      </c>
      <c r="C1862" s="986">
        <f>CEILING((C1860*0.85),0.1)</f>
        <v>153</v>
      </c>
      <c r="D1862" s="993"/>
      <c r="E1862" s="986">
        <f>CEILING((E1860*0.85),0.1)</f>
        <v>208.3</v>
      </c>
      <c r="F1862" s="993"/>
      <c r="G1862" s="986">
        <f>CEILING((G1860*0.85),0.1)</f>
        <v>171.20000000000002</v>
      </c>
      <c r="H1862" s="993"/>
      <c r="I1862" s="986">
        <f>CEILING((I1860*0.85),0.1)</f>
        <v>171.20000000000002</v>
      </c>
      <c r="J1862" s="993"/>
      <c r="K1862" s="986">
        <f>CEILING((K1860*0.85),0.1)</f>
        <v>153</v>
      </c>
      <c r="L1862" s="993"/>
      <c r="M1862" s="169"/>
      <c r="N1862" s="169"/>
      <c r="O1862" s="169"/>
      <c r="P1862" s="169"/>
      <c r="Q1862" s="169"/>
      <c r="R1862" s="169"/>
      <c r="S1862" s="169"/>
      <c r="T1862" s="169"/>
      <c r="U1862" s="169"/>
      <c r="V1862" s="169"/>
      <c r="W1862" s="169"/>
      <c r="X1862" s="169"/>
      <c r="Y1862" s="169"/>
    </row>
    <row r="1863" spans="1:25" s="404" customFormat="1" ht="15">
      <c r="A1863" s="35"/>
      <c r="B1863" s="1070" t="s">
        <v>1184</v>
      </c>
      <c r="C1863" s="986">
        <f>CEILING((C1860*0.5),0.1)</f>
        <v>90</v>
      </c>
      <c r="D1863" s="993"/>
      <c r="E1863" s="986">
        <f>CEILING((E1860*0.5),0.1)</f>
        <v>122.5</v>
      </c>
      <c r="F1863" s="993"/>
      <c r="G1863" s="986">
        <f>CEILING((G1860*0.5),0.1)</f>
        <v>100.7</v>
      </c>
      <c r="H1863" s="993"/>
      <c r="I1863" s="986">
        <f>CEILING((I1860*0.5),0.1)</f>
        <v>100.7</v>
      </c>
      <c r="J1863" s="993"/>
      <c r="K1863" s="986">
        <f>CEILING((K1860*0.5),0.1)</f>
        <v>90</v>
      </c>
      <c r="L1863" s="993"/>
      <c r="M1863" s="169"/>
      <c r="N1863" s="169"/>
      <c r="O1863" s="169"/>
      <c r="P1863" s="169"/>
      <c r="Q1863" s="169"/>
      <c r="R1863" s="169"/>
      <c r="S1863" s="169"/>
      <c r="T1863" s="169"/>
      <c r="U1863" s="169"/>
      <c r="V1863" s="169"/>
      <c r="W1863" s="169"/>
      <c r="X1863" s="169"/>
      <c r="Y1863" s="169"/>
    </row>
    <row r="1864" spans="1:25" s="404" customFormat="1" ht="15" customHeight="1">
      <c r="A1864" s="534"/>
      <c r="B1864" s="29" t="s">
        <v>29</v>
      </c>
      <c r="C1864" s="986">
        <f>CEILING(150*$Z$1,0.1)</f>
        <v>187.5</v>
      </c>
      <c r="D1864" s="993"/>
      <c r="E1864" s="986">
        <f>CEILING(204*$Z$1,0.1)</f>
        <v>255</v>
      </c>
      <c r="F1864" s="993"/>
      <c r="G1864" s="986">
        <f>CEILING(168*$Z$1,0.1)</f>
        <v>210</v>
      </c>
      <c r="H1864" s="993"/>
      <c r="I1864" s="986">
        <f>CEILING(168*$Z$1,0.1)</f>
        <v>210</v>
      </c>
      <c r="J1864" s="993"/>
      <c r="K1864" s="986">
        <f>CEILING(150*$Z$1,0.1)</f>
        <v>187.5</v>
      </c>
      <c r="L1864" s="993"/>
      <c r="M1864" s="169"/>
      <c r="N1864" s="169"/>
      <c r="O1864" s="169"/>
      <c r="P1864" s="169"/>
      <c r="Q1864" s="169"/>
      <c r="R1864" s="169"/>
      <c r="S1864" s="169"/>
      <c r="T1864" s="169"/>
      <c r="U1864" s="169"/>
      <c r="V1864" s="169"/>
      <c r="W1864" s="169"/>
      <c r="X1864" s="169"/>
      <c r="Y1864" s="169"/>
    </row>
    <row r="1865" spans="1:25" s="404" customFormat="1" ht="15.75" customHeight="1">
      <c r="A1865" s="35"/>
      <c r="B1865" s="29" t="s">
        <v>30</v>
      </c>
      <c r="C1865" s="986">
        <f>CEILING((C1864+105*$Z$1),0.1)</f>
        <v>318.8</v>
      </c>
      <c r="D1865" s="993"/>
      <c r="E1865" s="986">
        <f>CEILING((E1864+143*$Z$1),0.1)</f>
        <v>433.8</v>
      </c>
      <c r="F1865" s="993"/>
      <c r="G1865" s="986">
        <f>CEILING((G1864+117.6*$Z$1),0.1)</f>
        <v>357</v>
      </c>
      <c r="H1865" s="993"/>
      <c r="I1865" s="986">
        <f>CEILING((I1864+117.6*$Z$1),0.1)</f>
        <v>357</v>
      </c>
      <c r="J1865" s="993"/>
      <c r="K1865" s="986">
        <f>CEILING((K1864+105*$Z$1),0.1)</f>
        <v>318.8</v>
      </c>
      <c r="L1865" s="993"/>
      <c r="M1865" s="169"/>
      <c r="N1865" s="169"/>
      <c r="O1865" s="169"/>
      <c r="P1865" s="169"/>
      <c r="Q1865" s="169"/>
      <c r="R1865" s="169"/>
      <c r="S1865" s="169"/>
      <c r="T1865" s="169"/>
      <c r="U1865" s="169"/>
      <c r="V1865" s="169"/>
      <c r="W1865" s="169"/>
      <c r="X1865" s="169"/>
      <c r="Y1865" s="169"/>
    </row>
    <row r="1866" spans="1:25" s="404" customFormat="1" ht="15.75" customHeight="1">
      <c r="A1866" s="35"/>
      <c r="B1866" s="29" t="s">
        <v>701</v>
      </c>
      <c r="C1866" s="986">
        <f>CEILING(156*$Z$1,0.1)</f>
        <v>195</v>
      </c>
      <c r="D1866" s="993"/>
      <c r="E1866" s="986">
        <f>CEILING(213*$Z$1,0.1)</f>
        <v>266.3</v>
      </c>
      <c r="F1866" s="993"/>
      <c r="G1866" s="986">
        <f>CEILING(175*$Z$1,0.1)</f>
        <v>218.8</v>
      </c>
      <c r="H1866" s="993"/>
      <c r="I1866" s="986">
        <f>CEILING(175*$Z$1,0.1)</f>
        <v>218.8</v>
      </c>
      <c r="J1866" s="993"/>
      <c r="K1866" s="986">
        <f>CEILING(156*$Z$1,0.1)</f>
        <v>195</v>
      </c>
      <c r="L1866" s="993"/>
      <c r="M1866" s="169"/>
      <c r="N1866" s="169"/>
      <c r="O1866" s="169"/>
      <c r="P1866" s="169"/>
      <c r="Q1866" s="169"/>
      <c r="R1866" s="169"/>
      <c r="S1866" s="169"/>
      <c r="T1866" s="169"/>
      <c r="U1866" s="169"/>
      <c r="V1866" s="169"/>
      <c r="W1866" s="169"/>
      <c r="X1866" s="169"/>
      <c r="Y1866" s="169"/>
    </row>
    <row r="1867" spans="1:25" s="404" customFormat="1" ht="15.75" customHeight="1">
      <c r="A1867" s="450" t="s">
        <v>1319</v>
      </c>
      <c r="B1867" s="29" t="s">
        <v>702</v>
      </c>
      <c r="C1867" s="986">
        <f>CEILING((C1866+109.2*$Z$1),0.1)</f>
        <v>331.5</v>
      </c>
      <c r="D1867" s="993"/>
      <c r="E1867" s="986">
        <f>CEILING((E1866+149*$Z$1),0.1)</f>
        <v>452.6</v>
      </c>
      <c r="F1867" s="993"/>
      <c r="G1867" s="986">
        <f>CEILING((G1866+122.5*$Z$1),0.1)</f>
        <v>372</v>
      </c>
      <c r="H1867" s="993"/>
      <c r="I1867" s="986">
        <f>CEILING((I1866+122.5*$Z$1),0.1)</f>
        <v>372</v>
      </c>
      <c r="J1867" s="993"/>
      <c r="K1867" s="986">
        <f>CEILING((K1866+109.2*$Z$1),0.1)</f>
        <v>331.5</v>
      </c>
      <c r="L1867" s="993"/>
      <c r="M1867" s="169"/>
      <c r="N1867" s="169"/>
      <c r="O1867" s="169"/>
      <c r="P1867" s="169"/>
      <c r="Q1867" s="169"/>
      <c r="R1867" s="169"/>
      <c r="S1867" s="169"/>
      <c r="T1867" s="169"/>
      <c r="U1867" s="169"/>
      <c r="V1867" s="169"/>
      <c r="W1867" s="169"/>
      <c r="X1867" s="169"/>
      <c r="Y1867" s="169"/>
    </row>
    <row r="1868" spans="1:25" s="404" customFormat="1" ht="15">
      <c r="A1868" s="35"/>
      <c r="B1868" s="29" t="s">
        <v>33</v>
      </c>
      <c r="C1868" s="986">
        <f>CEILING(163*$Z$1,0.1)</f>
        <v>203.8</v>
      </c>
      <c r="D1868" s="993"/>
      <c r="E1868" s="986">
        <f>CEILING(221*$Z$1,0.1)</f>
        <v>276.3</v>
      </c>
      <c r="F1868" s="993"/>
      <c r="G1868" s="986">
        <f>CEILING(182*$Z$1,0.1)</f>
        <v>227.5</v>
      </c>
      <c r="H1868" s="993"/>
      <c r="I1868" s="986">
        <f>CEILING(182*$Z$1,0.1)</f>
        <v>227.5</v>
      </c>
      <c r="J1868" s="993"/>
      <c r="K1868" s="986">
        <f>CEILING(163*$Z$1,0.1)</f>
        <v>203.8</v>
      </c>
      <c r="L1868" s="993"/>
      <c r="M1868" s="16"/>
      <c r="N1868" s="20"/>
      <c r="O1868" s="169"/>
      <c r="P1868" s="169"/>
      <c r="Q1868" s="169"/>
      <c r="R1868" s="169"/>
      <c r="S1868" s="169"/>
      <c r="T1868" s="169"/>
      <c r="U1868" s="169"/>
      <c r="V1868" s="169"/>
      <c r="W1868" s="169"/>
      <c r="X1868" s="169"/>
      <c r="Y1868" s="169"/>
    </row>
    <row r="1869" spans="1:25" s="404" customFormat="1" ht="15">
      <c r="A1869" s="35"/>
      <c r="B1869" s="29" t="s">
        <v>34</v>
      </c>
      <c r="C1869" s="986">
        <f>CEILING((C1868+114*$Z$1),0.1)</f>
        <v>346.3</v>
      </c>
      <c r="D1869" s="993"/>
      <c r="E1869" s="986">
        <f>CEILING((E1868+155*$Z$1),0.1)</f>
        <v>470.1</v>
      </c>
      <c r="F1869" s="993"/>
      <c r="G1869" s="986">
        <f>CEILING((G1868+127.4*$Z$1),0.1)</f>
        <v>386.8</v>
      </c>
      <c r="H1869" s="993"/>
      <c r="I1869" s="986">
        <f>CEILING((I1868+127.4*$Z$1),0.1)</f>
        <v>386.8</v>
      </c>
      <c r="J1869" s="993"/>
      <c r="K1869" s="986">
        <f>CEILING((K1868+114*$Z$1),0.1)</f>
        <v>346.3</v>
      </c>
      <c r="L1869" s="993"/>
      <c r="M1869" s="16"/>
      <c r="N1869" s="20"/>
      <c r="O1869" s="169"/>
      <c r="P1869" s="169"/>
      <c r="Q1869" s="169"/>
      <c r="R1869" s="169"/>
      <c r="S1869" s="169"/>
      <c r="T1869" s="169"/>
      <c r="U1869" s="169"/>
      <c r="V1869" s="169"/>
      <c r="W1869" s="169"/>
      <c r="X1869" s="169"/>
      <c r="Y1869" s="169"/>
    </row>
    <row r="1870" spans="1:14" ht="18.75" customHeight="1">
      <c r="A1870" s="534" t="s">
        <v>1289</v>
      </c>
      <c r="B1870" s="29" t="s">
        <v>699</v>
      </c>
      <c r="C1870" s="986">
        <f>CEILING(169*$Z$1,0.1)</f>
        <v>211.3</v>
      </c>
      <c r="D1870" s="993"/>
      <c r="E1870" s="986">
        <f>CEILING(230*$Z$1,0.1)</f>
        <v>287.5</v>
      </c>
      <c r="F1870" s="993"/>
      <c r="G1870" s="986">
        <f>CEILING(189*$Z$1,0.1)</f>
        <v>236.3</v>
      </c>
      <c r="H1870" s="993"/>
      <c r="I1870" s="986">
        <f>CEILING(189*$Z$1,0.1)</f>
        <v>236.3</v>
      </c>
      <c r="J1870" s="993"/>
      <c r="K1870" s="986">
        <f>CEILING(169*$Z$1,0.1)</f>
        <v>211.3</v>
      </c>
      <c r="L1870" s="993"/>
      <c r="M1870" s="16"/>
      <c r="N1870" s="20"/>
    </row>
    <row r="1871" spans="1:14" ht="15.75" thickBot="1">
      <c r="A1871" s="1075" t="s">
        <v>1103</v>
      </c>
      <c r="B1871" s="1067" t="s">
        <v>700</v>
      </c>
      <c r="C1871" s="1068">
        <f>CEILING((C1870+118.2*$Z$1),0.1)</f>
        <v>359.1</v>
      </c>
      <c r="D1871" s="1069"/>
      <c r="E1871" s="1068">
        <f>CEILING((E1870+161*$Z$1),0.1)</f>
        <v>488.8</v>
      </c>
      <c r="F1871" s="1069"/>
      <c r="G1871" s="1068">
        <f>CEILING((G1870+117*$Z$1),0.1)</f>
        <v>382.6</v>
      </c>
      <c r="H1871" s="1069"/>
      <c r="I1871" s="1068">
        <f>CEILING((I1870+117*$Z$1),0.1)</f>
        <v>382.6</v>
      </c>
      <c r="J1871" s="1069"/>
      <c r="K1871" s="1068">
        <f>CEILING((K1870+118.2*$Z$1),0.1)</f>
        <v>359.1</v>
      </c>
      <c r="L1871" s="1069"/>
      <c r="M1871" s="16"/>
      <c r="N1871" s="20"/>
    </row>
    <row r="1872" spans="1:21" s="957" customFormat="1" ht="17.25" customHeight="1" thickTop="1">
      <c r="A1872" s="1271" t="s">
        <v>1186</v>
      </c>
      <c r="B1872" s="1271"/>
      <c r="C1872" s="1272"/>
      <c r="D1872" s="1272"/>
      <c r="E1872" s="1271"/>
      <c r="F1872" s="1271"/>
      <c r="G1872" s="1272"/>
      <c r="H1872" s="1272"/>
      <c r="I1872" s="173"/>
      <c r="J1872" s="732"/>
      <c r="K1872" s="279"/>
      <c r="L1872" s="279"/>
      <c r="M1872" s="956"/>
      <c r="N1872" s="956"/>
      <c r="O1872" s="956"/>
      <c r="P1872" s="956"/>
      <c r="Q1872" s="956"/>
      <c r="R1872" s="956"/>
      <c r="S1872" s="956"/>
      <c r="T1872" s="956"/>
      <c r="U1872" s="956"/>
    </row>
    <row r="1873" spans="1:21" s="479" customFormat="1" ht="17.25" customHeight="1">
      <c r="A1873" s="556" t="s">
        <v>1185</v>
      </c>
      <c r="B1873" s="557"/>
      <c r="C1873" s="557"/>
      <c r="D1873" s="557"/>
      <c r="E1873" s="557"/>
      <c r="F1873" s="557"/>
      <c r="G1873" s="441"/>
      <c r="H1873" s="441"/>
      <c r="I1873" s="173"/>
      <c r="J1873" s="331"/>
      <c r="K1873" s="279"/>
      <c r="L1873" s="279"/>
      <c r="M1873" s="480"/>
      <c r="N1873" s="480"/>
      <c r="O1873" s="480"/>
      <c r="P1873" s="480"/>
      <c r="Q1873" s="480"/>
      <c r="R1873" s="480"/>
      <c r="S1873" s="480"/>
      <c r="T1873" s="480"/>
      <c r="U1873" s="480"/>
    </row>
    <row r="1874" spans="1:13" s="1200" customFormat="1" ht="15">
      <c r="A1874" s="1195" t="s">
        <v>1318</v>
      </c>
      <c r="B1874" s="1196"/>
      <c r="C1874" s="1196"/>
      <c r="D1874" s="1196"/>
      <c r="E1874" s="1196"/>
      <c r="F1874" s="1196"/>
      <c r="G1874" s="1196"/>
      <c r="H1874" s="1196"/>
      <c r="I1874" s="1197"/>
      <c r="J1874" s="1197"/>
      <c r="K1874" s="1198"/>
      <c r="L1874" s="1198"/>
      <c r="M1874" s="1199"/>
    </row>
    <row r="1875" spans="1:50" s="479" customFormat="1" ht="18" customHeight="1">
      <c r="A1875" s="172"/>
      <c r="B1875" s="949"/>
      <c r="C1875" s="22"/>
      <c r="D1875" s="22"/>
      <c r="E1875" s="22"/>
      <c r="F1875" s="22"/>
      <c r="G1875" s="22"/>
      <c r="H1875" s="22"/>
      <c r="I1875" s="22"/>
      <c r="J1875" s="22"/>
      <c r="K1875" s="166"/>
      <c r="L1875" s="166"/>
      <c r="M1875" s="3"/>
      <c r="N1875" s="3"/>
      <c r="O1875" s="331"/>
      <c r="P1875" s="331"/>
      <c r="Q1875" s="331"/>
      <c r="R1875" s="331"/>
      <c r="S1875" s="331"/>
      <c r="T1875" s="331"/>
      <c r="U1875" s="331"/>
      <c r="V1875" s="331"/>
      <c r="W1875" s="331"/>
      <c r="X1875" s="331"/>
      <c r="Y1875" s="331"/>
      <c r="Z1875" s="331"/>
      <c r="AA1875" s="331"/>
      <c r="AB1875" s="331"/>
      <c r="AC1875" s="331"/>
      <c r="AD1875" s="331"/>
      <c r="AE1875" s="331"/>
      <c r="AF1875" s="331"/>
      <c r="AG1875" s="331"/>
      <c r="AH1875" s="331"/>
      <c r="AI1875" s="331"/>
      <c r="AJ1875" s="331"/>
      <c r="AK1875" s="331"/>
      <c r="AL1875" s="331"/>
      <c r="AM1875" s="331"/>
      <c r="AN1875" s="331"/>
      <c r="AO1875" s="331"/>
      <c r="AP1875" s="331"/>
      <c r="AQ1875" s="331"/>
      <c r="AR1875" s="331"/>
      <c r="AS1875" s="331"/>
      <c r="AT1875" s="331"/>
      <c r="AU1875" s="331"/>
      <c r="AV1875" s="331"/>
      <c r="AW1875" s="331"/>
      <c r="AX1875" s="331"/>
    </row>
    <row r="1876" spans="1:54" s="1064" customFormat="1" ht="28.5" customHeight="1">
      <c r="A1876" s="1073" t="s">
        <v>43</v>
      </c>
      <c r="B1876" s="1074" t="s">
        <v>1172</v>
      </c>
      <c r="C1876" s="798" t="s">
        <v>884</v>
      </c>
      <c r="D1876" s="799"/>
      <c r="E1876" s="765" t="s">
        <v>1160</v>
      </c>
      <c r="F1876" s="766"/>
      <c r="G1876" s="765" t="s">
        <v>1140</v>
      </c>
      <c r="H1876" s="766"/>
      <c r="I1876" s="1280" t="s">
        <v>881</v>
      </c>
      <c r="J1876" s="1281"/>
      <c r="K1876" s="1280" t="s">
        <v>882</v>
      </c>
      <c r="L1876" s="1281"/>
      <c r="M1876" s="947"/>
      <c r="N1876" s="947"/>
      <c r="O1876" s="335"/>
      <c r="P1876" s="335"/>
      <c r="Q1876" s="335"/>
      <c r="R1876" s="335"/>
      <c r="S1876" s="335"/>
      <c r="T1876" s="331"/>
      <c r="U1876" s="331"/>
      <c r="V1876" s="331"/>
      <c r="W1876" s="331"/>
      <c r="X1876" s="331"/>
      <c r="Y1876" s="331"/>
      <c r="Z1876" s="331"/>
      <c r="AA1876" s="852"/>
      <c r="AB1876" s="852"/>
      <c r="AC1876" s="852"/>
      <c r="AD1876" s="852"/>
      <c r="AE1876" s="852"/>
      <c r="AF1876" s="852"/>
      <c r="AG1876" s="852"/>
      <c r="AH1876" s="852"/>
      <c r="AI1876" s="852"/>
      <c r="AJ1876" s="852"/>
      <c r="AK1876" s="852"/>
      <c r="AL1876" s="852"/>
      <c r="AM1876" s="852"/>
      <c r="AN1876" s="852"/>
      <c r="AO1876" s="852"/>
      <c r="AP1876" s="852"/>
      <c r="AQ1876" s="852"/>
      <c r="AR1876" s="852"/>
      <c r="AS1876" s="1036"/>
      <c r="AT1876" s="1036"/>
      <c r="AU1876" s="1036"/>
      <c r="AV1876" s="1036"/>
      <c r="AW1876" s="1036"/>
      <c r="AX1876" s="1036"/>
      <c r="AY1876" s="1036"/>
      <c r="AZ1876" s="1036"/>
      <c r="BA1876" s="1036"/>
      <c r="BB1876" s="1036"/>
    </row>
    <row r="1877" spans="1:25" ht="19.5" customHeight="1">
      <c r="A1877" s="34" t="s">
        <v>483</v>
      </c>
      <c r="B1877" s="1066" t="s">
        <v>22</v>
      </c>
      <c r="C1877" s="985">
        <f>CEILING(150*$Z$1,0.1)</f>
        <v>187.5</v>
      </c>
      <c r="D1877" s="991"/>
      <c r="E1877" s="985">
        <f>CEILING(200*$Z$1,0.1)</f>
        <v>250</v>
      </c>
      <c r="F1877" s="991"/>
      <c r="G1877" s="985">
        <f>CEILING(165*$Z$1,0.1)</f>
        <v>206.3</v>
      </c>
      <c r="H1877" s="991"/>
      <c r="I1877" s="985">
        <f>CEILING(165*$Z$1,0.1)</f>
        <v>206.3</v>
      </c>
      <c r="J1877" s="991"/>
      <c r="K1877" s="985">
        <f>CEILING(150*$Z$1,0.1)</f>
        <v>187.5</v>
      </c>
      <c r="L1877" s="991"/>
      <c r="M1877" s="20"/>
      <c r="N1877" s="20"/>
      <c r="V1877"/>
      <c r="W1877"/>
      <c r="X1877"/>
      <c r="Y1877"/>
    </row>
    <row r="1878" spans="1:25" ht="16.5" customHeight="1">
      <c r="A1878" s="35" t="s">
        <v>45</v>
      </c>
      <c r="B1878" s="11" t="s">
        <v>705</v>
      </c>
      <c r="C1878" s="986">
        <f>CEILING((C1877+120*$Z$1),0.1)</f>
        <v>337.5</v>
      </c>
      <c r="D1878" s="993"/>
      <c r="E1878" s="986">
        <f>CEILING((E1877+160*$Z$1),0.1)</f>
        <v>450</v>
      </c>
      <c r="F1878" s="993"/>
      <c r="G1878" s="986">
        <f>CEILING((G1877+132*$Z$1),0.1)</f>
        <v>371.3</v>
      </c>
      <c r="H1878" s="993"/>
      <c r="I1878" s="986">
        <f>CEILING((I1877+132*$Z$1),0.1)</f>
        <v>371.3</v>
      </c>
      <c r="J1878" s="993"/>
      <c r="K1878" s="986">
        <f>CEILING((K1877+120*$Z$1),0.1)</f>
        <v>337.5</v>
      </c>
      <c r="L1878" s="993"/>
      <c r="M1878" s="20"/>
      <c r="N1878" s="20"/>
      <c r="R1878" s="278"/>
      <c r="S1878" s="278"/>
      <c r="V1878"/>
      <c r="W1878"/>
      <c r="X1878"/>
      <c r="Y1878"/>
    </row>
    <row r="1879" spans="1:25" ht="16.5" customHeight="1">
      <c r="A1879" s="35"/>
      <c r="B1879" s="127" t="s">
        <v>79</v>
      </c>
      <c r="C1879" s="986">
        <f>CEILING((C1877*0.85),0.1)</f>
        <v>159.4</v>
      </c>
      <c r="D1879" s="993"/>
      <c r="E1879" s="986">
        <f>CEILING((E1877*0.85),0.1)</f>
        <v>212.5</v>
      </c>
      <c r="F1879" s="993"/>
      <c r="G1879" s="986">
        <f>CEILING((G1877*0.85),0.1)</f>
        <v>175.4</v>
      </c>
      <c r="H1879" s="993"/>
      <c r="I1879" s="986">
        <f>CEILING((I1877*0.85),0.1)</f>
        <v>175.4</v>
      </c>
      <c r="J1879" s="993"/>
      <c r="K1879" s="986">
        <f>CEILING((K1877*0.85),0.1)</f>
        <v>159.4</v>
      </c>
      <c r="L1879" s="993"/>
      <c r="M1879" s="20"/>
      <c r="R1879" s="15"/>
      <c r="S1879" s="15"/>
      <c r="V1879"/>
      <c r="W1879"/>
      <c r="X1879"/>
      <c r="Y1879"/>
    </row>
    <row r="1880" spans="1:25" ht="15" customHeight="1">
      <c r="A1880" s="450"/>
      <c r="B1880" s="1070" t="s">
        <v>1184</v>
      </c>
      <c r="C1880" s="986">
        <f>CEILING((C1877*0.3),0.1)</f>
        <v>56.300000000000004</v>
      </c>
      <c r="D1880" s="993"/>
      <c r="E1880" s="986">
        <f>CEILING((E1877*0.3),0.1)</f>
        <v>75</v>
      </c>
      <c r="F1880" s="993"/>
      <c r="G1880" s="986">
        <f>CEILING((G1877*0.3),0.1)</f>
        <v>61.900000000000006</v>
      </c>
      <c r="H1880" s="993"/>
      <c r="I1880" s="986">
        <f>CEILING((I1877*0.3),0.1)</f>
        <v>61.900000000000006</v>
      </c>
      <c r="J1880" s="993"/>
      <c r="K1880" s="986">
        <f>CEILING((K1877*0.3),0.1)</f>
        <v>56.300000000000004</v>
      </c>
      <c r="L1880" s="993"/>
      <c r="M1880" s="169"/>
      <c r="R1880" s="3"/>
      <c r="S1880" s="3"/>
      <c r="V1880"/>
      <c r="W1880"/>
      <c r="X1880"/>
      <c r="Y1880"/>
    </row>
    <row r="1881" spans="1:256" s="479" customFormat="1" ht="21" customHeight="1" thickBot="1">
      <c r="A1881" s="35"/>
      <c r="B1881" s="29" t="s">
        <v>706</v>
      </c>
      <c r="C1881" s="986">
        <f>CEILING(158*$Z$1,0.1)</f>
        <v>197.5</v>
      </c>
      <c r="D1881" s="993"/>
      <c r="E1881" s="986">
        <f>CEILING(210*$Z$1,0.1)</f>
        <v>262.5</v>
      </c>
      <c r="F1881" s="993"/>
      <c r="G1881" s="986">
        <f>CEILING(173*$Z$1,0.1)</f>
        <v>216.3</v>
      </c>
      <c r="H1881" s="993"/>
      <c r="I1881" s="986">
        <f>CEILING(173*$Z$1,0.1)</f>
        <v>216.3</v>
      </c>
      <c r="J1881" s="993"/>
      <c r="K1881" s="986">
        <f>CEILING(158*$Z$1,0.1)</f>
        <v>197.5</v>
      </c>
      <c r="L1881" s="993"/>
      <c r="M1881" s="947"/>
      <c r="N1881" s="947"/>
      <c r="O1881" s="947"/>
      <c r="P1881" s="947"/>
      <c r="Q1881" s="633"/>
      <c r="R1881" s="608"/>
      <c r="S1881" s="608"/>
      <c r="T1881" s="608"/>
      <c r="U1881" s="947"/>
      <c r="V1881" s="947"/>
      <c r="W1881" s="947"/>
      <c r="X1881" s="947"/>
      <c r="Y1881" s="633" t="s">
        <v>632</v>
      </c>
      <c r="Z1881" s="608"/>
      <c r="AA1881" s="608"/>
      <c r="AB1881" s="608"/>
      <c r="AC1881" s="947"/>
      <c r="AD1881" s="947"/>
      <c r="AE1881" s="947"/>
      <c r="AF1881" s="947"/>
      <c r="AG1881" s="633" t="s">
        <v>632</v>
      </c>
      <c r="AH1881" s="608"/>
      <c r="AI1881" s="608"/>
      <c r="AJ1881" s="608"/>
      <c r="AK1881" s="947"/>
      <c r="AL1881" s="947"/>
      <c r="AM1881" s="947"/>
      <c r="AN1881" s="947"/>
      <c r="AO1881" s="633" t="s">
        <v>632</v>
      </c>
      <c r="AP1881" s="608"/>
      <c r="AQ1881" s="608"/>
      <c r="AR1881" s="608"/>
      <c r="AS1881" s="947"/>
      <c r="AT1881" s="947"/>
      <c r="AU1881" s="532"/>
      <c r="AV1881" s="532"/>
      <c r="AW1881" s="533" t="s">
        <v>632</v>
      </c>
      <c r="AX1881" s="464"/>
      <c r="AY1881" s="463"/>
      <c r="AZ1881" s="464"/>
      <c r="BA1881" s="532"/>
      <c r="BB1881" s="532"/>
      <c r="BC1881" s="532"/>
      <c r="BD1881" s="532"/>
      <c r="BE1881" s="533" t="s">
        <v>632</v>
      </c>
      <c r="BF1881" s="464"/>
      <c r="BG1881" s="463"/>
      <c r="BH1881" s="464"/>
      <c r="BI1881" s="532"/>
      <c r="BJ1881" s="532"/>
      <c r="BK1881" s="532"/>
      <c r="BL1881" s="532"/>
      <c r="BM1881" s="533" t="s">
        <v>632</v>
      </c>
      <c r="BN1881" s="464"/>
      <c r="BO1881" s="463"/>
      <c r="BP1881" s="464"/>
      <c r="BQ1881" s="532"/>
      <c r="BR1881" s="532"/>
      <c r="BS1881" s="532"/>
      <c r="BT1881" s="532"/>
      <c r="BU1881" s="533" t="s">
        <v>632</v>
      </c>
      <c r="BV1881" s="464"/>
      <c r="BW1881" s="463"/>
      <c r="BX1881" s="464"/>
      <c r="BY1881" s="532"/>
      <c r="BZ1881" s="532"/>
      <c r="CA1881" s="532"/>
      <c r="CB1881" s="532"/>
      <c r="CC1881" s="533" t="s">
        <v>632</v>
      </c>
      <c r="CD1881" s="464"/>
      <c r="CE1881" s="463"/>
      <c r="CF1881" s="464"/>
      <c r="CG1881" s="532"/>
      <c r="CH1881" s="532"/>
      <c r="CI1881" s="532"/>
      <c r="CJ1881" s="532"/>
      <c r="CK1881" s="533" t="s">
        <v>632</v>
      </c>
      <c r="CL1881" s="464"/>
      <c r="CM1881" s="463"/>
      <c r="CN1881" s="464"/>
      <c r="CO1881" s="532"/>
      <c r="CP1881" s="532"/>
      <c r="CQ1881" s="532"/>
      <c r="CR1881" s="532"/>
      <c r="CS1881" s="533" t="s">
        <v>632</v>
      </c>
      <c r="CT1881" s="464"/>
      <c r="CU1881" s="463"/>
      <c r="CV1881" s="464"/>
      <c r="CW1881" s="532"/>
      <c r="CX1881" s="532"/>
      <c r="CY1881" s="532"/>
      <c r="CZ1881" s="532"/>
      <c r="DA1881" s="533" t="s">
        <v>632</v>
      </c>
      <c r="DB1881" s="464"/>
      <c r="DC1881" s="463"/>
      <c r="DD1881" s="464"/>
      <c r="DE1881" s="532"/>
      <c r="DF1881" s="532"/>
      <c r="DG1881" s="532"/>
      <c r="DH1881" s="532"/>
      <c r="DI1881" s="533" t="s">
        <v>632</v>
      </c>
      <c r="DJ1881" s="464"/>
      <c r="DK1881" s="463"/>
      <c r="DL1881" s="464"/>
      <c r="DM1881" s="532"/>
      <c r="DN1881" s="532"/>
      <c r="DO1881" s="532"/>
      <c r="DP1881" s="532"/>
      <c r="DQ1881" s="533" t="s">
        <v>632</v>
      </c>
      <c r="DR1881" s="464"/>
      <c r="DS1881" s="463"/>
      <c r="DT1881" s="464"/>
      <c r="DU1881" s="532"/>
      <c r="DV1881" s="532"/>
      <c r="DW1881" s="532"/>
      <c r="DX1881" s="532"/>
      <c r="DY1881" s="533" t="s">
        <v>632</v>
      </c>
      <c r="DZ1881" s="464"/>
      <c r="EA1881" s="463"/>
      <c r="EB1881" s="464"/>
      <c r="EC1881" s="532"/>
      <c r="ED1881" s="532"/>
      <c r="EE1881" s="532"/>
      <c r="EF1881" s="532"/>
      <c r="EG1881" s="533" t="s">
        <v>632</v>
      </c>
      <c r="EH1881" s="464"/>
      <c r="EI1881" s="463"/>
      <c r="EJ1881" s="464"/>
      <c r="EK1881" s="532"/>
      <c r="EL1881" s="532"/>
      <c r="EM1881" s="532"/>
      <c r="EN1881" s="532"/>
      <c r="EO1881" s="533" t="s">
        <v>632</v>
      </c>
      <c r="EP1881" s="464"/>
      <c r="EQ1881" s="463"/>
      <c r="ER1881" s="464"/>
      <c r="ES1881" s="532"/>
      <c r="ET1881" s="532"/>
      <c r="EU1881" s="532"/>
      <c r="EV1881" s="532"/>
      <c r="EW1881" s="533" t="s">
        <v>632</v>
      </c>
      <c r="EX1881" s="464"/>
      <c r="EY1881" s="463"/>
      <c r="EZ1881" s="464"/>
      <c r="FA1881" s="532"/>
      <c r="FB1881" s="532"/>
      <c r="FC1881" s="532"/>
      <c r="FD1881" s="532"/>
      <c r="FE1881" s="533" t="s">
        <v>632</v>
      </c>
      <c r="FF1881" s="464"/>
      <c r="FG1881" s="463"/>
      <c r="FH1881" s="464"/>
      <c r="FI1881" s="532"/>
      <c r="FJ1881" s="532"/>
      <c r="FK1881" s="532"/>
      <c r="FL1881" s="532"/>
      <c r="FM1881" s="533" t="s">
        <v>632</v>
      </c>
      <c r="FN1881" s="464"/>
      <c r="FO1881" s="463"/>
      <c r="FP1881" s="464"/>
      <c r="FQ1881" s="532"/>
      <c r="FR1881" s="532"/>
      <c r="FS1881" s="532"/>
      <c r="FT1881" s="532"/>
      <c r="FU1881" s="533" t="s">
        <v>632</v>
      </c>
      <c r="FV1881" s="464"/>
      <c r="FW1881" s="463"/>
      <c r="FX1881" s="464"/>
      <c r="FY1881" s="532"/>
      <c r="FZ1881" s="532"/>
      <c r="GA1881" s="532"/>
      <c r="GB1881" s="532"/>
      <c r="GC1881" s="533" t="s">
        <v>632</v>
      </c>
      <c r="GD1881" s="464"/>
      <c r="GE1881" s="463"/>
      <c r="GF1881" s="464"/>
      <c r="GG1881" s="532"/>
      <c r="GH1881" s="532"/>
      <c r="GI1881" s="532"/>
      <c r="GJ1881" s="532"/>
      <c r="GK1881" s="533" t="s">
        <v>632</v>
      </c>
      <c r="GL1881" s="464"/>
      <c r="GM1881" s="463"/>
      <c r="GN1881" s="464"/>
      <c r="GO1881" s="532"/>
      <c r="GP1881" s="532"/>
      <c r="GQ1881" s="532"/>
      <c r="GR1881" s="532"/>
      <c r="GS1881" s="533" t="s">
        <v>632</v>
      </c>
      <c r="GT1881" s="464"/>
      <c r="GU1881" s="463"/>
      <c r="GV1881" s="464"/>
      <c r="GW1881" s="532"/>
      <c r="GX1881" s="532"/>
      <c r="GY1881" s="532"/>
      <c r="GZ1881" s="532"/>
      <c r="HA1881" s="533" t="s">
        <v>632</v>
      </c>
      <c r="HB1881" s="464"/>
      <c r="HC1881" s="463"/>
      <c r="HD1881" s="464"/>
      <c r="HE1881" s="532"/>
      <c r="HF1881" s="532"/>
      <c r="HG1881" s="532"/>
      <c r="HH1881" s="532"/>
      <c r="HI1881" s="533" t="s">
        <v>632</v>
      </c>
      <c r="HJ1881" s="464"/>
      <c r="HK1881" s="463"/>
      <c r="HL1881" s="464"/>
      <c r="HM1881" s="532"/>
      <c r="HN1881" s="532"/>
      <c r="HO1881" s="532"/>
      <c r="HP1881" s="532"/>
      <c r="HQ1881" s="533" t="s">
        <v>632</v>
      </c>
      <c r="HR1881" s="464"/>
      <c r="HS1881" s="463"/>
      <c r="HT1881" s="464"/>
      <c r="HU1881" s="532"/>
      <c r="HV1881" s="532"/>
      <c r="HW1881" s="532"/>
      <c r="HX1881" s="532"/>
      <c r="HY1881" s="533" t="s">
        <v>632</v>
      </c>
      <c r="HZ1881" s="464"/>
      <c r="IA1881" s="463"/>
      <c r="IB1881" s="464"/>
      <c r="IC1881" s="532"/>
      <c r="ID1881" s="532"/>
      <c r="IE1881" s="532"/>
      <c r="IF1881" s="532"/>
      <c r="IG1881" s="533" t="s">
        <v>632</v>
      </c>
      <c r="IH1881" s="464"/>
      <c r="II1881" s="463"/>
      <c r="IJ1881" s="464"/>
      <c r="IK1881" s="532"/>
      <c r="IL1881" s="532"/>
      <c r="IM1881" s="532"/>
      <c r="IN1881" s="532"/>
      <c r="IO1881" s="533" t="s">
        <v>632</v>
      </c>
      <c r="IP1881" s="464"/>
      <c r="IQ1881" s="463"/>
      <c r="IR1881" s="464"/>
      <c r="IS1881" s="532"/>
      <c r="IT1881" s="532"/>
      <c r="IU1881" s="532"/>
      <c r="IV1881" s="532"/>
    </row>
    <row r="1882" spans="1:46" ht="15.75" thickTop="1">
      <c r="A1882" s="534"/>
      <c r="B1882" s="29" t="s">
        <v>707</v>
      </c>
      <c r="C1882" s="986">
        <f>CEILING((C1881+126.5*$Z$1),0.1)</f>
        <v>355.70000000000005</v>
      </c>
      <c r="D1882" s="993"/>
      <c r="E1882" s="986">
        <f>CEILING((E1881+168*$Z$1),0.1)</f>
        <v>472.5</v>
      </c>
      <c r="F1882" s="993"/>
      <c r="G1882" s="986">
        <f>CEILING((G1881+138.2*$Z$1),0.1)</f>
        <v>389.1</v>
      </c>
      <c r="H1882" s="993"/>
      <c r="I1882" s="986">
        <f>CEILING((I1881+138.2*$Z$1),0.1)</f>
        <v>389.1</v>
      </c>
      <c r="J1882" s="993"/>
      <c r="K1882" s="986">
        <f>CEILING((K1881+126.5*$Z$1),0.1)</f>
        <v>355.70000000000005</v>
      </c>
      <c r="L1882" s="993"/>
      <c r="M1882" s="335"/>
      <c r="N1882" s="335"/>
      <c r="O1882" s="335"/>
      <c r="P1882" s="335"/>
      <c r="Q1882" s="335"/>
      <c r="R1882" s="947"/>
      <c r="S1882" s="947"/>
      <c r="T1882" s="335"/>
      <c r="U1882" s="335"/>
      <c r="V1882" s="335"/>
      <c r="W1882" s="335"/>
      <c r="X1882" s="335"/>
      <c r="Y1882" s="335"/>
      <c r="Z1882" s="335"/>
      <c r="AA1882" s="335"/>
      <c r="AB1882" s="335"/>
      <c r="AC1882" s="335"/>
      <c r="AD1882" s="335"/>
      <c r="AE1882" s="335"/>
      <c r="AF1882" s="335"/>
      <c r="AG1882" s="335"/>
      <c r="AH1882" s="335"/>
      <c r="AI1882" s="335"/>
      <c r="AJ1882" s="335"/>
      <c r="AK1882" s="335"/>
      <c r="AL1882" s="335"/>
      <c r="AM1882" s="335"/>
      <c r="AN1882" s="335"/>
      <c r="AO1882" s="335"/>
      <c r="AP1882" s="335"/>
      <c r="AQ1882" s="335"/>
      <c r="AR1882" s="335"/>
      <c r="AS1882" s="335"/>
      <c r="AT1882" s="335"/>
    </row>
    <row r="1883" spans="1:25" ht="16.5" customHeight="1">
      <c r="A1883" s="35"/>
      <c r="B1883" s="29" t="s">
        <v>708</v>
      </c>
      <c r="C1883" s="986">
        <f>CEILING(173*$Z$1,0.1)</f>
        <v>216.3</v>
      </c>
      <c r="D1883" s="993"/>
      <c r="E1883" s="986">
        <f>CEILING(230*$Z$1,0.1)</f>
        <v>287.5</v>
      </c>
      <c r="F1883" s="993"/>
      <c r="G1883" s="986">
        <f>CEILING(190*$Z$1,0.1)</f>
        <v>237.5</v>
      </c>
      <c r="H1883" s="993"/>
      <c r="I1883" s="986">
        <f>CEILING(190*$Z$1,0.1)</f>
        <v>237.5</v>
      </c>
      <c r="J1883" s="993"/>
      <c r="K1883" s="986">
        <f>CEILING(173*$Z$1,0.1)</f>
        <v>216.3</v>
      </c>
      <c r="L1883" s="993"/>
      <c r="M1883" s="189"/>
      <c r="Q1883"/>
      <c r="R1883"/>
      <c r="S1883"/>
      <c r="T1883"/>
      <c r="U1883"/>
      <c r="V1883"/>
      <c r="W1883"/>
      <c r="X1883"/>
      <c r="Y1883"/>
    </row>
    <row r="1884" spans="1:25" ht="17.25" customHeight="1">
      <c r="A1884" s="450"/>
      <c r="B1884" s="29" t="s">
        <v>709</v>
      </c>
      <c r="C1884" s="986">
        <f>CEILING((C1883+139*$Z$1),0.1)</f>
        <v>390.1</v>
      </c>
      <c r="D1884" s="993"/>
      <c r="E1884" s="986">
        <f>CEILING((E1883+184*$Z$1),0.1)</f>
        <v>517.5</v>
      </c>
      <c r="F1884" s="993"/>
      <c r="G1884" s="986">
        <f>CEILING((G1883+152*$Z$1),0.1)</f>
        <v>427.5</v>
      </c>
      <c r="H1884" s="993"/>
      <c r="I1884" s="986">
        <f>CEILING((I1883+152*$Z$1),0.1)</f>
        <v>427.5</v>
      </c>
      <c r="J1884" s="993"/>
      <c r="K1884" s="986">
        <f>CEILING((K1883+139*$Z$1),0.1)</f>
        <v>390.1</v>
      </c>
      <c r="L1884" s="993"/>
      <c r="M1884" s="189"/>
      <c r="R1884"/>
      <c r="S1884"/>
      <c r="T1884"/>
      <c r="U1884"/>
      <c r="V1884"/>
      <c r="W1884"/>
      <c r="X1884"/>
      <c r="Y1884"/>
    </row>
    <row r="1885" spans="1:25" ht="15.75" customHeight="1">
      <c r="A1885" s="35"/>
      <c r="B1885" s="29" t="s">
        <v>1188</v>
      </c>
      <c r="C1885" s="986">
        <f>CEILING(168*$Z$1,0.1)</f>
        <v>210</v>
      </c>
      <c r="D1885" s="993"/>
      <c r="E1885" s="986">
        <f>CEILING(220*$Z$1,0.1)</f>
        <v>275</v>
      </c>
      <c r="F1885" s="993"/>
      <c r="G1885" s="986">
        <f>CEILING(183*$Z$1,0.1)</f>
        <v>228.8</v>
      </c>
      <c r="H1885" s="993"/>
      <c r="I1885" s="986">
        <f>CEILING(183*$Z$1,0.1)</f>
        <v>228.8</v>
      </c>
      <c r="J1885" s="993"/>
      <c r="K1885" s="986">
        <f>CEILING(168*$Z$1,0.1)</f>
        <v>210</v>
      </c>
      <c r="L1885" s="993"/>
      <c r="M1885" s="189"/>
      <c r="Q1885"/>
      <c r="R1885"/>
      <c r="S1885"/>
      <c r="T1885"/>
      <c r="U1885"/>
      <c r="V1885"/>
      <c r="W1885"/>
      <c r="X1885"/>
      <c r="Y1885"/>
    </row>
    <row r="1886" spans="1:25" ht="15.75" customHeight="1">
      <c r="A1886" s="35"/>
      <c r="B1886" s="29" t="s">
        <v>1189</v>
      </c>
      <c r="C1886" s="986">
        <f>CEILING((C1885+134.4*$Z$1),0.1)</f>
        <v>378</v>
      </c>
      <c r="D1886" s="993"/>
      <c r="E1886" s="986">
        <f>CEILING((E1885+176*$Z$1),0.1)</f>
        <v>495</v>
      </c>
      <c r="F1886" s="993"/>
      <c r="G1886" s="986">
        <f>CEILING((G1885+146.5*$Z$1),0.1)</f>
        <v>412</v>
      </c>
      <c r="H1886" s="993"/>
      <c r="I1886" s="986">
        <f>CEILING((I1885+146.5*$Z$1),0.1)</f>
        <v>412</v>
      </c>
      <c r="J1886" s="993"/>
      <c r="K1886" s="986">
        <f>CEILING((K1885+134.4*$Z$1),0.1)</f>
        <v>378</v>
      </c>
      <c r="L1886" s="993"/>
      <c r="M1886" s="189"/>
      <c r="O1886" s="210"/>
      <c r="P1886" s="211"/>
      <c r="V1886"/>
      <c r="W1886"/>
      <c r="X1886"/>
      <c r="Y1886"/>
    </row>
    <row r="1887" spans="1:16" ht="15">
      <c r="A1887" s="534"/>
      <c r="B1887" s="29" t="s">
        <v>1190</v>
      </c>
      <c r="C1887" s="986">
        <f>CEILING(183*$Z$1,0.1)</f>
        <v>228.8</v>
      </c>
      <c r="D1887" s="993"/>
      <c r="E1887" s="986">
        <f>CEILING(240*$Z$1,0.1)</f>
        <v>300</v>
      </c>
      <c r="F1887" s="993"/>
      <c r="G1887" s="986">
        <f>CEILING(200*$Z$1,0.1)</f>
        <v>250</v>
      </c>
      <c r="H1887" s="993"/>
      <c r="I1887" s="986">
        <f>CEILING(200*$Z$1,0.1)</f>
        <v>250</v>
      </c>
      <c r="J1887" s="993"/>
      <c r="K1887" s="986">
        <f>CEILING(183*$Z$1,0.1)</f>
        <v>228.8</v>
      </c>
      <c r="L1887" s="993"/>
      <c r="M1887" s="189"/>
      <c r="O1887" s="210"/>
      <c r="P1887" s="211"/>
    </row>
    <row r="1888" spans="1:25" s="479" customFormat="1" ht="16.5" customHeight="1">
      <c r="A1888" s="450" t="s">
        <v>1319</v>
      </c>
      <c r="B1888" s="29" t="s">
        <v>1191</v>
      </c>
      <c r="C1888" s="986">
        <f>CEILING((C1887+146.7*$Z$1),0.1)</f>
        <v>412.20000000000005</v>
      </c>
      <c r="D1888" s="993"/>
      <c r="E1888" s="986">
        <f>CEILING((E1887+192*$Z$1),0.1)</f>
        <v>540</v>
      </c>
      <c r="F1888" s="993"/>
      <c r="G1888" s="986">
        <f>CEILING((G1887+160*$Z$1),0.1)</f>
        <v>450</v>
      </c>
      <c r="H1888" s="993"/>
      <c r="I1888" s="986">
        <f>CEILING((I1887+160*$Z$1),0.1)</f>
        <v>450</v>
      </c>
      <c r="J1888" s="993"/>
      <c r="K1888" s="986">
        <f>CEILING((K1887+146.7*$Z$1),0.1)</f>
        <v>412.20000000000005</v>
      </c>
      <c r="L1888" s="993"/>
      <c r="M1888" s="481"/>
      <c r="N1888" s="480"/>
      <c r="O1888" s="480"/>
      <c r="P1888" s="480"/>
      <c r="Q1888" s="480"/>
      <c r="R1888" s="480"/>
      <c r="S1888" s="480"/>
      <c r="T1888" s="480"/>
      <c r="U1888" s="480"/>
      <c r="V1888" s="480"/>
      <c r="W1888" s="480"/>
      <c r="X1888" s="480"/>
      <c r="Y1888" s="480"/>
    </row>
    <row r="1889" spans="1:25" s="479" customFormat="1" ht="15">
      <c r="A1889" s="35"/>
      <c r="B1889" s="29" t="s">
        <v>810</v>
      </c>
      <c r="C1889" s="986">
        <f>CEILING(218*$Z$1,0.1)</f>
        <v>272.5</v>
      </c>
      <c r="D1889" s="993"/>
      <c r="E1889" s="986">
        <f>CEILING(290*$Z$1,0.1)</f>
        <v>362.5</v>
      </c>
      <c r="F1889" s="993"/>
      <c r="G1889" s="986">
        <f>CEILING(239*$Z$1,0.1)</f>
        <v>298.8</v>
      </c>
      <c r="H1889" s="993"/>
      <c r="I1889" s="986">
        <f>CEILING(239*$Z$1,0.1)</f>
        <v>298.8</v>
      </c>
      <c r="J1889" s="993"/>
      <c r="K1889" s="986">
        <f>CEILING(218*$Z$1,0.1)</f>
        <v>272.5</v>
      </c>
      <c r="L1889" s="993"/>
      <c r="M1889" s="481"/>
      <c r="N1889" s="480"/>
      <c r="O1889" s="210"/>
      <c r="P1889" s="211"/>
      <c r="Q1889" s="480"/>
      <c r="R1889" s="480"/>
      <c r="S1889" s="480"/>
      <c r="T1889" s="480"/>
      <c r="U1889" s="480"/>
      <c r="V1889" s="480"/>
      <c r="W1889" s="480"/>
      <c r="X1889" s="480"/>
      <c r="Y1889" s="480"/>
    </row>
    <row r="1890" spans="1:25" s="479" customFormat="1" ht="15">
      <c r="A1890" s="534" t="s">
        <v>1288</v>
      </c>
      <c r="B1890" s="29" t="s">
        <v>811</v>
      </c>
      <c r="C1890" s="986">
        <f>CEILING((C1889+174.5*$Z$1),0.1)</f>
        <v>490.70000000000005</v>
      </c>
      <c r="D1890" s="993"/>
      <c r="E1890" s="986">
        <f>CEILING((E1889+232*$Z$1),0.1)</f>
        <v>652.5</v>
      </c>
      <c r="F1890" s="993"/>
      <c r="G1890" s="986">
        <f>CEILING((G1889+191.2*$Z$1),0.1)</f>
        <v>537.8000000000001</v>
      </c>
      <c r="H1890" s="993"/>
      <c r="I1890" s="986">
        <f>CEILING((I1889+191.2*$Z$1),0.1)</f>
        <v>537.8000000000001</v>
      </c>
      <c r="J1890" s="993"/>
      <c r="K1890" s="986">
        <f>CEILING((K1889+174.5*$Z$1),0.1)</f>
        <v>490.70000000000005</v>
      </c>
      <c r="L1890" s="993"/>
      <c r="M1890" s="481"/>
      <c r="N1890" s="480"/>
      <c r="O1890" s="210"/>
      <c r="P1890" s="211"/>
      <c r="Q1890" s="480"/>
      <c r="R1890" s="480"/>
      <c r="S1890" s="480"/>
      <c r="T1890" s="480"/>
      <c r="U1890" s="480"/>
      <c r="V1890" s="480"/>
      <c r="W1890" s="480"/>
      <c r="X1890" s="480"/>
      <c r="Y1890" s="480"/>
    </row>
    <row r="1891" spans="1:256" ht="21.75" customHeight="1">
      <c r="A1891" s="35"/>
      <c r="B1891" s="29" t="s">
        <v>812</v>
      </c>
      <c r="C1891" s="986">
        <f>CEILING(225*$Z$1,0.1)</f>
        <v>281.3</v>
      </c>
      <c r="D1891" s="993"/>
      <c r="E1891" s="986">
        <f>CEILING(300*$Z$1,0.1)</f>
        <v>375</v>
      </c>
      <c r="F1891" s="993"/>
      <c r="G1891" s="986">
        <f>CEILING(248*$Z$1,0.1)</f>
        <v>310</v>
      </c>
      <c r="H1891" s="993"/>
      <c r="I1891" s="986">
        <f>CEILING(248*$Z$1,0.1)</f>
        <v>310</v>
      </c>
      <c r="J1891" s="993"/>
      <c r="K1891" s="986">
        <f>CEILING(225*$Z$1,0.1)</f>
        <v>281.3</v>
      </c>
      <c r="L1891" s="993"/>
      <c r="M1891" s="481"/>
      <c r="N1891" s="480"/>
      <c r="O1891" s="480"/>
      <c r="P1891" s="480"/>
      <c r="Q1891" s="480"/>
      <c r="R1891" s="480"/>
      <c r="S1891" s="480"/>
      <c r="T1891" s="480"/>
      <c r="U1891" s="480"/>
      <c r="V1891" s="480"/>
      <c r="W1891" s="480"/>
      <c r="X1891" s="480"/>
      <c r="Y1891" s="480"/>
      <c r="Z1891" s="479"/>
      <c r="AA1891" s="479"/>
      <c r="AB1891" s="479"/>
      <c r="AC1891" s="479"/>
      <c r="AD1891" s="479"/>
      <c r="AE1891" s="479"/>
      <c r="AF1891" s="479"/>
      <c r="AG1891" s="479"/>
      <c r="AH1891" s="479"/>
      <c r="AI1891" s="479"/>
      <c r="AJ1891" s="479"/>
      <c r="AK1891" s="479"/>
      <c r="AL1891" s="479"/>
      <c r="AM1891" s="479"/>
      <c r="AN1891" s="479"/>
      <c r="AO1891" s="479"/>
      <c r="AP1891" s="479"/>
      <c r="AQ1891" s="479"/>
      <c r="AR1891" s="479"/>
      <c r="AS1891" s="479"/>
      <c r="AT1891" s="479"/>
      <c r="AU1891" s="479"/>
      <c r="AV1891" s="479"/>
      <c r="AW1891" s="479"/>
      <c r="AX1891" s="479"/>
      <c r="AY1891" s="479"/>
      <c r="AZ1891" s="479"/>
      <c r="BA1891" s="479"/>
      <c r="BB1891" s="479"/>
      <c r="BC1891" s="479"/>
      <c r="BD1891" s="479"/>
      <c r="BE1891" s="479"/>
      <c r="BF1891" s="479"/>
      <c r="BG1891" s="479"/>
      <c r="BH1891" s="479"/>
      <c r="BI1891" s="479"/>
      <c r="BJ1891" s="479"/>
      <c r="BK1891" s="479"/>
      <c r="BL1891" s="479"/>
      <c r="BM1891" s="479"/>
      <c r="BN1891" s="479"/>
      <c r="BO1891" s="479"/>
      <c r="BP1891" s="479"/>
      <c r="BQ1891" s="479"/>
      <c r="BR1891" s="479"/>
      <c r="BS1891" s="479"/>
      <c r="BT1891" s="479"/>
      <c r="BU1891" s="479"/>
      <c r="BV1891" s="479"/>
      <c r="BW1891" s="479"/>
      <c r="BX1891" s="479"/>
      <c r="BY1891" s="479"/>
      <c r="BZ1891" s="479"/>
      <c r="CA1891" s="479"/>
      <c r="CB1891" s="479"/>
      <c r="CC1891" s="479"/>
      <c r="CD1891" s="479"/>
      <c r="CE1891" s="479"/>
      <c r="CF1891" s="479"/>
      <c r="CG1891" s="479"/>
      <c r="CH1891" s="479"/>
      <c r="CI1891" s="479"/>
      <c r="CJ1891" s="479"/>
      <c r="CK1891" s="479"/>
      <c r="CL1891" s="479"/>
      <c r="CM1891" s="479"/>
      <c r="CN1891" s="479"/>
      <c r="CO1891" s="479"/>
      <c r="CP1891" s="479"/>
      <c r="CQ1891" s="479"/>
      <c r="CR1891" s="479"/>
      <c r="CS1891" s="479"/>
      <c r="CT1891" s="479"/>
      <c r="CU1891" s="479"/>
      <c r="CV1891" s="479"/>
      <c r="CW1891" s="479"/>
      <c r="CX1891" s="479"/>
      <c r="CY1891" s="479"/>
      <c r="CZ1891" s="479"/>
      <c r="DA1891" s="479"/>
      <c r="DB1891" s="479"/>
      <c r="DC1891" s="479"/>
      <c r="DD1891" s="479"/>
      <c r="DE1891" s="479"/>
      <c r="DF1891" s="479"/>
      <c r="DG1891" s="479"/>
      <c r="DH1891" s="479"/>
      <c r="DI1891" s="479"/>
      <c r="DJ1891" s="479"/>
      <c r="DK1891" s="479"/>
      <c r="DL1891" s="479"/>
      <c r="DM1891" s="479"/>
      <c r="DN1891" s="479"/>
      <c r="DO1891" s="479"/>
      <c r="DP1891" s="479"/>
      <c r="DQ1891" s="479"/>
      <c r="DR1891" s="479"/>
      <c r="DS1891" s="479"/>
      <c r="DT1891" s="479"/>
      <c r="DU1891" s="479"/>
      <c r="DV1891" s="479"/>
      <c r="DW1891" s="479"/>
      <c r="DX1891" s="479"/>
      <c r="DY1891" s="479"/>
      <c r="DZ1891" s="479"/>
      <c r="EA1891" s="479"/>
      <c r="EB1891" s="479"/>
      <c r="EC1891" s="479"/>
      <c r="ED1891" s="479"/>
      <c r="EE1891" s="479"/>
      <c r="EF1891" s="479"/>
      <c r="EG1891" s="479"/>
      <c r="EH1891" s="479"/>
      <c r="EI1891" s="479"/>
      <c r="EJ1891" s="479"/>
      <c r="EK1891" s="479"/>
      <c r="EL1891" s="479"/>
      <c r="EM1891" s="479"/>
      <c r="EN1891" s="479"/>
      <c r="EO1891" s="479"/>
      <c r="EP1891" s="479"/>
      <c r="EQ1891" s="479"/>
      <c r="ER1891" s="479"/>
      <c r="ES1891" s="479"/>
      <c r="ET1891" s="479"/>
      <c r="EU1891" s="479"/>
      <c r="EV1891" s="479"/>
      <c r="EW1891" s="479"/>
      <c r="EX1891" s="479"/>
      <c r="EY1891" s="479"/>
      <c r="EZ1891" s="479"/>
      <c r="FA1891" s="479"/>
      <c r="FB1891" s="479"/>
      <c r="FC1891" s="479"/>
      <c r="FD1891" s="479"/>
      <c r="FE1891" s="479"/>
      <c r="FF1891" s="479"/>
      <c r="FG1891" s="479"/>
      <c r="FH1891" s="479"/>
      <c r="FI1891" s="479"/>
      <c r="FJ1891" s="479"/>
      <c r="FK1891" s="479"/>
      <c r="FL1891" s="479"/>
      <c r="FM1891" s="479"/>
      <c r="FN1891" s="479"/>
      <c r="FO1891" s="479"/>
      <c r="FP1891" s="479"/>
      <c r="FQ1891" s="479"/>
      <c r="FR1891" s="479"/>
      <c r="FS1891" s="479"/>
      <c r="FT1891" s="479"/>
      <c r="FU1891" s="479"/>
      <c r="FV1891" s="479"/>
      <c r="FW1891" s="479"/>
      <c r="FX1891" s="479"/>
      <c r="FY1891" s="479"/>
      <c r="FZ1891" s="479"/>
      <c r="GA1891" s="479"/>
      <c r="GB1891" s="479"/>
      <c r="GC1891" s="479"/>
      <c r="GD1891" s="479"/>
      <c r="GE1891" s="479"/>
      <c r="GF1891" s="479"/>
      <c r="GG1891" s="479"/>
      <c r="GH1891" s="479"/>
      <c r="GI1891" s="479"/>
      <c r="GJ1891" s="479"/>
      <c r="GK1891" s="479"/>
      <c r="GL1891" s="479"/>
      <c r="GM1891" s="479"/>
      <c r="GN1891" s="479"/>
      <c r="GO1891" s="479"/>
      <c r="GP1891" s="479"/>
      <c r="GQ1891" s="479"/>
      <c r="GR1891" s="479"/>
      <c r="GS1891" s="479"/>
      <c r="GT1891" s="479"/>
      <c r="GU1891" s="479"/>
      <c r="GV1891" s="479"/>
      <c r="GW1891" s="479"/>
      <c r="GX1891" s="479"/>
      <c r="GY1891" s="479"/>
      <c r="GZ1891" s="479"/>
      <c r="HA1891" s="479"/>
      <c r="HB1891" s="479"/>
      <c r="HC1891" s="479"/>
      <c r="HD1891" s="479"/>
      <c r="HE1891" s="479"/>
      <c r="HF1891" s="479"/>
      <c r="HG1891" s="479"/>
      <c r="HH1891" s="479"/>
      <c r="HI1891" s="479"/>
      <c r="HJ1891" s="479"/>
      <c r="HK1891" s="479"/>
      <c r="HL1891" s="479"/>
      <c r="HM1891" s="479"/>
      <c r="HN1891" s="479"/>
      <c r="HO1891" s="479"/>
      <c r="HP1891" s="479"/>
      <c r="HQ1891" s="479"/>
      <c r="HR1891" s="479"/>
      <c r="HS1891" s="479"/>
      <c r="HT1891" s="479"/>
      <c r="HU1891" s="479"/>
      <c r="HV1891" s="479"/>
      <c r="HW1891" s="479"/>
      <c r="HX1891" s="479"/>
      <c r="HY1891" s="479"/>
      <c r="HZ1891" s="479"/>
      <c r="IA1891" s="479"/>
      <c r="IB1891" s="479"/>
      <c r="IC1891" s="479"/>
      <c r="ID1891" s="479"/>
      <c r="IE1891" s="479"/>
      <c r="IF1891" s="479"/>
      <c r="IG1891" s="479"/>
      <c r="IH1891" s="479"/>
      <c r="II1891" s="479"/>
      <c r="IJ1891" s="479"/>
      <c r="IK1891" s="479"/>
      <c r="IL1891" s="479"/>
      <c r="IM1891" s="479"/>
      <c r="IN1891" s="479"/>
      <c r="IO1891" s="479"/>
      <c r="IP1891" s="479"/>
      <c r="IQ1891" s="479"/>
      <c r="IR1891" s="479"/>
      <c r="IS1891" s="479"/>
      <c r="IT1891" s="479"/>
      <c r="IU1891" s="479"/>
      <c r="IV1891" s="479"/>
    </row>
    <row r="1892" spans="1:13" ht="15.75" thickBot="1">
      <c r="A1892" s="1075" t="s">
        <v>1103</v>
      </c>
      <c r="B1892" s="1067" t="s">
        <v>813</v>
      </c>
      <c r="C1892" s="1068">
        <f>CEILING((C1891+180*$Z$1),0.1)</f>
        <v>506.3</v>
      </c>
      <c r="D1892" s="1069"/>
      <c r="E1892" s="1068">
        <f>CEILING((E1891+240*$Z$1),0.1)</f>
        <v>675</v>
      </c>
      <c r="F1892" s="1069"/>
      <c r="G1892" s="1068">
        <f>CEILING((G1891+198.5*$Z$1),0.1)</f>
        <v>558.2</v>
      </c>
      <c r="H1892" s="1069"/>
      <c r="I1892" s="1068">
        <f>CEILING((I1891+198.5*$Z$1),0.1)</f>
        <v>558.2</v>
      </c>
      <c r="J1892" s="1069"/>
      <c r="K1892" s="1068">
        <f>CEILING((K1891+180*$Z$1),0.1)</f>
        <v>506.3</v>
      </c>
      <c r="L1892" s="1069"/>
      <c r="M1892" s="189"/>
    </row>
    <row r="1893" spans="1:13" ht="15">
      <c r="A1893" s="1467" t="s">
        <v>1187</v>
      </c>
      <c r="B1893" s="1467"/>
      <c r="C1893" s="1467"/>
      <c r="D1893" s="1467"/>
      <c r="E1893" s="1467"/>
      <c r="F1893" s="1467"/>
      <c r="G1893" s="1467"/>
      <c r="H1893" s="1467"/>
      <c r="I1893" s="1467"/>
      <c r="J1893" s="1467"/>
      <c r="K1893" s="326"/>
      <c r="L1893" s="326"/>
      <c r="M1893" s="189"/>
    </row>
    <row r="1894" spans="1:21" s="479" customFormat="1" ht="17.25" customHeight="1">
      <c r="A1894" s="556" t="s">
        <v>1287</v>
      </c>
      <c r="B1894" s="557"/>
      <c r="C1894" s="557"/>
      <c r="D1894" s="557"/>
      <c r="E1894" s="557"/>
      <c r="F1894" s="557"/>
      <c r="G1894" s="441"/>
      <c r="H1894" s="441"/>
      <c r="I1894" s="173"/>
      <c r="J1894" s="331"/>
      <c r="K1894" s="279"/>
      <c r="L1894" s="279"/>
      <c r="M1894" s="480"/>
      <c r="N1894" s="480"/>
      <c r="O1894" s="480"/>
      <c r="P1894" s="480"/>
      <c r="Q1894" s="480"/>
      <c r="R1894" s="480"/>
      <c r="S1894" s="480"/>
      <c r="T1894" s="480"/>
      <c r="U1894" s="480"/>
    </row>
    <row r="1895" spans="1:13" s="1200" customFormat="1" ht="15">
      <c r="A1895" s="1195" t="s">
        <v>1318</v>
      </c>
      <c r="B1895" s="1196"/>
      <c r="C1895" s="1196"/>
      <c r="D1895" s="1196"/>
      <c r="E1895" s="1196"/>
      <c r="F1895" s="1196"/>
      <c r="G1895" s="1196"/>
      <c r="H1895" s="1196"/>
      <c r="I1895" s="1197"/>
      <c r="J1895" s="1197"/>
      <c r="K1895" s="1198"/>
      <c r="L1895" s="1198"/>
      <c r="M1895" s="1199"/>
    </row>
    <row r="1896" spans="1:21" s="479" customFormat="1" ht="17.25" customHeight="1">
      <c r="A1896" s="556"/>
      <c r="B1896" s="557"/>
      <c r="C1896" s="557"/>
      <c r="D1896" s="557"/>
      <c r="E1896" s="557"/>
      <c r="F1896" s="557"/>
      <c r="G1896" s="441"/>
      <c r="H1896" s="441"/>
      <c r="I1896" s="173"/>
      <c r="J1896" s="331"/>
      <c r="K1896" s="279"/>
      <c r="L1896" s="279"/>
      <c r="M1896" s="480"/>
      <c r="N1896" s="480"/>
      <c r="O1896" s="480"/>
      <c r="P1896" s="480"/>
      <c r="Q1896" s="480"/>
      <c r="R1896" s="480"/>
      <c r="S1896" s="480"/>
      <c r="T1896" s="480"/>
      <c r="U1896" s="480"/>
    </row>
    <row r="1897" spans="1:13" ht="15">
      <c r="A1897" s="172"/>
      <c r="B1897" s="50"/>
      <c r="C1897" s="3"/>
      <c r="D1897" s="3"/>
      <c r="E1897" s="3"/>
      <c r="F1897" s="3"/>
      <c r="G1897" s="3"/>
      <c r="H1897" s="3"/>
      <c r="I1897" s="564"/>
      <c r="J1897" s="20"/>
      <c r="K1897" s="279"/>
      <c r="L1897" s="279"/>
      <c r="M1897" s="189"/>
    </row>
    <row r="1898" spans="1:13" ht="15">
      <c r="A1898" s="1459" t="s">
        <v>43</v>
      </c>
      <c r="B1898" s="1470" t="s">
        <v>1306</v>
      </c>
      <c r="C1898" s="1478" t="s">
        <v>1292</v>
      </c>
      <c r="D1898" s="1479"/>
      <c r="E1898" s="1480"/>
      <c r="F1898" s="1471"/>
      <c r="G1898" s="1471"/>
      <c r="H1898" s="1471"/>
      <c r="I1898" s="429"/>
      <c r="J1898" s="430"/>
      <c r="K1898" s="279"/>
      <c r="L1898" s="279"/>
      <c r="M1898" s="189"/>
    </row>
    <row r="1899" spans="1:13" ht="15">
      <c r="A1899" s="1460"/>
      <c r="B1899" s="1469"/>
      <c r="C1899" s="1203" t="s">
        <v>101</v>
      </c>
      <c r="D1899" s="1203" t="s">
        <v>103</v>
      </c>
      <c r="E1899" s="351"/>
      <c r="F1899" s="349"/>
      <c r="G1899" s="349"/>
      <c r="H1899" s="349"/>
      <c r="I1899" s="349"/>
      <c r="J1899" s="349"/>
      <c r="K1899" s="279"/>
      <c r="L1899" s="279"/>
      <c r="M1899" s="189"/>
    </row>
    <row r="1900" spans="1:13" ht="15">
      <c r="A1900" s="49" t="s">
        <v>165</v>
      </c>
      <c r="B1900" s="131" t="s">
        <v>51</v>
      </c>
      <c r="C1900" s="506">
        <f>CEILING(93*$Z$1,0.1)</f>
        <v>116.30000000000001</v>
      </c>
      <c r="D1900" s="8"/>
      <c r="E1900" s="412"/>
      <c r="F1900" s="413"/>
      <c r="G1900" s="413"/>
      <c r="H1900" s="413"/>
      <c r="I1900" s="413"/>
      <c r="J1900" s="413"/>
      <c r="K1900" s="279"/>
      <c r="L1900" s="279"/>
      <c r="M1900" s="189"/>
    </row>
    <row r="1901" spans="1:13" ht="15">
      <c r="A1901" s="442" t="s">
        <v>1294</v>
      </c>
      <c r="B1901" s="10" t="s">
        <v>52</v>
      </c>
      <c r="C1901" s="506">
        <f>CEILING(132*$Z$1,0.1)</f>
        <v>165</v>
      </c>
      <c r="D1901" s="4"/>
      <c r="E1901" s="412"/>
      <c r="F1901" s="413"/>
      <c r="G1901" s="413"/>
      <c r="H1901" s="413"/>
      <c r="I1901" s="413"/>
      <c r="J1901" s="413"/>
      <c r="K1901" s="279"/>
      <c r="L1901" s="279"/>
      <c r="M1901" s="189"/>
    </row>
    <row r="1902" spans="1:13" ht="15">
      <c r="A1902" s="175" t="s">
        <v>1293</v>
      </c>
      <c r="B1902" s="127" t="s">
        <v>79</v>
      </c>
      <c r="C1902" s="506">
        <f>CEILING((C1900*0.85),0.1)</f>
        <v>98.9</v>
      </c>
      <c r="D1902" s="4"/>
      <c r="E1902" s="412"/>
      <c r="F1902" s="413"/>
      <c r="G1902" s="413"/>
      <c r="H1902" s="413"/>
      <c r="I1902" s="413"/>
      <c r="J1902" s="413"/>
      <c r="K1902" s="279"/>
      <c r="L1902" s="279"/>
      <c r="M1902" s="189"/>
    </row>
    <row r="1903" spans="1:13" ht="15">
      <c r="A1903" s="175" t="s">
        <v>688</v>
      </c>
      <c r="B1903" s="12" t="s">
        <v>78</v>
      </c>
      <c r="C1903" s="506">
        <f>CEILING((C1900*0.5),0.1)</f>
        <v>58.2</v>
      </c>
      <c r="D1903" s="4"/>
      <c r="E1903" s="412"/>
      <c r="F1903" s="413"/>
      <c r="G1903" s="413"/>
      <c r="H1903" s="413"/>
      <c r="I1903" s="413"/>
      <c r="J1903" s="413"/>
      <c r="K1903" s="279"/>
      <c r="L1903" s="279"/>
      <c r="M1903" s="189"/>
    </row>
    <row r="1904" spans="1:25" s="192" customFormat="1" ht="15">
      <c r="A1904" s="175"/>
      <c r="B1904" s="10" t="s">
        <v>1295</v>
      </c>
      <c r="C1904" s="506">
        <f>CEILING(115*$Z$1,0.1)</f>
        <v>143.8</v>
      </c>
      <c r="D1904" s="4"/>
      <c r="E1904" s="412"/>
      <c r="F1904" s="413"/>
      <c r="G1904" s="413"/>
      <c r="H1904" s="413"/>
      <c r="I1904" s="413"/>
      <c r="J1904" s="413"/>
      <c r="K1904" s="326"/>
      <c r="L1904" s="326"/>
      <c r="M1904" s="481"/>
      <c r="N1904" s="481"/>
      <c r="O1904" s="481"/>
      <c r="P1904" s="481"/>
      <c r="Q1904" s="481"/>
      <c r="R1904" s="481"/>
      <c r="S1904" s="481"/>
      <c r="T1904" s="481"/>
      <c r="U1904" s="481"/>
      <c r="V1904" s="481"/>
      <c r="W1904" s="481"/>
      <c r="X1904" s="481"/>
      <c r="Y1904" s="481"/>
    </row>
    <row r="1905" spans="1:25" s="479" customFormat="1" ht="15">
      <c r="A1905" s="62"/>
      <c r="B1905" s="11" t="s">
        <v>1296</v>
      </c>
      <c r="C1905" s="506">
        <f>CEILING(155*$Z$1,0.1)</f>
        <v>193.8</v>
      </c>
      <c r="D1905" s="4"/>
      <c r="E1905" s="412"/>
      <c r="F1905" s="413"/>
      <c r="G1905" s="413"/>
      <c r="H1905" s="413"/>
      <c r="I1905" s="413"/>
      <c r="J1905" s="413"/>
      <c r="K1905" s="326"/>
      <c r="L1905" s="326"/>
      <c r="M1905" s="481"/>
      <c r="N1905" s="480"/>
      <c r="O1905" s="480"/>
      <c r="P1905" s="480"/>
      <c r="Q1905" s="480"/>
      <c r="R1905" s="480"/>
      <c r="S1905" s="480"/>
      <c r="T1905" s="480"/>
      <c r="U1905" s="480"/>
      <c r="V1905" s="480"/>
      <c r="W1905" s="480"/>
      <c r="X1905" s="480"/>
      <c r="Y1905" s="480"/>
    </row>
    <row r="1906" spans="1:25" s="479" customFormat="1" ht="17.25" customHeight="1">
      <c r="A1906" s="62" t="s">
        <v>630</v>
      </c>
      <c r="B1906" s="10" t="s">
        <v>1297</v>
      </c>
      <c r="C1906" s="425">
        <f>CEILING(133*$Z$1,0.1)</f>
        <v>166.3</v>
      </c>
      <c r="D1906" s="4"/>
      <c r="E1906" s="412"/>
      <c r="F1906" s="413"/>
      <c r="G1906" s="413"/>
      <c r="H1906" s="413"/>
      <c r="I1906" s="413"/>
      <c r="J1906" s="413"/>
      <c r="K1906" s="327"/>
      <c r="L1906" s="327"/>
      <c r="M1906" s="481"/>
      <c r="N1906" s="480"/>
      <c r="O1906" s="480"/>
      <c r="P1906" s="480"/>
      <c r="Q1906" s="480"/>
      <c r="R1906" s="480"/>
      <c r="S1906" s="480"/>
      <c r="T1906" s="480"/>
      <c r="U1906" s="480"/>
      <c r="V1906" s="480"/>
      <c r="W1906" s="480"/>
      <c r="X1906" s="480"/>
      <c r="Y1906" s="480"/>
    </row>
    <row r="1907" spans="1:25" s="479" customFormat="1" ht="15.75" thickBot="1">
      <c r="A1907" s="79" t="s">
        <v>412</v>
      </c>
      <c r="B1907" s="42" t="s">
        <v>1298</v>
      </c>
      <c r="C1907" s="426">
        <f>CEILING(155*$Z$1,0.1)</f>
        <v>193.8</v>
      </c>
      <c r="D1907" s="7"/>
      <c r="E1907" s="412"/>
      <c r="F1907" s="413"/>
      <c r="G1907" s="413"/>
      <c r="H1907" s="413"/>
      <c r="I1907" s="413"/>
      <c r="J1907" s="413"/>
      <c r="K1907" s="279"/>
      <c r="L1907" s="279"/>
      <c r="M1907" s="481"/>
      <c r="N1907" s="480"/>
      <c r="O1907" s="480"/>
      <c r="P1907" s="480"/>
      <c r="Q1907" s="480"/>
      <c r="R1907" s="480"/>
      <c r="S1907" s="480"/>
      <c r="T1907" s="480"/>
      <c r="U1907" s="480"/>
      <c r="V1907" s="480"/>
      <c r="W1907" s="480"/>
      <c r="X1907" s="480"/>
      <c r="Y1907" s="480"/>
    </row>
    <row r="1908" spans="1:25" s="479" customFormat="1" ht="15.75" thickTop="1">
      <c r="A1908" s="75" t="s">
        <v>1299</v>
      </c>
      <c r="B1908" s="44"/>
      <c r="C1908" s="1201"/>
      <c r="D1908" s="3"/>
      <c r="E1908" s="1202"/>
      <c r="F1908" s="1202"/>
      <c r="G1908" s="1202"/>
      <c r="H1908" s="1202"/>
      <c r="I1908" s="1202"/>
      <c r="J1908" s="1202"/>
      <c r="K1908" s="279"/>
      <c r="L1908" s="279"/>
      <c r="M1908" s="481"/>
      <c r="N1908" s="480"/>
      <c r="O1908" s="480"/>
      <c r="P1908" s="480"/>
      <c r="Q1908" s="480"/>
      <c r="R1908" s="480"/>
      <c r="S1908" s="480"/>
      <c r="T1908" s="480"/>
      <c r="U1908" s="480"/>
      <c r="V1908" s="480"/>
      <c r="W1908" s="480"/>
      <c r="X1908" s="480"/>
      <c r="Y1908" s="480"/>
    </row>
    <row r="1909" spans="1:25" s="404" customFormat="1" ht="20.25" customHeight="1" thickBot="1">
      <c r="A1909" s="542"/>
      <c r="B1909" s="608"/>
      <c r="C1909" s="609"/>
      <c r="D1909" s="608"/>
      <c r="E1909" s="600"/>
      <c r="F1909" s="600"/>
      <c r="G1909" s="600"/>
      <c r="H1909" s="600"/>
      <c r="I1909" s="542"/>
      <c r="J1909" s="608"/>
      <c r="K1909" s="279"/>
      <c r="L1909" s="279"/>
      <c r="M1909" s="189"/>
      <c r="N1909" s="169"/>
      <c r="O1909" s="169"/>
      <c r="P1909" s="169"/>
      <c r="Q1909" s="169"/>
      <c r="R1909" s="169"/>
      <c r="S1909" s="169"/>
      <c r="T1909" s="169"/>
      <c r="U1909" s="169"/>
      <c r="V1909" s="169"/>
      <c r="W1909" s="169"/>
      <c r="X1909" s="169"/>
      <c r="Y1909" s="169"/>
    </row>
    <row r="1910" spans="1:50" s="1037" customFormat="1" ht="28.5" customHeight="1" thickTop="1">
      <c r="A1910" s="1046" t="s">
        <v>43</v>
      </c>
      <c r="B1910" s="966" t="s">
        <v>1105</v>
      </c>
      <c r="C1910" s="798" t="s">
        <v>884</v>
      </c>
      <c r="D1910" s="799"/>
      <c r="E1910" s="765" t="s">
        <v>1150</v>
      </c>
      <c r="F1910" s="766"/>
      <c r="G1910" s="765" t="s">
        <v>1151</v>
      </c>
      <c r="H1910" s="766"/>
      <c r="I1910" s="1280" t="s">
        <v>1143</v>
      </c>
      <c r="J1910" s="1281"/>
      <c r="K1910" s="1280" t="s">
        <v>882</v>
      </c>
      <c r="L1910" s="1281"/>
      <c r="M1910" s="947"/>
      <c r="N1910" s="947"/>
      <c r="O1910" s="335"/>
      <c r="P1910" s="335"/>
      <c r="Q1910" s="335"/>
      <c r="R1910" s="335"/>
      <c r="S1910" s="335"/>
      <c r="T1910" s="480"/>
      <c r="U1910" s="480"/>
      <c r="V1910" s="480"/>
      <c r="W1910" s="480"/>
      <c r="X1910" s="480"/>
      <c r="Y1910" s="480"/>
      <c r="Z1910" s="479"/>
      <c r="AA1910" s="852"/>
      <c r="AB1910" s="852"/>
      <c r="AC1910" s="852"/>
      <c r="AD1910" s="852"/>
      <c r="AE1910" s="852"/>
      <c r="AF1910" s="852"/>
      <c r="AG1910" s="852"/>
      <c r="AH1910" s="852"/>
      <c r="AI1910" s="852"/>
      <c r="AJ1910" s="852"/>
      <c r="AK1910" s="852"/>
      <c r="AL1910" s="852"/>
      <c r="AM1910" s="852"/>
      <c r="AN1910" s="852"/>
      <c r="AO1910" s="852"/>
      <c r="AP1910" s="852"/>
      <c r="AQ1910" s="852"/>
      <c r="AR1910" s="852"/>
      <c r="AS1910" s="1036"/>
      <c r="AT1910" s="1036"/>
      <c r="AU1910" s="1036"/>
      <c r="AV1910" s="1036"/>
      <c r="AW1910" s="1036"/>
      <c r="AX1910" s="1036"/>
    </row>
    <row r="1911" spans="1:21" s="404" customFormat="1" ht="15">
      <c r="A1911" s="223" t="s">
        <v>166</v>
      </c>
      <c r="B1911" s="29" t="s">
        <v>51</v>
      </c>
      <c r="C1911" s="985">
        <f>CEILING(59*$Z$1,0.1)</f>
        <v>73.8</v>
      </c>
      <c r="D1911" s="991"/>
      <c r="E1911" s="985">
        <f>CEILING(68*$Z$1,0.1)</f>
        <v>85</v>
      </c>
      <c r="F1911" s="991"/>
      <c r="G1911" s="985">
        <f>CEILING(59*$Z$1,0.1)</f>
        <v>73.8</v>
      </c>
      <c r="H1911" s="991"/>
      <c r="I1911" s="985">
        <f>CEILING(59*$Z$1,0.1)</f>
        <v>73.8</v>
      </c>
      <c r="J1911" s="991"/>
      <c r="K1911" s="985">
        <f>CEILING(59*$Z$1,0.1)</f>
        <v>73.8</v>
      </c>
      <c r="L1911" s="991"/>
      <c r="M1911" s="16"/>
      <c r="N1911" s="20"/>
      <c r="O1911" s="169"/>
      <c r="P1911" s="169"/>
      <c r="Q1911" s="169"/>
      <c r="R1911" s="169"/>
      <c r="S1911" s="169"/>
      <c r="T1911" s="169"/>
      <c r="U1911" s="169"/>
    </row>
    <row r="1912" spans="1:21" s="404" customFormat="1" ht="20.25" customHeight="1">
      <c r="A1912" s="182" t="s">
        <v>59</v>
      </c>
      <c r="B1912" s="29" t="s">
        <v>52</v>
      </c>
      <c r="C1912" s="986">
        <f>CEILING((C1911+35*$Z$1),0.1)</f>
        <v>117.60000000000001</v>
      </c>
      <c r="D1912" s="993"/>
      <c r="E1912" s="986">
        <f>CEILING((E1911+35*$Z$1),0.1)</f>
        <v>128.8</v>
      </c>
      <c r="F1912" s="993"/>
      <c r="G1912" s="986">
        <f>CEILING((G1911+35*$Z$1),0.1)</f>
        <v>117.60000000000001</v>
      </c>
      <c r="H1912" s="993"/>
      <c r="I1912" s="986">
        <f>CEILING((I1911+35*$Z$1),0.1)</f>
        <v>117.60000000000001</v>
      </c>
      <c r="J1912" s="993"/>
      <c r="K1912" s="986">
        <f>CEILING((K1911+35*$Z$1),0.1)</f>
        <v>117.60000000000001</v>
      </c>
      <c r="L1912" s="993"/>
      <c r="M1912" s="16"/>
      <c r="N1912" s="20"/>
      <c r="O1912" s="169"/>
      <c r="P1912" s="169"/>
      <c r="Q1912" s="169"/>
      <c r="R1912" s="169"/>
      <c r="S1912" s="169"/>
      <c r="T1912" s="169"/>
      <c r="U1912" s="169"/>
    </row>
    <row r="1913" spans="1:21" s="404" customFormat="1" ht="18" customHeight="1">
      <c r="A1913" s="645"/>
      <c r="B1913" s="127" t="s">
        <v>79</v>
      </c>
      <c r="C1913" s="986">
        <f>CEILING((C1911*0.85),0.1)</f>
        <v>62.800000000000004</v>
      </c>
      <c r="D1913" s="993"/>
      <c r="E1913" s="986">
        <f>CEILING((E1911*0.85),0.1)</f>
        <v>72.3</v>
      </c>
      <c r="F1913" s="993"/>
      <c r="G1913" s="986">
        <f>CEILING((G1911*0.85),0.1)</f>
        <v>62.800000000000004</v>
      </c>
      <c r="H1913" s="993"/>
      <c r="I1913" s="986">
        <f>CEILING((I1911*0.85),0.1)</f>
        <v>62.800000000000004</v>
      </c>
      <c r="J1913" s="993"/>
      <c r="K1913" s="986">
        <f>CEILING((K1911*0.85),0.1)</f>
        <v>62.800000000000004</v>
      </c>
      <c r="L1913" s="993"/>
      <c r="M1913" s="16"/>
      <c r="N1913" s="20"/>
      <c r="O1913" s="169"/>
      <c r="P1913" s="169"/>
      <c r="Q1913" s="169"/>
      <c r="R1913" s="169"/>
      <c r="S1913" s="169"/>
      <c r="T1913" s="169"/>
      <c r="U1913" s="169"/>
    </row>
    <row r="1914" spans="1:21" s="404" customFormat="1" ht="17.25" customHeight="1">
      <c r="A1914" s="611" t="s">
        <v>411</v>
      </c>
      <c r="B1914" s="418" t="s">
        <v>71</v>
      </c>
      <c r="C1914" s="1002">
        <f>CEILING((C1911*0.5),0.1)</f>
        <v>36.9</v>
      </c>
      <c r="D1914" s="1003"/>
      <c r="E1914" s="1002">
        <f>CEILING((E1911*0.5),0.1)</f>
        <v>42.5</v>
      </c>
      <c r="F1914" s="1003"/>
      <c r="G1914" s="1002">
        <f>CEILING((G1911*0.5),0.1)</f>
        <v>36.9</v>
      </c>
      <c r="H1914" s="1003"/>
      <c r="I1914" s="1002">
        <f>CEILING((I1911*0.5),0.1)</f>
        <v>36.9</v>
      </c>
      <c r="J1914" s="1003"/>
      <c r="K1914" s="1002">
        <f>CEILING((K1911*0.5),0.1)</f>
        <v>36.9</v>
      </c>
      <c r="L1914" s="1003"/>
      <c r="M1914" s="20"/>
      <c r="N1914" s="20"/>
      <c r="O1914" s="169"/>
      <c r="P1914" s="169"/>
      <c r="Q1914" s="169"/>
      <c r="R1914" s="169"/>
      <c r="S1914" s="169"/>
      <c r="T1914" s="169"/>
      <c r="U1914" s="169"/>
    </row>
    <row r="1915" spans="1:21" s="495" customFormat="1" ht="15.75" customHeight="1">
      <c r="A1915" s="75" t="s">
        <v>1192</v>
      </c>
      <c r="B1915" s="50"/>
      <c r="C1915" s="946"/>
      <c r="D1915" s="946"/>
      <c r="E1915" s="946"/>
      <c r="F1915" s="946"/>
      <c r="G1915" s="946"/>
      <c r="H1915" s="946"/>
      <c r="I1915" s="3"/>
      <c r="J1915" s="3"/>
      <c r="K1915" s="279"/>
      <c r="L1915" s="279"/>
      <c r="M1915" s="20"/>
      <c r="N1915" s="20"/>
      <c r="O1915" s="494"/>
      <c r="P1915" s="494"/>
      <c r="Q1915" s="494"/>
      <c r="R1915" s="494"/>
      <c r="S1915" s="494"/>
      <c r="T1915" s="494"/>
      <c r="U1915" s="494"/>
    </row>
    <row r="1916" spans="1:37" s="479" customFormat="1" ht="18" customHeight="1">
      <c r="A1916" s="172" t="s">
        <v>1144</v>
      </c>
      <c r="B1916" s="949"/>
      <c r="C1916" s="22"/>
      <c r="D1916" s="22"/>
      <c r="E1916" s="22"/>
      <c r="F1916" s="22"/>
      <c r="G1916" s="22"/>
      <c r="H1916" s="22"/>
      <c r="I1916" s="22"/>
      <c r="J1916" s="22"/>
      <c r="K1916" s="166"/>
      <c r="L1916" s="166"/>
      <c r="M1916" s="947"/>
      <c r="N1916" s="947"/>
      <c r="O1916" s="331"/>
      <c r="P1916" s="331"/>
      <c r="Q1916" s="331"/>
      <c r="R1916" s="331"/>
      <c r="S1916" s="331"/>
      <c r="T1916" s="480"/>
      <c r="U1916" s="480"/>
      <c r="V1916" s="480"/>
      <c r="W1916" s="480"/>
      <c r="X1916" s="480"/>
      <c r="Y1916" s="480"/>
      <c r="AA1916" s="331"/>
      <c r="AB1916" s="331"/>
      <c r="AC1916" s="331"/>
      <c r="AD1916" s="331"/>
      <c r="AE1916" s="331"/>
      <c r="AF1916" s="331"/>
      <c r="AG1916" s="331"/>
      <c r="AH1916" s="331"/>
      <c r="AI1916" s="331"/>
      <c r="AJ1916" s="331"/>
      <c r="AK1916" s="331"/>
    </row>
    <row r="1917" spans="1:37" s="479" customFormat="1" ht="18" customHeight="1">
      <c r="A1917" s="172" t="s">
        <v>1145</v>
      </c>
      <c r="B1917" s="949"/>
      <c r="C1917" s="22"/>
      <c r="D1917" s="22"/>
      <c r="E1917" s="22"/>
      <c r="F1917" s="22"/>
      <c r="G1917" s="22"/>
      <c r="H1917" s="22"/>
      <c r="I1917" s="22"/>
      <c r="J1917" s="22"/>
      <c r="K1917" s="166"/>
      <c r="L1917" s="166"/>
      <c r="M1917" s="947"/>
      <c r="N1917" s="947"/>
      <c r="O1917" s="331"/>
      <c r="P1917" s="331"/>
      <c r="Q1917" s="331"/>
      <c r="R1917" s="331"/>
      <c r="S1917" s="331"/>
      <c r="T1917" s="480"/>
      <c r="U1917" s="480"/>
      <c r="V1917" s="480"/>
      <c r="W1917" s="480"/>
      <c r="X1917" s="480"/>
      <c r="Y1917" s="480"/>
      <c r="AA1917" s="331"/>
      <c r="AB1917" s="331"/>
      <c r="AC1917" s="331"/>
      <c r="AD1917" s="331"/>
      <c r="AE1917" s="331"/>
      <c r="AF1917" s="331"/>
      <c r="AG1917" s="331"/>
      <c r="AH1917" s="331"/>
      <c r="AI1917" s="331"/>
      <c r="AJ1917" s="331"/>
      <c r="AK1917" s="331"/>
    </row>
    <row r="1918" spans="1:256" s="192" customFormat="1" ht="21" customHeight="1" thickBot="1">
      <c r="A1918" s="172"/>
      <c r="B1918" s="50"/>
      <c r="C1918" s="3"/>
      <c r="D1918" s="58"/>
      <c r="E1918" s="58"/>
      <c r="F1918" s="58"/>
      <c r="G1918" s="58"/>
      <c r="H1918" s="58"/>
      <c r="I1918" s="58"/>
      <c r="J1918" s="481"/>
      <c r="K1918" s="279"/>
      <c r="L1918" s="279"/>
      <c r="M1918" s="621"/>
      <c r="N1918" s="621"/>
      <c r="O1918" s="621"/>
      <c r="P1918" s="621"/>
      <c r="Q1918" s="542"/>
      <c r="R1918" s="608"/>
      <c r="S1918" s="609"/>
      <c r="T1918" s="608"/>
      <c r="U1918" s="621"/>
      <c r="V1918" s="621"/>
      <c r="W1918" s="621"/>
      <c r="X1918" s="621"/>
      <c r="Y1918" s="542"/>
      <c r="Z1918" s="608"/>
      <c r="AA1918" s="609"/>
      <c r="AB1918" s="608"/>
      <c r="AC1918" s="621"/>
      <c r="AD1918" s="621"/>
      <c r="AE1918" s="621"/>
      <c r="AF1918" s="621"/>
      <c r="AG1918" s="542"/>
      <c r="AH1918" s="608"/>
      <c r="AI1918" s="609"/>
      <c r="AJ1918" s="608"/>
      <c r="AK1918" s="621"/>
      <c r="AL1918" s="621"/>
      <c r="AM1918" s="621"/>
      <c r="AN1918" s="621"/>
      <c r="AO1918" s="542"/>
      <c r="AP1918" s="608"/>
      <c r="AQ1918" s="609"/>
      <c r="AR1918" s="608"/>
      <c r="AS1918" s="621"/>
      <c r="AT1918" s="621"/>
      <c r="AU1918" s="621"/>
      <c r="AV1918" s="621"/>
      <c r="AW1918" s="542"/>
      <c r="AX1918" s="608"/>
      <c r="AY1918" s="609"/>
      <c r="AZ1918" s="608"/>
      <c r="BA1918" s="621"/>
      <c r="BB1918" s="621"/>
      <c r="BC1918" s="621"/>
      <c r="BD1918" s="621"/>
      <c r="BE1918" s="542"/>
      <c r="BF1918" s="608"/>
      <c r="BG1918" s="609"/>
      <c r="BH1918" s="608"/>
      <c r="BI1918" s="621"/>
      <c r="BJ1918" s="621"/>
      <c r="BK1918" s="621"/>
      <c r="BL1918" s="621"/>
      <c r="BM1918" s="542"/>
      <c r="BN1918" s="608"/>
      <c r="BO1918" s="609"/>
      <c r="BP1918" s="608"/>
      <c r="BQ1918" s="621"/>
      <c r="BR1918" s="621"/>
      <c r="BS1918" s="621"/>
      <c r="BT1918" s="621"/>
      <c r="BU1918" s="542"/>
      <c r="BV1918" s="608"/>
      <c r="BW1918" s="609"/>
      <c r="BX1918" s="608"/>
      <c r="BY1918" s="621"/>
      <c r="BZ1918" s="621"/>
      <c r="CA1918" s="621"/>
      <c r="CB1918" s="621"/>
      <c r="CC1918" s="542"/>
      <c r="CD1918" s="608"/>
      <c r="CE1918" s="609"/>
      <c r="CF1918" s="608"/>
      <c r="CG1918" s="621"/>
      <c r="CH1918" s="621"/>
      <c r="CI1918" s="621"/>
      <c r="CJ1918" s="621"/>
      <c r="CK1918" s="542"/>
      <c r="CL1918" s="608"/>
      <c r="CM1918" s="609"/>
      <c r="CN1918" s="608"/>
      <c r="CO1918" s="621"/>
      <c r="CP1918" s="621"/>
      <c r="CQ1918" s="621"/>
      <c r="CR1918" s="621"/>
      <c r="CS1918" s="542"/>
      <c r="CT1918" s="608"/>
      <c r="CU1918" s="609"/>
      <c r="CV1918" s="608"/>
      <c r="CW1918" s="621"/>
      <c r="CX1918" s="621"/>
      <c r="CY1918" s="621"/>
      <c r="CZ1918" s="621"/>
      <c r="DA1918" s="542"/>
      <c r="DB1918" s="608"/>
      <c r="DC1918" s="609"/>
      <c r="DD1918" s="608"/>
      <c r="DE1918" s="621"/>
      <c r="DF1918" s="621"/>
      <c r="DG1918" s="621"/>
      <c r="DH1918" s="621"/>
      <c r="DI1918" s="542"/>
      <c r="DJ1918" s="608"/>
      <c r="DK1918" s="609"/>
      <c r="DL1918" s="608"/>
      <c r="DM1918" s="621"/>
      <c r="DN1918" s="621"/>
      <c r="DO1918" s="621"/>
      <c r="DP1918" s="621"/>
      <c r="DQ1918" s="542"/>
      <c r="DR1918" s="608"/>
      <c r="DS1918" s="609"/>
      <c r="DT1918" s="608"/>
      <c r="DU1918" s="621"/>
      <c r="DV1918" s="621"/>
      <c r="DW1918" s="621"/>
      <c r="DX1918" s="621"/>
      <c r="DY1918" s="542"/>
      <c r="DZ1918" s="608"/>
      <c r="EA1918" s="609"/>
      <c r="EB1918" s="608"/>
      <c r="EC1918" s="621"/>
      <c r="ED1918" s="621"/>
      <c r="EE1918" s="621"/>
      <c r="EF1918" s="621"/>
      <c r="EG1918" s="542"/>
      <c r="EH1918" s="608"/>
      <c r="EI1918" s="609"/>
      <c r="EJ1918" s="608"/>
      <c r="EK1918" s="621"/>
      <c r="EL1918" s="621"/>
      <c r="EM1918" s="621"/>
      <c r="EN1918" s="621"/>
      <c r="EO1918" s="542"/>
      <c r="EP1918" s="608"/>
      <c r="EQ1918" s="609"/>
      <c r="ER1918" s="608"/>
      <c r="ES1918" s="621"/>
      <c r="ET1918" s="621"/>
      <c r="EU1918" s="621"/>
      <c r="EV1918" s="621"/>
      <c r="EW1918" s="542"/>
      <c r="EX1918" s="608"/>
      <c r="EY1918" s="609"/>
      <c r="EZ1918" s="608"/>
      <c r="FA1918" s="621"/>
      <c r="FB1918" s="621"/>
      <c r="FC1918" s="621"/>
      <c r="FD1918" s="621"/>
      <c r="FE1918" s="542"/>
      <c r="FF1918" s="608"/>
      <c r="FG1918" s="609"/>
      <c r="FH1918" s="608"/>
      <c r="FI1918" s="621"/>
      <c r="FJ1918" s="621"/>
      <c r="FK1918" s="621"/>
      <c r="FL1918" s="621"/>
      <c r="FM1918" s="542"/>
      <c r="FN1918" s="608"/>
      <c r="FO1918" s="609"/>
      <c r="FP1918" s="608"/>
      <c r="FQ1918" s="621"/>
      <c r="FR1918" s="621"/>
      <c r="FS1918" s="621"/>
      <c r="FT1918" s="621"/>
      <c r="FU1918" s="542"/>
      <c r="FV1918" s="608"/>
      <c r="FW1918" s="609"/>
      <c r="FX1918" s="608"/>
      <c r="FY1918" s="621"/>
      <c r="FZ1918" s="621"/>
      <c r="GA1918" s="621"/>
      <c r="GB1918" s="621"/>
      <c r="GC1918" s="542"/>
      <c r="GD1918" s="608"/>
      <c r="GE1918" s="609"/>
      <c r="GF1918" s="608"/>
      <c r="GG1918" s="621"/>
      <c r="GH1918" s="621"/>
      <c r="GI1918" s="621"/>
      <c r="GJ1918" s="621"/>
      <c r="GK1918" s="542"/>
      <c r="GL1918" s="608"/>
      <c r="GM1918" s="609"/>
      <c r="GN1918" s="608"/>
      <c r="GO1918" s="621"/>
      <c r="GP1918" s="621"/>
      <c r="GQ1918" s="621"/>
      <c r="GR1918" s="621"/>
      <c r="GS1918" s="542"/>
      <c r="GT1918" s="608"/>
      <c r="GU1918" s="609"/>
      <c r="GV1918" s="608"/>
      <c r="GW1918" s="621"/>
      <c r="GX1918" s="621"/>
      <c r="GY1918" s="621"/>
      <c r="GZ1918" s="621"/>
      <c r="HA1918" s="542"/>
      <c r="HB1918" s="608"/>
      <c r="HC1918" s="609"/>
      <c r="HD1918" s="608"/>
      <c r="HE1918" s="621"/>
      <c r="HF1918" s="621"/>
      <c r="HG1918" s="621"/>
      <c r="HH1918" s="621"/>
      <c r="HI1918" s="542"/>
      <c r="HJ1918" s="608"/>
      <c r="HK1918" s="609"/>
      <c r="HL1918" s="608"/>
      <c r="HM1918" s="621"/>
      <c r="HN1918" s="621"/>
      <c r="HO1918" s="621"/>
      <c r="HP1918" s="621"/>
      <c r="HQ1918" s="542"/>
      <c r="HR1918" s="608"/>
      <c r="HS1918" s="609"/>
      <c r="HT1918" s="608"/>
      <c r="HU1918" s="621"/>
      <c r="HV1918" s="621"/>
      <c r="HW1918" s="621"/>
      <c r="HX1918" s="621"/>
      <c r="HY1918" s="542"/>
      <c r="HZ1918" s="608"/>
      <c r="IA1918" s="609"/>
      <c r="IB1918" s="608"/>
      <c r="IC1918" s="621"/>
      <c r="ID1918" s="621"/>
      <c r="IE1918" s="621"/>
      <c r="IF1918" s="621"/>
      <c r="IG1918" s="542"/>
      <c r="IH1918" s="608"/>
      <c r="II1918" s="609"/>
      <c r="IJ1918" s="608"/>
      <c r="IK1918" s="621"/>
      <c r="IL1918" s="621"/>
      <c r="IM1918" s="621"/>
      <c r="IN1918" s="621"/>
      <c r="IO1918" s="542"/>
      <c r="IP1918" s="608"/>
      <c r="IQ1918" s="609"/>
      <c r="IR1918" s="608"/>
      <c r="IS1918" s="621"/>
      <c r="IT1918" s="621"/>
      <c r="IU1918" s="621"/>
      <c r="IV1918" s="621"/>
    </row>
    <row r="1919" spans="1:50" s="1037" customFormat="1" ht="28.5" customHeight="1" thickTop="1">
      <c r="A1919" s="1046" t="s">
        <v>43</v>
      </c>
      <c r="B1919" s="966" t="s">
        <v>1105</v>
      </c>
      <c r="C1919" s="798" t="s">
        <v>884</v>
      </c>
      <c r="D1919" s="799"/>
      <c r="E1919" s="765" t="s">
        <v>1150</v>
      </c>
      <c r="F1919" s="766"/>
      <c r="G1919" s="765" t="s">
        <v>1151</v>
      </c>
      <c r="H1919" s="766"/>
      <c r="I1919" s="1280" t="s">
        <v>1143</v>
      </c>
      <c r="J1919" s="1281"/>
      <c r="K1919" s="1280" t="s">
        <v>882</v>
      </c>
      <c r="L1919" s="1281"/>
      <c r="M1919" s="947"/>
      <c r="N1919" s="947"/>
      <c r="O1919" s="335"/>
      <c r="P1919" s="335"/>
      <c r="Q1919" s="335"/>
      <c r="R1919" s="335"/>
      <c r="S1919" s="335"/>
      <c r="T1919" s="480"/>
      <c r="U1919" s="480"/>
      <c r="V1919" s="480"/>
      <c r="W1919" s="480"/>
      <c r="X1919" s="480"/>
      <c r="Y1919" s="480"/>
      <c r="Z1919" s="479"/>
      <c r="AA1919" s="852"/>
      <c r="AB1919" s="852"/>
      <c r="AC1919" s="852"/>
      <c r="AD1919" s="852"/>
      <c r="AE1919" s="852"/>
      <c r="AF1919" s="852"/>
      <c r="AG1919" s="852"/>
      <c r="AH1919" s="852"/>
      <c r="AI1919" s="852"/>
      <c r="AJ1919" s="852"/>
      <c r="AK1919" s="852"/>
      <c r="AL1919" s="852"/>
      <c r="AM1919" s="852"/>
      <c r="AN1919" s="852"/>
      <c r="AO1919" s="852"/>
      <c r="AP1919" s="852"/>
      <c r="AQ1919" s="852"/>
      <c r="AR1919" s="852"/>
      <c r="AS1919" s="1036"/>
      <c r="AT1919" s="1036"/>
      <c r="AU1919" s="1036"/>
      <c r="AV1919" s="1036"/>
      <c r="AW1919" s="1036"/>
      <c r="AX1919" s="1036"/>
    </row>
    <row r="1920" spans="1:21" s="192" customFormat="1" ht="15">
      <c r="A1920" s="223" t="s">
        <v>167</v>
      </c>
      <c r="B1920" s="29" t="s">
        <v>328</v>
      </c>
      <c r="C1920" s="985">
        <f>CEILING(85*$Z$1,0.1)</f>
        <v>106.30000000000001</v>
      </c>
      <c r="D1920" s="991"/>
      <c r="E1920" s="985">
        <f>CEILING(98*$Z$1,0.1)</f>
        <v>122.5</v>
      </c>
      <c r="F1920" s="991"/>
      <c r="G1920" s="985">
        <f>CEILING(85*$Z$1,0.1)</f>
        <v>106.30000000000001</v>
      </c>
      <c r="H1920" s="991"/>
      <c r="I1920" s="985">
        <f>CEILING(85*$Z$1,0.1)</f>
        <v>106.30000000000001</v>
      </c>
      <c r="J1920" s="991"/>
      <c r="K1920" s="985">
        <f>CEILING(85*$Z$1,0.1)</f>
        <v>106.30000000000001</v>
      </c>
      <c r="L1920" s="991"/>
      <c r="M1920" s="20"/>
      <c r="N1920" s="20"/>
      <c r="O1920" s="481"/>
      <c r="P1920" s="481"/>
      <c r="Q1920" s="481"/>
      <c r="R1920" s="481"/>
      <c r="S1920" s="481"/>
      <c r="T1920" s="481"/>
      <c r="U1920" s="481"/>
    </row>
    <row r="1921" spans="1:21" s="192" customFormat="1" ht="16.5" customHeight="1">
      <c r="A1921" s="182" t="s">
        <v>59</v>
      </c>
      <c r="B1921" s="29" t="s">
        <v>329</v>
      </c>
      <c r="C1921" s="986">
        <f>CEILING(115*$Z$1,0.1)</f>
        <v>143.8</v>
      </c>
      <c r="D1921" s="992"/>
      <c r="E1921" s="986">
        <f>CEILING(132*$Z$1,0.1)</f>
        <v>165</v>
      </c>
      <c r="F1921" s="992"/>
      <c r="G1921" s="986">
        <f>CEILING(115*$Z$1,0.1)</f>
        <v>143.8</v>
      </c>
      <c r="H1921" s="992"/>
      <c r="I1921" s="986">
        <f>CEILING(115*$Z$1,0.1)</f>
        <v>143.8</v>
      </c>
      <c r="J1921" s="992"/>
      <c r="K1921" s="986">
        <f>CEILING(115*$Z$1,0.1)</f>
        <v>143.8</v>
      </c>
      <c r="L1921" s="992"/>
      <c r="M1921" s="20"/>
      <c r="N1921" s="20"/>
      <c r="O1921" s="481"/>
      <c r="P1921" s="481"/>
      <c r="Q1921" s="481"/>
      <c r="R1921" s="481"/>
      <c r="S1921" s="481"/>
      <c r="T1921" s="481"/>
      <c r="U1921" s="481"/>
    </row>
    <row r="1922" spans="1:21" s="192" customFormat="1" ht="18" customHeight="1">
      <c r="A1922" s="182"/>
      <c r="B1922" s="127" t="s">
        <v>330</v>
      </c>
      <c r="C1922" s="986">
        <f>CEILING((C1920*0.85),0.1)</f>
        <v>90.4</v>
      </c>
      <c r="D1922" s="992"/>
      <c r="E1922" s="986">
        <f>CEILING((E1920*0.85),0.1)</f>
        <v>104.2</v>
      </c>
      <c r="F1922" s="992"/>
      <c r="G1922" s="986">
        <f>CEILING((G1920*0.85),0.1)</f>
        <v>90.4</v>
      </c>
      <c r="H1922" s="992"/>
      <c r="I1922" s="986">
        <f>CEILING((I1920*0.85),0.1)</f>
        <v>90.4</v>
      </c>
      <c r="J1922" s="992"/>
      <c r="K1922" s="986">
        <f>CEILING((K1920*0.85),0.1)</f>
        <v>90.4</v>
      </c>
      <c r="L1922" s="992"/>
      <c r="M1922" s="20"/>
      <c r="N1922" s="20"/>
      <c r="O1922" s="481"/>
      <c r="P1922" s="481"/>
      <c r="Q1922" s="481"/>
      <c r="R1922" s="481"/>
      <c r="S1922" s="481"/>
      <c r="T1922" s="481"/>
      <c r="U1922" s="481"/>
    </row>
    <row r="1923" spans="1:21" s="192" customFormat="1" ht="15.75" customHeight="1">
      <c r="A1923" s="645"/>
      <c r="B1923" s="127" t="s">
        <v>572</v>
      </c>
      <c r="C1923" s="986">
        <f>CEILING((C1920*0.5),0.1)</f>
        <v>53.2</v>
      </c>
      <c r="D1923" s="993"/>
      <c r="E1923" s="986">
        <f>CEILING((E1920*0.5),0.1)</f>
        <v>61.300000000000004</v>
      </c>
      <c r="F1923" s="993"/>
      <c r="G1923" s="986">
        <f>CEILING((G1920*0.5),0.1)</f>
        <v>53.2</v>
      </c>
      <c r="H1923" s="993"/>
      <c r="I1923" s="986">
        <f>CEILING((I1920*0.5),0.1)</f>
        <v>53.2</v>
      </c>
      <c r="J1923" s="993"/>
      <c r="K1923" s="986">
        <f>CEILING((K1920*0.5),0.1)</f>
        <v>53.2</v>
      </c>
      <c r="L1923" s="993"/>
      <c r="M1923" s="20"/>
      <c r="N1923" s="20"/>
      <c r="O1923" s="481"/>
      <c r="P1923" s="481"/>
      <c r="Q1923" s="481"/>
      <c r="R1923" s="481"/>
      <c r="S1923" s="481"/>
      <c r="T1923" s="481"/>
      <c r="U1923" s="481"/>
    </row>
    <row r="1924" spans="1:21" s="192" customFormat="1" ht="17.25" customHeight="1">
      <c r="A1924" s="182"/>
      <c r="B1924" s="127" t="s">
        <v>331</v>
      </c>
      <c r="C1924" s="986">
        <f>CEILING(90*$Z$1,0.1)</f>
        <v>112.5</v>
      </c>
      <c r="D1924" s="992"/>
      <c r="E1924" s="986">
        <f>CEILING(103.5*$Z$1,0.1)</f>
        <v>129.4</v>
      </c>
      <c r="F1924" s="992"/>
      <c r="G1924" s="986">
        <f>CEILING(90*$Z$1,0.1)</f>
        <v>112.5</v>
      </c>
      <c r="H1924" s="992"/>
      <c r="I1924" s="986">
        <f>CEILING(90*$Z$1,0.1)</f>
        <v>112.5</v>
      </c>
      <c r="J1924" s="992"/>
      <c r="K1924" s="986">
        <f>CEILING(90*$Z$1,0.1)</f>
        <v>112.5</v>
      </c>
      <c r="L1924" s="992"/>
      <c r="M1924" s="20"/>
      <c r="N1924" s="20"/>
      <c r="O1924" s="481"/>
      <c r="P1924" s="481"/>
      <c r="Q1924" s="481"/>
      <c r="R1924" s="481"/>
      <c r="S1924" s="481"/>
      <c r="T1924" s="481"/>
      <c r="U1924" s="481"/>
    </row>
    <row r="1925" spans="1:21" s="192" customFormat="1" ht="19.5" customHeight="1">
      <c r="A1925" s="182"/>
      <c r="B1925" s="29" t="s">
        <v>332</v>
      </c>
      <c r="C1925" s="986">
        <f>CEILING(120*$Z$1,0.1)</f>
        <v>150</v>
      </c>
      <c r="D1925" s="992"/>
      <c r="E1925" s="986">
        <f>CEILING(138*$Z$1,0.1)</f>
        <v>172.5</v>
      </c>
      <c r="F1925" s="992"/>
      <c r="G1925" s="986">
        <f>CEILING(120*$Z$1,0.1)</f>
        <v>150</v>
      </c>
      <c r="H1925" s="992"/>
      <c r="I1925" s="986">
        <f>CEILING(120*$Z$1,0.1)</f>
        <v>150</v>
      </c>
      <c r="J1925" s="992"/>
      <c r="K1925" s="986">
        <f>CEILING(120*$Z$1,0.1)</f>
        <v>150</v>
      </c>
      <c r="L1925" s="992"/>
      <c r="M1925" s="20"/>
      <c r="N1925" s="20"/>
      <c r="O1925" s="481"/>
      <c r="P1925" s="481"/>
      <c r="Q1925" s="481"/>
      <c r="R1925" s="278"/>
      <c r="S1925" s="278"/>
      <c r="T1925" s="481"/>
      <c r="U1925" s="481"/>
    </row>
    <row r="1926" spans="1:21" s="192" customFormat="1" ht="16.5" customHeight="1">
      <c r="A1926" s="182"/>
      <c r="B1926" s="127" t="s">
        <v>333</v>
      </c>
      <c r="C1926" s="986">
        <f>CEILING((C1924*0.85),0.1)</f>
        <v>95.7</v>
      </c>
      <c r="D1926" s="992"/>
      <c r="E1926" s="986">
        <f>CEILING((E1924*0.85),0.1)</f>
        <v>110</v>
      </c>
      <c r="F1926" s="992"/>
      <c r="G1926" s="986">
        <f>CEILING((G1924*0.85),0.1)</f>
        <v>95.7</v>
      </c>
      <c r="H1926" s="992"/>
      <c r="I1926" s="986">
        <f>CEILING((I1924*0.85),0.1)</f>
        <v>95.7</v>
      </c>
      <c r="J1926" s="992"/>
      <c r="K1926" s="986">
        <f>CEILING((K1924*0.85),0.1)</f>
        <v>95.7</v>
      </c>
      <c r="L1926" s="992"/>
      <c r="M1926" s="20"/>
      <c r="N1926" s="481"/>
      <c r="O1926" s="481"/>
      <c r="P1926" s="481"/>
      <c r="Q1926" s="481"/>
      <c r="R1926" s="15"/>
      <c r="S1926" s="15"/>
      <c r="T1926" s="481"/>
      <c r="U1926" s="481"/>
    </row>
    <row r="1927" spans="1:21" s="192" customFormat="1" ht="15.75" customHeight="1">
      <c r="A1927" s="182"/>
      <c r="B1927" s="127" t="s">
        <v>573</v>
      </c>
      <c r="C1927" s="986">
        <f>CEILING((C1924*0.5),0.1)</f>
        <v>56.300000000000004</v>
      </c>
      <c r="D1927" s="993"/>
      <c r="E1927" s="986">
        <f>CEILING((E1924*0.5),0.1)</f>
        <v>64.7</v>
      </c>
      <c r="F1927" s="993"/>
      <c r="G1927" s="986">
        <f>CEILING((G1924*0.5),0.1)</f>
        <v>56.300000000000004</v>
      </c>
      <c r="H1927" s="993"/>
      <c r="I1927" s="986">
        <f>CEILING((I1924*0.5),0.1)</f>
        <v>56.300000000000004</v>
      </c>
      <c r="J1927" s="993"/>
      <c r="K1927" s="986">
        <f>CEILING((K1924*0.5),0.1)</f>
        <v>56.300000000000004</v>
      </c>
      <c r="L1927" s="993"/>
      <c r="M1927" s="481"/>
      <c r="N1927" s="481"/>
      <c r="O1927" s="481"/>
      <c r="P1927" s="481"/>
      <c r="Q1927" s="481"/>
      <c r="R1927" s="3"/>
      <c r="S1927" s="3"/>
      <c r="T1927" s="481"/>
      <c r="U1927" s="481"/>
    </row>
    <row r="1928" spans="1:256" s="192" customFormat="1" ht="21" customHeight="1">
      <c r="A1928" s="611" t="s">
        <v>410</v>
      </c>
      <c r="B1928" s="418" t="s">
        <v>324</v>
      </c>
      <c r="C1928" s="1002">
        <f>CEILING(105*$Z$1,0.1)</f>
        <v>131.3</v>
      </c>
      <c r="D1928" s="1003"/>
      <c r="E1928" s="1002">
        <f>CEILING(121*$Z$1,0.1)</f>
        <v>151.3</v>
      </c>
      <c r="F1928" s="1003"/>
      <c r="G1928" s="1002">
        <f>CEILING(105*$Z$1,0.1)</f>
        <v>131.3</v>
      </c>
      <c r="H1928" s="1003"/>
      <c r="I1928" s="1002">
        <f>CEILING(105*$Z$1,0.1)</f>
        <v>131.3</v>
      </c>
      <c r="J1928" s="1003"/>
      <c r="K1928" s="1002">
        <f>CEILING(105*$Z$1,0.1)</f>
        <v>131.3</v>
      </c>
      <c r="L1928" s="1003"/>
      <c r="M1928" s="621"/>
      <c r="N1928" s="621"/>
      <c r="O1928" s="621"/>
      <c r="P1928" s="621"/>
      <c r="Q1928" s="542"/>
      <c r="R1928" s="608"/>
      <c r="S1928" s="609"/>
      <c r="T1928" s="608"/>
      <c r="U1928" s="621"/>
      <c r="V1928" s="621"/>
      <c r="W1928" s="621"/>
      <c r="X1928" s="621"/>
      <c r="Y1928" s="542"/>
      <c r="Z1928" s="608"/>
      <c r="AA1928" s="609"/>
      <c r="AB1928" s="608"/>
      <c r="AC1928" s="621"/>
      <c r="AD1928" s="621"/>
      <c r="AE1928" s="621"/>
      <c r="AF1928" s="621"/>
      <c r="AG1928" s="542"/>
      <c r="AH1928" s="608"/>
      <c r="AI1928" s="609"/>
      <c r="AJ1928" s="608"/>
      <c r="AK1928" s="621"/>
      <c r="AL1928" s="621"/>
      <c r="AM1928" s="621"/>
      <c r="AN1928" s="621"/>
      <c r="AO1928" s="542"/>
      <c r="AP1928" s="608"/>
      <c r="AQ1928" s="609"/>
      <c r="AR1928" s="608"/>
      <c r="AS1928" s="621"/>
      <c r="AT1928" s="621"/>
      <c r="AU1928" s="621"/>
      <c r="AV1928" s="621"/>
      <c r="AW1928" s="542"/>
      <c r="AX1928" s="608"/>
      <c r="AY1928" s="609"/>
      <c r="AZ1928" s="608"/>
      <c r="BA1928" s="621"/>
      <c r="BB1928" s="621"/>
      <c r="BC1928" s="621"/>
      <c r="BD1928" s="621"/>
      <c r="BE1928" s="542"/>
      <c r="BF1928" s="608"/>
      <c r="BG1928" s="609"/>
      <c r="BH1928" s="608"/>
      <c r="BI1928" s="621"/>
      <c r="BJ1928" s="621"/>
      <c r="BK1928" s="621"/>
      <c r="BL1928" s="621"/>
      <c r="BM1928" s="542"/>
      <c r="BN1928" s="608"/>
      <c r="BO1928" s="609"/>
      <c r="BP1928" s="608"/>
      <c r="BQ1928" s="621"/>
      <c r="BR1928" s="621"/>
      <c r="BS1928" s="621"/>
      <c r="BT1928" s="621"/>
      <c r="BU1928" s="542"/>
      <c r="BV1928" s="608"/>
      <c r="BW1928" s="609"/>
      <c r="BX1928" s="608"/>
      <c r="BY1928" s="621"/>
      <c r="BZ1928" s="621"/>
      <c r="CA1928" s="621"/>
      <c r="CB1928" s="621"/>
      <c r="CC1928" s="542"/>
      <c r="CD1928" s="608"/>
      <c r="CE1928" s="609"/>
      <c r="CF1928" s="608"/>
      <c r="CG1928" s="621"/>
      <c r="CH1928" s="621"/>
      <c r="CI1928" s="621"/>
      <c r="CJ1928" s="621"/>
      <c r="CK1928" s="542"/>
      <c r="CL1928" s="608"/>
      <c r="CM1928" s="609"/>
      <c r="CN1928" s="608"/>
      <c r="CO1928" s="621"/>
      <c r="CP1928" s="621"/>
      <c r="CQ1928" s="621"/>
      <c r="CR1928" s="621"/>
      <c r="CS1928" s="542"/>
      <c r="CT1928" s="608"/>
      <c r="CU1928" s="609"/>
      <c r="CV1928" s="608"/>
      <c r="CW1928" s="621"/>
      <c r="CX1928" s="621"/>
      <c r="CY1928" s="621"/>
      <c r="CZ1928" s="621"/>
      <c r="DA1928" s="542"/>
      <c r="DB1928" s="608"/>
      <c r="DC1928" s="609"/>
      <c r="DD1928" s="608"/>
      <c r="DE1928" s="621"/>
      <c r="DF1928" s="621"/>
      <c r="DG1928" s="621"/>
      <c r="DH1928" s="621"/>
      <c r="DI1928" s="542"/>
      <c r="DJ1928" s="608"/>
      <c r="DK1928" s="609"/>
      <c r="DL1928" s="608"/>
      <c r="DM1928" s="621"/>
      <c r="DN1928" s="621"/>
      <c r="DO1928" s="621"/>
      <c r="DP1928" s="621"/>
      <c r="DQ1928" s="542"/>
      <c r="DR1928" s="608"/>
      <c r="DS1928" s="609"/>
      <c r="DT1928" s="608"/>
      <c r="DU1928" s="621"/>
      <c r="DV1928" s="621"/>
      <c r="DW1928" s="621"/>
      <c r="DX1928" s="621"/>
      <c r="DY1928" s="542"/>
      <c r="DZ1928" s="608"/>
      <c r="EA1928" s="609"/>
      <c r="EB1928" s="608"/>
      <c r="EC1928" s="621"/>
      <c r="ED1928" s="621"/>
      <c r="EE1928" s="621"/>
      <c r="EF1928" s="621"/>
      <c r="EG1928" s="542"/>
      <c r="EH1928" s="608"/>
      <c r="EI1928" s="609"/>
      <c r="EJ1928" s="608"/>
      <c r="EK1928" s="621"/>
      <c r="EL1928" s="621"/>
      <c r="EM1928" s="621"/>
      <c r="EN1928" s="621"/>
      <c r="EO1928" s="542"/>
      <c r="EP1928" s="608"/>
      <c r="EQ1928" s="609"/>
      <c r="ER1928" s="608"/>
      <c r="ES1928" s="621"/>
      <c r="ET1928" s="621"/>
      <c r="EU1928" s="621"/>
      <c r="EV1928" s="621"/>
      <c r="EW1928" s="542"/>
      <c r="EX1928" s="608"/>
      <c r="EY1928" s="609"/>
      <c r="EZ1928" s="608"/>
      <c r="FA1928" s="621"/>
      <c r="FB1928" s="621"/>
      <c r="FC1928" s="621"/>
      <c r="FD1928" s="621"/>
      <c r="FE1928" s="542"/>
      <c r="FF1928" s="608"/>
      <c r="FG1928" s="609"/>
      <c r="FH1928" s="608"/>
      <c r="FI1928" s="621"/>
      <c r="FJ1928" s="621"/>
      <c r="FK1928" s="621"/>
      <c r="FL1928" s="621"/>
      <c r="FM1928" s="542"/>
      <c r="FN1928" s="608"/>
      <c r="FO1928" s="609"/>
      <c r="FP1928" s="608"/>
      <c r="FQ1928" s="621"/>
      <c r="FR1928" s="621"/>
      <c r="FS1928" s="621"/>
      <c r="FT1928" s="621"/>
      <c r="FU1928" s="542"/>
      <c r="FV1928" s="608"/>
      <c r="FW1928" s="609"/>
      <c r="FX1928" s="608"/>
      <c r="FY1928" s="621"/>
      <c r="FZ1928" s="621"/>
      <c r="GA1928" s="621"/>
      <c r="GB1928" s="621"/>
      <c r="GC1928" s="542"/>
      <c r="GD1928" s="608"/>
      <c r="GE1928" s="609"/>
      <c r="GF1928" s="608"/>
      <c r="GG1928" s="621"/>
      <c r="GH1928" s="621"/>
      <c r="GI1928" s="621"/>
      <c r="GJ1928" s="621"/>
      <c r="GK1928" s="542"/>
      <c r="GL1928" s="608"/>
      <c r="GM1928" s="609"/>
      <c r="GN1928" s="608"/>
      <c r="GO1928" s="621"/>
      <c r="GP1928" s="621"/>
      <c r="GQ1928" s="621"/>
      <c r="GR1928" s="621"/>
      <c r="GS1928" s="542"/>
      <c r="GT1928" s="608"/>
      <c r="GU1928" s="609"/>
      <c r="GV1928" s="608"/>
      <c r="GW1928" s="621"/>
      <c r="GX1928" s="621"/>
      <c r="GY1928" s="621"/>
      <c r="GZ1928" s="621"/>
      <c r="HA1928" s="542"/>
      <c r="HB1928" s="608"/>
      <c r="HC1928" s="609"/>
      <c r="HD1928" s="608"/>
      <c r="HE1928" s="621"/>
      <c r="HF1928" s="621"/>
      <c r="HG1928" s="621"/>
      <c r="HH1928" s="621"/>
      <c r="HI1928" s="542"/>
      <c r="HJ1928" s="608"/>
      <c r="HK1928" s="609"/>
      <c r="HL1928" s="608"/>
      <c r="HM1928" s="621"/>
      <c r="HN1928" s="621"/>
      <c r="HO1928" s="621"/>
      <c r="HP1928" s="621"/>
      <c r="HQ1928" s="542"/>
      <c r="HR1928" s="608"/>
      <c r="HS1928" s="609"/>
      <c r="HT1928" s="608"/>
      <c r="HU1928" s="621"/>
      <c r="HV1928" s="621"/>
      <c r="HW1928" s="621"/>
      <c r="HX1928" s="621"/>
      <c r="HY1928" s="542"/>
      <c r="HZ1928" s="608"/>
      <c r="IA1928" s="609"/>
      <c r="IB1928" s="608"/>
      <c r="IC1928" s="621"/>
      <c r="ID1928" s="621"/>
      <c r="IE1928" s="621"/>
      <c r="IF1928" s="621"/>
      <c r="IG1928" s="542"/>
      <c r="IH1928" s="608"/>
      <c r="II1928" s="609"/>
      <c r="IJ1928" s="608"/>
      <c r="IK1928" s="621"/>
      <c r="IL1928" s="621"/>
      <c r="IM1928" s="621"/>
      <c r="IN1928" s="621"/>
      <c r="IO1928" s="542"/>
      <c r="IP1928" s="608"/>
      <c r="IQ1928" s="609"/>
      <c r="IR1928" s="608"/>
      <c r="IS1928" s="621"/>
      <c r="IT1928" s="621"/>
      <c r="IU1928" s="621"/>
      <c r="IV1928" s="621"/>
    </row>
    <row r="1929" spans="1:21" s="495" customFormat="1" ht="15.75" customHeight="1">
      <c r="A1929" s="75" t="s">
        <v>1147</v>
      </c>
      <c r="B1929" s="50"/>
      <c r="C1929" s="946"/>
      <c r="D1929" s="946"/>
      <c r="E1929" s="946"/>
      <c r="F1929" s="946"/>
      <c r="G1929" s="946"/>
      <c r="H1929" s="946"/>
      <c r="I1929" s="3"/>
      <c r="J1929" s="3"/>
      <c r="K1929" s="279"/>
      <c r="L1929" s="279"/>
      <c r="M1929" s="20"/>
      <c r="N1929" s="20"/>
      <c r="O1929" s="494"/>
      <c r="P1929" s="494"/>
      <c r="Q1929" s="494"/>
      <c r="R1929" s="494"/>
      <c r="S1929" s="494"/>
      <c r="T1929" s="494"/>
      <c r="U1929" s="494"/>
    </row>
    <row r="1930" spans="1:37" s="479" customFormat="1" ht="18" customHeight="1">
      <c r="A1930" s="172" t="s">
        <v>1144</v>
      </c>
      <c r="B1930" s="949"/>
      <c r="C1930" s="22"/>
      <c r="D1930" s="22"/>
      <c r="E1930" s="22"/>
      <c r="F1930" s="22"/>
      <c r="G1930" s="22"/>
      <c r="H1930" s="22"/>
      <c r="I1930" s="22"/>
      <c r="J1930" s="22"/>
      <c r="K1930" s="166"/>
      <c r="L1930" s="166"/>
      <c r="M1930" s="947"/>
      <c r="N1930" s="947"/>
      <c r="O1930" s="331"/>
      <c r="P1930" s="331"/>
      <c r="Q1930" s="331"/>
      <c r="R1930" s="331"/>
      <c r="S1930" s="331"/>
      <c r="T1930" s="480"/>
      <c r="U1930" s="480"/>
      <c r="V1930" s="480"/>
      <c r="W1930" s="480"/>
      <c r="X1930" s="480"/>
      <c r="Y1930" s="480"/>
      <c r="AA1930" s="331"/>
      <c r="AB1930" s="331"/>
      <c r="AC1930" s="331"/>
      <c r="AD1930" s="331"/>
      <c r="AE1930" s="331"/>
      <c r="AF1930" s="331"/>
      <c r="AG1930" s="331"/>
      <c r="AH1930" s="331"/>
      <c r="AI1930" s="331"/>
      <c r="AJ1930" s="331"/>
      <c r="AK1930" s="331"/>
    </row>
    <row r="1931" spans="1:37" s="479" customFormat="1" ht="18" customHeight="1">
      <c r="A1931" s="172" t="s">
        <v>1145</v>
      </c>
      <c r="B1931" s="949"/>
      <c r="C1931" s="22"/>
      <c r="D1931" s="22"/>
      <c r="E1931" s="22"/>
      <c r="F1931" s="22"/>
      <c r="G1931" s="22"/>
      <c r="H1931" s="22"/>
      <c r="I1931" s="22"/>
      <c r="J1931" s="22"/>
      <c r="K1931" s="166"/>
      <c r="L1931" s="166"/>
      <c r="M1931" s="947"/>
      <c r="N1931" s="947"/>
      <c r="O1931" s="331"/>
      <c r="P1931" s="331"/>
      <c r="Q1931" s="331"/>
      <c r="R1931" s="331"/>
      <c r="S1931" s="331"/>
      <c r="T1931" s="480"/>
      <c r="U1931" s="480"/>
      <c r="V1931" s="480"/>
      <c r="W1931" s="480"/>
      <c r="X1931" s="480"/>
      <c r="Y1931" s="480"/>
      <c r="AA1931" s="331"/>
      <c r="AB1931" s="331"/>
      <c r="AC1931" s="331"/>
      <c r="AD1931" s="331"/>
      <c r="AE1931" s="331"/>
      <c r="AF1931" s="331"/>
      <c r="AG1931" s="331"/>
      <c r="AH1931" s="331"/>
      <c r="AI1931" s="331"/>
      <c r="AJ1931" s="331"/>
      <c r="AK1931" s="331"/>
    </row>
    <row r="1932" spans="1:25" s="192" customFormat="1" ht="15">
      <c r="A1932" s="172"/>
      <c r="B1932" s="50"/>
      <c r="C1932" s="3"/>
      <c r="D1932" s="3"/>
      <c r="E1932" s="453"/>
      <c r="F1932" s="462"/>
      <c r="G1932" s="453"/>
      <c r="H1932" s="462"/>
      <c r="I1932" s="3"/>
      <c r="J1932" s="3"/>
      <c r="K1932" s="94"/>
      <c r="L1932" s="94"/>
      <c r="M1932" s="20"/>
      <c r="N1932" s="20"/>
      <c r="O1932" s="481"/>
      <c r="P1932" s="481"/>
      <c r="Q1932" s="481"/>
      <c r="R1932" s="481"/>
      <c r="S1932" s="481"/>
      <c r="T1932" s="481"/>
      <c r="U1932" s="481"/>
      <c r="V1932" s="481"/>
      <c r="W1932" s="481"/>
      <c r="X1932" s="481"/>
      <c r="Y1932" s="481"/>
    </row>
    <row r="1933" spans="1:25" s="192" customFormat="1" ht="15" customHeight="1">
      <c r="A1933" s="1459" t="s">
        <v>43</v>
      </c>
      <c r="B1933" s="1468"/>
      <c r="C1933" s="1478" t="s">
        <v>1292</v>
      </c>
      <c r="D1933" s="1479"/>
      <c r="E1933" s="1480"/>
      <c r="F1933" s="1471"/>
      <c r="G1933" s="1471"/>
      <c r="H1933" s="1471"/>
      <c r="I1933" s="429"/>
      <c r="J1933" s="430"/>
      <c r="K1933" s="94"/>
      <c r="L1933" s="94"/>
      <c r="M1933" s="20"/>
      <c r="N1933" s="20"/>
      <c r="O1933" s="481"/>
      <c r="P1933" s="481"/>
      <c r="Q1933" s="481"/>
      <c r="R1933" s="481"/>
      <c r="S1933" s="481"/>
      <c r="T1933" s="481"/>
      <c r="U1933" s="481"/>
      <c r="V1933" s="481"/>
      <c r="W1933" s="481"/>
      <c r="X1933" s="481"/>
      <c r="Y1933" s="481"/>
    </row>
    <row r="1934" spans="1:25" s="192" customFormat="1" ht="15.75" customHeight="1">
      <c r="A1934" s="1460"/>
      <c r="B1934" s="1469"/>
      <c r="C1934" s="1203" t="s">
        <v>101</v>
      </c>
      <c r="D1934" s="1203" t="s">
        <v>103</v>
      </c>
      <c r="E1934" s="351"/>
      <c r="F1934" s="349"/>
      <c r="G1934" s="349"/>
      <c r="H1934" s="349"/>
      <c r="I1934" s="349"/>
      <c r="J1934" s="349"/>
      <c r="K1934" s="94"/>
      <c r="L1934" s="94"/>
      <c r="M1934" s="20"/>
      <c r="N1934" s="20"/>
      <c r="O1934" s="481"/>
      <c r="P1934" s="481"/>
      <c r="Q1934" s="481"/>
      <c r="R1934" s="481"/>
      <c r="S1934" s="481"/>
      <c r="T1934" s="481"/>
      <c r="U1934" s="481"/>
      <c r="V1934" s="481"/>
      <c r="W1934" s="481"/>
      <c r="X1934" s="481"/>
      <c r="Y1934" s="481"/>
    </row>
    <row r="1935" spans="1:25" s="192" customFormat="1" ht="15">
      <c r="A1935" s="175" t="s">
        <v>873</v>
      </c>
      <c r="B1935" s="131" t="s">
        <v>51</v>
      </c>
      <c r="C1935" s="1009">
        <f>CEILING(73*$Z$1,0.1)</f>
        <v>91.30000000000001</v>
      </c>
      <c r="D1935" s="9"/>
      <c r="E1935" s="454"/>
      <c r="F1935" s="455"/>
      <c r="G1935" s="455"/>
      <c r="H1935" s="455"/>
      <c r="I1935" s="455"/>
      <c r="J1935" s="621"/>
      <c r="K1935" s="94"/>
      <c r="L1935" s="94"/>
      <c r="M1935" s="20"/>
      <c r="N1935" s="20"/>
      <c r="O1935" s="481"/>
      <c r="P1935" s="481"/>
      <c r="Q1935" s="481"/>
      <c r="R1935" s="481"/>
      <c r="S1935" s="481"/>
      <c r="T1935" s="481"/>
      <c r="U1935" s="481"/>
      <c r="V1935" s="481"/>
      <c r="W1935" s="481"/>
      <c r="X1935" s="481"/>
      <c r="Y1935" s="481"/>
    </row>
    <row r="1936" spans="1:25" s="192" customFormat="1" ht="15">
      <c r="A1936" s="175" t="s">
        <v>381</v>
      </c>
      <c r="B1936" s="10" t="s">
        <v>52</v>
      </c>
      <c r="C1936" s="1009">
        <f>CEILING(104*$Z$1,0.1)</f>
        <v>130</v>
      </c>
      <c r="D1936" s="5"/>
      <c r="E1936" s="454"/>
      <c r="F1936" s="455"/>
      <c r="G1936" s="455"/>
      <c r="H1936" s="455"/>
      <c r="I1936" s="455"/>
      <c r="J1936" s="621"/>
      <c r="K1936" s="94"/>
      <c r="L1936" s="94"/>
      <c r="M1936" s="20"/>
      <c r="N1936" s="20"/>
      <c r="O1936" s="481"/>
      <c r="P1936" s="481"/>
      <c r="Q1936" s="481"/>
      <c r="R1936" s="481"/>
      <c r="S1936" s="481"/>
      <c r="T1936" s="481"/>
      <c r="U1936" s="481"/>
      <c r="V1936" s="481"/>
      <c r="W1936" s="481"/>
      <c r="X1936" s="481"/>
      <c r="Y1936" s="481"/>
    </row>
    <row r="1937" spans="1:256" s="192" customFormat="1" ht="21" customHeight="1">
      <c r="A1937" s="175" t="s">
        <v>168</v>
      </c>
      <c r="B1937" s="127" t="s">
        <v>79</v>
      </c>
      <c r="C1937" s="1009">
        <f>CEILING((C1935*0.85),0.1)</f>
        <v>77.7</v>
      </c>
      <c r="D1937" s="5"/>
      <c r="E1937" s="454"/>
      <c r="F1937" s="455"/>
      <c r="G1937" s="455"/>
      <c r="H1937" s="455"/>
      <c r="I1937" s="455"/>
      <c r="J1937" s="621"/>
      <c r="K1937" s="94"/>
      <c r="L1937" s="94"/>
      <c r="M1937" s="621"/>
      <c r="N1937" s="621"/>
      <c r="O1937" s="621"/>
      <c r="P1937" s="621"/>
      <c r="Q1937" s="542"/>
      <c r="R1937" s="608"/>
      <c r="S1937" s="609"/>
      <c r="T1937" s="608"/>
      <c r="U1937" s="621"/>
      <c r="V1937" s="621"/>
      <c r="W1937" s="621"/>
      <c r="X1937" s="621"/>
      <c r="Y1937" s="542"/>
      <c r="Z1937" s="608"/>
      <c r="AA1937" s="609"/>
      <c r="AB1937" s="608"/>
      <c r="AC1937" s="621"/>
      <c r="AD1937" s="621"/>
      <c r="AE1937" s="621"/>
      <c r="AF1937" s="621"/>
      <c r="AG1937" s="542"/>
      <c r="AH1937" s="608"/>
      <c r="AI1937" s="609"/>
      <c r="AJ1937" s="608"/>
      <c r="AK1937" s="621"/>
      <c r="AL1937" s="621"/>
      <c r="AM1937" s="621"/>
      <c r="AN1937" s="621"/>
      <c r="AO1937" s="542"/>
      <c r="AP1937" s="608"/>
      <c r="AQ1937" s="609"/>
      <c r="AR1937" s="608"/>
      <c r="AS1937" s="621"/>
      <c r="AT1937" s="621"/>
      <c r="AU1937" s="621"/>
      <c r="AV1937" s="621"/>
      <c r="AW1937" s="542"/>
      <c r="AX1937" s="608"/>
      <c r="AY1937" s="609"/>
      <c r="AZ1937" s="608"/>
      <c r="BA1937" s="621"/>
      <c r="BB1937" s="621"/>
      <c r="BC1937" s="621"/>
      <c r="BD1937" s="621"/>
      <c r="BE1937" s="542"/>
      <c r="BF1937" s="608"/>
      <c r="BG1937" s="609"/>
      <c r="BH1937" s="608"/>
      <c r="BI1937" s="621"/>
      <c r="BJ1937" s="621"/>
      <c r="BK1937" s="621"/>
      <c r="BL1937" s="621"/>
      <c r="BM1937" s="542"/>
      <c r="BN1937" s="608"/>
      <c r="BO1937" s="609"/>
      <c r="BP1937" s="608"/>
      <c r="BQ1937" s="621"/>
      <c r="BR1937" s="621"/>
      <c r="BS1937" s="621"/>
      <c r="BT1937" s="621"/>
      <c r="BU1937" s="542"/>
      <c r="BV1937" s="608"/>
      <c r="BW1937" s="609"/>
      <c r="BX1937" s="608"/>
      <c r="BY1937" s="621"/>
      <c r="BZ1937" s="621"/>
      <c r="CA1937" s="621"/>
      <c r="CB1937" s="621"/>
      <c r="CC1937" s="542"/>
      <c r="CD1937" s="608"/>
      <c r="CE1937" s="609"/>
      <c r="CF1937" s="608"/>
      <c r="CG1937" s="621"/>
      <c r="CH1937" s="621"/>
      <c r="CI1937" s="621"/>
      <c r="CJ1937" s="621"/>
      <c r="CK1937" s="542"/>
      <c r="CL1937" s="608"/>
      <c r="CM1937" s="609"/>
      <c r="CN1937" s="608"/>
      <c r="CO1937" s="621"/>
      <c r="CP1937" s="621"/>
      <c r="CQ1937" s="621"/>
      <c r="CR1937" s="621"/>
      <c r="CS1937" s="542"/>
      <c r="CT1937" s="608"/>
      <c r="CU1937" s="609"/>
      <c r="CV1937" s="608"/>
      <c r="CW1937" s="621"/>
      <c r="CX1937" s="621"/>
      <c r="CY1937" s="621"/>
      <c r="CZ1937" s="621"/>
      <c r="DA1937" s="542"/>
      <c r="DB1937" s="608"/>
      <c r="DC1937" s="609"/>
      <c r="DD1937" s="608"/>
      <c r="DE1937" s="621"/>
      <c r="DF1937" s="621"/>
      <c r="DG1937" s="621"/>
      <c r="DH1937" s="621"/>
      <c r="DI1937" s="542"/>
      <c r="DJ1937" s="608"/>
      <c r="DK1937" s="609"/>
      <c r="DL1937" s="608"/>
      <c r="DM1937" s="621"/>
      <c r="DN1937" s="621"/>
      <c r="DO1937" s="621"/>
      <c r="DP1937" s="621"/>
      <c r="DQ1937" s="542"/>
      <c r="DR1937" s="608"/>
      <c r="DS1937" s="609"/>
      <c r="DT1937" s="608"/>
      <c r="DU1937" s="621"/>
      <c r="DV1937" s="621"/>
      <c r="DW1937" s="621"/>
      <c r="DX1937" s="621"/>
      <c r="DY1937" s="542"/>
      <c r="DZ1937" s="608"/>
      <c r="EA1937" s="609"/>
      <c r="EB1937" s="608"/>
      <c r="EC1937" s="621"/>
      <c r="ED1937" s="621"/>
      <c r="EE1937" s="621"/>
      <c r="EF1937" s="621"/>
      <c r="EG1937" s="542"/>
      <c r="EH1937" s="608"/>
      <c r="EI1937" s="609"/>
      <c r="EJ1937" s="608"/>
      <c r="EK1937" s="621"/>
      <c r="EL1937" s="621"/>
      <c r="EM1937" s="621"/>
      <c r="EN1937" s="621"/>
      <c r="EO1937" s="542"/>
      <c r="EP1937" s="608"/>
      <c r="EQ1937" s="609"/>
      <c r="ER1937" s="608"/>
      <c r="ES1937" s="621"/>
      <c r="ET1937" s="621"/>
      <c r="EU1937" s="621"/>
      <c r="EV1937" s="621"/>
      <c r="EW1937" s="542"/>
      <c r="EX1937" s="608"/>
      <c r="EY1937" s="609"/>
      <c r="EZ1937" s="608"/>
      <c r="FA1937" s="621"/>
      <c r="FB1937" s="621"/>
      <c r="FC1937" s="621"/>
      <c r="FD1937" s="621"/>
      <c r="FE1937" s="542"/>
      <c r="FF1937" s="608"/>
      <c r="FG1937" s="609"/>
      <c r="FH1937" s="608"/>
      <c r="FI1937" s="621"/>
      <c r="FJ1937" s="621"/>
      <c r="FK1937" s="621"/>
      <c r="FL1937" s="621"/>
      <c r="FM1937" s="542"/>
      <c r="FN1937" s="608"/>
      <c r="FO1937" s="609"/>
      <c r="FP1937" s="608"/>
      <c r="FQ1937" s="621"/>
      <c r="FR1937" s="621"/>
      <c r="FS1937" s="621"/>
      <c r="FT1937" s="621"/>
      <c r="FU1937" s="542"/>
      <c r="FV1937" s="608"/>
      <c r="FW1937" s="609"/>
      <c r="FX1937" s="608"/>
      <c r="FY1937" s="621"/>
      <c r="FZ1937" s="621"/>
      <c r="GA1937" s="621"/>
      <c r="GB1937" s="621"/>
      <c r="GC1937" s="542"/>
      <c r="GD1937" s="608"/>
      <c r="GE1937" s="609"/>
      <c r="GF1937" s="608"/>
      <c r="GG1937" s="621"/>
      <c r="GH1937" s="621"/>
      <c r="GI1937" s="621"/>
      <c r="GJ1937" s="621"/>
      <c r="GK1937" s="542"/>
      <c r="GL1937" s="608"/>
      <c r="GM1937" s="609"/>
      <c r="GN1937" s="608"/>
      <c r="GO1937" s="621"/>
      <c r="GP1937" s="621"/>
      <c r="GQ1937" s="621"/>
      <c r="GR1937" s="621"/>
      <c r="GS1937" s="542"/>
      <c r="GT1937" s="608"/>
      <c r="GU1937" s="609"/>
      <c r="GV1937" s="608"/>
      <c r="GW1937" s="621"/>
      <c r="GX1937" s="621"/>
      <c r="GY1937" s="621"/>
      <c r="GZ1937" s="621"/>
      <c r="HA1937" s="542"/>
      <c r="HB1937" s="608"/>
      <c r="HC1937" s="609"/>
      <c r="HD1937" s="608"/>
      <c r="HE1937" s="621"/>
      <c r="HF1937" s="621"/>
      <c r="HG1937" s="621"/>
      <c r="HH1937" s="621"/>
      <c r="HI1937" s="542"/>
      <c r="HJ1937" s="608"/>
      <c r="HK1937" s="609"/>
      <c r="HL1937" s="608"/>
      <c r="HM1937" s="621"/>
      <c r="HN1937" s="621"/>
      <c r="HO1937" s="621"/>
      <c r="HP1937" s="621"/>
      <c r="HQ1937" s="542"/>
      <c r="HR1937" s="608"/>
      <c r="HS1937" s="609"/>
      <c r="HT1937" s="608"/>
      <c r="HU1937" s="621"/>
      <c r="HV1937" s="621"/>
      <c r="HW1937" s="621"/>
      <c r="HX1937" s="621"/>
      <c r="HY1937" s="542"/>
      <c r="HZ1937" s="608"/>
      <c r="IA1937" s="609"/>
      <c r="IB1937" s="608"/>
      <c r="IC1937" s="621"/>
      <c r="ID1937" s="621"/>
      <c r="IE1937" s="621"/>
      <c r="IF1937" s="621"/>
      <c r="IG1937" s="542"/>
      <c r="IH1937" s="608"/>
      <c r="II1937" s="609"/>
      <c r="IJ1937" s="608"/>
      <c r="IK1937" s="621"/>
      <c r="IL1937" s="621"/>
      <c r="IM1937" s="621"/>
      <c r="IN1937" s="621"/>
      <c r="IO1937" s="542"/>
      <c r="IP1937" s="608"/>
      <c r="IQ1937" s="609"/>
      <c r="IR1937" s="608"/>
      <c r="IS1937" s="621"/>
      <c r="IT1937" s="621"/>
      <c r="IU1937" s="621"/>
      <c r="IV1937" s="621"/>
    </row>
    <row r="1938" spans="1:25" s="192" customFormat="1" ht="15">
      <c r="A1938" s="78" t="s">
        <v>173</v>
      </c>
      <c r="B1938" s="12" t="s">
        <v>78</v>
      </c>
      <c r="C1938" s="1009">
        <f>CEILING((C1935*0.5),0.1)</f>
        <v>45.7</v>
      </c>
      <c r="D1938" s="5"/>
      <c r="E1938" s="454"/>
      <c r="F1938" s="455"/>
      <c r="G1938" s="455"/>
      <c r="H1938" s="455"/>
      <c r="I1938" s="455"/>
      <c r="J1938" s="621"/>
      <c r="K1938" s="94"/>
      <c r="L1938" s="94"/>
      <c r="M1938" s="136"/>
      <c r="N1938" s="136"/>
      <c r="O1938" s="481"/>
      <c r="P1938" s="481"/>
      <c r="Q1938" s="481"/>
      <c r="R1938" s="481"/>
      <c r="S1938" s="481"/>
      <c r="T1938" s="481"/>
      <c r="U1938" s="481"/>
      <c r="V1938" s="481"/>
      <c r="W1938" s="481"/>
      <c r="X1938" s="481"/>
      <c r="Y1938" s="481"/>
    </row>
    <row r="1939" spans="1:25" s="192" customFormat="1" ht="15">
      <c r="A1939" s="78" t="s">
        <v>170</v>
      </c>
      <c r="B1939" s="10" t="s">
        <v>235</v>
      </c>
      <c r="C1939" s="1009">
        <f>CEILING(95*$Z$1,0.1)</f>
        <v>118.80000000000001</v>
      </c>
      <c r="D1939" s="5"/>
      <c r="E1939" s="454"/>
      <c r="F1939" s="455"/>
      <c r="G1939" s="455"/>
      <c r="H1939" s="455"/>
      <c r="I1939" s="455"/>
      <c r="J1939" s="621"/>
      <c r="K1939" s="609"/>
      <c r="L1939" s="608"/>
      <c r="M1939" s="136"/>
      <c r="N1939" s="136"/>
      <c r="O1939" s="481"/>
      <c r="P1939" s="481"/>
      <c r="Q1939" s="481"/>
      <c r="R1939" s="481"/>
      <c r="S1939" s="481"/>
      <c r="T1939" s="481"/>
      <c r="U1939" s="481"/>
      <c r="V1939" s="481"/>
      <c r="W1939" s="481"/>
      <c r="X1939" s="481"/>
      <c r="Y1939" s="481"/>
    </row>
    <row r="1940" spans="1:25" s="192" customFormat="1" ht="15">
      <c r="A1940" s="616" t="s">
        <v>234</v>
      </c>
      <c r="B1940" s="617" t="s">
        <v>236</v>
      </c>
      <c r="C1940" s="1011">
        <f>CEILING(126*$Z$1,0.1)</f>
        <v>157.5</v>
      </c>
      <c r="D1940" s="606"/>
      <c r="E1940" s="454"/>
      <c r="F1940" s="455"/>
      <c r="G1940" s="455"/>
      <c r="H1940" s="455"/>
      <c r="I1940" s="455"/>
      <c r="J1940" s="621"/>
      <c r="K1940" s="94"/>
      <c r="L1940" s="94"/>
      <c r="M1940" s="136"/>
      <c r="N1940" s="136"/>
      <c r="O1940" s="481"/>
      <c r="P1940" s="481"/>
      <c r="Q1940" s="481"/>
      <c r="R1940" s="481"/>
      <c r="S1940" s="481"/>
      <c r="T1940" s="481"/>
      <c r="U1940" s="481"/>
      <c r="V1940" s="481"/>
      <c r="W1940" s="481"/>
      <c r="X1940" s="481"/>
      <c r="Y1940" s="481"/>
    </row>
    <row r="1941" spans="1:25" s="192" customFormat="1" ht="15">
      <c r="A1941" s="75" t="s">
        <v>412</v>
      </c>
      <c r="B1941" s="44"/>
      <c r="C1941" s="1010"/>
      <c r="D1941" s="3"/>
      <c r="E1941" s="1016"/>
      <c r="F1941" s="1016"/>
      <c r="G1941" s="1016"/>
      <c r="H1941" s="1016"/>
      <c r="I1941" s="1016"/>
      <c r="J1941" s="1016"/>
      <c r="K1941" s="94"/>
      <c r="L1941" s="94"/>
      <c r="M1941" s="136"/>
      <c r="N1941" s="136"/>
      <c r="O1941" s="481"/>
      <c r="P1941" s="481"/>
      <c r="Q1941" s="481"/>
      <c r="R1941" s="481"/>
      <c r="S1941" s="481"/>
      <c r="T1941" s="481"/>
      <c r="U1941" s="481"/>
      <c r="V1941" s="481"/>
      <c r="W1941" s="481"/>
      <c r="X1941" s="481"/>
      <c r="Y1941" s="481"/>
    </row>
    <row r="1942" spans="1:25" s="192" customFormat="1" ht="15">
      <c r="A1942" s="75" t="s">
        <v>1300</v>
      </c>
      <c r="B1942" s="44"/>
      <c r="C1942" s="1201"/>
      <c r="D1942" s="3"/>
      <c r="E1942" s="1202"/>
      <c r="F1942" s="1202"/>
      <c r="G1942" s="1202"/>
      <c r="H1942" s="1202"/>
      <c r="I1942" s="1202"/>
      <c r="J1942" s="1202"/>
      <c r="K1942" s="94"/>
      <c r="L1942" s="94"/>
      <c r="M1942" s="136"/>
      <c r="N1942" s="136"/>
      <c r="O1942" s="481"/>
      <c r="P1942" s="481"/>
      <c r="Q1942" s="481"/>
      <c r="R1942" s="481"/>
      <c r="S1942" s="481"/>
      <c r="T1942" s="481"/>
      <c r="U1942" s="481"/>
      <c r="V1942" s="481"/>
      <c r="W1942" s="481"/>
      <c r="X1942" s="481"/>
      <c r="Y1942" s="481"/>
    </row>
    <row r="1943" spans="1:25" s="404" customFormat="1" ht="15">
      <c r="A1943" s="542"/>
      <c r="B1943" s="608"/>
      <c r="C1943" s="609"/>
      <c r="D1943" s="608"/>
      <c r="E1943" s="600"/>
      <c r="F1943" s="600"/>
      <c r="G1943" s="600"/>
      <c r="H1943" s="600"/>
      <c r="I1943" s="542"/>
      <c r="J1943" s="608"/>
      <c r="K1943" s="94"/>
      <c r="L1943" s="94"/>
      <c r="M1943" s="136"/>
      <c r="N1943" s="136"/>
      <c r="O1943" s="169"/>
      <c r="P1943" s="169"/>
      <c r="Q1943" s="169"/>
      <c r="R1943" s="169"/>
      <c r="S1943" s="169"/>
      <c r="T1943" s="169"/>
      <c r="U1943" s="169"/>
      <c r="V1943" s="169"/>
      <c r="W1943" s="169"/>
      <c r="X1943" s="169"/>
      <c r="Y1943" s="169"/>
    </row>
    <row r="1944" spans="1:25" s="404" customFormat="1" ht="15">
      <c r="A1944" s="1459" t="s">
        <v>43</v>
      </c>
      <c r="B1944" s="1468"/>
      <c r="C1944" s="1478" t="s">
        <v>1292</v>
      </c>
      <c r="D1944" s="1479"/>
      <c r="E1944" s="1480"/>
      <c r="F1944" s="1471"/>
      <c r="G1944" s="1471"/>
      <c r="H1944" s="1471"/>
      <c r="I1944" s="429"/>
      <c r="J1944" s="430"/>
      <c r="K1944" s="94"/>
      <c r="L1944" s="94"/>
      <c r="M1944" s="136"/>
      <c r="N1944" s="136"/>
      <c r="O1944" s="169"/>
      <c r="P1944" s="169"/>
      <c r="Q1944" s="169"/>
      <c r="R1944" s="169"/>
      <c r="S1944" s="169"/>
      <c r="T1944" s="169"/>
      <c r="U1944" s="169"/>
      <c r="V1944" s="169"/>
      <c r="W1944" s="169"/>
      <c r="X1944" s="169"/>
      <c r="Y1944" s="169"/>
    </row>
    <row r="1945" spans="1:14" ht="22.5" customHeight="1">
      <c r="A1945" s="1460"/>
      <c r="B1945" s="1469"/>
      <c r="C1945" s="1203" t="s">
        <v>101</v>
      </c>
      <c r="D1945" s="1203" t="s">
        <v>103</v>
      </c>
      <c r="E1945" s="351"/>
      <c r="F1945" s="349"/>
      <c r="G1945" s="349"/>
      <c r="H1945" s="349"/>
      <c r="I1945" s="349"/>
      <c r="J1945" s="349"/>
      <c r="K1945" s="94"/>
      <c r="L1945" s="94"/>
      <c r="M1945" s="277"/>
      <c r="N1945" s="277"/>
    </row>
    <row r="1946" spans="1:14" ht="17.25" customHeight="1">
      <c r="A1946" s="175" t="s">
        <v>169</v>
      </c>
      <c r="B1946" s="131" t="s">
        <v>51</v>
      </c>
      <c r="C1946" s="597">
        <f>CEILING(68*$Z$1,0.1)</f>
        <v>85</v>
      </c>
      <c r="D1946" s="9"/>
      <c r="E1946" s="454"/>
      <c r="F1946" s="455"/>
      <c r="G1946" s="455"/>
      <c r="H1946" s="455"/>
      <c r="I1946" s="455"/>
      <c r="J1946" s="621"/>
      <c r="K1946" s="94"/>
      <c r="L1946" s="94"/>
      <c r="M1946" s="623"/>
      <c r="N1946" s="358"/>
    </row>
    <row r="1947" spans="1:14" ht="15">
      <c r="A1947" s="175" t="s">
        <v>171</v>
      </c>
      <c r="B1947" s="10" t="s">
        <v>52</v>
      </c>
      <c r="C1947" s="597">
        <f>CEILING(98*$Z$1,0.1)</f>
        <v>122.5</v>
      </c>
      <c r="D1947" s="5"/>
      <c r="E1947" s="454"/>
      <c r="F1947" s="455"/>
      <c r="G1947" s="455"/>
      <c r="H1947" s="455"/>
      <c r="I1947" s="455"/>
      <c r="J1947" s="621"/>
      <c r="K1947" s="94"/>
      <c r="L1947" s="94"/>
      <c r="M1947" s="349"/>
      <c r="N1947" s="349"/>
    </row>
    <row r="1948" spans="1:14" ht="15">
      <c r="A1948" s="175" t="s">
        <v>172</v>
      </c>
      <c r="B1948" s="127" t="s">
        <v>79</v>
      </c>
      <c r="C1948" s="597">
        <f>CEILING((C1946*0.85),0.1)</f>
        <v>72.3</v>
      </c>
      <c r="D1948" s="5"/>
      <c r="E1948" s="454"/>
      <c r="F1948" s="455"/>
      <c r="G1948" s="455"/>
      <c r="H1948" s="455"/>
      <c r="I1948" s="455"/>
      <c r="J1948" s="621"/>
      <c r="K1948" s="85"/>
      <c r="L1948" s="94"/>
      <c r="M1948" s="621"/>
      <c r="N1948" s="355"/>
    </row>
    <row r="1949" spans="1:14" ht="15">
      <c r="A1949" s="78" t="s">
        <v>496</v>
      </c>
      <c r="B1949" s="12" t="s">
        <v>78</v>
      </c>
      <c r="C1949" s="597">
        <f>CEILING((C1946*0.5),0.1)</f>
        <v>42.5</v>
      </c>
      <c r="D1949" s="5"/>
      <c r="E1949" s="454"/>
      <c r="F1949" s="455"/>
      <c r="G1949" s="455"/>
      <c r="H1949" s="455"/>
      <c r="I1949" s="455"/>
      <c r="J1949" s="621"/>
      <c r="K1949" s="609"/>
      <c r="L1949" s="608"/>
      <c r="M1949" s="621"/>
      <c r="N1949" s="355"/>
    </row>
    <row r="1950" spans="1:14" ht="15">
      <c r="A1950" s="78" t="s">
        <v>176</v>
      </c>
      <c r="B1950" s="10" t="s">
        <v>44</v>
      </c>
      <c r="C1950" s="597">
        <f>CEILING(90*$Z$1,0.1)</f>
        <v>112.5</v>
      </c>
      <c r="D1950" s="5"/>
      <c r="E1950" s="454"/>
      <c r="F1950" s="455"/>
      <c r="G1950" s="455"/>
      <c r="H1950" s="455"/>
      <c r="I1950" s="455"/>
      <c r="J1950" s="621"/>
      <c r="K1950" s="279"/>
      <c r="L1950" s="279"/>
      <c r="M1950" s="621"/>
      <c r="N1950" s="355"/>
    </row>
    <row r="1951" spans="1:14" ht="17.25" customHeight="1">
      <c r="A1951" s="78" t="s">
        <v>233</v>
      </c>
      <c r="B1951" s="11" t="s">
        <v>46</v>
      </c>
      <c r="C1951" s="597">
        <f>CEILING(120*$Z$1,0.1)</f>
        <v>150</v>
      </c>
      <c r="D1951" s="5"/>
      <c r="E1951" s="454"/>
      <c r="F1951" s="455"/>
      <c r="G1951" s="455"/>
      <c r="H1951" s="455"/>
      <c r="I1951" s="455"/>
      <c r="J1951" s="621"/>
      <c r="K1951" s="279"/>
      <c r="L1951" s="279"/>
      <c r="M1951" s="621"/>
      <c r="N1951" s="355"/>
    </row>
    <row r="1952" spans="1:14" ht="16.5" customHeight="1">
      <c r="A1952" s="78" t="s">
        <v>231</v>
      </c>
      <c r="B1952" s="10" t="s">
        <v>499</v>
      </c>
      <c r="C1952" s="425">
        <f>CEILING(107*$Z$1,0.1)</f>
        <v>133.8</v>
      </c>
      <c r="D1952" s="5"/>
      <c r="E1952" s="454"/>
      <c r="F1952" s="455"/>
      <c r="G1952" s="455"/>
      <c r="H1952" s="455"/>
      <c r="I1952" s="455"/>
      <c r="J1952" s="621"/>
      <c r="K1952" s="279"/>
      <c r="L1952" s="279"/>
      <c r="M1952" s="149"/>
      <c r="N1952" s="146"/>
    </row>
    <row r="1953" spans="1:25" s="479" customFormat="1" ht="16.5" customHeight="1">
      <c r="A1953" s="611" t="s">
        <v>412</v>
      </c>
      <c r="B1953" s="439" t="s">
        <v>500</v>
      </c>
      <c r="C1953" s="449">
        <f>CEILING(138*$Z$1,0.1)</f>
        <v>172.5</v>
      </c>
      <c r="D1953" s="606"/>
      <c r="E1953" s="454"/>
      <c r="F1953" s="455"/>
      <c r="G1953" s="455"/>
      <c r="H1953" s="455"/>
      <c r="I1953" s="455"/>
      <c r="J1953" s="455"/>
      <c r="K1953" s="279"/>
      <c r="L1953" s="279"/>
      <c r="M1953" s="149"/>
      <c r="N1953" s="146"/>
      <c r="O1953" s="480"/>
      <c r="P1953" s="480"/>
      <c r="Q1953" s="480"/>
      <c r="R1953" s="480"/>
      <c r="S1953" s="480"/>
      <c r="T1953" s="480"/>
      <c r="U1953" s="480"/>
      <c r="V1953" s="480"/>
      <c r="W1953" s="480"/>
      <c r="X1953" s="480"/>
      <c r="Y1953" s="480"/>
    </row>
    <row r="1954" spans="1:25" s="479" customFormat="1" ht="16.5" customHeight="1">
      <c r="A1954" s="75" t="s">
        <v>1301</v>
      </c>
      <c r="B1954" s="44"/>
      <c r="C1954" s="1201"/>
      <c r="D1954" s="3"/>
      <c r="E1954" s="1202"/>
      <c r="F1954" s="1202"/>
      <c r="G1954" s="1202"/>
      <c r="H1954" s="1202"/>
      <c r="I1954" s="1202"/>
      <c r="J1954" s="1202"/>
      <c r="K1954" s="279"/>
      <c r="L1954" s="279"/>
      <c r="M1954" s="149"/>
      <c r="N1954" s="146"/>
      <c r="O1954" s="480"/>
      <c r="P1954" s="480"/>
      <c r="Q1954" s="480"/>
      <c r="R1954" s="480"/>
      <c r="S1954" s="480"/>
      <c r="T1954" s="480"/>
      <c r="U1954" s="480"/>
      <c r="V1954" s="480"/>
      <c r="W1954" s="480"/>
      <c r="X1954" s="480"/>
      <c r="Y1954" s="480"/>
    </row>
    <row r="1955" spans="1:25" s="479" customFormat="1" ht="16.5" customHeight="1">
      <c r="A1955" s="542"/>
      <c r="B1955" s="608"/>
      <c r="C1955" s="609"/>
      <c r="D1955" s="608"/>
      <c r="E1955" s="600"/>
      <c r="F1955" s="600"/>
      <c r="G1955" s="600"/>
      <c r="H1955" s="600"/>
      <c r="I1955" s="542"/>
      <c r="J1955" s="608"/>
      <c r="K1955" s="279"/>
      <c r="L1955" s="279"/>
      <c r="M1955" s="149"/>
      <c r="N1955" s="146"/>
      <c r="O1955" s="480"/>
      <c r="P1955" s="480"/>
      <c r="Q1955" s="480"/>
      <c r="R1955" s="480"/>
      <c r="S1955" s="480"/>
      <c r="T1955" s="480"/>
      <c r="U1955" s="480"/>
      <c r="V1955" s="480"/>
      <c r="W1955" s="480"/>
      <c r="X1955" s="480"/>
      <c r="Y1955" s="480"/>
    </row>
    <row r="1956" spans="1:14" ht="15">
      <c r="A1956" s="1459" t="s">
        <v>43</v>
      </c>
      <c r="B1956" s="1519"/>
      <c r="C1956" s="1478" t="s">
        <v>1292</v>
      </c>
      <c r="D1956" s="1479"/>
      <c r="E1956" s="1480"/>
      <c r="F1956" s="1471"/>
      <c r="G1956" s="1471"/>
      <c r="H1956" s="1471"/>
      <c r="I1956" s="429"/>
      <c r="J1956" s="430"/>
      <c r="K1956" s="279"/>
      <c r="L1956" s="279"/>
      <c r="M1956" s="149"/>
      <c r="N1956" s="146"/>
    </row>
    <row r="1957" spans="1:14" ht="15">
      <c r="A1957" s="1460"/>
      <c r="B1957" s="1469"/>
      <c r="C1957" s="1203" t="s">
        <v>101</v>
      </c>
      <c r="D1957" s="1203" t="s">
        <v>103</v>
      </c>
      <c r="E1957" s="351"/>
      <c r="F1957" s="349"/>
      <c r="G1957" s="349"/>
      <c r="H1957" s="349"/>
      <c r="I1957" s="349"/>
      <c r="J1957" s="349"/>
      <c r="K1957" s="359"/>
      <c r="L1957" s="359"/>
      <c r="M1957" s="149"/>
      <c r="N1957" s="146"/>
    </row>
    <row r="1958" spans="1:14" ht="15">
      <c r="A1958" s="78" t="s">
        <v>175</v>
      </c>
      <c r="B1958" s="131" t="s">
        <v>51</v>
      </c>
      <c r="C1958" s="597">
        <f>CEILING(63*$Z$1,0.1)</f>
        <v>78.80000000000001</v>
      </c>
      <c r="D1958" s="9"/>
      <c r="E1958" s="412"/>
      <c r="F1958" s="413"/>
      <c r="G1958" s="413"/>
      <c r="H1958" s="413"/>
      <c r="I1958" s="621"/>
      <c r="J1958" s="621"/>
      <c r="K1958" s="1289"/>
      <c r="L1958" s="1289"/>
      <c r="M1958" s="149"/>
      <c r="N1958" s="146"/>
    </row>
    <row r="1959" spans="1:16" ht="16.5" customHeight="1">
      <c r="A1959" s="223" t="s">
        <v>174</v>
      </c>
      <c r="B1959" s="10" t="s">
        <v>52</v>
      </c>
      <c r="C1959" s="597">
        <f>CEILING(93*$Z$1,0.1)</f>
        <v>116.30000000000001</v>
      </c>
      <c r="D1959" s="5"/>
      <c r="E1959" s="412"/>
      <c r="F1959" s="413"/>
      <c r="G1959" s="413"/>
      <c r="H1959" s="413"/>
      <c r="I1959" s="621"/>
      <c r="J1959" s="621"/>
      <c r="K1959" s="349"/>
      <c r="L1959" s="349"/>
      <c r="M1959" s="149"/>
      <c r="N1959" s="146"/>
      <c r="O1959" s="277"/>
      <c r="P1959" s="277"/>
    </row>
    <row r="1960" spans="1:16" ht="17.25" customHeight="1">
      <c r="A1960" s="78" t="s">
        <v>348</v>
      </c>
      <c r="B1960" s="127" t="s">
        <v>79</v>
      </c>
      <c r="C1960" s="597">
        <f>CEILING((C1958*0.85),0.1)</f>
        <v>67</v>
      </c>
      <c r="D1960" s="5"/>
      <c r="E1960" s="412"/>
      <c r="F1960" s="413"/>
      <c r="G1960" s="413"/>
      <c r="H1960" s="413"/>
      <c r="I1960" s="621"/>
      <c r="J1960" s="621"/>
      <c r="K1960" s="619"/>
      <c r="L1960" s="619"/>
      <c r="M1960" s="149"/>
      <c r="N1960" s="146"/>
      <c r="O1960" s="1328"/>
      <c r="P1960" s="1328"/>
    </row>
    <row r="1961" spans="1:16" ht="15" customHeight="1">
      <c r="A1961" s="78" t="s">
        <v>230</v>
      </c>
      <c r="B1961" s="12" t="s">
        <v>78</v>
      </c>
      <c r="C1961" s="597">
        <f>CEILING((C1958*0.5),0.1)</f>
        <v>39.400000000000006</v>
      </c>
      <c r="D1961" s="5"/>
      <c r="E1961" s="412"/>
      <c r="F1961" s="413"/>
      <c r="G1961" s="413"/>
      <c r="H1961" s="413"/>
      <c r="I1961" s="621"/>
      <c r="J1961" s="621"/>
      <c r="K1961" s="619"/>
      <c r="L1961" s="619"/>
      <c r="M1961" s="149"/>
      <c r="N1961" s="146"/>
      <c r="O1961" s="1328"/>
      <c r="P1961" s="1328"/>
    </row>
    <row r="1962" spans="1:16" ht="17.25" customHeight="1">
      <c r="A1962" s="78"/>
      <c r="B1962" s="10" t="s">
        <v>497</v>
      </c>
      <c r="C1962" s="597">
        <f>CEILING(90*$Z$1,0.1)</f>
        <v>112.5</v>
      </c>
      <c r="D1962" s="5"/>
      <c r="E1962" s="412"/>
      <c r="F1962" s="413"/>
      <c r="G1962" s="413"/>
      <c r="H1962" s="413"/>
      <c r="I1962" s="621"/>
      <c r="J1962" s="621"/>
      <c r="K1962" s="619"/>
      <c r="L1962" s="619"/>
      <c r="M1962" s="149"/>
      <c r="N1962" s="146"/>
      <c r="O1962" s="1328"/>
      <c r="P1962" s="1328"/>
    </row>
    <row r="1963" spans="1:14" ht="18" customHeight="1">
      <c r="A1963" s="610" t="s">
        <v>409</v>
      </c>
      <c r="B1963" s="439" t="s">
        <v>498</v>
      </c>
      <c r="C1963" s="598">
        <f>CEILING(120*$Z$1,0.1)</f>
        <v>150</v>
      </c>
      <c r="D1963" s="606"/>
      <c r="E1963" s="412"/>
      <c r="F1963" s="413"/>
      <c r="G1963" s="413"/>
      <c r="H1963" s="413"/>
      <c r="I1963" s="621"/>
      <c r="J1963" s="621"/>
      <c r="K1963" s="619"/>
      <c r="L1963" s="619"/>
      <c r="M1963" s="149"/>
      <c r="N1963" s="146"/>
    </row>
    <row r="1964" spans="1:25" s="479" customFormat="1" ht="18" customHeight="1">
      <c r="A1964" s="75" t="s">
        <v>1302</v>
      </c>
      <c r="B1964" s="44"/>
      <c r="C1964" s="1201"/>
      <c r="D1964" s="3"/>
      <c r="E1964" s="1202"/>
      <c r="F1964" s="1202"/>
      <c r="G1964" s="1202"/>
      <c r="H1964" s="1202"/>
      <c r="I1964" s="1202"/>
      <c r="J1964" s="1202"/>
      <c r="K1964" s="1201"/>
      <c r="L1964" s="1201"/>
      <c r="M1964" s="149"/>
      <c r="N1964" s="146"/>
      <c r="O1964" s="480"/>
      <c r="P1964" s="480"/>
      <c r="Q1964" s="480"/>
      <c r="R1964" s="480"/>
      <c r="S1964" s="480"/>
      <c r="T1964" s="480"/>
      <c r="U1964" s="480"/>
      <c r="V1964" s="480"/>
      <c r="W1964" s="480"/>
      <c r="X1964" s="480"/>
      <c r="Y1964" s="480"/>
    </row>
    <row r="1965" spans="1:14" ht="17.25" customHeight="1">
      <c r="A1965" s="542"/>
      <c r="B1965" s="608"/>
      <c r="C1965" s="609"/>
      <c r="D1965" s="608"/>
      <c r="E1965" s="600"/>
      <c r="F1965" s="600"/>
      <c r="G1965" s="600"/>
      <c r="H1965" s="600"/>
      <c r="I1965" s="633"/>
      <c r="J1965" s="608"/>
      <c r="K1965" s="634"/>
      <c r="L1965" s="628"/>
      <c r="M1965" s="149"/>
      <c r="N1965" s="146"/>
    </row>
    <row r="1966" spans="1:14" ht="14.25" customHeight="1">
      <c r="A1966" s="1459" t="s">
        <v>43</v>
      </c>
      <c r="B1966" s="1519"/>
      <c r="C1966" s="1478" t="s">
        <v>1292</v>
      </c>
      <c r="D1966" s="1479"/>
      <c r="E1966" s="465"/>
      <c r="F1966" s="75"/>
      <c r="G1966" s="75"/>
      <c r="H1966" s="75"/>
      <c r="I1966" s="608"/>
      <c r="J1966" s="335"/>
      <c r="K1966" s="634"/>
      <c r="L1966" s="628"/>
      <c r="M1966" s="632"/>
      <c r="N1966" s="146"/>
    </row>
    <row r="1967" spans="1:14" ht="21.75" customHeight="1">
      <c r="A1967" s="1460"/>
      <c r="B1967" s="1469"/>
      <c r="C1967" s="1203" t="s">
        <v>101</v>
      </c>
      <c r="D1967" s="1203" t="s">
        <v>103</v>
      </c>
      <c r="E1967" s="465"/>
      <c r="F1967" s="75"/>
      <c r="G1967" s="75"/>
      <c r="H1967" s="75"/>
      <c r="I1967" s="608"/>
      <c r="J1967" s="335"/>
      <c r="K1967" s="634"/>
      <c r="L1967" s="628"/>
      <c r="M1967" s="20"/>
      <c r="N1967" s="20"/>
    </row>
    <row r="1968" spans="1:13" ht="16.5" customHeight="1">
      <c r="A1968" s="62" t="s">
        <v>232</v>
      </c>
      <c r="B1968" s="131" t="s">
        <v>51</v>
      </c>
      <c r="C1968" s="506">
        <v>0</v>
      </c>
      <c r="D1968" s="8"/>
      <c r="E1968" s="465"/>
      <c r="F1968" s="75"/>
      <c r="G1968" s="75"/>
      <c r="H1968" s="75"/>
      <c r="I1968" s="608"/>
      <c r="J1968" s="335"/>
      <c r="K1968" s="635"/>
      <c r="L1968" s="634"/>
      <c r="M1968" s="169"/>
    </row>
    <row r="1969" spans="1:13" ht="16.5" customHeight="1">
      <c r="A1969" s="1204" t="s">
        <v>1303</v>
      </c>
      <c r="B1969" s="10" t="s">
        <v>52</v>
      </c>
      <c r="C1969" s="506">
        <v>0</v>
      </c>
      <c r="D1969" s="4"/>
      <c r="E1969" s="465"/>
      <c r="F1969" s="75"/>
      <c r="G1969" s="75"/>
      <c r="H1969" s="75"/>
      <c r="I1969" s="608"/>
      <c r="J1969" s="335"/>
      <c r="K1969" s="1288"/>
      <c r="L1969" s="1288"/>
      <c r="M1969" s="169"/>
    </row>
    <row r="1970" spans="1:13" ht="16.5" customHeight="1">
      <c r="A1970" s="176"/>
      <c r="B1970" s="127" t="s">
        <v>79</v>
      </c>
      <c r="C1970" s="506">
        <f>CEILING((C1968*0.85),0.1)</f>
        <v>0</v>
      </c>
      <c r="D1970" s="4"/>
      <c r="E1970" s="465"/>
      <c r="F1970" s="75"/>
      <c r="G1970" s="75"/>
      <c r="H1970" s="75"/>
      <c r="I1970" s="608"/>
      <c r="J1970" s="335"/>
      <c r="K1970" s="349"/>
      <c r="L1970" s="349"/>
      <c r="M1970" s="169"/>
    </row>
    <row r="1971" spans="1:13" ht="17.25" customHeight="1" thickBot="1">
      <c r="A1971" s="80" t="s">
        <v>409</v>
      </c>
      <c r="B1971" s="13" t="s">
        <v>78</v>
      </c>
      <c r="C1971" s="505">
        <f>CEILING((C1968*0.5),0.1)</f>
        <v>0</v>
      </c>
      <c r="D1971" s="6"/>
      <c r="E1971" s="465"/>
      <c r="F1971" s="75"/>
      <c r="G1971" s="75"/>
      <c r="H1971" s="75"/>
      <c r="I1971" s="608"/>
      <c r="J1971" s="335"/>
      <c r="K1971" s="619"/>
      <c r="L1971" s="619"/>
      <c r="M1971" s="169"/>
    </row>
    <row r="1972" spans="1:25" s="170" customFormat="1" ht="20.25" customHeight="1" thickBot="1" thickTop="1">
      <c r="A1972" s="533"/>
      <c r="B1972" s="464"/>
      <c r="C1972" s="463"/>
      <c r="D1972" s="464"/>
      <c r="E1972" s="369"/>
      <c r="F1972" s="369"/>
      <c r="G1972" s="369"/>
      <c r="H1972" s="369"/>
      <c r="I1972" s="621"/>
      <c r="J1972" s="335"/>
      <c r="K1972" s="619"/>
      <c r="L1972" s="619"/>
      <c r="M1972" s="189"/>
      <c r="N1972" s="169"/>
      <c r="O1972" s="169"/>
      <c r="P1972" s="169"/>
      <c r="Q1972" s="169"/>
      <c r="R1972" s="169"/>
      <c r="S1972" s="169"/>
      <c r="T1972" s="169"/>
      <c r="U1972" s="169"/>
      <c r="V1972" s="169"/>
      <c r="W1972" s="169"/>
      <c r="X1972" s="169"/>
      <c r="Y1972" s="169"/>
    </row>
    <row r="1973" spans="1:50" s="1037" customFormat="1" ht="28.5" customHeight="1" thickTop="1">
      <c r="A1973" s="1046" t="s">
        <v>43</v>
      </c>
      <c r="B1973" s="1078" t="s">
        <v>1105</v>
      </c>
      <c r="C1973" s="787" t="s">
        <v>884</v>
      </c>
      <c r="D1973" s="788"/>
      <c r="E1973" s="765" t="s">
        <v>1150</v>
      </c>
      <c r="F1973" s="766"/>
      <c r="G1973" s="765" t="s">
        <v>1151</v>
      </c>
      <c r="H1973" s="766"/>
      <c r="I1973" s="1280" t="s">
        <v>1143</v>
      </c>
      <c r="J1973" s="1281"/>
      <c r="K1973" s="1280" t="s">
        <v>882</v>
      </c>
      <c r="L1973" s="1281"/>
      <c r="M1973" s="1016"/>
      <c r="N1973" s="1016"/>
      <c r="O1973" s="335"/>
      <c r="P1973" s="335"/>
      <c r="Q1973" s="335"/>
      <c r="R1973" s="335"/>
      <c r="S1973" s="335"/>
      <c r="T1973" s="480"/>
      <c r="U1973" s="480"/>
      <c r="V1973" s="480"/>
      <c r="W1973" s="480"/>
      <c r="X1973" s="480"/>
      <c r="Y1973" s="480"/>
      <c r="Z1973" s="479"/>
      <c r="AA1973" s="852"/>
      <c r="AB1973" s="852"/>
      <c r="AC1973" s="852"/>
      <c r="AD1973" s="852"/>
      <c r="AE1973" s="852"/>
      <c r="AF1973" s="852"/>
      <c r="AG1973" s="852"/>
      <c r="AH1973" s="852"/>
      <c r="AI1973" s="852"/>
      <c r="AJ1973" s="852"/>
      <c r="AK1973" s="852"/>
      <c r="AL1973" s="852"/>
      <c r="AM1973" s="852"/>
      <c r="AN1973" s="852"/>
      <c r="AO1973" s="852"/>
      <c r="AP1973" s="852"/>
      <c r="AQ1973" s="852"/>
      <c r="AR1973" s="852"/>
      <c r="AS1973" s="1036"/>
      <c r="AT1973" s="1036"/>
      <c r="AU1973" s="1036"/>
      <c r="AV1973" s="1036"/>
      <c r="AW1973" s="1036"/>
      <c r="AX1973" s="1036"/>
    </row>
    <row r="1974" spans="1:25" s="170" customFormat="1" ht="17.25" customHeight="1">
      <c r="A1974" s="62" t="s">
        <v>633</v>
      </c>
      <c r="B1974" s="133" t="s">
        <v>51</v>
      </c>
      <c r="C1974" s="985">
        <f>CEILING(95*$Z$1,0.1)</f>
        <v>118.80000000000001</v>
      </c>
      <c r="D1974" s="991"/>
      <c r="E1974" s="985">
        <f>CEILING(127*$Z$1,0.1)</f>
        <v>158.8</v>
      </c>
      <c r="F1974" s="991"/>
      <c r="G1974" s="985">
        <f>CEILING(110*$Z$1,0.1)</f>
        <v>137.5</v>
      </c>
      <c r="H1974" s="991"/>
      <c r="I1974" s="985">
        <f>CEILING(110*$Z$1,0.1)</f>
        <v>137.5</v>
      </c>
      <c r="J1974" s="991"/>
      <c r="K1974" s="985">
        <f>CEILING(110*$Z$1,0.1)</f>
        <v>137.5</v>
      </c>
      <c r="L1974" s="991"/>
      <c r="M1974" s="169"/>
      <c r="N1974" s="169"/>
      <c r="O1974" s="169"/>
      <c r="P1974" s="169"/>
      <c r="Q1974" s="169"/>
      <c r="R1974" s="169"/>
      <c r="S1974" s="169"/>
      <c r="T1974" s="169"/>
      <c r="U1974" s="169"/>
      <c r="V1974" s="169"/>
      <c r="W1974" s="169"/>
      <c r="X1974" s="169"/>
      <c r="Y1974" s="169"/>
    </row>
    <row r="1975" spans="1:25" s="170" customFormat="1" ht="15.75" customHeight="1">
      <c r="A1975" s="35" t="s">
        <v>59</v>
      </c>
      <c r="B1975" s="11" t="s">
        <v>52</v>
      </c>
      <c r="C1975" s="986">
        <f>CEILING((C1974+35*$Z$1),0.1)</f>
        <v>162.60000000000002</v>
      </c>
      <c r="D1975" s="992"/>
      <c r="E1975" s="986">
        <f>CEILING((E1974+35*$Z$1),0.1)</f>
        <v>202.60000000000002</v>
      </c>
      <c r="F1975" s="992"/>
      <c r="G1975" s="986">
        <f>CEILING((G1974+35*$Z$1),0.1)</f>
        <v>181.3</v>
      </c>
      <c r="H1975" s="992"/>
      <c r="I1975" s="986">
        <f>CEILING((I1974+35*$Z$1),0.1)</f>
        <v>181.3</v>
      </c>
      <c r="J1975" s="992"/>
      <c r="K1975" s="986">
        <f>CEILING((K1974+35*$Z$1),0.1)</f>
        <v>181.3</v>
      </c>
      <c r="L1975" s="992"/>
      <c r="M1975" s="169"/>
      <c r="N1975" s="169"/>
      <c r="O1975" s="169"/>
      <c r="P1975" s="169"/>
      <c r="Q1975" s="169"/>
      <c r="R1975" s="169"/>
      <c r="S1975" s="169"/>
      <c r="T1975" s="169"/>
      <c r="U1975" s="169"/>
      <c r="V1975" s="169"/>
      <c r="W1975" s="169"/>
      <c r="X1975" s="169"/>
      <c r="Y1975" s="169"/>
    </row>
    <row r="1976" spans="1:25" s="614" customFormat="1" ht="16.5" customHeight="1">
      <c r="A1976" s="168"/>
      <c r="B1976" s="11" t="s">
        <v>79</v>
      </c>
      <c r="C1976" s="986">
        <f>CEILING((C1974*0.85),0.1)</f>
        <v>101</v>
      </c>
      <c r="D1976" s="992"/>
      <c r="E1976" s="986">
        <f>CEILING((E1974*0.85),0.1)</f>
        <v>135</v>
      </c>
      <c r="F1976" s="992"/>
      <c r="G1976" s="986">
        <f>CEILING((G1974*0.85),0.1)</f>
        <v>116.9</v>
      </c>
      <c r="H1976" s="992"/>
      <c r="I1976" s="986">
        <f>CEILING((I1974*0.85),0.1)</f>
        <v>116.9</v>
      </c>
      <c r="J1976" s="992"/>
      <c r="K1976" s="986">
        <f>CEILING((K1974*0.85),0.1)</f>
        <v>116.9</v>
      </c>
      <c r="L1976" s="992"/>
      <c r="M1976" s="554"/>
      <c r="N1976" s="554"/>
      <c r="O1976" s="554"/>
      <c r="P1976" s="554"/>
      <c r="Q1976" s="554"/>
      <c r="R1976" s="554"/>
      <c r="S1976" s="554"/>
      <c r="T1976" s="554"/>
      <c r="U1976" s="554"/>
      <c r="V1976" s="554"/>
      <c r="W1976" s="554"/>
      <c r="X1976" s="554"/>
      <c r="Y1976" s="554"/>
    </row>
    <row r="1977" spans="1:25" s="170" customFormat="1" ht="15.75" customHeight="1" thickBot="1">
      <c r="A1977" s="59" t="s">
        <v>631</v>
      </c>
      <c r="B1977" s="504" t="s">
        <v>697</v>
      </c>
      <c r="C1977" s="994">
        <f>CEILING((C1974*0.5),0.1)</f>
        <v>59.400000000000006</v>
      </c>
      <c r="D1977" s="995"/>
      <c r="E1977" s="994">
        <f>CEILING((E1974*0.5),0.1)</f>
        <v>79.4</v>
      </c>
      <c r="F1977" s="995"/>
      <c r="G1977" s="994">
        <f>CEILING((G1974*0.5),0.1)</f>
        <v>68.8</v>
      </c>
      <c r="H1977" s="995"/>
      <c r="I1977" s="994">
        <f>CEILING((I1974*0.5),0.1)</f>
        <v>68.8</v>
      </c>
      <c r="J1977" s="995"/>
      <c r="K1977" s="994">
        <f>CEILING((K1974*0.5),0.1)</f>
        <v>68.8</v>
      </c>
      <c r="L1977" s="995"/>
      <c r="M1977" s="169"/>
      <c r="N1977" s="169"/>
      <c r="O1977" s="169"/>
      <c r="P1977" s="169"/>
      <c r="Q1977" s="169"/>
      <c r="R1977" s="169"/>
      <c r="S1977" s="169"/>
      <c r="T1977" s="169"/>
      <c r="U1977" s="169"/>
      <c r="V1977" s="169"/>
      <c r="W1977" s="169"/>
      <c r="X1977" s="169"/>
      <c r="Y1977" s="169"/>
    </row>
    <row r="1978" spans="1:13" s="937" customFormat="1" ht="17.25" customHeight="1" thickTop="1">
      <c r="A1978" s="1014" t="s">
        <v>1193</v>
      </c>
      <c r="B1978" s="953"/>
      <c r="C1978" s="1014"/>
      <c r="D1978" s="1014"/>
      <c r="E1978" s="1014"/>
      <c r="F1978" s="1014"/>
      <c r="G1978" s="1014"/>
      <c r="H1978" s="1014"/>
      <c r="I1978" s="1014"/>
      <c r="J1978" s="1016"/>
      <c r="K1978" s="1077"/>
      <c r="L1978" s="1076"/>
      <c r="M1978" s="871"/>
    </row>
    <row r="1979" spans="1:37" s="479" customFormat="1" ht="18" customHeight="1">
      <c r="A1979" s="172" t="s">
        <v>1144</v>
      </c>
      <c r="B1979" s="1020"/>
      <c r="C1979" s="22"/>
      <c r="D1979" s="22"/>
      <c r="E1979" s="22"/>
      <c r="F1979" s="22"/>
      <c r="G1979" s="22"/>
      <c r="H1979" s="22"/>
      <c r="I1979" s="22"/>
      <c r="J1979" s="22"/>
      <c r="K1979" s="166"/>
      <c r="L1979" s="166"/>
      <c r="M1979" s="1016"/>
      <c r="N1979" s="1016"/>
      <c r="O1979" s="331"/>
      <c r="P1979" s="331"/>
      <c r="Q1979" s="331"/>
      <c r="R1979" s="331"/>
      <c r="S1979" s="331"/>
      <c r="T1979" s="480"/>
      <c r="U1979" s="480"/>
      <c r="V1979" s="480"/>
      <c r="W1979" s="480"/>
      <c r="X1979" s="480"/>
      <c r="Y1979" s="480"/>
      <c r="AA1979" s="331"/>
      <c r="AB1979" s="331"/>
      <c r="AC1979" s="331"/>
      <c r="AD1979" s="331"/>
      <c r="AE1979" s="331"/>
      <c r="AF1979" s="331"/>
      <c r="AG1979" s="331"/>
      <c r="AH1979" s="331"/>
      <c r="AI1979" s="331"/>
      <c r="AJ1979" s="331"/>
      <c r="AK1979" s="331"/>
    </row>
    <row r="1980" spans="1:37" s="479" customFormat="1" ht="18" customHeight="1">
      <c r="A1980" s="172" t="s">
        <v>1145</v>
      </c>
      <c r="B1980" s="1020"/>
      <c r="C1980" s="22"/>
      <c r="D1980" s="22"/>
      <c r="E1980" s="22"/>
      <c r="F1980" s="22"/>
      <c r="G1980" s="22"/>
      <c r="H1980" s="22"/>
      <c r="I1980" s="22"/>
      <c r="J1980" s="22"/>
      <c r="K1980" s="166"/>
      <c r="L1980" s="166"/>
      <c r="M1980" s="1016"/>
      <c r="N1980" s="1016"/>
      <c r="O1980" s="331"/>
      <c r="P1980" s="331"/>
      <c r="Q1980" s="331"/>
      <c r="R1980" s="331"/>
      <c r="S1980" s="331"/>
      <c r="T1980" s="480"/>
      <c r="U1980" s="480"/>
      <c r="V1980" s="480"/>
      <c r="W1980" s="480"/>
      <c r="X1980" s="480"/>
      <c r="Y1980" s="480"/>
      <c r="AA1980" s="331"/>
      <c r="AB1980" s="331"/>
      <c r="AC1980" s="331"/>
      <c r="AD1980" s="331"/>
      <c r="AE1980" s="331"/>
      <c r="AF1980" s="331"/>
      <c r="AG1980" s="331"/>
      <c r="AH1980" s="331"/>
      <c r="AI1980" s="331"/>
      <c r="AJ1980" s="331"/>
      <c r="AK1980" s="331"/>
    </row>
    <row r="1981" spans="1:25" s="170" customFormat="1" ht="21.75" customHeight="1">
      <c r="A1981" s="172"/>
      <c r="B1981" s="50"/>
      <c r="C1981" s="3"/>
      <c r="D1981" s="3"/>
      <c r="E1981" s="3"/>
      <c r="F1981" s="3"/>
      <c r="G1981" s="3"/>
      <c r="H1981" s="3"/>
      <c r="I1981" s="3"/>
      <c r="J1981" s="192"/>
      <c r="K1981" s="314"/>
      <c r="L1981" s="321"/>
      <c r="M1981" s="481"/>
      <c r="N1981" s="480"/>
      <c r="O1981" s="480"/>
      <c r="P1981" s="480"/>
      <c r="Q1981" s="480"/>
      <c r="R1981" s="480"/>
      <c r="S1981" s="480"/>
      <c r="T1981" s="480"/>
      <c r="U1981" s="480"/>
      <c r="V1981" s="480"/>
      <c r="W1981" s="480"/>
      <c r="X1981" s="480"/>
      <c r="Y1981" s="480"/>
    </row>
    <row r="1982" spans="1:50" s="1037" customFormat="1" ht="28.5" customHeight="1">
      <c r="A1982" s="1040" t="s">
        <v>43</v>
      </c>
      <c r="B1982" s="966" t="s">
        <v>1105</v>
      </c>
      <c r="C1982" s="795" t="s">
        <v>884</v>
      </c>
      <c r="D1982" s="796"/>
      <c r="E1982" s="765" t="s">
        <v>1160</v>
      </c>
      <c r="F1982" s="766"/>
      <c r="G1982" s="765" t="s">
        <v>1140</v>
      </c>
      <c r="H1982" s="766"/>
      <c r="I1982" s="1280" t="s">
        <v>881</v>
      </c>
      <c r="J1982" s="1281"/>
      <c r="K1982" s="1280" t="s">
        <v>882</v>
      </c>
      <c r="L1982" s="1281"/>
      <c r="M1982" s="1016"/>
      <c r="N1982" s="1016"/>
      <c r="O1982" s="335"/>
      <c r="P1982" s="335"/>
      <c r="Q1982" s="335"/>
      <c r="R1982" s="335"/>
      <c r="S1982" s="335"/>
      <c r="T1982" s="480"/>
      <c r="U1982" s="480"/>
      <c r="V1982" s="480"/>
      <c r="W1982" s="480"/>
      <c r="X1982" s="480"/>
      <c r="Y1982" s="480"/>
      <c r="Z1982" s="479"/>
      <c r="AA1982" s="852"/>
      <c r="AB1982" s="852"/>
      <c r="AC1982" s="852"/>
      <c r="AD1982" s="852"/>
      <c r="AE1982" s="852"/>
      <c r="AF1982" s="852"/>
      <c r="AG1982" s="852"/>
      <c r="AH1982" s="852"/>
      <c r="AI1982" s="852"/>
      <c r="AJ1982" s="852"/>
      <c r="AK1982" s="852"/>
      <c r="AL1982" s="852"/>
      <c r="AM1982" s="852"/>
      <c r="AN1982" s="852"/>
      <c r="AO1982" s="852"/>
      <c r="AP1982" s="852"/>
      <c r="AQ1982" s="852"/>
      <c r="AR1982" s="852"/>
      <c r="AS1982" s="1036"/>
      <c r="AT1982" s="1036"/>
      <c r="AU1982" s="1036"/>
      <c r="AV1982" s="1036"/>
      <c r="AW1982" s="1036"/>
      <c r="AX1982" s="1036"/>
    </row>
    <row r="1983" spans="1:25" s="170" customFormat="1" ht="16.5" customHeight="1">
      <c r="A1983" s="34" t="s">
        <v>770</v>
      </c>
      <c r="B1983" s="77" t="s">
        <v>51</v>
      </c>
      <c r="C1983" s="1266">
        <f>CEILING(33*$Z$1,0.1)</f>
        <v>41.300000000000004</v>
      </c>
      <c r="D1983" s="1267"/>
      <c r="E1983" s="1266">
        <f>CEILING(36*$Z$1,0.1)</f>
        <v>45</v>
      </c>
      <c r="F1983" s="1267"/>
      <c r="G1983" s="1266">
        <f>CEILING(36*$Z$1,0.1)</f>
        <v>45</v>
      </c>
      <c r="H1983" s="1267"/>
      <c r="I1983" s="1266">
        <f>CEILING(36*$Z$1,0.1)</f>
        <v>45</v>
      </c>
      <c r="J1983" s="1267"/>
      <c r="K1983" s="1266">
        <f>CEILING(33*$Z$1,0.1)</f>
        <v>41.300000000000004</v>
      </c>
      <c r="L1983" s="1267"/>
      <c r="M1983" s="480"/>
      <c r="N1983" s="480"/>
      <c r="O1983" s="480"/>
      <c r="P1983" s="480"/>
      <c r="Q1983" s="480"/>
      <c r="R1983" s="480"/>
      <c r="S1983" s="480"/>
      <c r="T1983" s="480"/>
      <c r="U1983" s="480"/>
      <c r="V1983" s="480"/>
      <c r="W1983" s="480"/>
      <c r="X1983" s="480"/>
      <c r="Y1983" s="480"/>
    </row>
    <row r="1984" spans="1:25" s="170" customFormat="1" ht="18" customHeight="1">
      <c r="A1984" s="35" t="s">
        <v>177</v>
      </c>
      <c r="B1984" s="29" t="s">
        <v>52</v>
      </c>
      <c r="C1984" s="1268">
        <f>CEILING((C1983+6*$Z$1),0.1)</f>
        <v>48.800000000000004</v>
      </c>
      <c r="D1984" s="1270"/>
      <c r="E1984" s="1268">
        <f>CEILING((E1983+6*$Z$1),0.1)</f>
        <v>52.5</v>
      </c>
      <c r="F1984" s="1270"/>
      <c r="G1984" s="1268">
        <f>CEILING((G1983+6*$Z$1),0.1)</f>
        <v>52.5</v>
      </c>
      <c r="H1984" s="1270"/>
      <c r="I1984" s="1268">
        <f>CEILING((I1983+6*$Z$1),0.1)</f>
        <v>52.5</v>
      </c>
      <c r="J1984" s="1270"/>
      <c r="K1984" s="1268">
        <f>CEILING((K1983+6*$Z$1),0.1)</f>
        <v>48.800000000000004</v>
      </c>
      <c r="L1984" s="1270"/>
      <c r="M1984" s="480"/>
      <c r="N1984" s="480"/>
      <c r="O1984" s="480"/>
      <c r="P1984" s="480"/>
      <c r="Q1984" s="480"/>
      <c r="R1984" s="480"/>
      <c r="S1984" s="480"/>
      <c r="T1984" s="480"/>
      <c r="U1984" s="480"/>
      <c r="V1984" s="480"/>
      <c r="W1984" s="480"/>
      <c r="X1984" s="480"/>
      <c r="Y1984" s="480"/>
    </row>
    <row r="1985" spans="1:25" s="170" customFormat="1" ht="16.5" customHeight="1" thickBot="1">
      <c r="A1985" s="72" t="s">
        <v>769</v>
      </c>
      <c r="B1985" s="13" t="s">
        <v>1199</v>
      </c>
      <c r="C1985" s="1275">
        <f>CEILING((C1983*0),0.1)</f>
        <v>0</v>
      </c>
      <c r="D1985" s="1277"/>
      <c r="E1985" s="1275">
        <f>CEILING((E1983*0),0.1)</f>
        <v>0</v>
      </c>
      <c r="F1985" s="1277"/>
      <c r="G1985" s="1275">
        <f>CEILING((G1983*0),0.1)</f>
        <v>0</v>
      </c>
      <c r="H1985" s="1277"/>
      <c r="I1985" s="1275">
        <f>CEILING((I1983*0),0.1)</f>
        <v>0</v>
      </c>
      <c r="J1985" s="1277"/>
      <c r="K1985" s="1275">
        <f>CEILING((K1983*0),0.1)</f>
        <v>0</v>
      </c>
      <c r="L1985" s="1277"/>
      <c r="M1985" s="480"/>
      <c r="N1985" s="480"/>
      <c r="O1985" s="480"/>
      <c r="P1985" s="480"/>
      <c r="Q1985" s="480"/>
      <c r="R1985" s="480"/>
      <c r="S1985" s="480"/>
      <c r="T1985" s="480"/>
      <c r="U1985" s="480"/>
      <c r="V1985" s="480"/>
      <c r="W1985" s="480"/>
      <c r="X1985" s="480"/>
      <c r="Y1985" s="480"/>
    </row>
    <row r="1986" spans="1:25" s="1101" customFormat="1" ht="16.5" customHeight="1" thickTop="1">
      <c r="A1986" s="150" t="s">
        <v>1200</v>
      </c>
      <c r="B1986" s="93"/>
      <c r="C1986" s="107"/>
      <c r="D1986" s="107"/>
      <c r="E1986" s="107"/>
      <c r="F1986" s="107"/>
      <c r="G1986" s="107"/>
      <c r="H1986" s="107"/>
      <c r="I1986" s="107"/>
      <c r="J1986" s="1100"/>
      <c r="K1986" s="279"/>
      <c r="L1986" s="279"/>
      <c r="M1986" s="956"/>
      <c r="N1986" s="956"/>
      <c r="O1986" s="956"/>
      <c r="P1986" s="956"/>
      <c r="Q1986" s="956"/>
      <c r="R1986" s="956"/>
      <c r="S1986" s="956"/>
      <c r="T1986" s="956"/>
      <c r="U1986" s="956"/>
      <c r="V1986" s="956"/>
      <c r="W1986" s="956"/>
      <c r="X1986" s="956"/>
      <c r="Y1986" s="956"/>
    </row>
    <row r="1987" spans="1:25" s="170" customFormat="1" ht="15.75" customHeight="1">
      <c r="A1987" s="135"/>
      <c r="B1987" s="135"/>
      <c r="C1987" s="135"/>
      <c r="D1987" s="135"/>
      <c r="E1987" s="135"/>
      <c r="F1987" s="135"/>
      <c r="G1987" s="135"/>
      <c r="H1987" s="135"/>
      <c r="I1987" s="135"/>
      <c r="J1987" s="111"/>
      <c r="K1987" s="279"/>
      <c r="L1987" s="279"/>
      <c r="M1987" s="169"/>
      <c r="N1987" s="169"/>
      <c r="O1987" s="169"/>
      <c r="P1987" s="169"/>
      <c r="Q1987" s="169"/>
      <c r="R1987" s="169"/>
      <c r="S1987" s="169"/>
      <c r="T1987" s="169"/>
      <c r="U1987" s="169"/>
      <c r="V1987" s="169"/>
      <c r="W1987" s="169"/>
      <c r="X1987" s="169"/>
      <c r="Y1987" s="169"/>
    </row>
    <row r="1988" spans="1:25" s="170" customFormat="1" ht="18.75" customHeight="1">
      <c r="A1988" s="235" t="s">
        <v>240</v>
      </c>
      <c r="B1988" s="111"/>
      <c r="C1988" s="111"/>
      <c r="D1988" s="111"/>
      <c r="E1988" s="111"/>
      <c r="F1988" s="111"/>
      <c r="G1988" s="111"/>
      <c r="H1988" s="111"/>
      <c r="I1988" s="111"/>
      <c r="J1988" s="111"/>
      <c r="K1988" s="279"/>
      <c r="L1988" s="279"/>
      <c r="M1988" s="169"/>
      <c r="N1988" s="169"/>
      <c r="O1988" s="169"/>
      <c r="P1988" s="169"/>
      <c r="Q1988" s="169"/>
      <c r="R1988" s="169"/>
      <c r="S1988" s="169"/>
      <c r="T1988" s="169"/>
      <c r="U1988" s="169"/>
      <c r="V1988" s="169"/>
      <c r="W1988" s="169"/>
      <c r="X1988" s="169"/>
      <c r="Y1988" s="169"/>
    </row>
    <row r="1989" spans="1:25" s="170" customFormat="1" ht="18.75" customHeight="1" thickBot="1">
      <c r="A1989" s="235"/>
      <c r="B1989" s="111"/>
      <c r="C1989" s="111"/>
      <c r="D1989" s="111"/>
      <c r="E1989" s="111"/>
      <c r="F1989" s="111"/>
      <c r="G1989" s="111"/>
      <c r="H1989" s="111"/>
      <c r="I1989" s="111"/>
      <c r="J1989" s="111"/>
      <c r="K1989" s="279"/>
      <c r="L1989" s="279"/>
      <c r="M1989" s="480"/>
      <c r="N1989" s="480"/>
      <c r="O1989" s="480"/>
      <c r="P1989" s="480"/>
      <c r="Q1989" s="480"/>
      <c r="R1989" s="480"/>
      <c r="S1989" s="480"/>
      <c r="T1989" s="480"/>
      <c r="U1989" s="480"/>
      <c r="V1989" s="480"/>
      <c r="W1989" s="480"/>
      <c r="X1989" s="480"/>
      <c r="Y1989" s="480"/>
    </row>
    <row r="1990" spans="1:49" s="479" customFormat="1" ht="23.25" customHeight="1" thickTop="1">
      <c r="A1990" s="786" t="s">
        <v>43</v>
      </c>
      <c r="B1990" s="1106" t="s">
        <v>961</v>
      </c>
      <c r="C1990" s="787" t="s">
        <v>884</v>
      </c>
      <c r="D1990" s="788"/>
      <c r="E1990" s="789" t="s">
        <v>1244</v>
      </c>
      <c r="F1990" s="790"/>
      <c r="G1990" s="759" t="s">
        <v>1253</v>
      </c>
      <c r="H1990" s="760"/>
      <c r="I1990" s="1286" t="s">
        <v>1246</v>
      </c>
      <c r="J1990" s="1287"/>
      <c r="K1990" s="1286" t="s">
        <v>882</v>
      </c>
      <c r="L1990" s="1287"/>
      <c r="M1990" s="1323"/>
      <c r="N1990" s="1328"/>
      <c r="O1990" s="481"/>
      <c r="P1990" s="481"/>
      <c r="Q1990" s="481"/>
      <c r="R1990" s="481"/>
      <c r="S1990" s="481"/>
      <c r="T1990" s="481"/>
      <c r="U1990" s="481"/>
      <c r="V1990" s="481"/>
      <c r="W1990" s="481"/>
      <c r="X1990" s="481"/>
      <c r="Y1990" s="481"/>
      <c r="Z1990" s="192"/>
      <c r="AA1990" s="192"/>
      <c r="AB1990" s="192"/>
      <c r="AC1990" s="192"/>
      <c r="AD1990" s="192"/>
      <c r="AE1990" s="192"/>
      <c r="AF1990" s="192"/>
      <c r="AG1990" s="192"/>
      <c r="AH1990" s="192"/>
      <c r="AI1990" s="192"/>
      <c r="AJ1990" s="192"/>
      <c r="AK1990" s="192"/>
      <c r="AL1990" s="192"/>
      <c r="AM1990" s="192"/>
      <c r="AN1990" s="192"/>
      <c r="AO1990" s="192"/>
      <c r="AP1990" s="192"/>
      <c r="AQ1990" s="192"/>
      <c r="AR1990" s="192"/>
      <c r="AS1990" s="192"/>
      <c r="AT1990" s="192"/>
      <c r="AU1990" s="192"/>
      <c r="AV1990" s="192"/>
      <c r="AW1990" s="192"/>
    </row>
    <row r="1991" spans="1:49" s="663" customFormat="1" ht="18" customHeight="1">
      <c r="A1991" s="216" t="s">
        <v>1247</v>
      </c>
      <c r="B1991" s="77" t="s">
        <v>204</v>
      </c>
      <c r="C1991" s="1266">
        <f>CEILING(67*$Z$1,0.1)</f>
        <v>83.80000000000001</v>
      </c>
      <c r="D1991" s="1267"/>
      <c r="E1991" s="1266">
        <f>CEILING(77*$Z$1,0.1)</f>
        <v>96.30000000000001</v>
      </c>
      <c r="F1991" s="1267"/>
      <c r="G1991" s="1266">
        <f>CEILING(72*$Z$1,0.1)</f>
        <v>90</v>
      </c>
      <c r="H1991" s="1267"/>
      <c r="I1991" s="1266">
        <f>CEILING(77*$Z$1,0.1)</f>
        <v>96.30000000000001</v>
      </c>
      <c r="J1991" s="1267"/>
      <c r="K1991" s="1266">
        <f>CEILING(67*$Z$1,0.1)</f>
        <v>83.80000000000001</v>
      </c>
      <c r="L1991" s="1267"/>
      <c r="M1991" s="20"/>
      <c r="N1991" s="20"/>
      <c r="O1991" s="481"/>
      <c r="P1991" s="481"/>
      <c r="Q1991" s="481"/>
      <c r="R1991" s="481"/>
      <c r="S1991" s="481"/>
      <c r="T1991" s="481"/>
      <c r="U1991" s="481"/>
      <c r="V1991" s="481"/>
      <c r="W1991" s="481"/>
      <c r="X1991" s="481"/>
      <c r="Y1991" s="481"/>
      <c r="Z1991" s="192"/>
      <c r="AA1991" s="192"/>
      <c r="AB1991" s="192"/>
      <c r="AC1991" s="192"/>
      <c r="AD1991" s="192"/>
      <c r="AE1991" s="192"/>
      <c r="AF1991" s="192"/>
      <c r="AG1991" s="192"/>
      <c r="AH1991" s="192"/>
      <c r="AI1991" s="192"/>
      <c r="AJ1991" s="192"/>
      <c r="AK1991" s="192"/>
      <c r="AL1991" s="192"/>
      <c r="AM1991" s="192"/>
      <c r="AN1991" s="192"/>
      <c r="AO1991" s="192"/>
      <c r="AP1991" s="192"/>
      <c r="AQ1991" s="192"/>
      <c r="AR1991" s="192"/>
      <c r="AS1991" s="192"/>
      <c r="AT1991" s="192"/>
      <c r="AU1991" s="192"/>
      <c r="AV1991" s="192"/>
      <c r="AW1991" s="192"/>
    </row>
    <row r="1992" spans="1:25" s="192" customFormat="1" ht="17.25" customHeight="1">
      <c r="A1992" s="227"/>
      <c r="B1992" s="29" t="s">
        <v>205</v>
      </c>
      <c r="C1992" s="1268">
        <f>CEILING((C1991+25*$Z$1),0.1)</f>
        <v>115.10000000000001</v>
      </c>
      <c r="D1992" s="1270"/>
      <c r="E1992" s="1268">
        <f>CEILING((E1991+35*$Z$1),0.1)</f>
        <v>140.1</v>
      </c>
      <c r="F1992" s="1270"/>
      <c r="G1992" s="1268">
        <f>CEILING((G1991+32*$Z$1),0.1)</f>
        <v>130</v>
      </c>
      <c r="H1992" s="1270"/>
      <c r="I1992" s="1268">
        <f>CEILING((I1991+35*$Z$1),0.1)</f>
        <v>140.1</v>
      </c>
      <c r="J1992" s="1270"/>
      <c r="K1992" s="1268">
        <f>CEILING((K1991+25*$Z$1),0.1)</f>
        <v>115.10000000000001</v>
      </c>
      <c r="L1992" s="1270"/>
      <c r="M1992" s="20"/>
      <c r="N1992" s="20"/>
      <c r="O1992" s="481"/>
      <c r="P1992" s="481"/>
      <c r="Q1992" s="481"/>
      <c r="R1992" s="481"/>
      <c r="S1992" s="481"/>
      <c r="T1992" s="481"/>
      <c r="U1992" s="481"/>
      <c r="V1992" s="481"/>
      <c r="W1992" s="481"/>
      <c r="X1992" s="481"/>
      <c r="Y1992" s="481"/>
    </row>
    <row r="1993" spans="1:25" s="192" customFormat="1" ht="18" customHeight="1">
      <c r="A1993" s="791" t="s">
        <v>1305</v>
      </c>
      <c r="B1993" s="29" t="s">
        <v>927</v>
      </c>
      <c r="C1993" s="1268">
        <f>CEILING((C1991*0.85),0.1)</f>
        <v>71.3</v>
      </c>
      <c r="D1993" s="1270"/>
      <c r="E1993" s="1268">
        <f>CEILING((E1991*0.85),0.1)</f>
        <v>81.9</v>
      </c>
      <c r="F1993" s="1270"/>
      <c r="G1993" s="1268">
        <f>CEILING((G1991*0.85),0.1)</f>
        <v>76.5</v>
      </c>
      <c r="H1993" s="1270"/>
      <c r="I1993" s="1268">
        <f>CEILING((I1991*0.85),0.1)</f>
        <v>81.9</v>
      </c>
      <c r="J1993" s="1270"/>
      <c r="K1993" s="1268">
        <f>CEILING((K1991*0.85),0.1)</f>
        <v>71.3</v>
      </c>
      <c r="L1993" s="1270"/>
      <c r="M1993" s="20"/>
      <c r="N1993" s="20"/>
      <c r="O1993" s="481"/>
      <c r="P1993" s="481"/>
      <c r="Q1993" s="481"/>
      <c r="R1993" s="481"/>
      <c r="S1993" s="481"/>
      <c r="T1993" s="481"/>
      <c r="U1993" s="481"/>
      <c r="V1993" s="481"/>
      <c r="W1993" s="481"/>
      <c r="X1993" s="481"/>
      <c r="Y1993" s="481"/>
    </row>
    <row r="1994" spans="1:25" s="192" customFormat="1" ht="17.25" customHeight="1">
      <c r="A1994" s="645"/>
      <c r="B1994" s="29" t="s">
        <v>71</v>
      </c>
      <c r="C1994" s="1268">
        <f>CEILING((C1991*0),0.1)</f>
        <v>0</v>
      </c>
      <c r="D1994" s="1270"/>
      <c r="E1994" s="1268">
        <f>CEILING((E1991*0),0.1)</f>
        <v>0</v>
      </c>
      <c r="F1994" s="1270"/>
      <c r="G1994" s="1268">
        <f>CEILING((G1991*0),0.1)</f>
        <v>0</v>
      </c>
      <c r="H1994" s="1270"/>
      <c r="I1994" s="1268">
        <f>CEILING((I1991*0),0.1)</f>
        <v>0</v>
      </c>
      <c r="J1994" s="1270"/>
      <c r="K1994" s="1268">
        <f>CEILING((K1991*0),0.1)</f>
        <v>0</v>
      </c>
      <c r="L1994" s="1270"/>
      <c r="M1994" s="20"/>
      <c r="N1994" s="20"/>
      <c r="O1994" s="481"/>
      <c r="P1994" s="481"/>
      <c r="Q1994" s="481"/>
      <c r="R1994" s="481"/>
      <c r="S1994" s="481"/>
      <c r="T1994" s="481"/>
      <c r="U1994" s="481"/>
      <c r="V1994" s="481"/>
      <c r="W1994" s="481"/>
      <c r="X1994" s="481"/>
      <c r="Y1994" s="481"/>
    </row>
    <row r="1995" spans="1:25" s="192" customFormat="1" ht="18" customHeight="1">
      <c r="A1995" s="151" t="s">
        <v>59</v>
      </c>
      <c r="B1995" s="29" t="s">
        <v>1249</v>
      </c>
      <c r="C1995" s="1268">
        <f>CEILING(71*$Z$1,0.1)</f>
        <v>88.80000000000001</v>
      </c>
      <c r="D1995" s="1270"/>
      <c r="E1995" s="1268">
        <f>CEILING(81*$Z$1,0.1)</f>
        <v>101.30000000000001</v>
      </c>
      <c r="F1995" s="1270"/>
      <c r="G1995" s="1268">
        <f>CEILING(76*$Z$1,0.1)</f>
        <v>95</v>
      </c>
      <c r="H1995" s="1270"/>
      <c r="I1995" s="1268">
        <f>CEILING(81*$Z$1,0.1)</f>
        <v>101.30000000000001</v>
      </c>
      <c r="J1995" s="1270"/>
      <c r="K1995" s="1268">
        <f>CEILING(71*$Z$1,0.1)</f>
        <v>88.80000000000001</v>
      </c>
      <c r="L1995" s="1270"/>
      <c r="M1995" s="20"/>
      <c r="N1995" s="20"/>
      <c r="O1995" s="481"/>
      <c r="P1995" s="481"/>
      <c r="Q1995" s="481"/>
      <c r="R1995" s="481"/>
      <c r="S1995" s="481"/>
      <c r="T1995" s="481"/>
      <c r="U1995" s="481"/>
      <c r="V1995" s="481"/>
      <c r="W1995" s="481"/>
      <c r="X1995" s="481"/>
      <c r="Y1995" s="481"/>
    </row>
    <row r="1996" spans="1:25" s="192" customFormat="1" ht="16.5" customHeight="1">
      <c r="A1996" s="75"/>
      <c r="B1996" s="29" t="s">
        <v>1250</v>
      </c>
      <c r="C1996" s="1268">
        <f>CEILING((C1995+30*$Z$1),0.1)</f>
        <v>126.30000000000001</v>
      </c>
      <c r="D1996" s="1270"/>
      <c r="E1996" s="1268">
        <f>CEILING((E1995+35*$Z$1),0.1)</f>
        <v>145.1</v>
      </c>
      <c r="F1996" s="1270"/>
      <c r="G1996" s="1268">
        <f>CEILING((G1995+32*$Z$1),0.1)</f>
        <v>135</v>
      </c>
      <c r="H1996" s="1270"/>
      <c r="I1996" s="1268">
        <f>CEILING((I1995+35*$Z$1),0.1)</f>
        <v>145.1</v>
      </c>
      <c r="J1996" s="1270"/>
      <c r="K1996" s="1268">
        <f>CEILING((K1995+30*$Z$1),0.1)</f>
        <v>126.30000000000001</v>
      </c>
      <c r="L1996" s="1270"/>
      <c r="M1996" s="20"/>
      <c r="N1996" s="20"/>
      <c r="O1996" s="481"/>
      <c r="P1996" s="481"/>
      <c r="Q1996" s="481"/>
      <c r="R1996" s="481"/>
      <c r="S1996" s="481"/>
      <c r="T1996" s="481"/>
      <c r="U1996" s="481"/>
      <c r="V1996" s="481"/>
      <c r="W1996" s="481"/>
      <c r="X1996" s="481"/>
      <c r="Y1996" s="481"/>
    </row>
    <row r="1997" spans="1:23" s="192" customFormat="1" ht="15.75" customHeight="1">
      <c r="A1997" s="792"/>
      <c r="B1997" s="29" t="s">
        <v>1251</v>
      </c>
      <c r="C1997" s="1268">
        <f>CEILING(75*$Z$1,0.1)</f>
        <v>93.80000000000001</v>
      </c>
      <c r="D1997" s="1270"/>
      <c r="E1997" s="1268">
        <f>CEILING(85*$Z$1,0.1)</f>
        <v>106.30000000000001</v>
      </c>
      <c r="F1997" s="1270"/>
      <c r="G1997" s="1268">
        <f>CEILING(80*$Z$1,0.1)</f>
        <v>100</v>
      </c>
      <c r="H1997" s="1270"/>
      <c r="I1997" s="1268">
        <f>CEILING(85*$Z$1,0.1)</f>
        <v>106.30000000000001</v>
      </c>
      <c r="J1997" s="1270"/>
      <c r="K1997" s="1268">
        <f>CEILING(75*$Z$1,0.1)</f>
        <v>93.80000000000001</v>
      </c>
      <c r="L1997" s="1270"/>
      <c r="M1997" s="481"/>
      <c r="N1997" s="481"/>
      <c r="O1997" s="481"/>
      <c r="P1997" s="481"/>
      <c r="Q1997" s="481"/>
      <c r="R1997" s="481"/>
      <c r="S1997" s="481"/>
      <c r="T1997" s="481"/>
      <c r="U1997" s="481"/>
      <c r="V1997" s="481"/>
      <c r="W1997" s="481"/>
    </row>
    <row r="1998" spans="1:23" s="192" customFormat="1" ht="15.75" customHeight="1">
      <c r="A1998" s="1155" t="s">
        <v>1248</v>
      </c>
      <c r="B1998" s="418" t="s">
        <v>1252</v>
      </c>
      <c r="C1998" s="1284">
        <f>CEILING((C1997+30*$Z$1),0.1)</f>
        <v>131.3</v>
      </c>
      <c r="D1998" s="1285"/>
      <c r="E1998" s="1284">
        <f>CEILING((E1997+35*$Z$1),0.1)</f>
        <v>150.1</v>
      </c>
      <c r="F1998" s="1285"/>
      <c r="G1998" s="1284">
        <f>CEILING((G1997+32*$Z$1),0.1)</f>
        <v>140</v>
      </c>
      <c r="H1998" s="1285"/>
      <c r="I1998" s="1284">
        <f>CEILING((I1997+35*$Z$1),0.1)</f>
        <v>150.1</v>
      </c>
      <c r="J1998" s="1285"/>
      <c r="K1998" s="1284">
        <f>CEILING((K1997+30*$Z$1),0.1)</f>
        <v>131.3</v>
      </c>
      <c r="L1998" s="1285"/>
      <c r="M1998" s="481"/>
      <c r="N1998" s="481"/>
      <c r="O1998" s="481"/>
      <c r="P1998" s="481"/>
      <c r="Q1998" s="481"/>
      <c r="R1998" s="481"/>
      <c r="S1998" s="481"/>
      <c r="T1998" s="481"/>
      <c r="U1998" s="481"/>
      <c r="V1998" s="481"/>
      <c r="W1998" s="481"/>
    </row>
    <row r="1999" spans="1:43" s="776" customFormat="1" ht="15">
      <c r="A1999" s="1306"/>
      <c r="B1999" s="1307"/>
      <c r="C1999" s="1307"/>
      <c r="D1999" s="1307"/>
      <c r="E1999" s="1307"/>
      <c r="F1999" s="1307"/>
      <c r="G1999" s="1307"/>
      <c r="H1999" s="1307"/>
      <c r="I1999" s="1307"/>
      <c r="J1999" s="1307"/>
      <c r="K1999" s="775"/>
      <c r="L1999" s="775"/>
      <c r="M1999" s="335"/>
      <c r="N1999" s="335"/>
      <c r="O1999" s="335"/>
      <c r="P1999" s="335"/>
      <c r="Q1999" s="335"/>
      <c r="R1999" s="335"/>
      <c r="S1999" s="335"/>
      <c r="T1999" s="335"/>
      <c r="U1999" s="335"/>
      <c r="V1999" s="335"/>
      <c r="W1999" s="335"/>
      <c r="X1999" s="335"/>
      <c r="Y1999" s="335"/>
      <c r="Z1999" s="335"/>
      <c r="AA1999" s="335"/>
      <c r="AB1999" s="335"/>
      <c r="AC1999" s="335"/>
      <c r="AD1999" s="335"/>
      <c r="AE1999" s="335"/>
      <c r="AF1999" s="335"/>
      <c r="AG1999" s="335"/>
      <c r="AH1999" s="335"/>
      <c r="AI1999" s="335"/>
      <c r="AJ1999" s="335"/>
      <c r="AK1999" s="335"/>
      <c r="AL1999" s="335"/>
      <c r="AM1999" s="335"/>
      <c r="AN1999" s="335"/>
      <c r="AO1999" s="335"/>
      <c r="AP1999" s="335"/>
      <c r="AQ1999" s="335"/>
    </row>
    <row r="2000" spans="1:43" s="479" customFormat="1" ht="18" customHeight="1">
      <c r="A2000" s="172"/>
      <c r="B2000" s="1149"/>
      <c r="C2000" s="22"/>
      <c r="D2000" s="22"/>
      <c r="E2000" s="22"/>
      <c r="F2000" s="22"/>
      <c r="G2000" s="22"/>
      <c r="H2000" s="22"/>
      <c r="I2000" s="22"/>
      <c r="J2000" s="22"/>
      <c r="K2000" s="166"/>
      <c r="L2000" s="166"/>
      <c r="M2000" s="1148"/>
      <c r="N2000" s="1148"/>
      <c r="O2000" s="331"/>
      <c r="P2000" s="331"/>
      <c r="Q2000" s="331"/>
      <c r="R2000" s="331"/>
      <c r="S2000" s="331"/>
      <c r="T2000" s="331"/>
      <c r="U2000" s="331"/>
      <c r="V2000" s="331"/>
      <c r="W2000" s="331"/>
      <c r="X2000" s="331"/>
      <c r="Y2000" s="331"/>
      <c r="Z2000" s="331"/>
      <c r="AA2000" s="331"/>
      <c r="AB2000" s="331"/>
      <c r="AC2000" s="331"/>
      <c r="AD2000" s="331"/>
      <c r="AE2000" s="331"/>
      <c r="AF2000" s="331"/>
      <c r="AG2000" s="331"/>
      <c r="AH2000" s="331"/>
      <c r="AI2000" s="331"/>
      <c r="AJ2000" s="331"/>
      <c r="AK2000" s="331"/>
      <c r="AL2000" s="331"/>
      <c r="AM2000" s="331"/>
      <c r="AN2000" s="331"/>
      <c r="AO2000" s="331"/>
      <c r="AP2000" s="331"/>
      <c r="AQ2000" s="331"/>
    </row>
    <row r="2001" spans="1:16" s="331" customFormat="1" ht="15" customHeight="1" thickBot="1">
      <c r="A2001" s="110"/>
      <c r="B2001" s="110"/>
      <c r="C2001" s="110"/>
      <c r="D2001" s="110"/>
      <c r="E2001" s="110"/>
      <c r="F2001" s="110"/>
      <c r="G2001" s="110"/>
      <c r="H2001" s="110"/>
      <c r="I2001" s="110"/>
      <c r="J2001" s="199"/>
      <c r="K2001" s="279"/>
      <c r="L2001" s="279"/>
      <c r="O2001" s="1328"/>
      <c r="P2001" s="1328"/>
    </row>
    <row r="2002" spans="1:50" s="1037" customFormat="1" ht="28.5" customHeight="1" thickTop="1">
      <c r="A2002" s="1046" t="s">
        <v>43</v>
      </c>
      <c r="B2002" s="814" t="s">
        <v>1194</v>
      </c>
      <c r="C2002" s="787" t="s">
        <v>1139</v>
      </c>
      <c r="D2002" s="788"/>
      <c r="E2002" s="787" t="s">
        <v>1196</v>
      </c>
      <c r="F2002" s="788"/>
      <c r="G2002" s="765" t="s">
        <v>1195</v>
      </c>
      <c r="H2002" s="766"/>
      <c r="I2002" s="1280" t="s">
        <v>881</v>
      </c>
      <c r="J2002" s="1281"/>
      <c r="K2002" s="1280" t="s">
        <v>882</v>
      </c>
      <c r="L2002" s="1281"/>
      <c r="M2002" s="1016"/>
      <c r="N2002" s="1016"/>
      <c r="O2002" s="335"/>
      <c r="P2002" s="335"/>
      <c r="Q2002" s="335"/>
      <c r="R2002" s="335"/>
      <c r="S2002" s="335"/>
      <c r="T2002" s="480"/>
      <c r="U2002" s="480"/>
      <c r="V2002" s="480"/>
      <c r="W2002" s="480"/>
      <c r="X2002" s="480"/>
      <c r="Y2002" s="480"/>
      <c r="Z2002" s="479"/>
      <c r="AA2002" s="852"/>
      <c r="AB2002" s="852"/>
      <c r="AC2002" s="852"/>
      <c r="AD2002" s="852"/>
      <c r="AE2002" s="852"/>
      <c r="AF2002" s="852"/>
      <c r="AG2002" s="852"/>
      <c r="AH2002" s="852"/>
      <c r="AI2002" s="852"/>
      <c r="AJ2002" s="852"/>
      <c r="AK2002" s="852"/>
      <c r="AL2002" s="852"/>
      <c r="AM2002" s="852"/>
      <c r="AN2002" s="852"/>
      <c r="AO2002" s="852"/>
      <c r="AP2002" s="852"/>
      <c r="AQ2002" s="852"/>
      <c r="AR2002" s="852"/>
      <c r="AS2002" s="1036"/>
      <c r="AT2002" s="1036"/>
      <c r="AU2002" s="1036"/>
      <c r="AV2002" s="1036"/>
      <c r="AW2002" s="1036"/>
      <c r="AX2002" s="1036"/>
    </row>
    <row r="2003" spans="1:16" ht="15.75" customHeight="1">
      <c r="A2003" s="98" t="s">
        <v>178</v>
      </c>
      <c r="B2003" s="164" t="s">
        <v>179</v>
      </c>
      <c r="C2003" s="1266">
        <f>CEILING(85*$Z$1,0.1)</f>
        <v>106.30000000000001</v>
      </c>
      <c r="D2003" s="1267"/>
      <c r="E2003" s="1266">
        <f>CEILING(115*$Z$1,0.1)</f>
        <v>143.8</v>
      </c>
      <c r="F2003" s="1267"/>
      <c r="G2003" s="1266">
        <f>CEILING(85*$Z$1,0.1)</f>
        <v>106.30000000000001</v>
      </c>
      <c r="H2003" s="1267"/>
      <c r="I2003" s="1266">
        <f>CEILING(85*$Z$1,0.1)</f>
        <v>106.30000000000001</v>
      </c>
      <c r="J2003" s="1267"/>
      <c r="K2003" s="1266">
        <f>CEILING(85*$Z$1,0.1)</f>
        <v>106.30000000000001</v>
      </c>
      <c r="L2003" s="1267"/>
      <c r="M2003" s="169"/>
      <c r="O2003" s="1328"/>
      <c r="P2003" s="1328"/>
    </row>
    <row r="2004" spans="1:16" ht="24.75" customHeight="1">
      <c r="A2004" s="161" t="s">
        <v>59</v>
      </c>
      <c r="B2004" s="164" t="s">
        <v>180</v>
      </c>
      <c r="C2004" s="1268">
        <f>CEILING(115*$Z$1,0.1)</f>
        <v>143.8</v>
      </c>
      <c r="D2004" s="1270"/>
      <c r="E2004" s="1268">
        <f>CEILING(146*$Z$1,0.1)</f>
        <v>182.5</v>
      </c>
      <c r="F2004" s="1270"/>
      <c r="G2004" s="1268">
        <f>CEILING(115*$Z$1,0.1)</f>
        <v>143.8</v>
      </c>
      <c r="H2004" s="1270"/>
      <c r="I2004" s="1268">
        <f>CEILING(115*$Z$1,0.1)</f>
        <v>143.8</v>
      </c>
      <c r="J2004" s="1270"/>
      <c r="K2004" s="1268">
        <f>CEILING(115*$Z$1,0.1)</f>
        <v>143.8</v>
      </c>
      <c r="L2004" s="1270"/>
      <c r="M2004" s="169"/>
      <c r="O2004" s="1328"/>
      <c r="P2004" s="1328"/>
    </row>
    <row r="2005" spans="1:13" ht="20.25" customHeight="1" thickBot="1">
      <c r="A2005" s="79" t="s">
        <v>408</v>
      </c>
      <c r="B2005" s="165" t="s">
        <v>181</v>
      </c>
      <c r="C2005" s="1275">
        <f>CEILING(142*$Z$1,0.1)</f>
        <v>177.5</v>
      </c>
      <c r="D2005" s="1277"/>
      <c r="E2005" s="1275">
        <f>CEILING(173*$Z$1,0.1)</f>
        <v>216.3</v>
      </c>
      <c r="F2005" s="1277"/>
      <c r="G2005" s="1275">
        <f>CEILING(142*$Z$1,0.1)</f>
        <v>177.5</v>
      </c>
      <c r="H2005" s="1277"/>
      <c r="I2005" s="1275">
        <f>CEILING(142*$Z$1,0.1)</f>
        <v>177.5</v>
      </c>
      <c r="J2005" s="1277"/>
      <c r="K2005" s="1275">
        <f>CEILING(142*$Z$1,0.1)</f>
        <v>177.5</v>
      </c>
      <c r="L2005" s="1277"/>
      <c r="M2005" s="169"/>
    </row>
    <row r="2006" spans="1:25" s="170" customFormat="1" ht="17.25" customHeight="1" hidden="1">
      <c r="A2006" s="1477" t="s">
        <v>337</v>
      </c>
      <c r="B2006" s="1477"/>
      <c r="C2006" s="1467"/>
      <c r="D2006" s="1467"/>
      <c r="E2006" s="1467"/>
      <c r="F2006" s="1467"/>
      <c r="G2006" s="1467"/>
      <c r="H2006" s="1467"/>
      <c r="I2006" s="381"/>
      <c r="J2006" s="381"/>
      <c r="K2006" s="1269"/>
      <c r="L2006" s="1269"/>
      <c r="M2006" s="169"/>
      <c r="N2006" s="169"/>
      <c r="O2006" s="169"/>
      <c r="P2006" s="169"/>
      <c r="Q2006" s="169"/>
      <c r="R2006" s="169"/>
      <c r="S2006" s="169"/>
      <c r="T2006" s="169"/>
      <c r="U2006" s="169"/>
      <c r="V2006" s="169"/>
      <c r="W2006" s="169"/>
      <c r="X2006" s="169"/>
      <c r="Y2006" s="169"/>
    </row>
    <row r="2007" spans="1:25" s="170" customFormat="1" ht="16.5" hidden="1" thickBot="1" thickTop="1">
      <c r="A2007" s="46"/>
      <c r="B2007" s="46"/>
      <c r="C2007" s="46"/>
      <c r="D2007" s="46"/>
      <c r="E2007" s="46"/>
      <c r="F2007" s="46"/>
      <c r="G2007" s="46"/>
      <c r="H2007" s="46"/>
      <c r="I2007" s="381"/>
      <c r="J2007" s="335"/>
      <c r="K2007" s="1269"/>
      <c r="L2007" s="1269"/>
      <c r="M2007" s="169"/>
      <c r="N2007" s="169"/>
      <c r="O2007" s="169"/>
      <c r="P2007" s="169"/>
      <c r="Q2007" s="169"/>
      <c r="R2007" s="169"/>
      <c r="S2007" s="169"/>
      <c r="T2007" s="169"/>
      <c r="U2007" s="169"/>
      <c r="V2007" s="169"/>
      <c r="W2007" s="169"/>
      <c r="X2007" s="169"/>
      <c r="Y2007" s="169"/>
    </row>
    <row r="2008" spans="1:13" ht="15.75" customHeight="1" hidden="1" thickTop="1">
      <c r="A2008" s="530" t="s">
        <v>43</v>
      </c>
      <c r="B2008" s="568" t="s">
        <v>105</v>
      </c>
      <c r="C2008" s="1520" t="s">
        <v>634</v>
      </c>
      <c r="D2008" s="1521"/>
      <c r="E2008" s="1533" t="s">
        <v>635</v>
      </c>
      <c r="F2008" s="1534"/>
      <c r="G2008" s="1475" t="s">
        <v>639</v>
      </c>
      <c r="H2008" s="1476"/>
      <c r="I2008" s="1475" t="s">
        <v>636</v>
      </c>
      <c r="J2008" s="1476"/>
      <c r="K2008" s="279"/>
      <c r="L2008" s="279"/>
      <c r="M2008" s="169"/>
    </row>
    <row r="2009" spans="1:31" ht="15.75" customHeight="1" hidden="1" thickTop="1">
      <c r="A2009" s="34" t="s">
        <v>182</v>
      </c>
      <c r="B2009" s="40" t="s">
        <v>51</v>
      </c>
      <c r="C2009" s="1304">
        <f>CEILING(30*$Z$1,0.1)</f>
        <v>37.5</v>
      </c>
      <c r="D2009" s="1305"/>
      <c r="E2009" s="1304">
        <f>CEILING(42*$Z$1,0.1)</f>
        <v>52.5</v>
      </c>
      <c r="F2009" s="1305"/>
      <c r="G2009" s="1304">
        <f>CEILING(30*$Z$1,0.1)</f>
        <v>37.5</v>
      </c>
      <c r="H2009" s="1305"/>
      <c r="I2009" s="1304">
        <f>CEILING(35*$Z$1,0.1)</f>
        <v>43.800000000000004</v>
      </c>
      <c r="J2009" s="1305"/>
      <c r="K2009" s="279"/>
      <c r="L2009" s="279"/>
      <c r="M2009" s="169"/>
      <c r="Z2009" s="169"/>
      <c r="AA2009" s="169"/>
      <c r="AB2009" s="169"/>
      <c r="AC2009" s="169"/>
      <c r="AD2009" s="169"/>
      <c r="AE2009" s="169"/>
    </row>
    <row r="2010" spans="1:31" ht="15.75" customHeight="1" hidden="1" thickTop="1">
      <c r="A2010" s="35" t="s">
        <v>90</v>
      </c>
      <c r="B2010" s="12" t="s">
        <v>52</v>
      </c>
      <c r="C2010" s="1302">
        <f>CEILING((C2009+12*$Z$1),0.1)</f>
        <v>52.5</v>
      </c>
      <c r="D2010" s="1303"/>
      <c r="E2010" s="1302">
        <f>CEILING((E2009+12*$Z$1),0.1)</f>
        <v>67.5</v>
      </c>
      <c r="F2010" s="1303"/>
      <c r="G2010" s="1302">
        <f>CEILING((G2009+12*$Z$1),0.1)</f>
        <v>52.5</v>
      </c>
      <c r="H2010" s="1303"/>
      <c r="I2010" s="1302">
        <f>CEILING((I2009+12*$Z$1),0.1)</f>
        <v>58.800000000000004</v>
      </c>
      <c r="J2010" s="1303"/>
      <c r="K2010" s="314"/>
      <c r="L2010" s="314"/>
      <c r="M2010" s="169"/>
      <c r="Z2010" s="169"/>
      <c r="AA2010" s="169"/>
      <c r="AB2010" s="169"/>
      <c r="AC2010" s="169"/>
      <c r="AD2010" s="169"/>
      <c r="AE2010" s="169"/>
    </row>
    <row r="2011" spans="1:31" ht="15.75" customHeight="1" hidden="1" thickTop="1">
      <c r="A2011" s="645" t="s">
        <v>814</v>
      </c>
      <c r="B2011" s="11" t="s">
        <v>79</v>
      </c>
      <c r="C2011" s="1302">
        <f>CEILING((C2009*0.85),0.1)</f>
        <v>31.900000000000002</v>
      </c>
      <c r="D2011" s="1303"/>
      <c r="E2011" s="1302">
        <f>CEILING((E2009*0.85),0.1)</f>
        <v>44.7</v>
      </c>
      <c r="F2011" s="1303"/>
      <c r="G2011" s="1302">
        <f>CEILING((G2009*0.85),0.1)</f>
        <v>31.900000000000002</v>
      </c>
      <c r="H2011" s="1303"/>
      <c r="I2011" s="1302">
        <f>CEILING((I2009*0.85),0.1)</f>
        <v>37.300000000000004</v>
      </c>
      <c r="J2011" s="1303"/>
      <c r="K2011" s="314"/>
      <c r="L2011" s="314"/>
      <c r="M2011" s="169"/>
      <c r="Z2011" s="169"/>
      <c r="AA2011" s="169"/>
      <c r="AB2011" s="169"/>
      <c r="AC2011" s="169"/>
      <c r="AD2011" s="169"/>
      <c r="AE2011" s="169"/>
    </row>
    <row r="2012" spans="1:31" ht="16.5" customHeight="1" hidden="1" thickBot="1" thickTop="1">
      <c r="A2012" s="79" t="s">
        <v>407</v>
      </c>
      <c r="B2012" s="13" t="s">
        <v>335</v>
      </c>
      <c r="C2012" s="1472">
        <v>0</v>
      </c>
      <c r="D2012" s="1473"/>
      <c r="E2012" s="1538">
        <v>0</v>
      </c>
      <c r="F2012" s="1539"/>
      <c r="G2012" s="1472">
        <v>0</v>
      </c>
      <c r="H2012" s="1473"/>
      <c r="I2012" s="1472">
        <v>0</v>
      </c>
      <c r="J2012" s="1473"/>
      <c r="K2012" s="334"/>
      <c r="L2012" s="334"/>
      <c r="M2012" s="169"/>
      <c r="Z2012" s="169"/>
      <c r="AA2012" s="169"/>
      <c r="AB2012" s="169"/>
      <c r="AC2012" s="169"/>
      <c r="AD2012" s="169"/>
      <c r="AE2012" s="169"/>
    </row>
    <row r="2013" spans="1:31" s="404" customFormat="1" ht="15.75" thickTop="1">
      <c r="A2013" s="107" t="s">
        <v>1197</v>
      </c>
      <c r="B2013" s="50"/>
      <c r="C2013" s="273"/>
      <c r="D2013" s="273"/>
      <c r="E2013" s="508"/>
      <c r="F2013" s="508"/>
      <c r="G2013" s="273"/>
      <c r="H2013" s="273"/>
      <c r="I2013" s="508"/>
      <c r="J2013" s="508"/>
      <c r="K2013" s="314"/>
      <c r="L2013" s="314"/>
      <c r="M2013" s="169"/>
      <c r="N2013" s="169"/>
      <c r="O2013" s="169"/>
      <c r="P2013" s="169"/>
      <c r="Q2013" s="169"/>
      <c r="R2013" s="169"/>
      <c r="S2013" s="169"/>
      <c r="T2013" s="169"/>
      <c r="U2013" s="169"/>
      <c r="V2013" s="169"/>
      <c r="W2013" s="169"/>
      <c r="X2013" s="169"/>
      <c r="Y2013" s="169"/>
      <c r="Z2013" s="169"/>
      <c r="AA2013" s="169"/>
      <c r="AB2013" s="169"/>
      <c r="AC2013" s="169"/>
      <c r="AD2013" s="169"/>
      <c r="AE2013" s="169"/>
    </row>
    <row r="2014" spans="1:31" s="404" customFormat="1" ht="21.75" customHeight="1" thickBot="1">
      <c r="A2014" s="172"/>
      <c r="B2014" s="50"/>
      <c r="C2014" s="3"/>
      <c r="D2014" s="107"/>
      <c r="E2014" s="563"/>
      <c r="F2014" s="563"/>
      <c r="G2014" s="563"/>
      <c r="H2014" s="563"/>
      <c r="I2014" s="3"/>
      <c r="J2014" s="3"/>
      <c r="K2014" s="314"/>
      <c r="L2014" s="314"/>
      <c r="M2014" s="169"/>
      <c r="N2014" s="169"/>
      <c r="O2014" s="169"/>
      <c r="P2014" s="169"/>
      <c r="Q2014" s="169"/>
      <c r="R2014" s="169"/>
      <c r="S2014" s="169"/>
      <c r="T2014" s="169"/>
      <c r="U2014" s="169"/>
      <c r="V2014" s="169"/>
      <c r="W2014" s="169"/>
      <c r="X2014" s="169"/>
      <c r="Y2014" s="169"/>
      <c r="Z2014" s="169"/>
      <c r="AA2014" s="169"/>
      <c r="AB2014" s="169"/>
      <c r="AC2014" s="169"/>
      <c r="AD2014" s="169"/>
      <c r="AE2014" s="169"/>
    </row>
    <row r="2015" spans="1:50" s="1037" customFormat="1" ht="30.75" customHeight="1" thickTop="1">
      <c r="A2015" s="1046" t="s">
        <v>43</v>
      </c>
      <c r="B2015" s="819" t="s">
        <v>961</v>
      </c>
      <c r="C2015" s="787" t="s">
        <v>884</v>
      </c>
      <c r="D2015" s="788"/>
      <c r="E2015" s="765" t="s">
        <v>1150</v>
      </c>
      <c r="F2015" s="766"/>
      <c r="G2015" s="765" t="s">
        <v>1151</v>
      </c>
      <c r="H2015" s="766"/>
      <c r="I2015" s="1280" t="s">
        <v>1143</v>
      </c>
      <c r="J2015" s="1281"/>
      <c r="K2015" s="1280" t="s">
        <v>882</v>
      </c>
      <c r="L2015" s="1281"/>
      <c r="M2015" s="1016"/>
      <c r="N2015" s="1016"/>
      <c r="O2015" s="335"/>
      <c r="P2015" s="335"/>
      <c r="Q2015" s="335"/>
      <c r="R2015" s="335"/>
      <c r="S2015" s="335"/>
      <c r="T2015" s="480"/>
      <c r="U2015" s="480"/>
      <c r="V2015" s="480"/>
      <c r="W2015" s="480"/>
      <c r="X2015" s="480"/>
      <c r="Y2015" s="480"/>
      <c r="Z2015" s="479"/>
      <c r="AA2015" s="852"/>
      <c r="AB2015" s="852"/>
      <c r="AC2015" s="852"/>
      <c r="AD2015" s="852"/>
      <c r="AE2015" s="852"/>
      <c r="AF2015" s="852"/>
      <c r="AG2015" s="852"/>
      <c r="AH2015" s="852"/>
      <c r="AI2015" s="852"/>
      <c r="AJ2015" s="852"/>
      <c r="AK2015" s="852"/>
      <c r="AL2015" s="852"/>
      <c r="AM2015" s="852"/>
      <c r="AN2015" s="852"/>
      <c r="AO2015" s="852"/>
      <c r="AP2015" s="852"/>
      <c r="AQ2015" s="852"/>
      <c r="AR2015" s="852"/>
      <c r="AS2015" s="1036"/>
      <c r="AT2015" s="1036"/>
      <c r="AU2015" s="1036"/>
      <c r="AV2015" s="1036"/>
      <c r="AW2015" s="1036"/>
      <c r="AX2015" s="1036"/>
    </row>
    <row r="2016" spans="1:31" s="404" customFormat="1" ht="27" customHeight="1">
      <c r="A2016" s="106" t="s">
        <v>182</v>
      </c>
      <c r="B2016" s="77" t="s">
        <v>93</v>
      </c>
      <c r="C2016" s="1292">
        <f>CEILING(34*$Z$1,0.1)</f>
        <v>42.5</v>
      </c>
      <c r="D2016" s="1293"/>
      <c r="E2016" s="1292">
        <f>CEILING(34*$Z$1,0.1)</f>
        <v>42.5</v>
      </c>
      <c r="F2016" s="1293"/>
      <c r="G2016" s="1292">
        <f>CEILING(34*$Z$1,0.1)</f>
        <v>42.5</v>
      </c>
      <c r="H2016" s="1293"/>
      <c r="I2016" s="1292">
        <f>CEILING(34*$Z$1,0.1)</f>
        <v>42.5</v>
      </c>
      <c r="J2016" s="1293"/>
      <c r="K2016" s="1292">
        <f>CEILING(32*$Z$1,0.1)</f>
        <v>40</v>
      </c>
      <c r="L2016" s="1293"/>
      <c r="M2016" s="169"/>
      <c r="N2016" s="169"/>
      <c r="O2016" s="169"/>
      <c r="P2016" s="169"/>
      <c r="Q2016" s="169"/>
      <c r="R2016" s="169"/>
      <c r="S2016" s="169"/>
      <c r="T2016" s="169"/>
      <c r="U2016" s="169"/>
      <c r="V2016" s="169"/>
      <c r="W2016" s="169"/>
      <c r="X2016" s="169"/>
      <c r="Y2016" s="169"/>
      <c r="Z2016" s="169"/>
      <c r="AA2016" s="169"/>
      <c r="AB2016" s="169"/>
      <c r="AC2016" s="169"/>
      <c r="AD2016" s="169"/>
      <c r="AE2016" s="169"/>
    </row>
    <row r="2017" spans="1:31" s="479" customFormat="1" ht="15">
      <c r="A2017" s="47" t="s">
        <v>90</v>
      </c>
      <c r="B2017" s="29" t="s">
        <v>12</v>
      </c>
      <c r="C2017" s="1294">
        <f>CEILING(44*$Z$1,0.1)</f>
        <v>55</v>
      </c>
      <c r="D2017" s="1295"/>
      <c r="E2017" s="1294">
        <f>CEILING(44*$Z$1,0.1)</f>
        <v>55</v>
      </c>
      <c r="F2017" s="1295"/>
      <c r="G2017" s="1294">
        <f>CEILING(44*$Z$1,0.1)</f>
        <v>55</v>
      </c>
      <c r="H2017" s="1295"/>
      <c r="I2017" s="1294">
        <f>CEILING(44*$Z$1,0.1)</f>
        <v>55</v>
      </c>
      <c r="J2017" s="1295"/>
      <c r="K2017" s="1294">
        <f>CEILING(43*$Z$1,0.1)</f>
        <v>53.800000000000004</v>
      </c>
      <c r="L2017" s="1295"/>
      <c r="M2017" s="480"/>
      <c r="N2017" s="480"/>
      <c r="O2017" s="480"/>
      <c r="P2017" s="480"/>
      <c r="Q2017" s="480"/>
      <c r="R2017" s="480"/>
      <c r="S2017" s="480"/>
      <c r="T2017" s="480"/>
      <c r="U2017" s="480"/>
      <c r="V2017" s="480"/>
      <c r="W2017" s="480"/>
      <c r="X2017" s="480"/>
      <c r="Y2017" s="480"/>
      <c r="Z2017" s="480"/>
      <c r="AA2017" s="480"/>
      <c r="AB2017" s="480"/>
      <c r="AC2017" s="480"/>
      <c r="AD2017" s="480"/>
      <c r="AE2017" s="480"/>
    </row>
    <row r="2018" spans="1:31" s="479" customFormat="1" ht="15">
      <c r="A2018" s="671" t="s">
        <v>1314</v>
      </c>
      <c r="B2018" s="37" t="s">
        <v>47</v>
      </c>
      <c r="C2018" s="1294">
        <f>CEILING(29*$Z$1,0.1)</f>
        <v>36.300000000000004</v>
      </c>
      <c r="D2018" s="1295"/>
      <c r="E2018" s="1294">
        <f>CEILING(29*$Z$1,0.1)</f>
        <v>36.300000000000004</v>
      </c>
      <c r="F2018" s="1295"/>
      <c r="G2018" s="1294">
        <f>CEILING(29*$Z$1,0.1)</f>
        <v>36.300000000000004</v>
      </c>
      <c r="H2018" s="1295"/>
      <c r="I2018" s="1294">
        <f>CEILING(29*$Z$1,0.1)</f>
        <v>36.300000000000004</v>
      </c>
      <c r="J2018" s="1295"/>
      <c r="K2018" s="1294">
        <f>CEILING(28*$Z$1,0.1)</f>
        <v>35</v>
      </c>
      <c r="L2018" s="1295"/>
      <c r="M2018" s="480"/>
      <c r="N2018" s="480"/>
      <c r="O2018" s="480"/>
      <c r="P2018" s="480"/>
      <c r="Q2018" s="480"/>
      <c r="R2018" s="480"/>
      <c r="S2018" s="480"/>
      <c r="T2018" s="480"/>
      <c r="U2018" s="480"/>
      <c r="V2018" s="480"/>
      <c r="W2018" s="480"/>
      <c r="X2018" s="480"/>
      <c r="Y2018" s="480"/>
      <c r="Z2018" s="480"/>
      <c r="AA2018" s="480"/>
      <c r="AB2018" s="480"/>
      <c r="AC2018" s="480"/>
      <c r="AD2018" s="480"/>
      <c r="AE2018" s="480"/>
    </row>
    <row r="2019" spans="1:31" s="479" customFormat="1" ht="15.75" thickBot="1">
      <c r="A2019" s="610" t="s">
        <v>631</v>
      </c>
      <c r="B2019" s="561" t="s">
        <v>821</v>
      </c>
      <c r="C2019" s="1290">
        <f>CEILING((C2016*0),0.1)</f>
        <v>0</v>
      </c>
      <c r="D2019" s="1291"/>
      <c r="E2019" s="1290">
        <f>CEILING((E2016*0),0.1)</f>
        <v>0</v>
      </c>
      <c r="F2019" s="1291"/>
      <c r="G2019" s="1290">
        <f>CEILING((G2016*0),0.1)</f>
        <v>0</v>
      </c>
      <c r="H2019" s="1291"/>
      <c r="I2019" s="1290">
        <f>CEILING((I2016*0),0.1)</f>
        <v>0</v>
      </c>
      <c r="J2019" s="1291"/>
      <c r="K2019" s="1290">
        <f>CEILING((K2016*0),0.1)</f>
        <v>0</v>
      </c>
      <c r="L2019" s="1291"/>
      <c r="M2019" s="480"/>
      <c r="N2019" s="480"/>
      <c r="O2019" s="480"/>
      <c r="P2019" s="480"/>
      <c r="Q2019" s="480"/>
      <c r="R2019" s="480"/>
      <c r="S2019" s="480"/>
      <c r="T2019" s="480"/>
      <c r="U2019" s="480"/>
      <c r="V2019" s="480"/>
      <c r="W2019" s="480"/>
      <c r="X2019" s="480"/>
      <c r="Y2019" s="480"/>
      <c r="Z2019" s="480"/>
      <c r="AA2019" s="480"/>
      <c r="AB2019" s="480"/>
      <c r="AC2019" s="480"/>
      <c r="AD2019" s="480"/>
      <c r="AE2019" s="480"/>
    </row>
    <row r="2020" spans="1:31" s="495" customFormat="1" ht="17.25" customHeight="1" thickTop="1">
      <c r="A2020" s="1318" t="s">
        <v>1198</v>
      </c>
      <c r="B2020" s="1318"/>
      <c r="C2020" s="1318"/>
      <c r="D2020" s="1318"/>
      <c r="E2020" s="1318"/>
      <c r="F2020" s="1318"/>
      <c r="G2020" s="1318"/>
      <c r="H2020" s="1318"/>
      <c r="I2020" s="1318"/>
      <c r="J2020" s="1318"/>
      <c r="K2020" s="1033"/>
      <c r="L2020" s="1033"/>
      <c r="M2020" s="494"/>
      <c r="N2020" s="494"/>
      <c r="O2020" s="494"/>
      <c r="P2020" s="494"/>
      <c r="Q2020" s="494"/>
      <c r="R2020" s="494"/>
      <c r="S2020" s="494"/>
      <c r="T2020" s="494"/>
      <c r="U2020" s="494"/>
      <c r="V2020" s="494"/>
      <c r="W2020" s="494"/>
      <c r="X2020" s="494"/>
      <c r="Y2020" s="494"/>
      <c r="Z2020" s="494"/>
      <c r="AA2020" s="494"/>
      <c r="AB2020" s="494"/>
      <c r="AC2020" s="494"/>
      <c r="AD2020" s="494"/>
      <c r="AE2020" s="494"/>
    </row>
    <row r="2021" spans="1:72" s="1081" customFormat="1" ht="19.5" customHeight="1">
      <c r="A2021" s="1013"/>
      <c r="B2021" s="1079"/>
      <c r="C2021" s="1013"/>
      <c r="D2021" s="1013"/>
      <c r="E2021" s="1013"/>
      <c r="F2021" s="1013"/>
      <c r="G2021" s="1013"/>
      <c r="H2021" s="1013"/>
      <c r="I2021" s="1013"/>
      <c r="J2021" s="1013"/>
      <c r="K2021" s="1080"/>
      <c r="L2021" s="1080"/>
      <c r="M2021" s="1082"/>
      <c r="N2021" s="1082"/>
      <c r="O2021" s="1082"/>
      <c r="P2021" s="1082"/>
      <c r="Q2021" s="1082"/>
      <c r="R2021" s="1082"/>
      <c r="S2021" s="1082"/>
      <c r="T2021" s="1082"/>
      <c r="U2021" s="1082"/>
      <c r="V2021" s="1082"/>
      <c r="W2021" s="1082"/>
      <c r="X2021" s="1082"/>
      <c r="Y2021" s="1082"/>
      <c r="Z2021" s="1082"/>
      <c r="AA2021" s="1082"/>
      <c r="AB2021" s="1082"/>
      <c r="AC2021" s="1082"/>
      <c r="AD2021" s="1082"/>
      <c r="AE2021" s="1082"/>
      <c r="AF2021" s="1082"/>
      <c r="AG2021" s="1082"/>
      <c r="AH2021" s="1082"/>
      <c r="AI2021" s="1082"/>
      <c r="AJ2021" s="1082"/>
      <c r="AK2021" s="1082"/>
      <c r="AL2021" s="1082"/>
      <c r="AM2021" s="1082"/>
      <c r="AN2021" s="1082"/>
      <c r="AO2021" s="1082"/>
      <c r="AP2021" s="1082"/>
      <c r="AQ2021" s="1082"/>
      <c r="AR2021" s="1082"/>
      <c r="AS2021" s="1082"/>
      <c r="AT2021" s="1082"/>
      <c r="AU2021" s="1082"/>
      <c r="AV2021" s="1082"/>
      <c r="AW2021" s="1082"/>
      <c r="AX2021" s="1082"/>
      <c r="AY2021" s="1082"/>
      <c r="AZ2021" s="1082"/>
      <c r="BA2021" s="1082"/>
      <c r="BB2021" s="1082"/>
      <c r="BC2021" s="1082"/>
      <c r="BD2021" s="1082"/>
      <c r="BE2021" s="1082"/>
      <c r="BF2021" s="1082"/>
      <c r="BG2021" s="1082"/>
      <c r="BH2021" s="1082"/>
      <c r="BI2021" s="1082"/>
      <c r="BJ2021" s="1082"/>
      <c r="BK2021" s="1082"/>
      <c r="BL2021" s="1082"/>
      <c r="BM2021" s="1082"/>
      <c r="BN2021" s="1082"/>
      <c r="BO2021" s="1082"/>
      <c r="BP2021" s="1082"/>
      <c r="BQ2021" s="1082"/>
      <c r="BR2021" s="1082"/>
      <c r="BS2021" s="1082"/>
      <c r="BT2021" s="1082"/>
    </row>
    <row r="2022" spans="1:31" ht="18" customHeight="1">
      <c r="A2022" s="1531" t="s">
        <v>1230</v>
      </c>
      <c r="B2022" s="1531"/>
      <c r="C2022" s="1531"/>
      <c r="D2022" s="1531"/>
      <c r="E2022" s="1531"/>
      <c r="F2022" s="1531"/>
      <c r="G2022" s="1531"/>
      <c r="H2022" s="1301"/>
      <c r="I2022" s="1301"/>
      <c r="J2022" s="173"/>
      <c r="K2022" s="166"/>
      <c r="L2022" s="314"/>
      <c r="M2022" s="169"/>
      <c r="Z2022" s="169"/>
      <c r="AA2022" s="169"/>
      <c r="AB2022" s="169"/>
      <c r="AC2022" s="169"/>
      <c r="AD2022" s="169"/>
      <c r="AE2022" s="169"/>
    </row>
    <row r="2023" spans="1:31" ht="15.75" customHeight="1">
      <c r="A2023" s="343"/>
      <c r="B2023" s="344"/>
      <c r="C2023" s="344"/>
      <c r="D2023" s="344"/>
      <c r="E2023" s="344"/>
      <c r="F2023" s="344"/>
      <c r="G2023" s="344"/>
      <c r="H2023" s="344"/>
      <c r="I2023" s="345"/>
      <c r="J2023" s="345"/>
      <c r="K2023" s="166"/>
      <c r="L2023" s="314"/>
      <c r="M2023" s="169"/>
      <c r="Z2023" s="169"/>
      <c r="AA2023" s="169"/>
      <c r="AB2023" s="169"/>
      <c r="AC2023" s="169"/>
      <c r="AD2023" s="169"/>
      <c r="AE2023" s="169"/>
    </row>
    <row r="2024" spans="1:31" ht="20.25" customHeight="1">
      <c r="A2024" s="1474" t="s">
        <v>0</v>
      </c>
      <c r="B2024" s="1474"/>
      <c r="C2024" s="1474"/>
      <c r="D2024" s="1474"/>
      <c r="E2024" s="1474"/>
      <c r="F2024" s="1474"/>
      <c r="G2024" s="1474"/>
      <c r="H2024" s="1474"/>
      <c r="I2024" s="1474"/>
      <c r="J2024" s="1474"/>
      <c r="K2024" s="166"/>
      <c r="L2024" s="314"/>
      <c r="M2024" s="169"/>
      <c r="Z2024" s="169"/>
      <c r="AA2024" s="169"/>
      <c r="AB2024" s="169"/>
      <c r="AC2024" s="169"/>
      <c r="AD2024" s="169"/>
      <c r="AE2024" s="169"/>
    </row>
    <row r="2025" spans="1:31" ht="20.25" customHeight="1" thickBot="1">
      <c r="A2025" s="299"/>
      <c r="B2025" s="299"/>
      <c r="C2025" s="299"/>
      <c r="D2025" s="299"/>
      <c r="E2025" s="299"/>
      <c r="F2025" s="299"/>
      <c r="G2025" s="299"/>
      <c r="H2025" s="299"/>
      <c r="I2025" s="300"/>
      <c r="J2025" s="64"/>
      <c r="K2025" s="166"/>
      <c r="L2025" s="314"/>
      <c r="M2025" s="169"/>
      <c r="Z2025" s="169"/>
      <c r="AA2025" s="169"/>
      <c r="AB2025" s="169"/>
      <c r="AC2025" s="169"/>
      <c r="AD2025" s="169"/>
      <c r="AE2025" s="169"/>
    </row>
    <row r="2026" spans="1:25" s="1042" customFormat="1" ht="28.5" customHeight="1" thickTop="1">
      <c r="A2026" s="1041" t="s">
        <v>43</v>
      </c>
      <c r="B2026" s="814" t="s">
        <v>961</v>
      </c>
      <c r="C2026" s="747" t="s">
        <v>884</v>
      </c>
      <c r="D2026" s="748"/>
      <c r="E2026" s="749" t="s">
        <v>911</v>
      </c>
      <c r="F2026" s="1583"/>
      <c r="G2026" s="1584" t="s">
        <v>912</v>
      </c>
      <c r="H2026" s="1583"/>
      <c r="I2026" s="1585" t="s">
        <v>881</v>
      </c>
      <c r="J2026" s="1586"/>
      <c r="K2026" s="1587" t="s">
        <v>882</v>
      </c>
      <c r="L2026" s="1588"/>
      <c r="M2026" s="1016"/>
      <c r="N2026" s="1016"/>
      <c r="O2026" s="335"/>
      <c r="P2026" s="335"/>
      <c r="Q2026" s="335"/>
      <c r="R2026" s="335"/>
      <c r="S2026" s="480"/>
      <c r="T2026" s="480"/>
      <c r="U2026" s="480"/>
      <c r="V2026" s="480"/>
      <c r="W2026" s="480"/>
      <c r="X2026" s="480"/>
      <c r="Y2026" s="480"/>
    </row>
    <row r="2027" spans="1:31" ht="15">
      <c r="A2027" s="198" t="s">
        <v>270</v>
      </c>
      <c r="B2027" s="365" t="s">
        <v>51</v>
      </c>
      <c r="C2027" s="1266">
        <f>CEILING(70*$Z$1,0.1)</f>
        <v>87.5</v>
      </c>
      <c r="D2027" s="1267"/>
      <c r="E2027" s="1266">
        <f>CEILING(125*$Z$1,0.1)</f>
        <v>156.3</v>
      </c>
      <c r="F2027" s="1267"/>
      <c r="G2027" s="1302">
        <f>CEILING(72*$Z$1,0.1)</f>
        <v>90</v>
      </c>
      <c r="H2027" s="1369"/>
      <c r="I2027" s="1302">
        <f>CEILING(72*$Z$1,0.1)</f>
        <v>90</v>
      </c>
      <c r="J2027" s="1369"/>
      <c r="K2027" s="1302">
        <f>CEILING(68*$Z$1,0.1)</f>
        <v>85</v>
      </c>
      <c r="L2027" s="1303"/>
      <c r="M2027" s="169"/>
      <c r="Z2027" s="169"/>
      <c r="AA2027" s="169"/>
      <c r="AB2027" s="169"/>
      <c r="AC2027" s="169"/>
      <c r="AD2027" s="169"/>
      <c r="AE2027" s="169"/>
    </row>
    <row r="2028" spans="1:31" ht="15">
      <c r="A2028" s="182" t="s">
        <v>59</v>
      </c>
      <c r="B2028" s="365" t="s">
        <v>52</v>
      </c>
      <c r="C2028" s="1268">
        <f>CEILING((C2027+30*$Z$1),0.1)</f>
        <v>125</v>
      </c>
      <c r="D2028" s="1270"/>
      <c r="E2028" s="1268">
        <f>CEILING((E2027+30*$Z$1),0.1)</f>
        <v>193.8</v>
      </c>
      <c r="F2028" s="1270"/>
      <c r="G2028" s="1302">
        <f>CEILING((G2027+30*$Z$1),0.1)</f>
        <v>127.5</v>
      </c>
      <c r="H2028" s="1303"/>
      <c r="I2028" s="1302">
        <f>CEILING((I2027+30*$Z$1),0.1)</f>
        <v>127.5</v>
      </c>
      <c r="J2028" s="1303"/>
      <c r="K2028" s="1302">
        <f>CEILING((K2027+30*$Z$1),0.1)</f>
        <v>122.5</v>
      </c>
      <c r="L2028" s="1303"/>
      <c r="M2028" s="480"/>
      <c r="N2028" s="480"/>
      <c r="O2028" s="480"/>
      <c r="P2028" s="480"/>
      <c r="Q2028" s="480"/>
      <c r="R2028" s="480"/>
      <c r="S2028" s="480"/>
      <c r="T2028" s="480"/>
      <c r="U2028" s="480"/>
      <c r="V2028" s="480"/>
      <c r="W2028" s="480"/>
      <c r="X2028" s="480"/>
      <c r="Y2028" s="480"/>
      <c r="Z2028" s="480"/>
      <c r="AA2028" s="480"/>
      <c r="AB2028" s="480"/>
      <c r="AC2028" s="480"/>
      <c r="AD2028" s="480"/>
      <c r="AE2028" s="480"/>
    </row>
    <row r="2029" spans="1:31" ht="15">
      <c r="A2029" s="75"/>
      <c r="B2029" s="366" t="s">
        <v>79</v>
      </c>
      <c r="C2029" s="1268">
        <f>CEILING((C2027*0.85),0.1)</f>
        <v>74.4</v>
      </c>
      <c r="D2029" s="1270"/>
      <c r="E2029" s="1268">
        <f>CEILING((E2027*0.85),0.1)</f>
        <v>132.9</v>
      </c>
      <c r="F2029" s="1270"/>
      <c r="G2029" s="1302">
        <f>CEILING((G2027*0.85),0.1)</f>
        <v>76.5</v>
      </c>
      <c r="H2029" s="1303"/>
      <c r="I2029" s="1302">
        <f>CEILING((I2027*0.85),0.1)</f>
        <v>76.5</v>
      </c>
      <c r="J2029" s="1303"/>
      <c r="K2029" s="1302">
        <f>CEILING((K2027*0.85),0.1)</f>
        <v>72.3</v>
      </c>
      <c r="L2029" s="1303"/>
      <c r="M2029" s="169"/>
      <c r="Z2029" s="169"/>
      <c r="AA2029" s="169"/>
      <c r="AB2029" s="169"/>
      <c r="AC2029" s="169"/>
      <c r="AD2029" s="169"/>
      <c r="AE2029" s="169"/>
    </row>
    <row r="2030" spans="1:31" ht="19.5" customHeight="1">
      <c r="A2030" s="1582" t="s">
        <v>1336</v>
      </c>
      <c r="B2030" s="367" t="s">
        <v>67</v>
      </c>
      <c r="C2030" s="1268">
        <f>CEILING((C2027+15*$Z$1),0.1)</f>
        <v>106.30000000000001</v>
      </c>
      <c r="D2030" s="1270"/>
      <c r="E2030" s="1268">
        <f>CEILING((E2027+15*$Z$1),0.1)</f>
        <v>175.10000000000002</v>
      </c>
      <c r="F2030" s="1270"/>
      <c r="G2030" s="1302">
        <f>CEILING((G2027+15*$Z$1),0.1)</f>
        <v>108.80000000000001</v>
      </c>
      <c r="H2030" s="1303"/>
      <c r="I2030" s="1302">
        <f>CEILING((I2027+15*$Z$1),0.1)</f>
        <v>108.80000000000001</v>
      </c>
      <c r="J2030" s="1303"/>
      <c r="K2030" s="1302">
        <f>CEILING((K2027+15*$Z$1),0.1)</f>
        <v>103.80000000000001</v>
      </c>
      <c r="L2030" s="1303"/>
      <c r="M2030" s="169"/>
      <c r="Z2030" s="169"/>
      <c r="AA2030" s="169"/>
      <c r="AB2030" s="169"/>
      <c r="AC2030" s="169"/>
      <c r="AD2030" s="169"/>
      <c r="AE2030" s="169"/>
    </row>
    <row r="2031" spans="1:31" ht="21.75" customHeight="1">
      <c r="A2031" s="75"/>
      <c r="B2031" s="365" t="s">
        <v>68</v>
      </c>
      <c r="C2031" s="1268">
        <f>CEILING((C2030+30*$Z$1),0.1)</f>
        <v>143.8</v>
      </c>
      <c r="D2031" s="1270"/>
      <c r="E2031" s="1268">
        <f>CEILING((E2030+30*$Z$1),0.1)</f>
        <v>212.60000000000002</v>
      </c>
      <c r="F2031" s="1270"/>
      <c r="G2031" s="1302">
        <f>CEILING((G2030+30*$Z$1),0.1)</f>
        <v>146.3</v>
      </c>
      <c r="H2031" s="1303"/>
      <c r="I2031" s="1302">
        <f>CEILING((I2030+30*$Z$1),0.1)</f>
        <v>146.3</v>
      </c>
      <c r="J2031" s="1303"/>
      <c r="K2031" s="1302">
        <f>CEILING((K2030+30*$Z$1),0.1)</f>
        <v>141.3</v>
      </c>
      <c r="L2031" s="1303"/>
      <c r="M2031" s="169"/>
      <c r="Z2031" s="169"/>
      <c r="AA2031" s="169"/>
      <c r="AB2031" s="169"/>
      <c r="AC2031" s="169"/>
      <c r="AD2031" s="169"/>
      <c r="AE2031" s="169"/>
    </row>
    <row r="2032" spans="1:31" ht="15" customHeight="1">
      <c r="A2032" s="75"/>
      <c r="B2032" s="367" t="s">
        <v>56</v>
      </c>
      <c r="C2032" s="1268">
        <f>CEILING((C2027+30*$Z$1),0.1)</f>
        <v>125</v>
      </c>
      <c r="D2032" s="1270"/>
      <c r="E2032" s="1268">
        <f>CEILING((E2027+30*$Z$1),0.1)</f>
        <v>193.8</v>
      </c>
      <c r="F2032" s="1270"/>
      <c r="G2032" s="1302">
        <f>CEILING((G2027+30*$Z$1),0.1)</f>
        <v>127.5</v>
      </c>
      <c r="H2032" s="1303"/>
      <c r="I2032" s="1302">
        <f>CEILING((I2027+30*$Z$1),0.1)</f>
        <v>127.5</v>
      </c>
      <c r="J2032" s="1303"/>
      <c r="K2032" s="1302">
        <f>CEILING((K2027+30*$Z$1),0.1)</f>
        <v>122.5</v>
      </c>
      <c r="L2032" s="1303"/>
      <c r="M2032" s="169"/>
      <c r="Z2032" s="169"/>
      <c r="AA2032" s="169"/>
      <c r="AB2032" s="169"/>
      <c r="AC2032" s="169"/>
      <c r="AD2032" s="169"/>
      <c r="AE2032" s="169"/>
    </row>
    <row r="2033" spans="1:31" ht="20.25" customHeight="1" thickBot="1">
      <c r="A2033" s="160" t="s">
        <v>436</v>
      </c>
      <c r="B2033" s="368" t="s">
        <v>57</v>
      </c>
      <c r="C2033" s="1275">
        <f>CEILING((C2032+60*$Z$1),0.1)</f>
        <v>200</v>
      </c>
      <c r="D2033" s="1277"/>
      <c r="E2033" s="1275">
        <f>CEILING((E2032+60*$Z$1),0.1)</f>
        <v>268.8</v>
      </c>
      <c r="F2033" s="1277"/>
      <c r="G2033" s="1353">
        <f>CEILING((G2032+60*$Z$1),0.1)</f>
        <v>202.5</v>
      </c>
      <c r="H2033" s="1354"/>
      <c r="I2033" s="1353">
        <f>CEILING((I2032+60*$Z$1),0.1)</f>
        <v>202.5</v>
      </c>
      <c r="J2033" s="1354"/>
      <c r="K2033" s="1353">
        <f>CEILING((K2032+60*$Z$1),0.1)</f>
        <v>197.5</v>
      </c>
      <c r="L2033" s="1354"/>
      <c r="M2033" s="169"/>
      <c r="Z2033" s="169"/>
      <c r="AA2033" s="169"/>
      <c r="AB2033" s="169"/>
      <c r="AC2033" s="169"/>
      <c r="AD2033" s="169"/>
      <c r="AE2033" s="169"/>
    </row>
    <row r="2034" spans="1:31" ht="24" customHeight="1" thickTop="1">
      <c r="A2034" s="283" t="s">
        <v>271</v>
      </c>
      <c r="B2034" s="173"/>
      <c r="C2034" s="173"/>
      <c r="D2034" s="173"/>
      <c r="E2034" s="173"/>
      <c r="F2034" s="173"/>
      <c r="G2034" s="173"/>
      <c r="H2034" s="173"/>
      <c r="I2034" s="173"/>
      <c r="J2034" s="126"/>
      <c r="K2034" s="318"/>
      <c r="L2034" s="314"/>
      <c r="M2034" s="169"/>
      <c r="Z2034" s="169"/>
      <c r="AA2034" s="169"/>
      <c r="AB2034" s="169"/>
      <c r="AC2034" s="169"/>
      <c r="AD2034" s="169"/>
      <c r="AE2034" s="169"/>
    </row>
    <row r="2035" spans="1:50" s="1131" customFormat="1" ht="18" customHeight="1">
      <c r="A2035" s="172"/>
      <c r="B2035" s="1020"/>
      <c r="C2035" s="22"/>
      <c r="D2035" s="22"/>
      <c r="E2035" s="22"/>
      <c r="F2035" s="22"/>
      <c r="G2035" s="22"/>
      <c r="H2035" s="22"/>
      <c r="I2035" s="22"/>
      <c r="J2035" s="22"/>
      <c r="K2035" s="1128"/>
      <c r="L2035" s="1128"/>
      <c r="M2035" s="3"/>
      <c r="N2035" s="3"/>
      <c r="O2035" s="1129"/>
      <c r="P2035" s="1129"/>
      <c r="Q2035" s="1129"/>
      <c r="R2035" s="1129"/>
      <c r="S2035" s="1130"/>
      <c r="T2035" s="1130"/>
      <c r="U2035" s="1130"/>
      <c r="V2035" s="1130"/>
      <c r="W2035" s="1130"/>
      <c r="X2035" s="1130"/>
      <c r="Y2035" s="1130"/>
      <c r="Z2035" s="1129"/>
      <c r="AA2035" s="1129"/>
      <c r="AB2035" s="1129"/>
      <c r="AC2035" s="1129"/>
      <c r="AD2035" s="1129"/>
      <c r="AE2035" s="1129"/>
      <c r="AF2035" s="1129"/>
      <c r="AG2035" s="1129"/>
      <c r="AH2035" s="1129"/>
      <c r="AI2035" s="1129"/>
      <c r="AJ2035" s="1129"/>
      <c r="AK2035" s="1129"/>
      <c r="AL2035" s="1129"/>
      <c r="AM2035" s="1129"/>
      <c r="AN2035" s="1129"/>
      <c r="AO2035" s="1129"/>
      <c r="AP2035" s="1129"/>
      <c r="AQ2035" s="1129"/>
      <c r="AR2035" s="1129"/>
      <c r="AS2035" s="1129"/>
      <c r="AT2035" s="1129"/>
      <c r="AU2035" s="1129"/>
      <c r="AV2035" s="1129"/>
      <c r="AW2035" s="1129"/>
      <c r="AX2035" s="1129"/>
    </row>
    <row r="2036" spans="1:31" s="404" customFormat="1" ht="21.75" customHeight="1" thickBot="1">
      <c r="A2036" s="283"/>
      <c r="B2036" s="173"/>
      <c r="C2036" s="300"/>
      <c r="D2036" s="300"/>
      <c r="E2036" s="300"/>
      <c r="F2036" s="300"/>
      <c r="G2036" s="300"/>
      <c r="H2036" s="300"/>
      <c r="I2036" s="300"/>
      <c r="J2036" s="64"/>
      <c r="K2036" s="318"/>
      <c r="L2036" s="314"/>
      <c r="M2036" s="169"/>
      <c r="N2036" s="169"/>
      <c r="O2036" s="169"/>
      <c r="P2036" s="169"/>
      <c r="Q2036" s="169"/>
      <c r="R2036" s="169"/>
      <c r="S2036" s="169"/>
      <c r="T2036" s="169"/>
      <c r="U2036" s="169"/>
      <c r="V2036" s="169"/>
      <c r="W2036" s="169"/>
      <c r="X2036" s="169"/>
      <c r="Y2036" s="169"/>
      <c r="Z2036" s="169"/>
      <c r="AA2036" s="169"/>
      <c r="AB2036" s="169"/>
      <c r="AC2036" s="169"/>
      <c r="AD2036" s="169"/>
      <c r="AE2036" s="169"/>
    </row>
    <row r="2037" spans="1:50" s="1037" customFormat="1" ht="30.75" customHeight="1" thickTop="1">
      <c r="A2037" s="1046" t="s">
        <v>43</v>
      </c>
      <c r="B2037" s="819" t="s">
        <v>961</v>
      </c>
      <c r="C2037" s="787" t="s">
        <v>1315</v>
      </c>
      <c r="D2037" s="788"/>
      <c r="E2037" s="765" t="s">
        <v>1150</v>
      </c>
      <c r="F2037" s="766"/>
      <c r="G2037" s="765" t="s">
        <v>1316</v>
      </c>
      <c r="H2037" s="766"/>
      <c r="I2037" s="1280" t="s">
        <v>1143</v>
      </c>
      <c r="J2037" s="1281"/>
      <c r="K2037" s="1280" t="s">
        <v>882</v>
      </c>
      <c r="L2037" s="1281"/>
      <c r="M2037" s="1016"/>
      <c r="N2037" s="1016"/>
      <c r="O2037" s="335"/>
      <c r="P2037" s="335"/>
      <c r="Q2037" s="335"/>
      <c r="R2037" s="335"/>
      <c r="S2037" s="335"/>
      <c r="T2037" s="480"/>
      <c r="U2037" s="480"/>
      <c r="V2037" s="480"/>
      <c r="W2037" s="480"/>
      <c r="X2037" s="480"/>
      <c r="Y2037" s="480"/>
      <c r="Z2037" s="479"/>
      <c r="AA2037" s="852"/>
      <c r="AB2037" s="852"/>
      <c r="AC2037" s="852"/>
      <c r="AD2037" s="852"/>
      <c r="AE2037" s="852"/>
      <c r="AF2037" s="852"/>
      <c r="AG2037" s="852"/>
      <c r="AH2037" s="852"/>
      <c r="AI2037" s="852"/>
      <c r="AJ2037" s="852"/>
      <c r="AK2037" s="852"/>
      <c r="AL2037" s="852"/>
      <c r="AM2037" s="852"/>
      <c r="AN2037" s="852"/>
      <c r="AO2037" s="852"/>
      <c r="AP2037" s="852"/>
      <c r="AQ2037" s="852"/>
      <c r="AR2037" s="852"/>
      <c r="AS2037" s="1036"/>
      <c r="AT2037" s="1036"/>
      <c r="AU2037" s="1036"/>
      <c r="AV2037" s="1036"/>
      <c r="AW2037" s="1036"/>
      <c r="AX2037" s="1036"/>
    </row>
    <row r="2038" spans="1:31" ht="20.25" customHeight="1">
      <c r="A2038" s="34" t="s">
        <v>380</v>
      </c>
      <c r="B2038" s="77" t="s">
        <v>51</v>
      </c>
      <c r="C2038" s="1304">
        <f>CEILING(30*$Z$1,0.1)</f>
        <v>37.5</v>
      </c>
      <c r="D2038" s="1305"/>
      <c r="E2038" s="1304">
        <f>CEILING(35*$Z$1,0.1)</f>
        <v>43.800000000000004</v>
      </c>
      <c r="F2038" s="1305"/>
      <c r="G2038" s="1304">
        <f>CEILING(35*$Z$1,0.1)</f>
        <v>43.800000000000004</v>
      </c>
      <c r="H2038" s="1305"/>
      <c r="I2038" s="1304">
        <f>CEILING(35*$Z$1,0.1)</f>
        <v>43.800000000000004</v>
      </c>
      <c r="J2038" s="1305"/>
      <c r="K2038" s="1304">
        <f>CEILING(30*$Z$1,0.1)</f>
        <v>37.5</v>
      </c>
      <c r="L2038" s="1305"/>
      <c r="M2038" s="169"/>
      <c r="Z2038" s="169"/>
      <c r="AA2038" s="169"/>
      <c r="AB2038" s="169"/>
      <c r="AC2038" s="169"/>
      <c r="AD2038" s="169"/>
      <c r="AE2038" s="169"/>
    </row>
    <row r="2039" spans="1:31" ht="15">
      <c r="A2039" s="35" t="s">
        <v>90</v>
      </c>
      <c r="B2039" s="29" t="s">
        <v>52</v>
      </c>
      <c r="C2039" s="1302">
        <f>CEILING((C2038+8*$Z$1),0.1)</f>
        <v>47.5</v>
      </c>
      <c r="D2039" s="1303"/>
      <c r="E2039" s="1302">
        <f>CEILING((E2038+8*$Z$1),0.1)</f>
        <v>53.800000000000004</v>
      </c>
      <c r="F2039" s="1303"/>
      <c r="G2039" s="1302">
        <f>CEILING((G2038+8*$Z$1),0.1)</f>
        <v>53.800000000000004</v>
      </c>
      <c r="H2039" s="1303"/>
      <c r="I2039" s="1302">
        <f>CEILING((I2038+8*$Z$1),0.1)</f>
        <v>53.800000000000004</v>
      </c>
      <c r="J2039" s="1303"/>
      <c r="K2039" s="1302">
        <f>CEILING((K2038+6*$Z$1),0.1)</f>
        <v>45</v>
      </c>
      <c r="L2039" s="1303"/>
      <c r="M2039" s="169"/>
      <c r="Z2039" s="169"/>
      <c r="AA2039" s="169"/>
      <c r="AB2039" s="169"/>
      <c r="AC2039" s="169"/>
      <c r="AD2039" s="169"/>
      <c r="AE2039" s="169"/>
    </row>
    <row r="2040" spans="1:31" ht="15">
      <c r="A2040" s="645" t="s">
        <v>1314</v>
      </c>
      <c r="B2040" s="11" t="s">
        <v>79</v>
      </c>
      <c r="C2040" s="1302">
        <f>CEILING((C2038*0.85),0.1)</f>
        <v>31.900000000000002</v>
      </c>
      <c r="D2040" s="1303"/>
      <c r="E2040" s="1302">
        <f>CEILING((E2038*0.85),0.1)</f>
        <v>37.300000000000004</v>
      </c>
      <c r="F2040" s="1303"/>
      <c r="G2040" s="1302">
        <f>CEILING((G2038*0.85),0.1)</f>
        <v>37.300000000000004</v>
      </c>
      <c r="H2040" s="1303"/>
      <c r="I2040" s="1302">
        <f>CEILING((I2038*0.85),0.1)</f>
        <v>37.300000000000004</v>
      </c>
      <c r="J2040" s="1303"/>
      <c r="K2040" s="1302">
        <f>CEILING((K2038*0.85),0.1)</f>
        <v>31.900000000000002</v>
      </c>
      <c r="L2040" s="1303"/>
      <c r="N2040"/>
      <c r="O2040"/>
      <c r="P2040"/>
      <c r="Q2040"/>
      <c r="R2040"/>
      <c r="S2040"/>
      <c r="T2040"/>
      <c r="U2040"/>
      <c r="V2040"/>
      <c r="W2040"/>
      <c r="X2040"/>
      <c r="Y2040"/>
      <c r="AE2040" s="169"/>
    </row>
    <row r="2041" spans="1:31" ht="15.75" thickBot="1">
      <c r="A2041" s="79" t="s">
        <v>451</v>
      </c>
      <c r="B2041" s="371" t="s">
        <v>91</v>
      </c>
      <c r="C2041" s="1290">
        <f>CEILING((C2038*0),0.1)</f>
        <v>0</v>
      </c>
      <c r="D2041" s="1291"/>
      <c r="E2041" s="1290">
        <f>CEILING((E2038*0),0.1)</f>
        <v>0</v>
      </c>
      <c r="F2041" s="1291"/>
      <c r="G2041" s="1290">
        <f>CEILING((G2038*0),0.1)</f>
        <v>0</v>
      </c>
      <c r="H2041" s="1291"/>
      <c r="I2041" s="1290">
        <f>CEILING((I2038*0),0.1)</f>
        <v>0</v>
      </c>
      <c r="J2041" s="1291"/>
      <c r="K2041" s="1290">
        <f>CEILING((K2038*0),0.1)</f>
        <v>0</v>
      </c>
      <c r="L2041" s="1291"/>
      <c r="N2041"/>
      <c r="O2041"/>
      <c r="P2041"/>
      <c r="Q2041"/>
      <c r="R2041"/>
      <c r="S2041"/>
      <c r="T2041"/>
      <c r="U2041"/>
      <c r="V2041"/>
      <c r="W2041"/>
      <c r="X2041"/>
      <c r="Y2041"/>
      <c r="AE2041" s="169"/>
    </row>
    <row r="2042" spans="1:72" s="1081" customFormat="1" ht="19.5" customHeight="1" thickTop="1">
      <c r="A2042" s="1013"/>
      <c r="B2042" s="1079"/>
      <c r="C2042" s="1013"/>
      <c r="D2042" s="1013"/>
      <c r="E2042" s="1013"/>
      <c r="F2042" s="1013"/>
      <c r="G2042" s="1013"/>
      <c r="H2042" s="1013"/>
      <c r="I2042" s="1013"/>
      <c r="J2042" s="1013"/>
      <c r="K2042" s="1080"/>
      <c r="L2042" s="1080"/>
      <c r="M2042" s="1082"/>
      <c r="N2042" s="1082"/>
      <c r="O2042" s="1082"/>
      <c r="P2042" s="1082"/>
      <c r="Q2042" s="1082"/>
      <c r="R2042" s="1082"/>
      <c r="S2042" s="1082"/>
      <c r="T2042" s="1082"/>
      <c r="U2042" s="1082"/>
      <c r="V2042" s="1082"/>
      <c r="W2042" s="1082"/>
      <c r="X2042" s="1082"/>
      <c r="Y2042" s="1082"/>
      <c r="Z2042" s="1082"/>
      <c r="AA2042" s="1082"/>
      <c r="AB2042" s="1082"/>
      <c r="AC2042" s="1082"/>
      <c r="AD2042" s="1082"/>
      <c r="AE2042" s="1082"/>
      <c r="AF2042" s="1082"/>
      <c r="AG2042" s="1082"/>
      <c r="AH2042" s="1082"/>
      <c r="AI2042" s="1082"/>
      <c r="AJ2042" s="1082"/>
      <c r="AK2042" s="1082"/>
      <c r="AL2042" s="1082"/>
      <c r="AM2042" s="1082"/>
      <c r="AN2042" s="1082"/>
      <c r="AO2042" s="1082"/>
      <c r="AP2042" s="1082"/>
      <c r="AQ2042" s="1082"/>
      <c r="AR2042" s="1082"/>
      <c r="AS2042" s="1082"/>
      <c r="AT2042" s="1082"/>
      <c r="AU2042" s="1082"/>
      <c r="AV2042" s="1082"/>
      <c r="AW2042" s="1082"/>
      <c r="AX2042" s="1082"/>
      <c r="AY2042" s="1082"/>
      <c r="AZ2042" s="1082"/>
      <c r="BA2042" s="1082"/>
      <c r="BB2042" s="1082"/>
      <c r="BC2042" s="1082"/>
      <c r="BD2042" s="1082"/>
      <c r="BE2042" s="1082"/>
      <c r="BF2042" s="1082"/>
      <c r="BG2042" s="1082"/>
      <c r="BH2042" s="1082"/>
      <c r="BI2042" s="1082"/>
      <c r="BJ2042" s="1082"/>
      <c r="BK2042" s="1082"/>
      <c r="BL2042" s="1082"/>
      <c r="BM2042" s="1082"/>
      <c r="BN2042" s="1082"/>
      <c r="BO2042" s="1082"/>
      <c r="BP2042" s="1082"/>
      <c r="BQ2042" s="1082"/>
      <c r="BR2042" s="1082"/>
      <c r="BS2042" s="1082"/>
      <c r="BT2042" s="1082"/>
    </row>
    <row r="2043" spans="1:31" s="192" customFormat="1" ht="19.5" customHeight="1" hidden="1">
      <c r="A2043" s="172"/>
      <c r="B2043" s="50"/>
      <c r="C2043" s="3"/>
      <c r="D2043" s="427"/>
      <c r="E2043" s="427"/>
      <c r="F2043" s="427"/>
      <c r="G2043" s="427"/>
      <c r="H2043" s="273"/>
      <c r="I2043" s="427"/>
      <c r="J2043" s="273"/>
      <c r="K2043" s="635"/>
      <c r="L2043" s="166"/>
      <c r="AE2043" s="481"/>
    </row>
    <row r="2044" spans="1:31" s="192" customFormat="1" ht="20.25" customHeight="1">
      <c r="A2044" s="1531" t="s">
        <v>1229</v>
      </c>
      <c r="B2044" s="1531"/>
      <c r="C2044" s="1531"/>
      <c r="D2044" s="1531"/>
      <c r="E2044" s="1531"/>
      <c r="F2044" s="1531"/>
      <c r="G2044" s="1531"/>
      <c r="H2044" s="1532"/>
      <c r="I2044" s="3"/>
      <c r="J2044" s="1016"/>
      <c r="K2044" s="315"/>
      <c r="L2044" s="166"/>
      <c r="AE2044" s="481"/>
    </row>
    <row r="2045" spans="1:31" ht="20.25" customHeight="1">
      <c r="A2045" s="283"/>
      <c r="B2045" s="173"/>
      <c r="C2045" s="173"/>
      <c r="D2045" s="173"/>
      <c r="E2045" s="173"/>
      <c r="F2045" s="173"/>
      <c r="G2045" s="173"/>
      <c r="H2045" s="173"/>
      <c r="I2045" s="173"/>
      <c r="J2045" s="126"/>
      <c r="K2045" s="318"/>
      <c r="L2045" s="314"/>
      <c r="N2045"/>
      <c r="O2045"/>
      <c r="P2045"/>
      <c r="Q2045"/>
      <c r="R2045"/>
      <c r="S2045"/>
      <c r="T2045"/>
      <c r="U2045"/>
      <c r="V2045"/>
      <c r="W2045"/>
      <c r="X2045"/>
      <c r="Y2045"/>
      <c r="AE2045" s="169"/>
    </row>
    <row r="2046" spans="1:31" ht="20.25" customHeight="1">
      <c r="A2046" s="1526" t="s">
        <v>183</v>
      </c>
      <c r="B2046" s="1526"/>
      <c r="C2046" s="154"/>
      <c r="D2046" s="154"/>
      <c r="E2046" s="154"/>
      <c r="F2046" s="154"/>
      <c r="G2046" s="154"/>
      <c r="H2046" s="154"/>
      <c r="I2046" s="146"/>
      <c r="J2046" s="146"/>
      <c r="K2046" s="318"/>
      <c r="L2046" s="314"/>
      <c r="N2046"/>
      <c r="O2046"/>
      <c r="P2046"/>
      <c r="Q2046"/>
      <c r="R2046"/>
      <c r="S2046"/>
      <c r="T2046"/>
      <c r="U2046"/>
      <c r="V2046"/>
      <c r="W2046"/>
      <c r="X2046"/>
      <c r="Y2046"/>
      <c r="AE2046" s="169"/>
    </row>
    <row r="2047" spans="1:31" ht="21" customHeight="1">
      <c r="A2047" s="1528" t="s">
        <v>241</v>
      </c>
      <c r="B2047" s="1528"/>
      <c r="C2047" s="154"/>
      <c r="D2047" s="154"/>
      <c r="E2047" s="154"/>
      <c r="F2047" s="154"/>
      <c r="G2047" s="154"/>
      <c r="H2047" s="154"/>
      <c r="I2047" s="146"/>
      <c r="J2047" s="146"/>
      <c r="K2047" s="318"/>
      <c r="L2047" s="314"/>
      <c r="N2047"/>
      <c r="O2047"/>
      <c r="P2047"/>
      <c r="Q2047"/>
      <c r="R2047"/>
      <c r="S2047"/>
      <c r="T2047"/>
      <c r="U2047"/>
      <c r="V2047"/>
      <c r="W2047"/>
      <c r="X2047"/>
      <c r="Y2047"/>
      <c r="AE2047" s="169"/>
    </row>
    <row r="2048" spans="1:31" ht="21" customHeight="1">
      <c r="A2048" s="1527" t="s">
        <v>184</v>
      </c>
      <c r="B2048" s="1527"/>
      <c r="C2048" s="154"/>
      <c r="D2048" s="154"/>
      <c r="E2048" s="154"/>
      <c r="F2048" s="154"/>
      <c r="G2048" s="154"/>
      <c r="H2048" s="154"/>
      <c r="I2048" s="146"/>
      <c r="J2048" s="146"/>
      <c r="K2048" s="314"/>
      <c r="L2048" s="314"/>
      <c r="N2048"/>
      <c r="O2048"/>
      <c r="P2048"/>
      <c r="Q2048"/>
      <c r="R2048"/>
      <c r="S2048"/>
      <c r="T2048"/>
      <c r="U2048"/>
      <c r="V2048"/>
      <c r="W2048"/>
      <c r="X2048"/>
      <c r="Y2048"/>
      <c r="AE2048" s="169"/>
    </row>
    <row r="2049" spans="1:31" ht="15.75" thickBot="1">
      <c r="A2049" s="336"/>
      <c r="B2049" s="336"/>
      <c r="C2049" s="154"/>
      <c r="D2049" s="154"/>
      <c r="E2049" s="154"/>
      <c r="F2049" s="154"/>
      <c r="G2049" s="154"/>
      <c r="H2049" s="154"/>
      <c r="I2049" s="146"/>
      <c r="J2049" s="146"/>
      <c r="K2049"/>
      <c r="L2049"/>
      <c r="N2049"/>
      <c r="O2049"/>
      <c r="P2049"/>
      <c r="Q2049"/>
      <c r="R2049"/>
      <c r="S2049"/>
      <c r="T2049"/>
      <c r="U2049"/>
      <c r="V2049"/>
      <c r="W2049"/>
      <c r="X2049"/>
      <c r="Y2049"/>
      <c r="AE2049" s="169"/>
    </row>
    <row r="2050" spans="1:31" ht="22.5" customHeight="1" thickBot="1">
      <c r="A2050" s="338" t="s">
        <v>285</v>
      </c>
      <c r="B2050" s="339"/>
      <c r="C2050" s="340"/>
      <c r="D2050" s="340"/>
      <c r="E2050" s="340"/>
      <c r="F2050" s="340"/>
      <c r="G2050" s="340"/>
      <c r="H2050" s="340"/>
      <c r="I2050" s="1083"/>
      <c r="J2050" s="146"/>
      <c r="K2050"/>
      <c r="L2050"/>
      <c r="N2050"/>
      <c r="O2050"/>
      <c r="P2050"/>
      <c r="Q2050"/>
      <c r="R2050"/>
      <c r="S2050"/>
      <c r="T2050"/>
      <c r="U2050"/>
      <c r="V2050"/>
      <c r="W2050"/>
      <c r="X2050"/>
      <c r="Y2050"/>
      <c r="AE2050" s="169"/>
    </row>
    <row r="2051" spans="1:31" ht="21.75" customHeight="1">
      <c r="A2051" s="1540" t="s">
        <v>185</v>
      </c>
      <c r="B2051" s="1541"/>
      <c r="C2051" s="1541"/>
      <c r="D2051" s="337"/>
      <c r="E2051" s="337"/>
      <c r="F2051" s="337"/>
      <c r="G2051" s="337"/>
      <c r="H2051" s="337"/>
      <c r="I2051" s="1084"/>
      <c r="J2051" s="146"/>
      <c r="K2051"/>
      <c r="L2051"/>
      <c r="N2051"/>
      <c r="O2051"/>
      <c r="P2051"/>
      <c r="Q2051"/>
      <c r="R2051"/>
      <c r="S2051"/>
      <c r="T2051"/>
      <c r="U2051"/>
      <c r="V2051"/>
      <c r="W2051"/>
      <c r="X2051"/>
      <c r="Y2051"/>
      <c r="AE2051" s="169"/>
    </row>
    <row r="2052" spans="1:31" ht="18" customHeight="1">
      <c r="A2052" s="1535" t="s">
        <v>186</v>
      </c>
      <c r="B2052" s="1536"/>
      <c r="C2052" s="1536"/>
      <c r="D2052" s="1536"/>
      <c r="E2052" s="1536"/>
      <c r="F2052" s="1536"/>
      <c r="G2052" s="1536"/>
      <c r="H2052" s="1536"/>
      <c r="I2052" s="1537"/>
      <c r="J2052" s="301"/>
      <c r="K2052"/>
      <c r="L2052"/>
      <c r="N2052"/>
      <c r="O2052"/>
      <c r="P2052"/>
      <c r="Q2052"/>
      <c r="R2052"/>
      <c r="S2052"/>
      <c r="T2052"/>
      <c r="U2052"/>
      <c r="V2052"/>
      <c r="W2052"/>
      <c r="X2052"/>
      <c r="Y2052"/>
      <c r="AE2052" s="169"/>
    </row>
    <row r="2053" spans="1:31" ht="30" customHeight="1">
      <c r="A2053" s="1540" t="s">
        <v>187</v>
      </c>
      <c r="B2053" s="1541"/>
      <c r="C2053" s="1541"/>
      <c r="D2053" s="337"/>
      <c r="E2053" s="337"/>
      <c r="F2053" s="337"/>
      <c r="G2053" s="337"/>
      <c r="H2053" s="337"/>
      <c r="I2053" s="1084"/>
      <c r="J2053" s="146"/>
      <c r="K2053"/>
      <c r="L2053"/>
      <c r="N2053"/>
      <c r="O2053"/>
      <c r="P2053"/>
      <c r="Q2053"/>
      <c r="R2053"/>
      <c r="S2053"/>
      <c r="T2053"/>
      <c r="U2053"/>
      <c r="V2053"/>
      <c r="W2053"/>
      <c r="X2053"/>
      <c r="Y2053"/>
      <c r="AE2053" s="169"/>
    </row>
    <row r="2054" spans="1:31" ht="37.5" customHeight="1">
      <c r="A2054" s="1529" t="s">
        <v>21</v>
      </c>
      <c r="B2054" s="1530"/>
      <c r="C2054" s="1530"/>
      <c r="D2054" s="1530"/>
      <c r="E2054" s="1530"/>
      <c r="F2054" s="1530"/>
      <c r="G2054" s="1530"/>
      <c r="H2054" s="1530"/>
      <c r="I2054" s="1084"/>
      <c r="J2054" s="146"/>
      <c r="K2054"/>
      <c r="L2054"/>
      <c r="N2054"/>
      <c r="O2054"/>
      <c r="P2054"/>
      <c r="Q2054"/>
      <c r="R2054"/>
      <c r="S2054"/>
      <c r="T2054"/>
      <c r="U2054"/>
      <c r="V2054"/>
      <c r="W2054"/>
      <c r="X2054"/>
      <c r="Y2054"/>
      <c r="AE2054" s="169"/>
    </row>
    <row r="2055" spans="1:54" s="1135" customFormat="1" ht="27" customHeight="1" thickBot="1">
      <c r="A2055" s="1522" t="s">
        <v>1205</v>
      </c>
      <c r="B2055" s="1523"/>
      <c r="C2055" s="1523"/>
      <c r="D2055" s="1523"/>
      <c r="E2055" s="1523"/>
      <c r="F2055" s="1523"/>
      <c r="G2055" s="1523"/>
      <c r="H2055" s="1523"/>
      <c r="I2055" s="1132"/>
      <c r="J2055" s="1133"/>
      <c r="K2055" s="1134"/>
      <c r="L2055" s="1134"/>
      <c r="M2055" s="1134"/>
      <c r="N2055" s="1134"/>
      <c r="O2055" s="1134"/>
      <c r="P2055" s="1134"/>
      <c r="Q2055" s="1134"/>
      <c r="R2055" s="1134"/>
      <c r="S2055" s="1134"/>
      <c r="T2055" s="1134"/>
      <c r="U2055" s="1134"/>
      <c r="V2055" s="1134"/>
      <c r="W2055" s="1134"/>
      <c r="X2055" s="1134"/>
      <c r="Y2055" s="1134"/>
      <c r="Z2055" s="1134"/>
      <c r="AA2055" s="1134"/>
      <c r="AB2055" s="1134"/>
      <c r="AC2055" s="1134"/>
      <c r="AD2055" s="1134"/>
      <c r="AE2055" s="1134"/>
      <c r="AF2055" s="1134"/>
      <c r="AG2055" s="1134"/>
      <c r="AH2055" s="1134"/>
      <c r="AI2055" s="1134"/>
      <c r="AJ2055" s="1134"/>
      <c r="AK2055" s="1134"/>
      <c r="AL2055" s="1134"/>
      <c r="AM2055" s="1134"/>
      <c r="AN2055" s="1134"/>
      <c r="AO2055" s="1134"/>
      <c r="AP2055" s="1134"/>
      <c r="AQ2055" s="1134"/>
      <c r="AR2055" s="1134"/>
      <c r="AS2055" s="1134"/>
      <c r="AT2055" s="1134"/>
      <c r="AU2055" s="1134"/>
      <c r="AV2055" s="1134"/>
      <c r="AW2055" s="1134"/>
      <c r="AX2055" s="1134"/>
      <c r="AY2055" s="1134"/>
      <c r="AZ2055" s="1134"/>
      <c r="BA2055" s="1098"/>
      <c r="BB2055" s="1098"/>
    </row>
    <row r="2056" spans="1:31" ht="15">
      <c r="A2056" s="1525" t="s">
        <v>1224</v>
      </c>
      <c r="B2056" s="1525"/>
      <c r="C2056" s="1525"/>
      <c r="D2056" s="1525"/>
      <c r="E2056" s="1525"/>
      <c r="F2056" s="1525"/>
      <c r="G2056" s="1525"/>
      <c r="H2056" s="1525"/>
      <c r="I2056" s="1525"/>
      <c r="J2056" s="1525"/>
      <c r="K2056"/>
      <c r="L2056"/>
      <c r="N2056"/>
      <c r="O2056"/>
      <c r="P2056"/>
      <c r="Q2056"/>
      <c r="R2056"/>
      <c r="S2056"/>
      <c r="T2056"/>
      <c r="U2056"/>
      <c r="V2056"/>
      <c r="W2056"/>
      <c r="X2056"/>
      <c r="Y2056"/>
      <c r="AE2056" s="169"/>
    </row>
    <row r="2057" spans="1:31" ht="20.25" customHeight="1">
      <c r="A2057" s="1525" t="s">
        <v>1225</v>
      </c>
      <c r="B2057" s="1525"/>
      <c r="C2057" s="1525"/>
      <c r="D2057" s="1525"/>
      <c r="E2057" s="1525"/>
      <c r="F2057" s="1525"/>
      <c r="G2057" s="1525"/>
      <c r="H2057" s="1525"/>
      <c r="I2057" s="1525"/>
      <c r="J2057" s="1525"/>
      <c r="K2057"/>
      <c r="L2057"/>
      <c r="N2057"/>
      <c r="O2057"/>
      <c r="P2057"/>
      <c r="Q2057"/>
      <c r="R2057"/>
      <c r="S2057"/>
      <c r="T2057"/>
      <c r="U2057"/>
      <c r="V2057"/>
      <c r="W2057"/>
      <c r="X2057"/>
      <c r="Y2057"/>
      <c r="AE2057" s="169"/>
    </row>
    <row r="2058" spans="1:31" ht="17.25" customHeight="1">
      <c r="A2058" s="1525" t="s">
        <v>1226</v>
      </c>
      <c r="B2058" s="1525"/>
      <c r="C2058" s="1525"/>
      <c r="D2058" s="1525"/>
      <c r="E2058" s="1525"/>
      <c r="F2058" s="1525"/>
      <c r="G2058" s="1525"/>
      <c r="H2058" s="1525"/>
      <c r="I2058" s="1525"/>
      <c r="J2058" s="1525"/>
      <c r="K2058"/>
      <c r="L2058"/>
      <c r="N2058"/>
      <c r="O2058"/>
      <c r="P2058"/>
      <c r="Q2058"/>
      <c r="R2058"/>
      <c r="S2058"/>
      <c r="T2058"/>
      <c r="U2058"/>
      <c r="V2058"/>
      <c r="W2058"/>
      <c r="X2058"/>
      <c r="Y2058"/>
      <c r="AE2058" s="169"/>
    </row>
    <row r="2059" spans="1:31" ht="18.75" customHeight="1">
      <c r="A2059" s="1525" t="s">
        <v>1227</v>
      </c>
      <c r="B2059" s="1525"/>
      <c r="C2059" s="1525"/>
      <c r="D2059" s="1525"/>
      <c r="E2059" s="1525"/>
      <c r="F2059" s="1525"/>
      <c r="G2059" s="1525"/>
      <c r="H2059" s="1525"/>
      <c r="I2059" s="1525"/>
      <c r="J2059" s="1525"/>
      <c r="K2059"/>
      <c r="L2059"/>
      <c r="N2059"/>
      <c r="O2059"/>
      <c r="P2059"/>
      <c r="Q2059"/>
      <c r="R2059"/>
      <c r="S2059"/>
      <c r="T2059"/>
      <c r="U2059"/>
      <c r="V2059"/>
      <c r="W2059"/>
      <c r="X2059"/>
      <c r="Y2059"/>
      <c r="AE2059" s="169"/>
    </row>
    <row r="2060" spans="1:31" ht="19.5" customHeight="1">
      <c r="A2060" s="1525" t="s">
        <v>1242</v>
      </c>
      <c r="B2060" s="1525"/>
      <c r="C2060" s="1525"/>
      <c r="D2060" s="1525"/>
      <c r="E2060" s="1525"/>
      <c r="F2060" s="1525"/>
      <c r="G2060" s="1525"/>
      <c r="H2060" s="1525"/>
      <c r="I2060" s="1525"/>
      <c r="J2060" s="1525"/>
      <c r="K2060"/>
      <c r="L2060"/>
      <c r="N2060"/>
      <c r="O2060"/>
      <c r="P2060"/>
      <c r="Q2060"/>
      <c r="R2060"/>
      <c r="S2060"/>
      <c r="T2060"/>
      <c r="U2060"/>
      <c r="V2060"/>
      <c r="W2060"/>
      <c r="X2060"/>
      <c r="Y2060"/>
      <c r="AE2060" s="169"/>
    </row>
    <row r="2061" spans="1:31" ht="15">
      <c r="A2061" s="331"/>
      <c r="B2061" s="331"/>
      <c r="C2061" s="331"/>
      <c r="D2061" s="331"/>
      <c r="E2061" s="331"/>
      <c r="F2061" s="331"/>
      <c r="G2061" s="331"/>
      <c r="H2061" s="331"/>
      <c r="I2061" s="331"/>
      <c r="J2061" s="331"/>
      <c r="K2061"/>
      <c r="L2061"/>
      <c r="N2061"/>
      <c r="O2061"/>
      <c r="P2061"/>
      <c r="Q2061"/>
      <c r="R2061"/>
      <c r="S2061"/>
      <c r="T2061"/>
      <c r="U2061"/>
      <c r="V2061"/>
      <c r="W2061"/>
      <c r="X2061"/>
      <c r="Y2061"/>
      <c r="AE2061" s="169"/>
    </row>
    <row r="2062" spans="1:25" ht="15.75">
      <c r="A2062" s="1151" t="s">
        <v>1228</v>
      </c>
      <c r="B2062" s="331"/>
      <c r="C2062" s="331"/>
      <c r="D2062" s="331"/>
      <c r="E2062" s="331"/>
      <c r="F2062" s="331"/>
      <c r="G2062" s="345"/>
      <c r="H2062" s="345"/>
      <c r="K2062"/>
      <c r="L2062"/>
      <c r="N2062"/>
      <c r="O2062"/>
      <c r="P2062"/>
      <c r="Q2062"/>
      <c r="R2062"/>
      <c r="S2062"/>
      <c r="T2062"/>
      <c r="U2062"/>
      <c r="V2062"/>
      <c r="W2062"/>
      <c r="X2062"/>
      <c r="Y2062"/>
    </row>
    <row r="2063" spans="1:25" ht="15">
      <c r="A2063" s="1524" t="s">
        <v>462</v>
      </c>
      <c r="B2063" s="1524"/>
      <c r="C2063" s="1524"/>
      <c r="D2063" s="1524"/>
      <c r="E2063" s="1524"/>
      <c r="F2063" s="1524"/>
      <c r="G2063" s="1524"/>
      <c r="H2063" s="1524"/>
      <c r="K2063"/>
      <c r="L2063"/>
      <c r="N2063"/>
      <c r="O2063"/>
      <c r="P2063"/>
      <c r="Q2063"/>
      <c r="R2063"/>
      <c r="S2063"/>
      <c r="T2063"/>
      <c r="U2063"/>
      <c r="V2063"/>
      <c r="W2063"/>
      <c r="X2063"/>
      <c r="Y2063"/>
    </row>
    <row r="2064" spans="1:25" ht="15">
      <c r="A2064" s="1524" t="s">
        <v>463</v>
      </c>
      <c r="B2064" s="1524"/>
      <c r="C2064" s="1524"/>
      <c r="D2064" s="1524"/>
      <c r="E2064" s="1524"/>
      <c r="F2064" s="1524"/>
      <c r="G2064" s="1524"/>
      <c r="H2064" s="1524"/>
      <c r="K2064"/>
      <c r="L2064"/>
      <c r="N2064"/>
      <c r="O2064"/>
      <c r="P2064"/>
      <c r="Q2064"/>
      <c r="R2064"/>
      <c r="S2064"/>
      <c r="T2064"/>
      <c r="U2064"/>
      <c r="V2064"/>
      <c r="W2064"/>
      <c r="X2064"/>
      <c r="Y2064"/>
    </row>
    <row r="2065" spans="1:25" ht="15">
      <c r="A2065" s="1524" t="s">
        <v>464</v>
      </c>
      <c r="B2065" s="1524"/>
      <c r="C2065" s="1524"/>
      <c r="D2065" s="1524"/>
      <c r="E2065" s="1524"/>
      <c r="F2065" s="1524"/>
      <c r="G2065" s="1524"/>
      <c r="H2065" s="1524"/>
      <c r="K2065"/>
      <c r="L2065"/>
      <c r="N2065"/>
      <c r="O2065"/>
      <c r="P2065"/>
      <c r="Q2065"/>
      <c r="R2065"/>
      <c r="S2065"/>
      <c r="T2065"/>
      <c r="U2065"/>
      <c r="V2065"/>
      <c r="W2065"/>
      <c r="X2065"/>
      <c r="Y2065"/>
    </row>
    <row r="2066" spans="1:25" ht="15">
      <c r="A2066" s="1524" t="s">
        <v>473</v>
      </c>
      <c r="B2066" s="1524"/>
      <c r="C2066" s="1524"/>
      <c r="D2066" s="1524"/>
      <c r="E2066" s="1524"/>
      <c r="F2066" s="1524"/>
      <c r="G2066" s="1524"/>
      <c r="H2066" s="1524"/>
      <c r="I2066" s="1301"/>
      <c r="J2066" s="404"/>
      <c r="K2066"/>
      <c r="L2066"/>
      <c r="N2066"/>
      <c r="O2066"/>
      <c r="P2066"/>
      <c r="Q2066"/>
      <c r="R2066"/>
      <c r="S2066"/>
      <c r="T2066"/>
      <c r="U2066"/>
      <c r="V2066"/>
      <c r="W2066"/>
      <c r="X2066"/>
      <c r="Y2066"/>
    </row>
    <row r="2067" spans="1:25" ht="15">
      <c r="A2067" s="446"/>
      <c r="B2067" s="446"/>
      <c r="C2067" s="446"/>
      <c r="D2067" s="446"/>
      <c r="E2067" s="446"/>
      <c r="F2067" s="446"/>
      <c r="G2067" s="446"/>
      <c r="H2067" s="446"/>
      <c r="I2067" s="444"/>
      <c r="J2067" s="404"/>
      <c r="K2067"/>
      <c r="L2067"/>
      <c r="N2067"/>
      <c r="O2067"/>
      <c r="P2067"/>
      <c r="Q2067"/>
      <c r="R2067"/>
      <c r="S2067"/>
      <c r="T2067"/>
      <c r="U2067"/>
      <c r="V2067"/>
      <c r="W2067"/>
      <c r="X2067"/>
      <c r="Y2067"/>
    </row>
    <row r="2068" spans="1:25" ht="15">
      <c r="A2068" s="446" t="s">
        <v>738</v>
      </c>
      <c r="B2068" s="446"/>
      <c r="C2068" s="446"/>
      <c r="D2068" s="446"/>
      <c r="E2068" s="446"/>
      <c r="F2068" s="446"/>
      <c r="G2068" s="447"/>
      <c r="H2068" s="447"/>
      <c r="K2068"/>
      <c r="L2068"/>
      <c r="N2068"/>
      <c r="O2068"/>
      <c r="P2068"/>
      <c r="Q2068"/>
      <c r="R2068"/>
      <c r="S2068"/>
      <c r="T2068"/>
      <c r="U2068"/>
      <c r="V2068"/>
      <c r="W2068"/>
      <c r="X2068"/>
      <c r="Y2068"/>
    </row>
    <row r="2069" spans="1:25" ht="15">
      <c r="A2069" s="446" t="s">
        <v>739</v>
      </c>
      <c r="B2069" s="446"/>
      <c r="C2069" s="446"/>
      <c r="D2069" s="446"/>
      <c r="E2069" s="446"/>
      <c r="F2069" s="446"/>
      <c r="G2069" s="447"/>
      <c r="H2069" s="447"/>
      <c r="K2069"/>
      <c r="L2069"/>
      <c r="N2069"/>
      <c r="O2069"/>
      <c r="P2069"/>
      <c r="Q2069"/>
      <c r="R2069"/>
      <c r="S2069"/>
      <c r="T2069"/>
      <c r="U2069"/>
      <c r="V2069"/>
      <c r="W2069"/>
      <c r="X2069"/>
      <c r="Y2069"/>
    </row>
    <row r="2070" spans="1:25" ht="15">
      <c r="A2070" s="446" t="s">
        <v>740</v>
      </c>
      <c r="B2070" s="446"/>
      <c r="C2070" s="446"/>
      <c r="D2070" s="446"/>
      <c r="E2070" s="446"/>
      <c r="F2070" s="446"/>
      <c r="G2070" s="447"/>
      <c r="H2070" s="447"/>
      <c r="K2070"/>
      <c r="L2070"/>
      <c r="N2070"/>
      <c r="O2070"/>
      <c r="P2070"/>
      <c r="Q2070"/>
      <c r="R2070"/>
      <c r="S2070"/>
      <c r="T2070"/>
      <c r="U2070"/>
      <c r="V2070"/>
      <c r="W2070"/>
      <c r="X2070"/>
      <c r="Y2070"/>
    </row>
    <row r="2071" spans="1:25" ht="15">
      <c r="A2071" s="446" t="s">
        <v>741</v>
      </c>
      <c r="B2071" s="331"/>
      <c r="C2071" s="331"/>
      <c r="D2071" s="331"/>
      <c r="E2071" s="331"/>
      <c r="F2071" s="331"/>
      <c r="G2071" s="331"/>
      <c r="H2071" s="331"/>
      <c r="K2071"/>
      <c r="L2071"/>
      <c r="N2071"/>
      <c r="O2071"/>
      <c r="P2071"/>
      <c r="Q2071"/>
      <c r="R2071"/>
      <c r="S2071"/>
      <c r="T2071"/>
      <c r="U2071"/>
      <c r="V2071"/>
      <c r="W2071"/>
      <c r="X2071"/>
      <c r="Y2071"/>
    </row>
    <row r="2072" spans="1:25" ht="15">
      <c r="A2072" s="331"/>
      <c r="B2072" s="331"/>
      <c r="C2072" s="331"/>
      <c r="D2072" s="331"/>
      <c r="E2072" s="331"/>
      <c r="F2072" s="331"/>
      <c r="G2072" s="331"/>
      <c r="H2072" s="331"/>
      <c r="K2072"/>
      <c r="L2072"/>
      <c r="N2072"/>
      <c r="O2072"/>
      <c r="P2072"/>
      <c r="Q2072"/>
      <c r="R2072"/>
      <c r="S2072"/>
      <c r="T2072"/>
      <c r="U2072"/>
      <c r="V2072"/>
      <c r="W2072"/>
      <c r="X2072"/>
      <c r="Y2072"/>
    </row>
    <row r="2073" spans="1:25" ht="15.75">
      <c r="A2073" s="445" t="s">
        <v>465</v>
      </c>
      <c r="B2073" s="331"/>
      <c r="C2073" s="331"/>
      <c r="D2073" s="331"/>
      <c r="E2073" s="331"/>
      <c r="F2073" s="331"/>
      <c r="G2073" s="345"/>
      <c r="H2073" s="345"/>
      <c r="K2073"/>
      <c r="L2073"/>
      <c r="N2073"/>
      <c r="O2073"/>
      <c r="P2073"/>
      <c r="Q2073"/>
      <c r="R2073"/>
      <c r="S2073"/>
      <c r="T2073"/>
      <c r="U2073"/>
      <c r="V2073"/>
      <c r="W2073"/>
      <c r="X2073"/>
      <c r="Y2073"/>
    </row>
    <row r="2074" spans="1:25" ht="15">
      <c r="A2074" s="1524" t="s">
        <v>467</v>
      </c>
      <c r="B2074" s="1524"/>
      <c r="C2074" s="1524"/>
      <c r="D2074" s="1524"/>
      <c r="E2074" s="1524"/>
      <c r="F2074" s="1524"/>
      <c r="G2074" s="1524"/>
      <c r="H2074" s="1524"/>
      <c r="K2074"/>
      <c r="L2074"/>
      <c r="N2074"/>
      <c r="O2074"/>
      <c r="P2074"/>
      <c r="Q2074"/>
      <c r="R2074"/>
      <c r="S2074"/>
      <c r="T2074"/>
      <c r="U2074"/>
      <c r="V2074"/>
      <c r="W2074"/>
      <c r="X2074"/>
      <c r="Y2074"/>
    </row>
    <row r="2075" spans="1:25" ht="15">
      <c r="A2075" s="1524" t="s">
        <v>468</v>
      </c>
      <c r="B2075" s="1524"/>
      <c r="C2075" s="1524"/>
      <c r="D2075" s="1524"/>
      <c r="E2075" s="1524"/>
      <c r="F2075" s="1524"/>
      <c r="G2075" s="1524"/>
      <c r="H2075" s="1524"/>
      <c r="K2075"/>
      <c r="L2075"/>
      <c r="N2075"/>
      <c r="O2075"/>
      <c r="P2075"/>
      <c r="Q2075"/>
      <c r="R2075"/>
      <c r="S2075"/>
      <c r="T2075"/>
      <c r="U2075"/>
      <c r="V2075"/>
      <c r="W2075"/>
      <c r="X2075"/>
      <c r="Y2075"/>
    </row>
    <row r="2076" spans="1:25" ht="15">
      <c r="A2076" s="1524" t="s">
        <v>469</v>
      </c>
      <c r="B2076" s="1524"/>
      <c r="C2076" s="1524"/>
      <c r="D2076" s="1524"/>
      <c r="E2076" s="1524"/>
      <c r="F2076" s="1524"/>
      <c r="G2076" s="1524"/>
      <c r="H2076" s="1524"/>
      <c r="K2076"/>
      <c r="L2076"/>
      <c r="N2076"/>
      <c r="O2076"/>
      <c r="P2076"/>
      <c r="Q2076"/>
      <c r="R2076"/>
      <c r="S2076"/>
      <c r="T2076"/>
      <c r="U2076"/>
      <c r="V2076"/>
      <c r="W2076"/>
      <c r="X2076"/>
      <c r="Y2076"/>
    </row>
    <row r="2077" spans="1:25" ht="15">
      <c r="A2077" s="1524" t="s">
        <v>474</v>
      </c>
      <c r="B2077" s="1524"/>
      <c r="C2077" s="1524"/>
      <c r="D2077" s="1524"/>
      <c r="E2077" s="1524"/>
      <c r="F2077" s="1524"/>
      <c r="G2077" s="1524"/>
      <c r="H2077" s="1524"/>
      <c r="K2077"/>
      <c r="L2077"/>
      <c r="N2077"/>
      <c r="O2077"/>
      <c r="P2077"/>
      <c r="Q2077"/>
      <c r="R2077"/>
      <c r="S2077"/>
      <c r="T2077"/>
      <c r="U2077"/>
      <c r="V2077"/>
      <c r="W2077"/>
      <c r="X2077"/>
      <c r="Y2077"/>
    </row>
    <row r="2078" spans="11:25" ht="15">
      <c r="K2078"/>
      <c r="L2078"/>
      <c r="N2078"/>
      <c r="O2078"/>
      <c r="P2078"/>
      <c r="Q2078"/>
      <c r="R2078"/>
      <c r="S2078"/>
      <c r="T2078"/>
      <c r="U2078"/>
      <c r="V2078"/>
      <c r="W2078"/>
      <c r="X2078"/>
      <c r="Y2078"/>
    </row>
    <row r="2079" spans="1:25" ht="15.75">
      <c r="A2079" s="445" t="s">
        <v>466</v>
      </c>
      <c r="B2079" s="331"/>
      <c r="C2079" s="331"/>
      <c r="D2079" s="331"/>
      <c r="E2079" s="331"/>
      <c r="F2079" s="331"/>
      <c r="G2079" s="345"/>
      <c r="H2079" s="345"/>
      <c r="K2079"/>
      <c r="L2079"/>
      <c r="N2079"/>
      <c r="O2079"/>
      <c r="P2079"/>
      <c r="Q2079"/>
      <c r="R2079"/>
      <c r="S2079"/>
      <c r="T2079"/>
      <c r="U2079"/>
      <c r="V2079"/>
      <c r="W2079"/>
      <c r="X2079"/>
      <c r="Y2079"/>
    </row>
    <row r="2080" spans="1:25" ht="15">
      <c r="A2080" s="1524" t="s">
        <v>470</v>
      </c>
      <c r="B2080" s="1524"/>
      <c r="C2080" s="1524"/>
      <c r="D2080" s="1524"/>
      <c r="E2080" s="1524"/>
      <c r="F2080" s="1524"/>
      <c r="G2080" s="1524"/>
      <c r="H2080" s="1524"/>
      <c r="K2080"/>
      <c r="L2080"/>
      <c r="N2080"/>
      <c r="O2080"/>
      <c r="P2080"/>
      <c r="Q2080"/>
      <c r="R2080"/>
      <c r="S2080"/>
      <c r="T2080"/>
      <c r="U2080"/>
      <c r="V2080"/>
      <c r="W2080"/>
      <c r="X2080"/>
      <c r="Y2080"/>
    </row>
    <row r="2081" spans="1:25" ht="15">
      <c r="A2081" s="1524" t="s">
        <v>471</v>
      </c>
      <c r="B2081" s="1524"/>
      <c r="C2081" s="1524"/>
      <c r="D2081" s="1524"/>
      <c r="E2081" s="1524"/>
      <c r="F2081" s="1524"/>
      <c r="G2081" s="1524"/>
      <c r="H2081" s="1524"/>
      <c r="K2081"/>
      <c r="L2081"/>
      <c r="N2081"/>
      <c r="O2081"/>
      <c r="P2081"/>
      <c r="Q2081"/>
      <c r="R2081"/>
      <c r="S2081"/>
      <c r="T2081"/>
      <c r="U2081"/>
      <c r="V2081"/>
      <c r="W2081"/>
      <c r="X2081"/>
      <c r="Y2081"/>
    </row>
    <row r="2082" spans="1:25" ht="15">
      <c r="A2082" s="1524" t="s">
        <v>472</v>
      </c>
      <c r="B2082" s="1524"/>
      <c r="C2082" s="1524"/>
      <c r="D2082" s="1524"/>
      <c r="E2082" s="1524"/>
      <c r="F2082" s="1524"/>
      <c r="G2082" s="1524"/>
      <c r="H2082" s="1524"/>
      <c r="K2082"/>
      <c r="L2082"/>
      <c r="N2082"/>
      <c r="O2082"/>
      <c r="P2082"/>
      <c r="Q2082"/>
      <c r="R2082"/>
      <c r="S2082"/>
      <c r="T2082"/>
      <c r="U2082"/>
      <c r="V2082"/>
      <c r="W2082"/>
      <c r="X2082"/>
      <c r="Y2082"/>
    </row>
    <row r="2083" spans="1:25" ht="15">
      <c r="A2083" s="1524" t="s">
        <v>475</v>
      </c>
      <c r="B2083" s="1524"/>
      <c r="C2083" s="1524"/>
      <c r="D2083" s="1524"/>
      <c r="E2083" s="1524"/>
      <c r="F2083" s="1524"/>
      <c r="G2083" s="1524"/>
      <c r="H2083" s="1524"/>
      <c r="K2083"/>
      <c r="L2083"/>
      <c r="N2083"/>
      <c r="O2083"/>
      <c r="P2083"/>
      <c r="Q2083"/>
      <c r="R2083"/>
      <c r="S2083"/>
      <c r="T2083"/>
      <c r="U2083"/>
      <c r="V2083"/>
      <c r="W2083"/>
      <c r="X2083"/>
      <c r="Y2083"/>
    </row>
    <row r="2084" spans="11:25" ht="15">
      <c r="K2084"/>
      <c r="L2084"/>
      <c r="N2084"/>
      <c r="O2084"/>
      <c r="P2084"/>
      <c r="Q2084"/>
      <c r="R2084"/>
      <c r="S2084"/>
      <c r="T2084"/>
      <c r="U2084"/>
      <c r="V2084"/>
      <c r="W2084"/>
      <c r="X2084"/>
      <c r="Y2084"/>
    </row>
    <row r="2085" spans="11:25" ht="15">
      <c r="K2085"/>
      <c r="L2085"/>
      <c r="N2085"/>
      <c r="O2085"/>
      <c r="P2085"/>
      <c r="Q2085"/>
      <c r="R2085"/>
      <c r="S2085"/>
      <c r="T2085"/>
      <c r="U2085"/>
      <c r="V2085"/>
      <c r="W2085"/>
      <c r="X2085"/>
      <c r="Y2085"/>
    </row>
    <row r="2086" spans="11:25" ht="15">
      <c r="K2086"/>
      <c r="L2086"/>
      <c r="N2086"/>
      <c r="O2086"/>
      <c r="P2086"/>
      <c r="Q2086"/>
      <c r="R2086"/>
      <c r="S2086"/>
      <c r="T2086"/>
      <c r="U2086"/>
      <c r="V2086"/>
      <c r="W2086"/>
      <c r="X2086"/>
      <c r="Y2086"/>
    </row>
    <row r="2087" spans="11:25" ht="15">
      <c r="K2087"/>
      <c r="L2087"/>
      <c r="N2087"/>
      <c r="O2087"/>
      <c r="P2087"/>
      <c r="Q2087"/>
      <c r="R2087"/>
      <c r="S2087"/>
      <c r="T2087"/>
      <c r="U2087"/>
      <c r="V2087"/>
      <c r="W2087"/>
      <c r="X2087"/>
      <c r="Y2087"/>
    </row>
    <row r="2088" spans="11:25" ht="15">
      <c r="K2088"/>
      <c r="L2088"/>
      <c r="N2088"/>
      <c r="O2088"/>
      <c r="P2088"/>
      <c r="Q2088"/>
      <c r="R2088"/>
      <c r="S2088"/>
      <c r="T2088"/>
      <c r="U2088"/>
      <c r="V2088"/>
      <c r="W2088"/>
      <c r="X2088"/>
      <c r="Y2088"/>
    </row>
    <row r="2089" spans="11:25" ht="15">
      <c r="K2089"/>
      <c r="L2089"/>
      <c r="N2089"/>
      <c r="O2089"/>
      <c r="P2089"/>
      <c r="Q2089"/>
      <c r="R2089"/>
      <c r="S2089"/>
      <c r="T2089"/>
      <c r="U2089"/>
      <c r="V2089"/>
      <c r="W2089"/>
      <c r="X2089"/>
      <c r="Y2089"/>
    </row>
    <row r="2090" spans="11:25" ht="15">
      <c r="K2090"/>
      <c r="L2090"/>
      <c r="N2090"/>
      <c r="O2090"/>
      <c r="P2090"/>
      <c r="Q2090"/>
      <c r="R2090"/>
      <c r="S2090"/>
      <c r="T2090"/>
      <c r="U2090"/>
      <c r="V2090"/>
      <c r="W2090"/>
      <c r="X2090"/>
      <c r="Y2090"/>
    </row>
    <row r="2091" spans="11:25" ht="15">
      <c r="K2091"/>
      <c r="L2091"/>
      <c r="N2091"/>
      <c r="O2091"/>
      <c r="P2091"/>
      <c r="Q2091"/>
      <c r="R2091"/>
      <c r="S2091"/>
      <c r="T2091"/>
      <c r="U2091"/>
      <c r="V2091"/>
      <c r="W2091"/>
      <c r="X2091"/>
      <c r="Y2091"/>
    </row>
    <row r="2092" spans="11:25" ht="15">
      <c r="K2092"/>
      <c r="L2092"/>
      <c r="N2092"/>
      <c r="O2092"/>
      <c r="P2092"/>
      <c r="Q2092"/>
      <c r="R2092"/>
      <c r="S2092"/>
      <c r="T2092"/>
      <c r="U2092"/>
      <c r="V2092"/>
      <c r="W2092"/>
      <c r="X2092"/>
      <c r="Y2092"/>
    </row>
    <row r="2093" spans="11:25" ht="15">
      <c r="K2093"/>
      <c r="L2093"/>
      <c r="N2093"/>
      <c r="O2093"/>
      <c r="P2093"/>
      <c r="Q2093"/>
      <c r="R2093"/>
      <c r="S2093"/>
      <c r="T2093"/>
      <c r="U2093"/>
      <c r="V2093"/>
      <c r="W2093"/>
      <c r="X2093"/>
      <c r="Y2093"/>
    </row>
    <row r="2094" spans="11:25" ht="15">
      <c r="K2094"/>
      <c r="L2094"/>
      <c r="N2094"/>
      <c r="O2094"/>
      <c r="P2094"/>
      <c r="Q2094"/>
      <c r="R2094"/>
      <c r="S2094"/>
      <c r="T2094"/>
      <c r="U2094"/>
      <c r="V2094"/>
      <c r="W2094"/>
      <c r="X2094"/>
      <c r="Y2094"/>
    </row>
    <row r="2095" spans="11:25" ht="15">
      <c r="K2095"/>
      <c r="L2095"/>
      <c r="N2095"/>
      <c r="O2095"/>
      <c r="P2095"/>
      <c r="Q2095"/>
      <c r="R2095"/>
      <c r="S2095"/>
      <c r="T2095"/>
      <c r="U2095"/>
      <c r="V2095"/>
      <c r="W2095"/>
      <c r="X2095"/>
      <c r="Y2095"/>
    </row>
    <row r="2096" spans="11:25" ht="15">
      <c r="K2096"/>
      <c r="L2096"/>
      <c r="N2096"/>
      <c r="O2096"/>
      <c r="P2096"/>
      <c r="Q2096"/>
      <c r="R2096"/>
      <c r="S2096"/>
      <c r="T2096"/>
      <c r="U2096"/>
      <c r="V2096"/>
      <c r="W2096"/>
      <c r="X2096"/>
      <c r="Y2096"/>
    </row>
    <row r="2097" spans="11:25" ht="15">
      <c r="K2097"/>
      <c r="L2097"/>
      <c r="N2097"/>
      <c r="O2097"/>
      <c r="P2097"/>
      <c r="Q2097"/>
      <c r="R2097"/>
      <c r="S2097"/>
      <c r="T2097"/>
      <c r="U2097"/>
      <c r="V2097"/>
      <c r="W2097"/>
      <c r="X2097"/>
      <c r="Y2097"/>
    </row>
    <row r="2098" spans="11:25" ht="15">
      <c r="K2098"/>
      <c r="L2098"/>
      <c r="N2098"/>
      <c r="O2098"/>
      <c r="P2098"/>
      <c r="Q2098"/>
      <c r="R2098"/>
      <c r="S2098"/>
      <c r="T2098"/>
      <c r="U2098"/>
      <c r="V2098"/>
      <c r="W2098"/>
      <c r="X2098"/>
      <c r="Y2098"/>
    </row>
    <row r="2099" spans="11:25" ht="15">
      <c r="K2099"/>
      <c r="L2099"/>
      <c r="N2099"/>
      <c r="O2099"/>
      <c r="P2099"/>
      <c r="Q2099"/>
      <c r="R2099"/>
      <c r="S2099"/>
      <c r="T2099"/>
      <c r="U2099"/>
      <c r="V2099"/>
      <c r="W2099"/>
      <c r="X2099"/>
      <c r="Y2099"/>
    </row>
    <row r="2100" spans="11:25" ht="15">
      <c r="K2100"/>
      <c r="L2100"/>
      <c r="N2100"/>
      <c r="O2100"/>
      <c r="P2100"/>
      <c r="Q2100"/>
      <c r="R2100"/>
      <c r="S2100"/>
      <c r="T2100"/>
      <c r="U2100"/>
      <c r="V2100"/>
      <c r="W2100"/>
      <c r="X2100"/>
      <c r="Y2100"/>
    </row>
    <row r="2101" spans="11:25" ht="15">
      <c r="K2101"/>
      <c r="L2101"/>
      <c r="N2101"/>
      <c r="O2101"/>
      <c r="P2101"/>
      <c r="Q2101"/>
      <c r="R2101"/>
      <c r="S2101"/>
      <c r="T2101"/>
      <c r="U2101"/>
      <c r="V2101"/>
      <c r="W2101"/>
      <c r="X2101"/>
      <c r="Y2101"/>
    </row>
    <row r="2102" spans="11:25" ht="15">
      <c r="K2102"/>
      <c r="L2102"/>
      <c r="N2102"/>
      <c r="O2102"/>
      <c r="P2102"/>
      <c r="Q2102"/>
      <c r="R2102"/>
      <c r="S2102"/>
      <c r="T2102"/>
      <c r="U2102"/>
      <c r="V2102"/>
      <c r="W2102"/>
      <c r="X2102"/>
      <c r="Y2102"/>
    </row>
    <row r="2103" spans="11:25" ht="15">
      <c r="K2103"/>
      <c r="L2103"/>
      <c r="N2103"/>
      <c r="O2103"/>
      <c r="P2103"/>
      <c r="Q2103"/>
      <c r="R2103"/>
      <c r="S2103"/>
      <c r="T2103"/>
      <c r="U2103"/>
      <c r="V2103"/>
      <c r="W2103"/>
      <c r="X2103"/>
      <c r="Y2103"/>
    </row>
    <row r="2104" spans="11:25" ht="15">
      <c r="K2104"/>
      <c r="L2104"/>
      <c r="N2104"/>
      <c r="O2104"/>
      <c r="P2104"/>
      <c r="Q2104"/>
      <c r="R2104"/>
      <c r="S2104"/>
      <c r="T2104"/>
      <c r="U2104"/>
      <c r="V2104"/>
      <c r="W2104"/>
      <c r="X2104"/>
      <c r="Y2104"/>
    </row>
    <row r="2105" spans="11:25" ht="15">
      <c r="K2105"/>
      <c r="L2105"/>
      <c r="N2105"/>
      <c r="O2105"/>
      <c r="P2105"/>
      <c r="Q2105"/>
      <c r="R2105"/>
      <c r="S2105"/>
      <c r="T2105"/>
      <c r="U2105"/>
      <c r="V2105"/>
      <c r="W2105"/>
      <c r="X2105"/>
      <c r="Y2105"/>
    </row>
    <row r="2106" spans="11:25" ht="15">
      <c r="K2106"/>
      <c r="L2106"/>
      <c r="N2106"/>
      <c r="O2106"/>
      <c r="P2106"/>
      <c r="Q2106"/>
      <c r="R2106"/>
      <c r="S2106"/>
      <c r="T2106"/>
      <c r="U2106"/>
      <c r="V2106"/>
      <c r="W2106"/>
      <c r="X2106"/>
      <c r="Y2106"/>
    </row>
    <row r="2107" spans="11:25" ht="15">
      <c r="K2107"/>
      <c r="L2107"/>
      <c r="N2107"/>
      <c r="O2107"/>
      <c r="P2107"/>
      <c r="Q2107"/>
      <c r="R2107"/>
      <c r="S2107"/>
      <c r="T2107"/>
      <c r="U2107"/>
      <c r="V2107"/>
      <c r="W2107"/>
      <c r="X2107"/>
      <c r="Y2107"/>
    </row>
    <row r="2108" spans="11:25" ht="15">
      <c r="K2108"/>
      <c r="L2108"/>
      <c r="N2108"/>
      <c r="O2108"/>
      <c r="P2108"/>
      <c r="Q2108"/>
      <c r="R2108"/>
      <c r="S2108"/>
      <c r="T2108"/>
      <c r="U2108"/>
      <c r="V2108"/>
      <c r="W2108"/>
      <c r="X2108"/>
      <c r="Y2108"/>
    </row>
    <row r="2109" spans="11:25" ht="15">
      <c r="K2109"/>
      <c r="L2109"/>
      <c r="N2109"/>
      <c r="O2109"/>
      <c r="P2109"/>
      <c r="Q2109"/>
      <c r="R2109"/>
      <c r="S2109"/>
      <c r="T2109"/>
      <c r="U2109"/>
      <c r="V2109"/>
      <c r="W2109"/>
      <c r="X2109"/>
      <c r="Y2109"/>
    </row>
    <row r="2110" spans="11:12" ht="15">
      <c r="K2110"/>
      <c r="L2110"/>
    </row>
    <row r="2111" spans="11:12" ht="15">
      <c r="K2111"/>
      <c r="L2111"/>
    </row>
    <row r="2112" spans="11:12" ht="15">
      <c r="K2112"/>
      <c r="L2112"/>
    </row>
    <row r="2113" spans="11:12" ht="15">
      <c r="K2113"/>
      <c r="L2113"/>
    </row>
    <row r="2114" spans="11:12" ht="15">
      <c r="K2114"/>
      <c r="L2114"/>
    </row>
    <row r="2115" spans="11:12" ht="15">
      <c r="K2115"/>
      <c r="L2115"/>
    </row>
    <row r="2116" spans="11:12" ht="15">
      <c r="K2116"/>
      <c r="L2116"/>
    </row>
    <row r="2117" spans="11:12" ht="15">
      <c r="K2117"/>
      <c r="L2117"/>
    </row>
    <row r="2118" spans="11:12" ht="15">
      <c r="K2118"/>
      <c r="L2118"/>
    </row>
    <row r="2119" spans="11:12" ht="15">
      <c r="K2119"/>
      <c r="L2119"/>
    </row>
    <row r="2120" spans="11:12" ht="15">
      <c r="K2120"/>
      <c r="L2120"/>
    </row>
  </sheetData>
  <sheetProtection password="EB09" sheet="1" formatCells="0" formatColumns="0" formatRows="0" insertColumns="0" insertRows="0" insertHyperlinks="0" deleteColumns="0" deleteRows="0" sort="0" autoFilter="0" pivotTables="0"/>
  <mergeCells count="5200">
    <mergeCell ref="M29:N29"/>
    <mergeCell ref="M61:N61"/>
    <mergeCell ref="M60:N60"/>
    <mergeCell ref="M59:N59"/>
    <mergeCell ref="M58:N58"/>
    <mergeCell ref="M57:N57"/>
    <mergeCell ref="M56:N56"/>
    <mergeCell ref="M32:N32"/>
    <mergeCell ref="M30:N30"/>
    <mergeCell ref="M67:N67"/>
    <mergeCell ref="M66:N66"/>
    <mergeCell ref="M64:N64"/>
    <mergeCell ref="M63:N63"/>
    <mergeCell ref="M62:N62"/>
    <mergeCell ref="M65:N65"/>
    <mergeCell ref="M84:N84"/>
    <mergeCell ref="M77:N77"/>
    <mergeCell ref="M69:N69"/>
    <mergeCell ref="M81:N81"/>
    <mergeCell ref="M75:N75"/>
    <mergeCell ref="M68:N68"/>
    <mergeCell ref="M135:N135"/>
    <mergeCell ref="M121:N121"/>
    <mergeCell ref="M108:N108"/>
    <mergeCell ref="M95:N95"/>
    <mergeCell ref="M90:N90"/>
    <mergeCell ref="M85:N85"/>
    <mergeCell ref="M177:N177"/>
    <mergeCell ref="M271:N271"/>
    <mergeCell ref="M169:N169"/>
    <mergeCell ref="M160:N160"/>
    <mergeCell ref="M270:N270"/>
    <mergeCell ref="M143:N143"/>
    <mergeCell ref="M268:N268"/>
    <mergeCell ref="M170:N170"/>
    <mergeCell ref="M171:N171"/>
    <mergeCell ref="M172:N172"/>
    <mergeCell ref="M471:N471"/>
    <mergeCell ref="M428:N428"/>
    <mergeCell ref="M367:N367"/>
    <mergeCell ref="M365:N365"/>
    <mergeCell ref="M363:N363"/>
    <mergeCell ref="M447:N447"/>
    <mergeCell ref="M429:N429"/>
    <mergeCell ref="M414:N414"/>
    <mergeCell ref="M413:N413"/>
    <mergeCell ref="M458:N458"/>
    <mergeCell ref="M1581:N1581"/>
    <mergeCell ref="M1560:N1560"/>
    <mergeCell ref="M773:N773"/>
    <mergeCell ref="M765:N765"/>
    <mergeCell ref="M764:N764"/>
    <mergeCell ref="M559:N559"/>
    <mergeCell ref="M573:N573"/>
    <mergeCell ref="M769:N769"/>
    <mergeCell ref="M583:N583"/>
    <mergeCell ref="M470:N470"/>
    <mergeCell ref="M774:N774"/>
    <mergeCell ref="M1990:N1990"/>
    <mergeCell ref="M1635:N1635"/>
    <mergeCell ref="M1627:N1627"/>
    <mergeCell ref="M1626:N1626"/>
    <mergeCell ref="M1612:N1612"/>
    <mergeCell ref="M1598:N1598"/>
    <mergeCell ref="M1646:N1646"/>
    <mergeCell ref="M542:N542"/>
    <mergeCell ref="C1472:D1472"/>
    <mergeCell ref="E1472:F1472"/>
    <mergeCell ref="G1472:H1472"/>
    <mergeCell ref="I1472:J1472"/>
    <mergeCell ref="K1472:L1472"/>
    <mergeCell ref="A1473:J1473"/>
    <mergeCell ref="I1470:J1470"/>
    <mergeCell ref="K1470:L1470"/>
    <mergeCell ref="C1471:D1471"/>
    <mergeCell ref="E1471:F1471"/>
    <mergeCell ref="G1471:H1471"/>
    <mergeCell ref="I1471:J1471"/>
    <mergeCell ref="K1471:L1471"/>
    <mergeCell ref="I1468:J1468"/>
    <mergeCell ref="K1468:L1468"/>
    <mergeCell ref="C1469:D1469"/>
    <mergeCell ref="E1469:F1469"/>
    <mergeCell ref="G1469:H1469"/>
    <mergeCell ref="I1469:J1469"/>
    <mergeCell ref="K1469:L1469"/>
    <mergeCell ref="I1466:J1466"/>
    <mergeCell ref="K1466:L1466"/>
    <mergeCell ref="C1467:D1467"/>
    <mergeCell ref="E1467:F1467"/>
    <mergeCell ref="G1467:H1467"/>
    <mergeCell ref="I1467:J1467"/>
    <mergeCell ref="K1467:L1467"/>
    <mergeCell ref="I1366:J1366"/>
    <mergeCell ref="A1372:J1372"/>
    <mergeCell ref="C1369:D1369"/>
    <mergeCell ref="K1464:L1464"/>
    <mergeCell ref="C1465:D1465"/>
    <mergeCell ref="E1465:F1465"/>
    <mergeCell ref="G1465:H1465"/>
    <mergeCell ref="I1465:J1465"/>
    <mergeCell ref="K1465:L1465"/>
    <mergeCell ref="C1464:D1464"/>
    <mergeCell ref="I1995:J1995"/>
    <mergeCell ref="K1995:L1995"/>
    <mergeCell ref="C1998:D1998"/>
    <mergeCell ref="E1998:F1998"/>
    <mergeCell ref="G1998:H1998"/>
    <mergeCell ref="I1998:J1998"/>
    <mergeCell ref="K1998:L1998"/>
    <mergeCell ref="I1994:J1994"/>
    <mergeCell ref="K1994:L1994"/>
    <mergeCell ref="C1996:D1996"/>
    <mergeCell ref="E1996:F1996"/>
    <mergeCell ref="G1996:H1996"/>
    <mergeCell ref="I1996:J1996"/>
    <mergeCell ref="K1996:L1996"/>
    <mergeCell ref="C1995:D1995"/>
    <mergeCell ref="E1995:F1995"/>
    <mergeCell ref="G1995:H1995"/>
    <mergeCell ref="E1992:F1992"/>
    <mergeCell ref="G1992:H1992"/>
    <mergeCell ref="I1992:J1992"/>
    <mergeCell ref="C1997:D1997"/>
    <mergeCell ref="E1997:F1997"/>
    <mergeCell ref="G1997:H1997"/>
    <mergeCell ref="I1997:J1997"/>
    <mergeCell ref="C1994:D1994"/>
    <mergeCell ref="E1994:F1994"/>
    <mergeCell ref="G1994:H1994"/>
    <mergeCell ref="G1991:H1991"/>
    <mergeCell ref="I1991:J1991"/>
    <mergeCell ref="K1991:L1991"/>
    <mergeCell ref="K1992:L1992"/>
    <mergeCell ref="C1993:D1993"/>
    <mergeCell ref="E1993:F1993"/>
    <mergeCell ref="G1993:H1993"/>
    <mergeCell ref="I1993:J1993"/>
    <mergeCell ref="K1993:L1993"/>
    <mergeCell ref="C1992:D1992"/>
    <mergeCell ref="A1872:H1872"/>
    <mergeCell ref="C67:D67"/>
    <mergeCell ref="C65:D65"/>
    <mergeCell ref="C89:D89"/>
    <mergeCell ref="C88:D88"/>
    <mergeCell ref="A456:J456"/>
    <mergeCell ref="A1360:J1360"/>
    <mergeCell ref="C1365:D1365"/>
    <mergeCell ref="G1370:H1370"/>
    <mergeCell ref="I1370:J1370"/>
    <mergeCell ref="C84:D84"/>
    <mergeCell ref="C82:D82"/>
    <mergeCell ref="C79:D79"/>
    <mergeCell ref="C99:D99"/>
    <mergeCell ref="C98:D98"/>
    <mergeCell ref="C97:D97"/>
    <mergeCell ref="C96:D96"/>
    <mergeCell ref="C81:D81"/>
    <mergeCell ref="C90:D90"/>
    <mergeCell ref="C86:D86"/>
    <mergeCell ref="C103:D103"/>
    <mergeCell ref="C100:D100"/>
    <mergeCell ref="C110:D110"/>
    <mergeCell ref="C111:D111"/>
    <mergeCell ref="I113:J113"/>
    <mergeCell ref="C112:D112"/>
    <mergeCell ref="C101:D101"/>
    <mergeCell ref="E102:F102"/>
    <mergeCell ref="I111:J111"/>
    <mergeCell ref="E112:F112"/>
    <mergeCell ref="C115:D115"/>
    <mergeCell ref="C117:D117"/>
    <mergeCell ref="C116:D116"/>
    <mergeCell ref="C128:D128"/>
    <mergeCell ref="C132:D132"/>
    <mergeCell ref="C113:D113"/>
    <mergeCell ref="G222:H222"/>
    <mergeCell ref="C123:D123"/>
    <mergeCell ref="C126:D126"/>
    <mergeCell ref="C124:D124"/>
    <mergeCell ref="C151:D151"/>
    <mergeCell ref="C148:D148"/>
    <mergeCell ref="C131:D131"/>
    <mergeCell ref="C130:D130"/>
    <mergeCell ref="C129:D129"/>
    <mergeCell ref="C137:D137"/>
    <mergeCell ref="C249:D249"/>
    <mergeCell ref="C247:D247"/>
    <mergeCell ref="C248:D248"/>
    <mergeCell ref="C250:D250"/>
    <mergeCell ref="C235:D235"/>
    <mergeCell ref="C214:D214"/>
    <mergeCell ref="C225:D225"/>
    <mergeCell ref="C232:D232"/>
    <mergeCell ref="C147:D147"/>
    <mergeCell ref="C153:D153"/>
    <mergeCell ref="C150:D150"/>
    <mergeCell ref="C149:D149"/>
    <mergeCell ref="C152:D152"/>
    <mergeCell ref="C234:D234"/>
    <mergeCell ref="C163:D163"/>
    <mergeCell ref="C164:D164"/>
    <mergeCell ref="C205:D205"/>
    <mergeCell ref="C215:D215"/>
    <mergeCell ref="C251:D251"/>
    <mergeCell ref="C254:D254"/>
    <mergeCell ref="A277:H277"/>
    <mergeCell ref="E270:F270"/>
    <mergeCell ref="G274:H274"/>
    <mergeCell ref="C268:D268"/>
    <mergeCell ref="C267:D267"/>
    <mergeCell ref="C273:D273"/>
    <mergeCell ref="C272:D272"/>
    <mergeCell ref="C270:D270"/>
    <mergeCell ref="C266:D266"/>
    <mergeCell ref="C274:D274"/>
    <mergeCell ref="C283:D283"/>
    <mergeCell ref="A287:J287"/>
    <mergeCell ref="G283:H283"/>
    <mergeCell ref="I283:J283"/>
    <mergeCell ref="C281:D281"/>
    <mergeCell ref="G269:H269"/>
    <mergeCell ref="C282:D282"/>
    <mergeCell ref="G284:H284"/>
    <mergeCell ref="G291:H291"/>
    <mergeCell ref="C269:D269"/>
    <mergeCell ref="C271:D271"/>
    <mergeCell ref="C306:D306"/>
    <mergeCell ref="C304:D304"/>
    <mergeCell ref="E294:F294"/>
    <mergeCell ref="E269:F269"/>
    <mergeCell ref="E282:F282"/>
    <mergeCell ref="E274:F274"/>
    <mergeCell ref="C284:D284"/>
    <mergeCell ref="C292:D292"/>
    <mergeCell ref="C285:D285"/>
    <mergeCell ref="C291:D291"/>
    <mergeCell ref="C308:D308"/>
    <mergeCell ref="C294:D294"/>
    <mergeCell ref="C293:D293"/>
    <mergeCell ref="C296:D296"/>
    <mergeCell ref="C356:D356"/>
    <mergeCell ref="C354:D354"/>
    <mergeCell ref="C345:D345"/>
    <mergeCell ref="C342:D342"/>
    <mergeCell ref="C343:D343"/>
    <mergeCell ref="C319:D319"/>
    <mergeCell ref="C335:D335"/>
    <mergeCell ref="C331:D331"/>
    <mergeCell ref="C332:D332"/>
    <mergeCell ref="C336:D336"/>
    <mergeCell ref="C388:D388"/>
    <mergeCell ref="C372:D372"/>
    <mergeCell ref="C371:D371"/>
    <mergeCell ref="C370:D370"/>
    <mergeCell ref="C368:D368"/>
    <mergeCell ref="C369:D369"/>
    <mergeCell ref="C387:D387"/>
    <mergeCell ref="C423:D423"/>
    <mergeCell ref="C415:D415"/>
    <mergeCell ref="C408:D408"/>
    <mergeCell ref="C402:D402"/>
    <mergeCell ref="C404:D404"/>
    <mergeCell ref="C416:D416"/>
    <mergeCell ref="C418:D418"/>
    <mergeCell ref="C414:D414"/>
    <mergeCell ref="C403:D403"/>
    <mergeCell ref="C432:D432"/>
    <mergeCell ref="C459:D459"/>
    <mergeCell ref="C550:D550"/>
    <mergeCell ref="C545:D545"/>
    <mergeCell ref="C544:D544"/>
    <mergeCell ref="C548:D548"/>
    <mergeCell ref="C464:D464"/>
    <mergeCell ref="C460:D460"/>
    <mergeCell ref="C453:D453"/>
    <mergeCell ref="C535:D535"/>
    <mergeCell ref="E1365:F1365"/>
    <mergeCell ref="G1365:H1365"/>
    <mergeCell ref="E1369:F1369"/>
    <mergeCell ref="G1367:H1367"/>
    <mergeCell ref="G1368:H1368"/>
    <mergeCell ref="G1369:H1369"/>
    <mergeCell ref="E1366:F1366"/>
    <mergeCell ref="G1366:H1366"/>
    <mergeCell ref="E519:F519"/>
    <mergeCell ref="E477:F477"/>
    <mergeCell ref="E481:F481"/>
    <mergeCell ref="E489:F489"/>
    <mergeCell ref="A478:J478"/>
    <mergeCell ref="C650:D650"/>
    <mergeCell ref="C617:D617"/>
    <mergeCell ref="C601:D601"/>
    <mergeCell ref="C593:D593"/>
    <mergeCell ref="C600:D600"/>
    <mergeCell ref="C682:D682"/>
    <mergeCell ref="C552:D552"/>
    <mergeCell ref="C554:D554"/>
    <mergeCell ref="C603:D603"/>
    <mergeCell ref="C577:D577"/>
    <mergeCell ref="C625:D625"/>
    <mergeCell ref="C651:D651"/>
    <mergeCell ref="C572:D572"/>
    <mergeCell ref="C608:D608"/>
    <mergeCell ref="C681:D681"/>
    <mergeCell ref="C519:D519"/>
    <mergeCell ref="C520:D520"/>
    <mergeCell ref="C521:D521"/>
    <mergeCell ref="C531:D531"/>
    <mergeCell ref="C522:D522"/>
    <mergeCell ref="C502:D502"/>
    <mergeCell ref="C512:D512"/>
    <mergeCell ref="C510:D510"/>
    <mergeCell ref="E809:F809"/>
    <mergeCell ref="E697:F697"/>
    <mergeCell ref="E681:F681"/>
    <mergeCell ref="C809:D809"/>
    <mergeCell ref="E799:F799"/>
    <mergeCell ref="C561:D561"/>
    <mergeCell ref="C578:D578"/>
    <mergeCell ref="E696:F696"/>
    <mergeCell ref="C679:D679"/>
    <mergeCell ref="C675:D675"/>
    <mergeCell ref="C678:D678"/>
    <mergeCell ref="C691:D691"/>
    <mergeCell ref="I808:J808"/>
    <mergeCell ref="C696:D696"/>
    <mergeCell ref="I700:J700"/>
    <mergeCell ref="C701:D701"/>
    <mergeCell ref="E701:F701"/>
    <mergeCell ref="G701:H701"/>
    <mergeCell ref="C700:D700"/>
    <mergeCell ref="G696:H696"/>
    <mergeCell ref="E699:F699"/>
    <mergeCell ref="C697:D697"/>
    <mergeCell ref="C829:D829"/>
    <mergeCell ref="G770:H770"/>
    <mergeCell ref="G820:H820"/>
    <mergeCell ref="G809:H809"/>
    <mergeCell ref="C823:D823"/>
    <mergeCell ref="C821:D821"/>
    <mergeCell ref="C811:D811"/>
    <mergeCell ref="A763:N763"/>
    <mergeCell ref="C932:D932"/>
    <mergeCell ref="C847:D847"/>
    <mergeCell ref="C846:D846"/>
    <mergeCell ref="C854:D854"/>
    <mergeCell ref="C853:D853"/>
    <mergeCell ref="C848:D848"/>
    <mergeCell ref="C851:D851"/>
    <mergeCell ref="C850:D850"/>
    <mergeCell ref="C849:D849"/>
    <mergeCell ref="C883:D883"/>
    <mergeCell ref="E879:F879"/>
    <mergeCell ref="A871:H871"/>
    <mergeCell ref="G859:H859"/>
    <mergeCell ref="G856:H856"/>
    <mergeCell ref="C955:D955"/>
    <mergeCell ref="C952:D952"/>
    <mergeCell ref="C930:D930"/>
    <mergeCell ref="A937:L937"/>
    <mergeCell ref="G934:H934"/>
    <mergeCell ref="C855:D855"/>
    <mergeCell ref="I880:J880"/>
    <mergeCell ref="G880:H880"/>
    <mergeCell ref="K884:L884"/>
    <mergeCell ref="K901:L901"/>
    <mergeCell ref="C939:D939"/>
    <mergeCell ref="C935:D935"/>
    <mergeCell ref="C934:D934"/>
    <mergeCell ref="C933:D933"/>
    <mergeCell ref="C924:D924"/>
    <mergeCell ref="C954:D954"/>
    <mergeCell ref="C941:D941"/>
    <mergeCell ref="C950:D950"/>
    <mergeCell ref="C931:D931"/>
    <mergeCell ref="C949:D949"/>
    <mergeCell ref="C1005:D1005"/>
    <mergeCell ref="C992:D992"/>
    <mergeCell ref="C998:D998"/>
    <mergeCell ref="C951:D951"/>
    <mergeCell ref="C942:D942"/>
    <mergeCell ref="I1005:J1005"/>
    <mergeCell ref="E977:F977"/>
    <mergeCell ref="C978:D978"/>
    <mergeCell ref="G992:H992"/>
    <mergeCell ref="E978:F978"/>
    <mergeCell ref="E1005:F1005"/>
    <mergeCell ref="I978:J978"/>
    <mergeCell ref="E994:F994"/>
    <mergeCell ref="G994:H994"/>
    <mergeCell ref="I994:J994"/>
    <mergeCell ref="C1014:D1014"/>
    <mergeCell ref="C1013:D1013"/>
    <mergeCell ref="C1015:D1015"/>
    <mergeCell ref="C1007:D1007"/>
    <mergeCell ref="C989:D989"/>
    <mergeCell ref="C1012:D1012"/>
    <mergeCell ref="C1008:D1008"/>
    <mergeCell ref="C1006:D1006"/>
    <mergeCell ref="C999:D999"/>
    <mergeCell ref="C1011:D1011"/>
    <mergeCell ref="C1024:D1024"/>
    <mergeCell ref="C1023:D1023"/>
    <mergeCell ref="C1022:D1022"/>
    <mergeCell ref="C1021:D1021"/>
    <mergeCell ref="I1072:J1072"/>
    <mergeCell ref="I1034:J1034"/>
    <mergeCell ref="I1040:J1040"/>
    <mergeCell ref="E1063:F1063"/>
    <mergeCell ref="C1067:D1067"/>
    <mergeCell ref="C1061:D1061"/>
    <mergeCell ref="E1148:F1148"/>
    <mergeCell ref="C1074:D1074"/>
    <mergeCell ref="C1075:D1075"/>
    <mergeCell ref="C1049:D1049"/>
    <mergeCell ref="C1052:D1052"/>
    <mergeCell ref="C1064:D1064"/>
    <mergeCell ref="A1055:J1055"/>
    <mergeCell ref="I1071:J1071"/>
    <mergeCell ref="G1072:H1072"/>
    <mergeCell ref="I1067:J1067"/>
    <mergeCell ref="I1139:J1139"/>
    <mergeCell ref="C1125:D1125"/>
    <mergeCell ref="A1116:H1116"/>
    <mergeCell ref="C1065:D1065"/>
    <mergeCell ref="C1149:D1149"/>
    <mergeCell ref="C1124:D1124"/>
    <mergeCell ref="C1131:D1131"/>
    <mergeCell ref="C1126:D1126"/>
    <mergeCell ref="C1122:D1122"/>
    <mergeCell ref="C1078:D1078"/>
    <mergeCell ref="E1277:F1277"/>
    <mergeCell ref="G1277:H1277"/>
    <mergeCell ref="C1152:D1152"/>
    <mergeCell ref="C1157:D1157"/>
    <mergeCell ref="C1160:D1160"/>
    <mergeCell ref="C1159:D1159"/>
    <mergeCell ref="A1153:J1153"/>
    <mergeCell ref="C1305:D1305"/>
    <mergeCell ref="C1303:D1303"/>
    <mergeCell ref="C1281:D1281"/>
    <mergeCell ref="C1304:D1304"/>
    <mergeCell ref="C1314:D1314"/>
    <mergeCell ref="C1310:D1310"/>
    <mergeCell ref="C1307:D1307"/>
    <mergeCell ref="C1290:D1290"/>
    <mergeCell ref="C1306:D1306"/>
    <mergeCell ref="C1312:D1312"/>
    <mergeCell ref="C1343:D1343"/>
    <mergeCell ref="C1342:D1342"/>
    <mergeCell ref="C1339:D1339"/>
    <mergeCell ref="C1338:D1338"/>
    <mergeCell ref="C1333:D1333"/>
    <mergeCell ref="C1332:D1332"/>
    <mergeCell ref="A1334:H1334"/>
    <mergeCell ref="E1340:F1340"/>
    <mergeCell ref="G1342:H1342"/>
    <mergeCell ref="E1342:F1342"/>
    <mergeCell ref="C1344:D1344"/>
    <mergeCell ref="A1346:H1346"/>
    <mergeCell ref="E1352:F1352"/>
    <mergeCell ref="C1345:D1345"/>
    <mergeCell ref="E1351:F1351"/>
    <mergeCell ref="G1344:H1344"/>
    <mergeCell ref="E1345:F1345"/>
    <mergeCell ref="G1351:H1351"/>
    <mergeCell ref="G1345:H1345"/>
    <mergeCell ref="E1344:F1344"/>
    <mergeCell ref="C1340:D1340"/>
    <mergeCell ref="C1341:D1341"/>
    <mergeCell ref="I1694:J1694"/>
    <mergeCell ref="C1355:D1355"/>
    <mergeCell ref="C1354:D1354"/>
    <mergeCell ref="C1353:D1353"/>
    <mergeCell ref="C1351:D1351"/>
    <mergeCell ref="G1343:H1343"/>
    <mergeCell ref="C1370:D1370"/>
    <mergeCell ref="E1370:F1370"/>
    <mergeCell ref="K1448:L1448"/>
    <mergeCell ref="I1367:J1367"/>
    <mergeCell ref="K1369:L1369"/>
    <mergeCell ref="I1368:J1368"/>
    <mergeCell ref="I1463:J1463"/>
    <mergeCell ref="A1474:J1474"/>
    <mergeCell ref="E1396:F1396"/>
    <mergeCell ref="C1367:D1367"/>
    <mergeCell ref="K1370:L1370"/>
    <mergeCell ref="I1464:J1464"/>
    <mergeCell ref="K1439:L1439"/>
    <mergeCell ref="K1441:L1441"/>
    <mergeCell ref="K1463:L1463"/>
    <mergeCell ref="K1406:L1406"/>
    <mergeCell ref="K1438:L1438"/>
    <mergeCell ref="K1442:L1442"/>
    <mergeCell ref="K1434:L1434"/>
    <mergeCell ref="K1436:L1436"/>
    <mergeCell ref="K1433:L1433"/>
    <mergeCell ref="K1431:L1431"/>
    <mergeCell ref="C1352:D1352"/>
    <mergeCell ref="C1358:D1358"/>
    <mergeCell ref="K1363:L1363"/>
    <mergeCell ref="K1365:L1365"/>
    <mergeCell ref="I1365:J1365"/>
    <mergeCell ref="I1364:J1364"/>
    <mergeCell ref="G1356:H1356"/>
    <mergeCell ref="C1364:D1364"/>
    <mergeCell ref="E1364:F1364"/>
    <mergeCell ref="G1364:H1364"/>
    <mergeCell ref="K1333:L1333"/>
    <mergeCell ref="K1331:L1331"/>
    <mergeCell ref="K1332:L1332"/>
    <mergeCell ref="K1339:L1339"/>
    <mergeCell ref="K1312:L1312"/>
    <mergeCell ref="K1337:L1337"/>
    <mergeCell ref="K1321:L1321"/>
    <mergeCell ref="K1322:L1322"/>
    <mergeCell ref="K1320:L1320"/>
    <mergeCell ref="K1313:L1313"/>
    <mergeCell ref="I1369:J1369"/>
    <mergeCell ref="K1432:L1432"/>
    <mergeCell ref="I1363:J1363"/>
    <mergeCell ref="G1396:H1396"/>
    <mergeCell ref="E1394:F1394"/>
    <mergeCell ref="E1393:F1393"/>
    <mergeCell ref="K1366:L1366"/>
    <mergeCell ref="K1364:L1364"/>
    <mergeCell ref="E1367:F1367"/>
    <mergeCell ref="E1388:F1388"/>
    <mergeCell ref="K1309:L1309"/>
    <mergeCell ref="G1312:H1312"/>
    <mergeCell ref="K1310:L1310"/>
    <mergeCell ref="K1311:L1311"/>
    <mergeCell ref="I1310:J1310"/>
    <mergeCell ref="I1311:J1311"/>
    <mergeCell ref="G1310:H1310"/>
    <mergeCell ref="G1311:H1311"/>
    <mergeCell ref="K1281:L1281"/>
    <mergeCell ref="K1278:L1278"/>
    <mergeCell ref="K1274:L1274"/>
    <mergeCell ref="K1305:L1305"/>
    <mergeCell ref="K1306:L1306"/>
    <mergeCell ref="I1279:J1279"/>
    <mergeCell ref="K1279:L1279"/>
    <mergeCell ref="I1281:J1281"/>
    <mergeCell ref="K1275:L1275"/>
    <mergeCell ref="A1282:J1282"/>
    <mergeCell ref="I1277:J1277"/>
    <mergeCell ref="K1277:L1277"/>
    <mergeCell ref="C1277:D1277"/>
    <mergeCell ref="C1274:D1274"/>
    <mergeCell ref="C1265:D1265"/>
    <mergeCell ref="C1264:D1264"/>
    <mergeCell ref="I1274:J1274"/>
    <mergeCell ref="G1273:H1273"/>
    <mergeCell ref="C1275:D1275"/>
    <mergeCell ref="C1276:D1276"/>
    <mergeCell ref="I1275:J1275"/>
    <mergeCell ref="K1229:L1229"/>
    <mergeCell ref="K1230:L1230"/>
    <mergeCell ref="K1231:L1231"/>
    <mergeCell ref="K1232:L1232"/>
    <mergeCell ref="K1233:L1233"/>
    <mergeCell ref="K1234:L1234"/>
    <mergeCell ref="I1253:J1253"/>
    <mergeCell ref="I1265:J1265"/>
    <mergeCell ref="A1268:J1268"/>
    <mergeCell ref="C1236:D1236"/>
    <mergeCell ref="E1236:F1236"/>
    <mergeCell ref="G1236:H1236"/>
    <mergeCell ref="I1236:J1236"/>
    <mergeCell ref="A1237:J1237"/>
    <mergeCell ref="K1235:L1235"/>
    <mergeCell ref="K1236:L1236"/>
    <mergeCell ref="E1234:F1234"/>
    <mergeCell ref="G1234:H1234"/>
    <mergeCell ref="I1234:J1234"/>
    <mergeCell ref="C1235:D1235"/>
    <mergeCell ref="E1235:F1235"/>
    <mergeCell ref="G1235:H1235"/>
    <mergeCell ref="I1235:J1235"/>
    <mergeCell ref="C1232:D1232"/>
    <mergeCell ref="E1232:F1232"/>
    <mergeCell ref="G1232:H1232"/>
    <mergeCell ref="I1232:J1232"/>
    <mergeCell ref="C1233:D1233"/>
    <mergeCell ref="E1233:F1233"/>
    <mergeCell ref="G1233:H1233"/>
    <mergeCell ref="I1233:J1233"/>
    <mergeCell ref="C1230:D1230"/>
    <mergeCell ref="E1230:F1230"/>
    <mergeCell ref="G1230:H1230"/>
    <mergeCell ref="I1230:J1230"/>
    <mergeCell ref="I1229:J1229"/>
    <mergeCell ref="C1231:D1231"/>
    <mergeCell ref="E1231:F1231"/>
    <mergeCell ref="G1231:H1231"/>
    <mergeCell ref="I1231:J1231"/>
    <mergeCell ref="E1221:F1221"/>
    <mergeCell ref="G1221:H1221"/>
    <mergeCell ref="I1221:J1221"/>
    <mergeCell ref="I1223:J1223"/>
    <mergeCell ref="K1223:L1223"/>
    <mergeCell ref="C1224:D1224"/>
    <mergeCell ref="E1224:F1224"/>
    <mergeCell ref="G1224:H1224"/>
    <mergeCell ref="I1224:J1224"/>
    <mergeCell ref="K1224:L1224"/>
    <mergeCell ref="K1221:L1221"/>
    <mergeCell ref="K1219:L1219"/>
    <mergeCell ref="E1219:F1219"/>
    <mergeCell ref="G1219:H1219"/>
    <mergeCell ref="C1222:D1222"/>
    <mergeCell ref="E1222:F1222"/>
    <mergeCell ref="G1222:H1222"/>
    <mergeCell ref="I1222:J1222"/>
    <mergeCell ref="K1222:L1222"/>
    <mergeCell ref="C1221:D1221"/>
    <mergeCell ref="C1077:D1077"/>
    <mergeCell ref="E1077:F1077"/>
    <mergeCell ref="G1077:H1077"/>
    <mergeCell ref="I1077:J1077"/>
    <mergeCell ref="I1280:J1280"/>
    <mergeCell ref="I1219:J1219"/>
    <mergeCell ref="C1223:D1223"/>
    <mergeCell ref="E1220:F1220"/>
    <mergeCell ref="G1220:H1220"/>
    <mergeCell ref="I1220:J1220"/>
    <mergeCell ref="E1281:F1281"/>
    <mergeCell ref="G1395:H1395"/>
    <mergeCell ref="E1382:F1382"/>
    <mergeCell ref="C1368:D1368"/>
    <mergeCell ref="E1368:F1368"/>
    <mergeCell ref="C1279:D1279"/>
    <mergeCell ref="E1279:F1279"/>
    <mergeCell ref="G1281:H1281"/>
    <mergeCell ref="C1389:D1389"/>
    <mergeCell ref="E1339:F1339"/>
    <mergeCell ref="E1389:F1389"/>
    <mergeCell ref="C1380:D1380"/>
    <mergeCell ref="I1312:J1312"/>
    <mergeCell ref="C1286:D1286"/>
    <mergeCell ref="G1355:H1355"/>
    <mergeCell ref="G1339:H1339"/>
    <mergeCell ref="E1356:F1356"/>
    <mergeCell ref="I1309:J1309"/>
    <mergeCell ref="I1337:J1337"/>
    <mergeCell ref="E1354:F1354"/>
    <mergeCell ref="E1278:F1278"/>
    <mergeCell ref="G1278:H1278"/>
    <mergeCell ref="I1278:J1278"/>
    <mergeCell ref="C1280:D1280"/>
    <mergeCell ref="K1280:L1280"/>
    <mergeCell ref="C1278:D1278"/>
    <mergeCell ref="C1291:D1291"/>
    <mergeCell ref="A1300:J1300"/>
    <mergeCell ref="C1308:D1308"/>
    <mergeCell ref="G1293:H1293"/>
    <mergeCell ref="C1292:D1292"/>
    <mergeCell ref="E1289:F1289"/>
    <mergeCell ref="G1304:H1304"/>
    <mergeCell ref="G1305:H1305"/>
    <mergeCell ref="I1304:J1304"/>
    <mergeCell ref="I1305:J1305"/>
    <mergeCell ref="C1309:D1309"/>
    <mergeCell ref="E1276:F1276"/>
    <mergeCell ref="G1276:H1276"/>
    <mergeCell ref="I1276:J1276"/>
    <mergeCell ref="K1276:L1276"/>
    <mergeCell ref="G1280:H1280"/>
    <mergeCell ref="E1304:F1304"/>
    <mergeCell ref="E1305:F1305"/>
    <mergeCell ref="I1288:J1288"/>
    <mergeCell ref="G1291:H1291"/>
    <mergeCell ref="E1343:F1343"/>
    <mergeCell ref="E1308:F1308"/>
    <mergeCell ref="I1302:J1302"/>
    <mergeCell ref="K1302:L1302"/>
    <mergeCell ref="I1307:J1307"/>
    <mergeCell ref="C1254:D1254"/>
    <mergeCell ref="E1264:F1264"/>
    <mergeCell ref="I1273:J1273"/>
    <mergeCell ref="K1273:L1273"/>
    <mergeCell ref="E1273:F1273"/>
    <mergeCell ref="I1254:J1254"/>
    <mergeCell ref="I1264:J1264"/>
    <mergeCell ref="K1254:L1254"/>
    <mergeCell ref="K1264:L1264"/>
    <mergeCell ref="E1274:F1274"/>
    <mergeCell ref="K1272:L1272"/>
    <mergeCell ref="G1274:H1274"/>
    <mergeCell ref="A1269:J1269"/>
    <mergeCell ref="I1272:J1272"/>
    <mergeCell ref="C1273:D1273"/>
    <mergeCell ref="A1244:H1244"/>
    <mergeCell ref="K1251:L1251"/>
    <mergeCell ref="A1245:H1245"/>
    <mergeCell ref="G1253:H1253"/>
    <mergeCell ref="K1253:L1253"/>
    <mergeCell ref="K1249:L1249"/>
    <mergeCell ref="K1250:L1250"/>
    <mergeCell ref="C1250:D1250"/>
    <mergeCell ref="I1250:J1250"/>
    <mergeCell ref="G1251:H1251"/>
    <mergeCell ref="K1198:L1198"/>
    <mergeCell ref="A1213:J1213"/>
    <mergeCell ref="C1207:D1207"/>
    <mergeCell ref="I1218:J1218"/>
    <mergeCell ref="I1207:J1207"/>
    <mergeCell ref="G1211:H1211"/>
    <mergeCell ref="G1206:H1206"/>
    <mergeCell ref="I1203:J1203"/>
    <mergeCell ref="I1202:J1202"/>
    <mergeCell ref="C1162:D1162"/>
    <mergeCell ref="C1163:D1163"/>
    <mergeCell ref="C1187:D1187"/>
    <mergeCell ref="C1202:D1202"/>
    <mergeCell ref="E1202:F1202"/>
    <mergeCell ref="C1185:D1185"/>
    <mergeCell ref="E1197:F1197"/>
    <mergeCell ref="E1187:F1187"/>
    <mergeCell ref="C1165:D1165"/>
    <mergeCell ref="E1165:F1165"/>
    <mergeCell ref="E1203:F1203"/>
    <mergeCell ref="A1208:J1208"/>
    <mergeCell ref="G1204:H1204"/>
    <mergeCell ref="G1205:H1205"/>
    <mergeCell ref="C1211:D1211"/>
    <mergeCell ref="E1206:F1206"/>
    <mergeCell ref="C1206:D1206"/>
    <mergeCell ref="E1207:F1207"/>
    <mergeCell ref="I1187:J1187"/>
    <mergeCell ref="E1210:F1210"/>
    <mergeCell ref="C1210:D1210"/>
    <mergeCell ref="C1194:D1194"/>
    <mergeCell ref="G1188:H1188"/>
    <mergeCell ref="C1196:D1196"/>
    <mergeCell ref="C1204:D1204"/>
    <mergeCell ref="E1204:F1204"/>
    <mergeCell ref="G1210:H1210"/>
    <mergeCell ref="C1199:D1199"/>
    <mergeCell ref="I1158:J1158"/>
    <mergeCell ref="I1157:J1157"/>
    <mergeCell ref="C1148:D1148"/>
    <mergeCell ref="E1159:F1159"/>
    <mergeCell ref="C1164:D1164"/>
    <mergeCell ref="C1158:D1158"/>
    <mergeCell ref="C1150:D1150"/>
    <mergeCell ref="C1161:D1161"/>
    <mergeCell ref="G1151:H1151"/>
    <mergeCell ref="I1161:J1161"/>
    <mergeCell ref="G1078:H1078"/>
    <mergeCell ref="K1121:L1121"/>
    <mergeCell ref="K1078:L1078"/>
    <mergeCell ref="A1079:J1079"/>
    <mergeCell ref="I1146:J1146"/>
    <mergeCell ref="C1151:D1151"/>
    <mergeCell ref="C1140:D1140"/>
    <mergeCell ref="A1080:J1080"/>
    <mergeCell ref="C1127:D1127"/>
    <mergeCell ref="I1145:J1145"/>
    <mergeCell ref="I1126:J1126"/>
    <mergeCell ref="I1121:J1121"/>
    <mergeCell ref="I1137:J1137"/>
    <mergeCell ref="I1136:J1136"/>
    <mergeCell ref="I1128:J1128"/>
    <mergeCell ref="I1124:J1124"/>
    <mergeCell ref="I1125:J1125"/>
    <mergeCell ref="C1042:D1042"/>
    <mergeCell ref="G1053:H1053"/>
    <mergeCell ref="G1065:H1065"/>
    <mergeCell ref="C1066:D1066"/>
    <mergeCell ref="E1067:F1067"/>
    <mergeCell ref="C1053:D1053"/>
    <mergeCell ref="E1060:F1060"/>
    <mergeCell ref="E1066:F1066"/>
    <mergeCell ref="K1029:L1029"/>
    <mergeCell ref="K1030:L1030"/>
    <mergeCell ref="K1031:L1031"/>
    <mergeCell ref="K1032:L1032"/>
    <mergeCell ref="K1033:L1033"/>
    <mergeCell ref="I1038:J1038"/>
    <mergeCell ref="K1038:L1038"/>
    <mergeCell ref="C666:D666"/>
    <mergeCell ref="C667:D667"/>
    <mergeCell ref="K666:L666"/>
    <mergeCell ref="K667:L667"/>
    <mergeCell ref="C661:D661"/>
    <mergeCell ref="G661:H661"/>
    <mergeCell ref="I665:J665"/>
    <mergeCell ref="E661:F661"/>
    <mergeCell ref="G666:H666"/>
    <mergeCell ref="E667:F667"/>
    <mergeCell ref="K655:L655"/>
    <mergeCell ref="K656:L656"/>
    <mergeCell ref="K657:L657"/>
    <mergeCell ref="K658:L658"/>
    <mergeCell ref="I659:J659"/>
    <mergeCell ref="K659:L659"/>
    <mergeCell ref="I658:J658"/>
    <mergeCell ref="K699:L699"/>
    <mergeCell ref="K700:L700"/>
    <mergeCell ref="K687:L687"/>
    <mergeCell ref="I688:J688"/>
    <mergeCell ref="K688:L688"/>
    <mergeCell ref="I689:J689"/>
    <mergeCell ref="I698:J698"/>
    <mergeCell ref="I696:J696"/>
    <mergeCell ref="K696:L696"/>
    <mergeCell ref="K697:L697"/>
    <mergeCell ref="K660:L660"/>
    <mergeCell ref="K661:L661"/>
    <mergeCell ref="K698:L698"/>
    <mergeCell ref="K665:L665"/>
    <mergeCell ref="I701:J701"/>
    <mergeCell ref="K701:L701"/>
    <mergeCell ref="I691:J691"/>
    <mergeCell ref="K691:L691"/>
    <mergeCell ref="I682:J682"/>
    <mergeCell ref="K695:L695"/>
    <mergeCell ref="E691:F691"/>
    <mergeCell ref="G690:H690"/>
    <mergeCell ref="K689:L689"/>
    <mergeCell ref="I687:J687"/>
    <mergeCell ref="K681:L681"/>
    <mergeCell ref="K682:L682"/>
    <mergeCell ref="K683:L683"/>
    <mergeCell ref="E688:F688"/>
    <mergeCell ref="E689:F689"/>
    <mergeCell ref="I681:J681"/>
    <mergeCell ref="K675:L675"/>
    <mergeCell ref="K676:L676"/>
    <mergeCell ref="K677:L677"/>
    <mergeCell ref="C690:D690"/>
    <mergeCell ref="E690:F690"/>
    <mergeCell ref="K690:L690"/>
    <mergeCell ref="K678:L678"/>
    <mergeCell ref="K679:L679"/>
    <mergeCell ref="G688:H688"/>
    <mergeCell ref="K680:L680"/>
    <mergeCell ref="K622:L622"/>
    <mergeCell ref="I625:J625"/>
    <mergeCell ref="I626:J626"/>
    <mergeCell ref="I627:J627"/>
    <mergeCell ref="K623:L623"/>
    <mergeCell ref="K624:L624"/>
    <mergeCell ref="K625:L625"/>
    <mergeCell ref="K626:L626"/>
    <mergeCell ref="K627:L627"/>
    <mergeCell ref="I624:J624"/>
    <mergeCell ref="K602:L602"/>
    <mergeCell ref="K603:L603"/>
    <mergeCell ref="K607:L607"/>
    <mergeCell ref="K616:L616"/>
    <mergeCell ref="K617:L617"/>
    <mergeCell ref="K608:L608"/>
    <mergeCell ref="K609:L609"/>
    <mergeCell ref="K610:L610"/>
    <mergeCell ref="K614:L614"/>
    <mergeCell ref="K615:L615"/>
    <mergeCell ref="K597:L597"/>
    <mergeCell ref="I592:J592"/>
    <mergeCell ref="C592:D592"/>
    <mergeCell ref="E592:F592"/>
    <mergeCell ref="C591:D591"/>
    <mergeCell ref="K601:L601"/>
    <mergeCell ref="C599:D599"/>
    <mergeCell ref="C598:D598"/>
    <mergeCell ref="E599:F599"/>
    <mergeCell ref="E598:F598"/>
    <mergeCell ref="I568:J568"/>
    <mergeCell ref="G569:H569"/>
    <mergeCell ref="E568:F568"/>
    <mergeCell ref="E572:F572"/>
    <mergeCell ref="I569:J569"/>
    <mergeCell ref="E567:F567"/>
    <mergeCell ref="I572:J572"/>
    <mergeCell ref="G572:H572"/>
    <mergeCell ref="K564:L564"/>
    <mergeCell ref="K565:L565"/>
    <mergeCell ref="K566:L566"/>
    <mergeCell ref="K567:L567"/>
    <mergeCell ref="K568:L568"/>
    <mergeCell ref="K569:L569"/>
    <mergeCell ref="K561:L561"/>
    <mergeCell ref="K562:L562"/>
    <mergeCell ref="K563:L563"/>
    <mergeCell ref="K559:L559"/>
    <mergeCell ref="E562:F562"/>
    <mergeCell ref="C562:D562"/>
    <mergeCell ref="C560:D560"/>
    <mergeCell ref="K560:L560"/>
    <mergeCell ref="G561:H561"/>
    <mergeCell ref="I559:J559"/>
    <mergeCell ref="E542:F542"/>
    <mergeCell ref="K547:L547"/>
    <mergeCell ref="K546:L546"/>
    <mergeCell ref="G545:H545"/>
    <mergeCell ref="K552:L552"/>
    <mergeCell ref="K548:L548"/>
    <mergeCell ref="G550:H550"/>
    <mergeCell ref="K550:L550"/>
    <mergeCell ref="I549:J549"/>
    <mergeCell ref="K549:L549"/>
    <mergeCell ref="K554:L554"/>
    <mergeCell ref="E551:F551"/>
    <mergeCell ref="I553:J553"/>
    <mergeCell ref="K553:L553"/>
    <mergeCell ref="K551:L551"/>
    <mergeCell ref="E552:F552"/>
    <mergeCell ref="I552:J552"/>
    <mergeCell ref="G552:H552"/>
    <mergeCell ref="I554:J554"/>
    <mergeCell ref="G554:H554"/>
    <mergeCell ref="E550:F550"/>
    <mergeCell ref="K466:L466"/>
    <mergeCell ref="I517:J517"/>
    <mergeCell ref="K517:L517"/>
    <mergeCell ref="I489:J489"/>
    <mergeCell ref="E492:F492"/>
    <mergeCell ref="E493:F493"/>
    <mergeCell ref="G510:H510"/>
    <mergeCell ref="E502:F502"/>
    <mergeCell ref="E475:F475"/>
    <mergeCell ref="E499:F499"/>
    <mergeCell ref="A495:J495"/>
    <mergeCell ref="G502:H502"/>
    <mergeCell ref="G519:H519"/>
    <mergeCell ref="I491:J491"/>
    <mergeCell ref="E491:F491"/>
    <mergeCell ref="G499:H499"/>
    <mergeCell ref="C499:D499"/>
    <mergeCell ref="G492:H492"/>
    <mergeCell ref="A505:J505"/>
    <mergeCell ref="G476:H476"/>
    <mergeCell ref="C518:D518"/>
    <mergeCell ref="C491:D491"/>
    <mergeCell ref="E464:F464"/>
    <mergeCell ref="G464:H464"/>
    <mergeCell ref="I464:J464"/>
    <mergeCell ref="C465:D465"/>
    <mergeCell ref="E476:F476"/>
    <mergeCell ref="C472:D472"/>
    <mergeCell ref="E500:F500"/>
    <mergeCell ref="E465:F465"/>
    <mergeCell ref="G465:H465"/>
    <mergeCell ref="I465:J465"/>
    <mergeCell ref="C462:D462"/>
    <mergeCell ref="E462:F462"/>
    <mergeCell ref="K462:L462"/>
    <mergeCell ref="K463:L463"/>
    <mergeCell ref="C463:D463"/>
    <mergeCell ref="E463:F463"/>
    <mergeCell ref="C263:D263"/>
    <mergeCell ref="A257:J257"/>
    <mergeCell ref="E263:F263"/>
    <mergeCell ref="E264:F264"/>
    <mergeCell ref="C265:D265"/>
    <mergeCell ref="I265:J265"/>
    <mergeCell ref="G252:H252"/>
    <mergeCell ref="G263:H263"/>
    <mergeCell ref="G254:H254"/>
    <mergeCell ref="G253:H253"/>
    <mergeCell ref="K461:L461"/>
    <mergeCell ref="E460:F460"/>
    <mergeCell ref="G460:H460"/>
    <mergeCell ref="I460:J460"/>
    <mergeCell ref="E461:F461"/>
    <mergeCell ref="G461:H461"/>
    <mergeCell ref="K205:L205"/>
    <mergeCell ref="K206:L206"/>
    <mergeCell ref="K211:L211"/>
    <mergeCell ref="C180:D180"/>
    <mergeCell ref="C193:D193"/>
    <mergeCell ref="C185:D185"/>
    <mergeCell ref="C183:D183"/>
    <mergeCell ref="G208:H208"/>
    <mergeCell ref="C182:D182"/>
    <mergeCell ref="C184:D184"/>
    <mergeCell ref="E209:F209"/>
    <mergeCell ref="E208:F208"/>
    <mergeCell ref="I211:J211"/>
    <mergeCell ref="I210:J210"/>
    <mergeCell ref="I209:J209"/>
    <mergeCell ref="I200:J200"/>
    <mergeCell ref="G207:H207"/>
    <mergeCell ref="G151:H151"/>
    <mergeCell ref="G161:H161"/>
    <mergeCell ref="E171:F171"/>
    <mergeCell ref="E177:F177"/>
    <mergeCell ref="G173:H173"/>
    <mergeCell ref="C165:D165"/>
    <mergeCell ref="E151:F151"/>
    <mergeCell ref="C172:D172"/>
    <mergeCell ref="K154:L154"/>
    <mergeCell ref="A159:L159"/>
    <mergeCell ref="G138:H138"/>
    <mergeCell ref="K160:L160"/>
    <mergeCell ref="E145:F145"/>
    <mergeCell ref="E149:F149"/>
    <mergeCell ref="I160:J160"/>
    <mergeCell ref="C146:D146"/>
    <mergeCell ref="E150:F150"/>
    <mergeCell ref="G153:H153"/>
    <mergeCell ref="I130:J130"/>
    <mergeCell ref="K131:L131"/>
    <mergeCell ref="I138:J138"/>
    <mergeCell ref="K137:L137"/>
    <mergeCell ref="K138:L138"/>
    <mergeCell ref="K153:L153"/>
    <mergeCell ref="E129:F129"/>
    <mergeCell ref="E131:F131"/>
    <mergeCell ref="G132:H132"/>
    <mergeCell ref="E132:F132"/>
    <mergeCell ref="E130:F130"/>
    <mergeCell ref="G131:H131"/>
    <mergeCell ref="G130:H130"/>
    <mergeCell ref="E35:F35"/>
    <mergeCell ref="I33:J33"/>
    <mergeCell ref="E67:F67"/>
    <mergeCell ref="G67:H67"/>
    <mergeCell ref="I67:J67"/>
    <mergeCell ref="G36:H36"/>
    <mergeCell ref="G43:H43"/>
    <mergeCell ref="G41:H41"/>
    <mergeCell ref="E38:F38"/>
    <mergeCell ref="I39:J39"/>
    <mergeCell ref="K1026:L1026"/>
    <mergeCell ref="E522:F522"/>
    <mergeCell ref="E144:F144"/>
    <mergeCell ref="E147:F147"/>
    <mergeCell ref="G148:H148"/>
    <mergeCell ref="E86:F86"/>
    <mergeCell ref="E89:F89"/>
    <mergeCell ref="E88:F88"/>
    <mergeCell ref="E96:F96"/>
    <mergeCell ref="I95:J95"/>
    <mergeCell ref="K1025:L1025"/>
    <mergeCell ref="C76:D76"/>
    <mergeCell ref="C77:D77"/>
    <mergeCell ref="E77:F77"/>
    <mergeCell ref="C87:D87"/>
    <mergeCell ref="E100:F100"/>
    <mergeCell ref="K95:L95"/>
    <mergeCell ref="E124:F124"/>
    <mergeCell ref="G124:H124"/>
    <mergeCell ref="K117:L117"/>
    <mergeCell ref="E98:F98"/>
    <mergeCell ref="E184:F184"/>
    <mergeCell ref="G184:H184"/>
    <mergeCell ref="E521:F521"/>
    <mergeCell ref="E99:F99"/>
    <mergeCell ref="E113:F113"/>
    <mergeCell ref="E110:F110"/>
    <mergeCell ref="G115:H115"/>
    <mergeCell ref="E127:F127"/>
    <mergeCell ref="G123:H123"/>
    <mergeCell ref="G1012:H1012"/>
    <mergeCell ref="G1000:H1000"/>
    <mergeCell ref="G69:H69"/>
    <mergeCell ref="E68:F68"/>
    <mergeCell ref="E62:F62"/>
    <mergeCell ref="E520:F520"/>
    <mergeCell ref="G520:H520"/>
    <mergeCell ref="E116:F116"/>
    <mergeCell ref="G112:H112"/>
    <mergeCell ref="E97:F97"/>
    <mergeCell ref="G1030:H1030"/>
    <mergeCell ref="G1067:H1067"/>
    <mergeCell ref="G1015:H1015"/>
    <mergeCell ref="G1034:H1034"/>
    <mergeCell ref="G1041:H1041"/>
    <mergeCell ref="G1039:H1039"/>
    <mergeCell ref="G1021:H1021"/>
    <mergeCell ref="I1064:J1064"/>
    <mergeCell ref="E1078:F1078"/>
    <mergeCell ref="C1175:D1175"/>
    <mergeCell ref="C1174:D1174"/>
    <mergeCell ref="C1172:D1172"/>
    <mergeCell ref="G1073:H1073"/>
    <mergeCell ref="I1075:J1075"/>
    <mergeCell ref="E1076:F1076"/>
    <mergeCell ref="I1074:J1074"/>
    <mergeCell ref="C1072:D1072"/>
    <mergeCell ref="I1073:J1073"/>
    <mergeCell ref="I1148:J1148"/>
    <mergeCell ref="G1150:H1150"/>
    <mergeCell ref="G1149:H1149"/>
    <mergeCell ref="I1156:J1156"/>
    <mergeCell ref="I1076:J1076"/>
    <mergeCell ref="G1074:H1074"/>
    <mergeCell ref="G1129:H1129"/>
    <mergeCell ref="G1105:H1105"/>
    <mergeCell ref="I1149:J1149"/>
    <mergeCell ref="C1179:D1179"/>
    <mergeCell ref="C1188:D1188"/>
    <mergeCell ref="I1152:J1152"/>
    <mergeCell ref="C1076:D1076"/>
    <mergeCell ref="G1075:H1075"/>
    <mergeCell ref="E1075:F1075"/>
    <mergeCell ref="E1151:F1151"/>
    <mergeCell ref="I1129:J1129"/>
    <mergeCell ref="I1135:J1135"/>
    <mergeCell ref="G1141:H1141"/>
    <mergeCell ref="I1151:J1151"/>
    <mergeCell ref="I1147:J1147"/>
    <mergeCell ref="I1140:J1140"/>
    <mergeCell ref="K1135:L1135"/>
    <mergeCell ref="C1146:D1146"/>
    <mergeCell ref="K1145:L1145"/>
    <mergeCell ref="G1148:H1148"/>
    <mergeCell ref="E1150:F1150"/>
    <mergeCell ref="E1147:F1147"/>
    <mergeCell ref="K1149:L1149"/>
    <mergeCell ref="G1076:H1076"/>
    <mergeCell ref="C1136:D1136"/>
    <mergeCell ref="G1250:H1250"/>
    <mergeCell ref="C1407:D1407"/>
    <mergeCell ref="C1321:D1321"/>
    <mergeCell ref="C1323:D1323"/>
    <mergeCell ref="C1173:D1173"/>
    <mergeCell ref="C1186:D1186"/>
    <mergeCell ref="A1191:L1191"/>
    <mergeCell ref="C1205:D1205"/>
    <mergeCell ref="C1176:D1176"/>
    <mergeCell ref="C1033:D1033"/>
    <mergeCell ref="A1045:J1045"/>
    <mergeCell ref="C1028:D1028"/>
    <mergeCell ref="I1039:J1039"/>
    <mergeCell ref="C1171:D1171"/>
    <mergeCell ref="C1170:D1170"/>
    <mergeCell ref="G1158:H1158"/>
    <mergeCell ref="I1028:J1028"/>
    <mergeCell ref="I1029:J1029"/>
    <mergeCell ref="G1197:H1197"/>
    <mergeCell ref="C1027:D1027"/>
    <mergeCell ref="C1026:D1026"/>
    <mergeCell ref="C1031:D1031"/>
    <mergeCell ref="E1030:F1030"/>
    <mergeCell ref="E1031:F1031"/>
    <mergeCell ref="G1026:H1026"/>
    <mergeCell ref="G1028:H1028"/>
    <mergeCell ref="G1029:H1029"/>
    <mergeCell ref="G1157:H1157"/>
    <mergeCell ref="E1025:F1025"/>
    <mergeCell ref="G1025:H1025"/>
    <mergeCell ref="G1027:H1027"/>
    <mergeCell ref="E1026:F1026"/>
    <mergeCell ref="C1051:D1051"/>
    <mergeCell ref="C1041:D1041"/>
    <mergeCell ref="C1040:D1040"/>
    <mergeCell ref="C1034:D1034"/>
    <mergeCell ref="E1049:F1049"/>
    <mergeCell ref="A1035:J1035"/>
    <mergeCell ref="I1014:J1014"/>
    <mergeCell ref="E1051:F1051"/>
    <mergeCell ref="G1051:H1051"/>
    <mergeCell ref="G1050:H1050"/>
    <mergeCell ref="E1043:F1043"/>
    <mergeCell ref="E1034:F1034"/>
    <mergeCell ref="I1030:J1030"/>
    <mergeCell ref="I1031:J1031"/>
    <mergeCell ref="I1032:J1032"/>
    <mergeCell ref="E1024:F1024"/>
    <mergeCell ref="K1052:L1052"/>
    <mergeCell ref="I1041:J1041"/>
    <mergeCell ref="E1041:F1041"/>
    <mergeCell ref="E1042:F1042"/>
    <mergeCell ref="G1043:H1043"/>
    <mergeCell ref="I1043:J1043"/>
    <mergeCell ref="K1051:L1051"/>
    <mergeCell ref="K1048:L1048"/>
    <mergeCell ref="K1050:L1050"/>
    <mergeCell ref="E1050:F1050"/>
    <mergeCell ref="I1023:J1023"/>
    <mergeCell ref="E941:F941"/>
    <mergeCell ref="I1020:J1020"/>
    <mergeCell ref="I1025:J1025"/>
    <mergeCell ref="I1026:J1026"/>
    <mergeCell ref="I1027:J1027"/>
    <mergeCell ref="E949:F949"/>
    <mergeCell ref="E950:F950"/>
    <mergeCell ref="E966:F966"/>
    <mergeCell ref="I1021:J1021"/>
    <mergeCell ref="E939:F939"/>
    <mergeCell ref="E933:F933"/>
    <mergeCell ref="E934:F934"/>
    <mergeCell ref="K909:L909"/>
    <mergeCell ref="I908:J908"/>
    <mergeCell ref="I919:J919"/>
    <mergeCell ref="E935:F935"/>
    <mergeCell ref="E932:F932"/>
    <mergeCell ref="E924:F924"/>
    <mergeCell ref="E920:F920"/>
    <mergeCell ref="K593:L593"/>
    <mergeCell ref="K184:L184"/>
    <mergeCell ref="K210:L210"/>
    <mergeCell ref="K230:L230"/>
    <mergeCell ref="K308:L308"/>
    <mergeCell ref="K345:L345"/>
    <mergeCell ref="K353:L353"/>
    <mergeCell ref="K208:L208"/>
    <mergeCell ref="K209:L209"/>
    <mergeCell ref="K212:L212"/>
    <mergeCell ref="G231:H231"/>
    <mergeCell ref="G235:H235"/>
    <mergeCell ref="A238:J238"/>
    <mergeCell ref="K590:L590"/>
    <mergeCell ref="K591:L591"/>
    <mergeCell ref="K592:L592"/>
    <mergeCell ref="I253:J253"/>
    <mergeCell ref="C252:D252"/>
    <mergeCell ref="C253:D253"/>
    <mergeCell ref="E252:F252"/>
    <mergeCell ref="K204:L204"/>
    <mergeCell ref="K213:L213"/>
    <mergeCell ref="I131:J131"/>
    <mergeCell ref="G149:H149"/>
    <mergeCell ref="E153:F153"/>
    <mergeCell ref="I132:J132"/>
    <mergeCell ref="I139:J139"/>
    <mergeCell ref="E205:F205"/>
    <mergeCell ref="E137:F137"/>
    <mergeCell ref="I137:J137"/>
    <mergeCell ref="E123:F123"/>
    <mergeCell ref="E172:F172"/>
    <mergeCell ref="G171:H171"/>
    <mergeCell ref="G172:H172"/>
    <mergeCell ref="E136:F136"/>
    <mergeCell ref="E163:F163"/>
    <mergeCell ref="E139:F139"/>
    <mergeCell ref="E138:F138"/>
    <mergeCell ref="G150:H150"/>
    <mergeCell ref="E146:F146"/>
    <mergeCell ref="C173:D173"/>
    <mergeCell ref="E173:F173"/>
    <mergeCell ref="C179:D179"/>
    <mergeCell ref="C176:D176"/>
    <mergeCell ref="C175:D175"/>
    <mergeCell ref="E195:F195"/>
    <mergeCell ref="A190:L190"/>
    <mergeCell ref="G174:H174"/>
    <mergeCell ref="G176:H176"/>
    <mergeCell ref="E183:F183"/>
    <mergeCell ref="C177:D177"/>
    <mergeCell ref="E174:F174"/>
    <mergeCell ref="K192:L192"/>
    <mergeCell ref="G177:H177"/>
    <mergeCell ref="G181:H181"/>
    <mergeCell ref="E181:F181"/>
    <mergeCell ref="E179:F179"/>
    <mergeCell ref="I181:J181"/>
    <mergeCell ref="C181:D181"/>
    <mergeCell ref="E193:F193"/>
    <mergeCell ref="E197:F197"/>
    <mergeCell ref="E196:F196"/>
    <mergeCell ref="E164:F164"/>
    <mergeCell ref="E165:F165"/>
    <mergeCell ref="E182:F182"/>
    <mergeCell ref="E180:F180"/>
    <mergeCell ref="E175:F175"/>
    <mergeCell ref="E170:F170"/>
    <mergeCell ref="E176:F176"/>
    <mergeCell ref="E231:F231"/>
    <mergeCell ref="C223:D223"/>
    <mergeCell ref="E232:F232"/>
    <mergeCell ref="E229:F229"/>
    <mergeCell ref="E228:F228"/>
    <mergeCell ref="E227:F227"/>
    <mergeCell ref="C226:D226"/>
    <mergeCell ref="E224:F224"/>
    <mergeCell ref="C227:D227"/>
    <mergeCell ref="I233:J233"/>
    <mergeCell ref="C230:D230"/>
    <mergeCell ref="E233:F233"/>
    <mergeCell ref="G232:H232"/>
    <mergeCell ref="E237:F237"/>
    <mergeCell ref="E234:F234"/>
    <mergeCell ref="E235:F235"/>
    <mergeCell ref="C228:D228"/>
    <mergeCell ref="C229:D229"/>
    <mergeCell ref="E247:F247"/>
    <mergeCell ref="E236:F236"/>
    <mergeCell ref="C246:D246"/>
    <mergeCell ref="C244:D244"/>
    <mergeCell ref="C236:D236"/>
    <mergeCell ref="E248:F248"/>
    <mergeCell ref="C237:D237"/>
    <mergeCell ref="E244:F244"/>
    <mergeCell ref="A239:J239"/>
    <mergeCell ref="G244:H244"/>
    <mergeCell ref="I263:J263"/>
    <mergeCell ref="I266:J266"/>
    <mergeCell ref="I244:J244"/>
    <mergeCell ref="E251:F251"/>
    <mergeCell ref="I250:J250"/>
    <mergeCell ref="E249:F249"/>
    <mergeCell ref="G250:H250"/>
    <mergeCell ref="E250:F250"/>
    <mergeCell ref="G251:H251"/>
    <mergeCell ref="G249:H249"/>
    <mergeCell ref="E320:F320"/>
    <mergeCell ref="E307:F307"/>
    <mergeCell ref="G303:H303"/>
    <mergeCell ref="G294:H294"/>
    <mergeCell ref="E295:F295"/>
    <mergeCell ref="E292:F292"/>
    <mergeCell ref="E316:F316"/>
    <mergeCell ref="G327:H327"/>
    <mergeCell ref="G310:H310"/>
    <mergeCell ref="C310:D310"/>
    <mergeCell ref="C315:D315"/>
    <mergeCell ref="G318:H318"/>
    <mergeCell ref="E327:F327"/>
    <mergeCell ref="E319:F319"/>
    <mergeCell ref="G317:H317"/>
    <mergeCell ref="G316:H316"/>
    <mergeCell ref="C318:D318"/>
    <mergeCell ref="E332:F332"/>
    <mergeCell ref="C367:D367"/>
    <mergeCell ref="C329:D329"/>
    <mergeCell ref="C327:D327"/>
    <mergeCell ref="C326:D326"/>
    <mergeCell ref="C320:D320"/>
    <mergeCell ref="E329:F329"/>
    <mergeCell ref="E330:F330"/>
    <mergeCell ref="E331:F331"/>
    <mergeCell ref="E321:F321"/>
    <mergeCell ref="C361:D361"/>
    <mergeCell ref="G309:H309"/>
    <mergeCell ref="I306:J306"/>
    <mergeCell ref="E318:F318"/>
    <mergeCell ref="E369:F369"/>
    <mergeCell ref="E361:F361"/>
    <mergeCell ref="A311:J311"/>
    <mergeCell ref="E356:F356"/>
    <mergeCell ref="C328:D328"/>
    <mergeCell ref="C360:D360"/>
    <mergeCell ref="E387:F387"/>
    <mergeCell ref="E370:F370"/>
    <mergeCell ref="E371:F371"/>
    <mergeCell ref="E372:F372"/>
    <mergeCell ref="E358:F358"/>
    <mergeCell ref="E346:F346"/>
    <mergeCell ref="E359:F359"/>
    <mergeCell ref="E368:F368"/>
    <mergeCell ref="E355:F355"/>
    <mergeCell ref="E357:F357"/>
    <mergeCell ref="E392:F392"/>
    <mergeCell ref="C390:D390"/>
    <mergeCell ref="E472:F472"/>
    <mergeCell ref="E414:F414"/>
    <mergeCell ref="A468:J468"/>
    <mergeCell ref="I466:J466"/>
    <mergeCell ref="C466:D466"/>
    <mergeCell ref="C461:D461"/>
    <mergeCell ref="G463:H463"/>
    <mergeCell ref="I463:J463"/>
    <mergeCell ref="C452:D452"/>
    <mergeCell ref="G462:H462"/>
    <mergeCell ref="C451:D451"/>
    <mergeCell ref="E415:F415"/>
    <mergeCell ref="E466:F466"/>
    <mergeCell ref="G466:H466"/>
    <mergeCell ref="G417:H417"/>
    <mergeCell ref="E448:F448"/>
    <mergeCell ref="C419:D419"/>
    <mergeCell ref="G451:H451"/>
    <mergeCell ref="E450:F450"/>
    <mergeCell ref="E449:F449"/>
    <mergeCell ref="E473:F473"/>
    <mergeCell ref="G453:H453"/>
    <mergeCell ref="I451:J451"/>
    <mergeCell ref="E459:F459"/>
    <mergeCell ref="I472:J472"/>
    <mergeCell ref="G459:H459"/>
    <mergeCell ref="I453:J453"/>
    <mergeCell ref="I462:J462"/>
    <mergeCell ref="E482:F482"/>
    <mergeCell ref="C473:D473"/>
    <mergeCell ref="G477:H477"/>
    <mergeCell ref="C474:D474"/>
    <mergeCell ref="G472:H472"/>
    <mergeCell ref="E501:F501"/>
    <mergeCell ref="C493:D493"/>
    <mergeCell ref="G493:H493"/>
    <mergeCell ref="C482:D482"/>
    <mergeCell ref="C484:D484"/>
    <mergeCell ref="I510:J510"/>
    <mergeCell ref="C511:D511"/>
    <mergeCell ref="I511:J511"/>
    <mergeCell ref="G509:H509"/>
    <mergeCell ref="E509:F509"/>
    <mergeCell ref="C509:D509"/>
    <mergeCell ref="G511:H511"/>
    <mergeCell ref="E532:F532"/>
    <mergeCell ref="A528:H528"/>
    <mergeCell ref="E531:F531"/>
    <mergeCell ref="E523:F523"/>
    <mergeCell ref="G532:H532"/>
    <mergeCell ref="E530:F530"/>
    <mergeCell ref="G531:H531"/>
    <mergeCell ref="G530:H530"/>
    <mergeCell ref="A514:J514"/>
    <mergeCell ref="C536:D536"/>
    <mergeCell ref="C530:D530"/>
    <mergeCell ref="C533:D533"/>
    <mergeCell ref="C523:D523"/>
    <mergeCell ref="E533:F533"/>
    <mergeCell ref="I534:J534"/>
    <mergeCell ref="I535:J535"/>
    <mergeCell ref="I520:J520"/>
    <mergeCell ref="G522:H522"/>
    <mergeCell ref="E544:F544"/>
    <mergeCell ref="E561:F561"/>
    <mergeCell ref="A555:J555"/>
    <mergeCell ref="C553:D553"/>
    <mergeCell ref="E553:F553"/>
    <mergeCell ref="E554:F554"/>
    <mergeCell ref="C549:D549"/>
    <mergeCell ref="G549:H549"/>
    <mergeCell ref="C546:D546"/>
    <mergeCell ref="E549:F549"/>
    <mergeCell ref="E546:F546"/>
    <mergeCell ref="E560:F560"/>
    <mergeCell ref="E569:F569"/>
    <mergeCell ref="G560:H560"/>
    <mergeCell ref="C547:D547"/>
    <mergeCell ref="E547:F547"/>
    <mergeCell ref="G547:H547"/>
    <mergeCell ref="G551:H551"/>
    <mergeCell ref="G553:H553"/>
    <mergeCell ref="C551:D551"/>
    <mergeCell ref="C576:D576"/>
    <mergeCell ref="G565:H565"/>
    <mergeCell ref="G567:H567"/>
    <mergeCell ref="G568:H568"/>
    <mergeCell ref="G564:H564"/>
    <mergeCell ref="A570:J570"/>
    <mergeCell ref="C575:D575"/>
    <mergeCell ref="C564:D564"/>
    <mergeCell ref="C565:D565"/>
    <mergeCell ref="I567:J567"/>
    <mergeCell ref="G855:H855"/>
    <mergeCell ref="E609:F609"/>
    <mergeCell ref="C879:D879"/>
    <mergeCell ref="C796:D796"/>
    <mergeCell ref="A870:I870"/>
    <mergeCell ref="I615:J615"/>
    <mergeCell ref="C878:D878"/>
    <mergeCell ref="I690:J690"/>
    <mergeCell ref="I678:J678"/>
    <mergeCell ref="I679:J679"/>
    <mergeCell ref="E931:F931"/>
    <mergeCell ref="E895:F895"/>
    <mergeCell ref="C893:D893"/>
    <mergeCell ref="E968:F968"/>
    <mergeCell ref="E954:F954"/>
    <mergeCell ref="E942:F942"/>
    <mergeCell ref="E948:F948"/>
    <mergeCell ref="E951:F951"/>
    <mergeCell ref="C944:D944"/>
    <mergeCell ref="C948:D948"/>
    <mergeCell ref="C943:D943"/>
    <mergeCell ref="C965:D965"/>
    <mergeCell ref="C957:D957"/>
    <mergeCell ref="A953:J953"/>
    <mergeCell ref="E955:F955"/>
    <mergeCell ref="I965:J965"/>
    <mergeCell ref="C959:D959"/>
    <mergeCell ref="C956:D956"/>
    <mergeCell ref="C958:D958"/>
    <mergeCell ref="G952:H952"/>
    <mergeCell ref="C966:D966"/>
    <mergeCell ref="E959:F959"/>
    <mergeCell ref="G954:H954"/>
    <mergeCell ref="I1051:J1051"/>
    <mergeCell ref="G1049:H1049"/>
    <mergeCell ref="G1042:H1042"/>
    <mergeCell ref="I1048:J1048"/>
    <mergeCell ref="G970:H970"/>
    <mergeCell ref="I992:J992"/>
    <mergeCell ref="I1015:J1015"/>
    <mergeCell ref="E1409:F1409"/>
    <mergeCell ref="E1414:F1414"/>
    <mergeCell ref="C1413:D1413"/>
    <mergeCell ref="C1428:D1428"/>
    <mergeCell ref="I1398:J1398"/>
    <mergeCell ref="I1401:J1401"/>
    <mergeCell ref="G1398:H1398"/>
    <mergeCell ref="I1399:J1399"/>
    <mergeCell ref="A1420:H1420"/>
    <mergeCell ref="C1409:D1409"/>
    <mergeCell ref="I1412:J1412"/>
    <mergeCell ref="I1411:J1411"/>
    <mergeCell ref="E1429:F1429"/>
    <mergeCell ref="C1412:D1412"/>
    <mergeCell ref="C1410:D1410"/>
    <mergeCell ref="C1414:D1414"/>
    <mergeCell ref="I1428:J1428"/>
    <mergeCell ref="C1456:D1456"/>
    <mergeCell ref="A1425:J1425"/>
    <mergeCell ref="C1431:D1431"/>
    <mergeCell ref="E1430:F1430"/>
    <mergeCell ref="C1432:D1432"/>
    <mergeCell ref="C1453:D1453"/>
    <mergeCell ref="C1429:D1429"/>
    <mergeCell ref="E1431:F1431"/>
    <mergeCell ref="C1451:D1451"/>
    <mergeCell ref="C1435:D1435"/>
    <mergeCell ref="C1492:D1492"/>
    <mergeCell ref="E1458:F1458"/>
    <mergeCell ref="G1464:H1464"/>
    <mergeCell ref="C1466:D1466"/>
    <mergeCell ref="E1466:F1466"/>
    <mergeCell ref="G1466:H1466"/>
    <mergeCell ref="C1468:D1468"/>
    <mergeCell ref="E1468:F1468"/>
    <mergeCell ref="G1468:H1468"/>
    <mergeCell ref="C1470:D1470"/>
    <mergeCell ref="C1493:D1493"/>
    <mergeCell ref="C1552:D1552"/>
    <mergeCell ref="C1543:D1543"/>
    <mergeCell ref="G1809:H1809"/>
    <mergeCell ref="K895:L895"/>
    <mergeCell ref="G895:H895"/>
    <mergeCell ref="C1518:D1518"/>
    <mergeCell ref="G1438:H1438"/>
    <mergeCell ref="C1495:D1495"/>
    <mergeCell ref="C1522:D1522"/>
    <mergeCell ref="C1478:D1478"/>
    <mergeCell ref="I920:J920"/>
    <mergeCell ref="G919:H919"/>
    <mergeCell ref="G1409:H1409"/>
    <mergeCell ref="A1402:J1402"/>
    <mergeCell ref="G1411:H1411"/>
    <mergeCell ref="E943:F943"/>
    <mergeCell ref="C1454:D1454"/>
    <mergeCell ref="C1455:D1455"/>
    <mergeCell ref="C971:D971"/>
    <mergeCell ref="C877:D877"/>
    <mergeCell ref="K891:L891"/>
    <mergeCell ref="K880:L880"/>
    <mergeCell ref="I892:J892"/>
    <mergeCell ref="I879:J879"/>
    <mergeCell ref="E892:F892"/>
    <mergeCell ref="G882:H882"/>
    <mergeCell ref="I881:J881"/>
    <mergeCell ref="C882:D882"/>
    <mergeCell ref="E883:F883"/>
    <mergeCell ref="K875:L875"/>
    <mergeCell ref="E878:F878"/>
    <mergeCell ref="I877:J877"/>
    <mergeCell ref="I876:J876"/>
    <mergeCell ref="E875:F875"/>
    <mergeCell ref="G878:H878"/>
    <mergeCell ref="G875:H875"/>
    <mergeCell ref="G876:H876"/>
    <mergeCell ref="K1012:L1012"/>
    <mergeCell ref="I1009:J1009"/>
    <mergeCell ref="I1006:J1006"/>
    <mergeCell ref="G849:H849"/>
    <mergeCell ref="G955:H955"/>
    <mergeCell ref="G956:H956"/>
    <mergeCell ref="G897:H897"/>
    <mergeCell ref="I912:J912"/>
    <mergeCell ref="I853:J853"/>
    <mergeCell ref="G886:H886"/>
    <mergeCell ref="E543:F543"/>
    <mergeCell ref="C543:D543"/>
    <mergeCell ref="E534:F534"/>
    <mergeCell ref="E535:F535"/>
    <mergeCell ref="C534:D534"/>
    <mergeCell ref="C532:D532"/>
    <mergeCell ref="C537:D537"/>
    <mergeCell ref="E536:F536"/>
    <mergeCell ref="A538:H538"/>
    <mergeCell ref="A540:J540"/>
    <mergeCell ref="G617:H617"/>
    <mergeCell ref="E623:F623"/>
    <mergeCell ref="E610:F610"/>
    <mergeCell ref="G651:H651"/>
    <mergeCell ref="G657:H657"/>
    <mergeCell ref="G648:H648"/>
    <mergeCell ref="G939:H939"/>
    <mergeCell ref="I599:J599"/>
    <mergeCell ref="I601:J601"/>
    <mergeCell ref="G913:H913"/>
    <mergeCell ref="A869:H869"/>
    <mergeCell ref="G883:H883"/>
    <mergeCell ref="E600:F600"/>
    <mergeCell ref="G721:H721"/>
    <mergeCell ref="G623:H623"/>
    <mergeCell ref="G624:H624"/>
    <mergeCell ref="K1006:L1006"/>
    <mergeCell ref="G649:H649"/>
    <mergeCell ref="E650:F650"/>
    <mergeCell ref="G646:H646"/>
    <mergeCell ref="E648:F648"/>
    <mergeCell ref="G1006:H1006"/>
    <mergeCell ref="A671:J671"/>
    <mergeCell ref="E658:F658"/>
    <mergeCell ref="G852:H852"/>
    <mergeCell ref="G658:H658"/>
    <mergeCell ref="C602:D602"/>
    <mergeCell ref="A630:J630"/>
    <mergeCell ref="I602:J602"/>
    <mergeCell ref="E617:F617"/>
    <mergeCell ref="C616:D616"/>
    <mergeCell ref="C615:D615"/>
    <mergeCell ref="E627:F627"/>
    <mergeCell ref="G628:H628"/>
    <mergeCell ref="E608:F608"/>
    <mergeCell ref="I623:J623"/>
    <mergeCell ref="C609:D609"/>
    <mergeCell ref="G615:H615"/>
    <mergeCell ref="A2053:C2053"/>
    <mergeCell ref="A2051:C2051"/>
    <mergeCell ref="E647:F647"/>
    <mergeCell ref="E657:F657"/>
    <mergeCell ref="E651:F651"/>
    <mergeCell ref="G1407:H1407"/>
    <mergeCell ref="G810:H810"/>
    <mergeCell ref="E800:F800"/>
    <mergeCell ref="E2038:F2038"/>
    <mergeCell ref="I2026:J2026"/>
    <mergeCell ref="I237:J237"/>
    <mergeCell ref="E537:F537"/>
    <mergeCell ref="G599:H599"/>
    <mergeCell ref="E2012:F2012"/>
    <mergeCell ref="I291:J291"/>
    <mergeCell ref="I303:J303"/>
    <mergeCell ref="I292:J292"/>
    <mergeCell ref="I249:J249"/>
    <mergeCell ref="C2033:D2033"/>
    <mergeCell ref="C2032:D2032"/>
    <mergeCell ref="I2028:J2028"/>
    <mergeCell ref="C2031:D2031"/>
    <mergeCell ref="I2031:J2031"/>
    <mergeCell ref="I2037:J2037"/>
    <mergeCell ref="A2059:J2059"/>
    <mergeCell ref="A2064:H2064"/>
    <mergeCell ref="A2057:J2057"/>
    <mergeCell ref="E2018:F2018"/>
    <mergeCell ref="G2041:H2041"/>
    <mergeCell ref="I2018:J2018"/>
    <mergeCell ref="G2019:H2019"/>
    <mergeCell ref="G2018:H2018"/>
    <mergeCell ref="I2019:J2019"/>
    <mergeCell ref="C2040:D2040"/>
    <mergeCell ref="A2052:I2052"/>
    <mergeCell ref="C1809:D1809"/>
    <mergeCell ref="E1809:F1809"/>
    <mergeCell ref="A2020:J2020"/>
    <mergeCell ref="A2022:I2022"/>
    <mergeCell ref="C2016:D2016"/>
    <mergeCell ref="C2018:D2018"/>
    <mergeCell ref="E2019:F2019"/>
    <mergeCell ref="C2039:D2039"/>
    <mergeCell ref="I2027:J2027"/>
    <mergeCell ref="C2010:D2010"/>
    <mergeCell ref="G2009:H2009"/>
    <mergeCell ref="C2009:D2009"/>
    <mergeCell ref="A1999:J1999"/>
    <mergeCell ref="E2008:F2008"/>
    <mergeCell ref="E2004:F2004"/>
    <mergeCell ref="I2009:J2009"/>
    <mergeCell ref="C2004:D2004"/>
    <mergeCell ref="E2003:F2003"/>
    <mergeCell ref="I2005:J2005"/>
    <mergeCell ref="A2083:H2083"/>
    <mergeCell ref="A2076:H2076"/>
    <mergeCell ref="A2080:H2080"/>
    <mergeCell ref="A2081:H2081"/>
    <mergeCell ref="A2082:H2082"/>
    <mergeCell ref="A2060:J2060"/>
    <mergeCell ref="A2065:H2065"/>
    <mergeCell ref="A2074:H2074"/>
    <mergeCell ref="A2075:H2075"/>
    <mergeCell ref="A2077:H2077"/>
    <mergeCell ref="C2038:D2038"/>
    <mergeCell ref="E2016:F2016"/>
    <mergeCell ref="A2066:I2066"/>
    <mergeCell ref="C2041:D2041"/>
    <mergeCell ref="A2054:H2054"/>
    <mergeCell ref="E2028:F2028"/>
    <mergeCell ref="I2039:J2039"/>
    <mergeCell ref="I2040:J2040"/>
    <mergeCell ref="E2039:F2039"/>
    <mergeCell ref="A2044:H2044"/>
    <mergeCell ref="A2055:H2055"/>
    <mergeCell ref="A2063:H2063"/>
    <mergeCell ref="A2058:J2058"/>
    <mergeCell ref="A2046:B2046"/>
    <mergeCell ref="A2048:B2048"/>
    <mergeCell ref="G2040:H2040"/>
    <mergeCell ref="I2041:J2041"/>
    <mergeCell ref="A2047:B2047"/>
    <mergeCell ref="A2056:J2056"/>
    <mergeCell ref="E2041:F2041"/>
    <mergeCell ref="E2011:F2011"/>
    <mergeCell ref="C2012:D2012"/>
    <mergeCell ref="E2017:F2017"/>
    <mergeCell ref="C2008:D2008"/>
    <mergeCell ref="E2009:F2009"/>
    <mergeCell ref="C2005:D2005"/>
    <mergeCell ref="E2010:F2010"/>
    <mergeCell ref="E2005:F2005"/>
    <mergeCell ref="C2017:D2017"/>
    <mergeCell ref="C2011:D2011"/>
    <mergeCell ref="C1956:D1956"/>
    <mergeCell ref="E1985:F1985"/>
    <mergeCell ref="C1966:D1966"/>
    <mergeCell ref="C1983:D1983"/>
    <mergeCell ref="C1984:D1984"/>
    <mergeCell ref="C1985:D1985"/>
    <mergeCell ref="E1956:F1956"/>
    <mergeCell ref="E1984:F1984"/>
    <mergeCell ref="B1966:B1967"/>
    <mergeCell ref="B1956:B1957"/>
    <mergeCell ref="E1355:F1355"/>
    <mergeCell ref="E1395:F1395"/>
    <mergeCell ref="A1421:J1421"/>
    <mergeCell ref="E897:F897"/>
    <mergeCell ref="I1413:J1413"/>
    <mergeCell ref="G1412:H1412"/>
    <mergeCell ref="A1956:A1957"/>
    <mergeCell ref="A1966:A1967"/>
    <mergeCell ref="B1944:B1945"/>
    <mergeCell ref="C852:D852"/>
    <mergeCell ref="C876:D876"/>
    <mergeCell ref="E1195:F1195"/>
    <mergeCell ref="E1413:F1413"/>
    <mergeCell ref="E1412:F1412"/>
    <mergeCell ref="C1442:D1442"/>
    <mergeCell ref="E899:F899"/>
    <mergeCell ref="E896:F896"/>
    <mergeCell ref="E881:F881"/>
    <mergeCell ref="C857:D857"/>
    <mergeCell ref="E857:F857"/>
    <mergeCell ref="E859:F859"/>
    <mergeCell ref="A867:H867"/>
    <mergeCell ref="K856:L856"/>
    <mergeCell ref="A865:L865"/>
    <mergeCell ref="K858:L858"/>
    <mergeCell ref="G857:H857"/>
    <mergeCell ref="G858:H858"/>
    <mergeCell ref="C940:D940"/>
    <mergeCell ref="C919:D919"/>
    <mergeCell ref="E919:F919"/>
    <mergeCell ref="E929:F929"/>
    <mergeCell ref="A889:L889"/>
    <mergeCell ref="A868:H868"/>
    <mergeCell ref="C881:D881"/>
    <mergeCell ref="E882:F882"/>
    <mergeCell ref="C875:D875"/>
    <mergeCell ref="E876:F876"/>
    <mergeCell ref="G920:H920"/>
    <mergeCell ref="E898:F898"/>
    <mergeCell ref="C896:D896"/>
    <mergeCell ref="A906:H906"/>
    <mergeCell ref="C892:D892"/>
    <mergeCell ref="E885:F885"/>
    <mergeCell ref="G899:H899"/>
    <mergeCell ref="C886:D886"/>
    <mergeCell ref="G901:H901"/>
    <mergeCell ref="I886:J886"/>
    <mergeCell ref="G885:H885"/>
    <mergeCell ref="G893:H893"/>
    <mergeCell ref="C858:D858"/>
    <mergeCell ref="G912:H912"/>
    <mergeCell ref="G879:H879"/>
    <mergeCell ref="G892:H892"/>
    <mergeCell ref="E858:F858"/>
    <mergeCell ref="I900:J900"/>
    <mergeCell ref="E856:F856"/>
    <mergeCell ref="C885:D885"/>
    <mergeCell ref="C856:D856"/>
    <mergeCell ref="A866:K866"/>
    <mergeCell ref="A860:J860"/>
    <mergeCell ref="I885:J885"/>
    <mergeCell ref="K859:L859"/>
    <mergeCell ref="K857:L857"/>
    <mergeCell ref="C859:D859"/>
    <mergeCell ref="I859:J859"/>
    <mergeCell ref="I1753:J1753"/>
    <mergeCell ref="G1985:H1985"/>
    <mergeCell ref="E1495:F1495"/>
    <mergeCell ref="E1494:F1494"/>
    <mergeCell ref="K1683:L1683"/>
    <mergeCell ref="E1983:F1983"/>
    <mergeCell ref="G1831:H1831"/>
    <mergeCell ref="G1504:H1504"/>
    <mergeCell ref="E1502:F1502"/>
    <mergeCell ref="K1666:L1666"/>
    <mergeCell ref="G1397:H1397"/>
    <mergeCell ref="G1401:H1401"/>
    <mergeCell ref="G1390:H1390"/>
    <mergeCell ref="E1401:F1401"/>
    <mergeCell ref="E1433:F1433"/>
    <mergeCell ref="E1411:F1411"/>
    <mergeCell ref="E1400:F1400"/>
    <mergeCell ref="G1391:H1391"/>
    <mergeCell ref="A1415:J1415"/>
    <mergeCell ref="G1429:H1429"/>
    <mergeCell ref="I1492:J1492"/>
    <mergeCell ref="G1456:H1456"/>
    <mergeCell ref="I1478:J1478"/>
    <mergeCell ref="E1483:F1483"/>
    <mergeCell ref="G1484:H1484"/>
    <mergeCell ref="G1481:H1481"/>
    <mergeCell ref="G1485:H1485"/>
    <mergeCell ref="E1480:F1480"/>
    <mergeCell ref="I1482:J1482"/>
    <mergeCell ref="E1478:F1478"/>
    <mergeCell ref="G1493:H1493"/>
    <mergeCell ref="G1454:H1454"/>
    <mergeCell ref="E1481:F1481"/>
    <mergeCell ref="E1482:F1482"/>
    <mergeCell ref="E1453:F1453"/>
    <mergeCell ref="E1492:F1492"/>
    <mergeCell ref="E1464:F1464"/>
    <mergeCell ref="G1455:H1455"/>
    <mergeCell ref="E1470:F1470"/>
    <mergeCell ref="G1470:H1470"/>
    <mergeCell ref="E1503:F1503"/>
    <mergeCell ref="I1527:J1527"/>
    <mergeCell ref="G1527:H1527"/>
    <mergeCell ref="E1496:F1496"/>
    <mergeCell ref="A1511:J1511"/>
    <mergeCell ref="C1496:D1496"/>
    <mergeCell ref="I1517:J1517"/>
    <mergeCell ref="C1503:D1503"/>
    <mergeCell ref="E1504:F1504"/>
    <mergeCell ref="C1497:D1497"/>
    <mergeCell ref="O1961:P1961"/>
    <mergeCell ref="I1521:J1521"/>
    <mergeCell ref="K1675:L1675"/>
    <mergeCell ref="O1960:P1960"/>
    <mergeCell ref="I1529:J1529"/>
    <mergeCell ref="M1557:N1557"/>
    <mergeCell ref="I1522:J1522"/>
    <mergeCell ref="I1549:J1549"/>
    <mergeCell ref="I1534:J1534"/>
    <mergeCell ref="K1705:L1705"/>
    <mergeCell ref="I1743:J1743"/>
    <mergeCell ref="I1526:J1526"/>
    <mergeCell ref="I1982:J1982"/>
    <mergeCell ref="I1973:J1973"/>
    <mergeCell ref="K1919:L1919"/>
    <mergeCell ref="K1876:L1876"/>
    <mergeCell ref="K1910:L1910"/>
    <mergeCell ref="K1786:L1786"/>
    <mergeCell ref="I1550:J1550"/>
    <mergeCell ref="I1725:J1725"/>
    <mergeCell ref="I1910:J1910"/>
    <mergeCell ref="I1876:J1876"/>
    <mergeCell ref="I1503:J1503"/>
    <mergeCell ref="O2004:P2004"/>
    <mergeCell ref="O2003:P2003"/>
    <mergeCell ref="O2001:P2001"/>
    <mergeCell ref="O1962:P1962"/>
    <mergeCell ref="I1768:J1768"/>
    <mergeCell ref="K1760:L1760"/>
    <mergeCell ref="K1776:L1776"/>
    <mergeCell ref="I1776:J1776"/>
    <mergeCell ref="I1786:J1786"/>
    <mergeCell ref="E1353:F1353"/>
    <mergeCell ref="E1280:F1280"/>
    <mergeCell ref="A1241:H1241"/>
    <mergeCell ref="C1253:D1253"/>
    <mergeCell ref="E1253:F1253"/>
    <mergeCell ref="G1308:H1308"/>
    <mergeCell ref="C1331:D1331"/>
    <mergeCell ref="I1657:J1657"/>
    <mergeCell ref="E1157:F1157"/>
    <mergeCell ref="C1184:D1184"/>
    <mergeCell ref="I1164:J1164"/>
    <mergeCell ref="A1166:J1166"/>
    <mergeCell ref="E1125:F1125"/>
    <mergeCell ref="G1126:H1126"/>
    <mergeCell ref="G1146:H1146"/>
    <mergeCell ref="A1142:J1142"/>
    <mergeCell ref="G1140:H1140"/>
    <mergeCell ref="C1128:D1128"/>
    <mergeCell ref="E1106:F1106"/>
    <mergeCell ref="E1072:F1072"/>
    <mergeCell ref="A1113:H1113"/>
    <mergeCell ref="C1054:D1054"/>
    <mergeCell ref="C1103:D1103"/>
    <mergeCell ref="C1105:D1105"/>
    <mergeCell ref="C1063:D1063"/>
    <mergeCell ref="C1073:D1073"/>
    <mergeCell ref="C1106:D1106"/>
    <mergeCell ref="G1094:H1094"/>
    <mergeCell ref="G988:H988"/>
    <mergeCell ref="A982:L982"/>
    <mergeCell ref="C968:D968"/>
    <mergeCell ref="C969:D969"/>
    <mergeCell ref="E986:F986"/>
    <mergeCell ref="C967:D967"/>
    <mergeCell ref="E979:F979"/>
    <mergeCell ref="C974:D974"/>
    <mergeCell ref="E971:F971"/>
    <mergeCell ref="C970:D970"/>
    <mergeCell ref="C880:D880"/>
    <mergeCell ref="I476:J476"/>
    <mergeCell ref="G647:H647"/>
    <mergeCell ref="C845:D845"/>
    <mergeCell ref="E828:F828"/>
    <mergeCell ref="E820:F820"/>
    <mergeCell ref="C825:D825"/>
    <mergeCell ref="C780:D780"/>
    <mergeCell ref="C798:D798"/>
    <mergeCell ref="E812:F812"/>
    <mergeCell ref="I474:J474"/>
    <mergeCell ref="K474:L474"/>
    <mergeCell ref="I475:J475"/>
    <mergeCell ref="I471:J471"/>
    <mergeCell ref="I452:J452"/>
    <mergeCell ref="K458:L458"/>
    <mergeCell ref="I458:J458"/>
    <mergeCell ref="I459:J459"/>
    <mergeCell ref="K459:L459"/>
    <mergeCell ref="I461:J461"/>
    <mergeCell ref="C444:D444"/>
    <mergeCell ref="G450:H450"/>
    <mergeCell ref="E452:F452"/>
    <mergeCell ref="I444:J444"/>
    <mergeCell ref="G448:H448"/>
    <mergeCell ref="C442:D442"/>
    <mergeCell ref="I448:J448"/>
    <mergeCell ref="I447:J447"/>
    <mergeCell ref="I450:J450"/>
    <mergeCell ref="I449:J449"/>
    <mergeCell ref="C440:D440"/>
    <mergeCell ref="C439:D439"/>
    <mergeCell ref="C435:D435"/>
    <mergeCell ref="G444:H444"/>
    <mergeCell ref="I443:J443"/>
    <mergeCell ref="I442:J442"/>
    <mergeCell ref="I439:J439"/>
    <mergeCell ref="G439:H439"/>
    <mergeCell ref="C441:D441"/>
    <mergeCell ref="E444:F444"/>
    <mergeCell ref="E418:F418"/>
    <mergeCell ref="E417:F417"/>
    <mergeCell ref="E439:F439"/>
    <mergeCell ref="E451:F451"/>
    <mergeCell ref="G441:H441"/>
    <mergeCell ref="G440:H440"/>
    <mergeCell ref="G430:H430"/>
    <mergeCell ref="G419:H419"/>
    <mergeCell ref="E419:F419"/>
    <mergeCell ref="E441:F441"/>
    <mergeCell ref="I417:J417"/>
    <mergeCell ref="M26:N26"/>
    <mergeCell ref="M27:N27"/>
    <mergeCell ref="A29:J29"/>
    <mergeCell ref="I36:J36"/>
    <mergeCell ref="E36:F36"/>
    <mergeCell ref="M28:N28"/>
    <mergeCell ref="A28:J28"/>
    <mergeCell ref="I30:J30"/>
    <mergeCell ref="E33:F33"/>
    <mergeCell ref="C430:D430"/>
    <mergeCell ref="I284:J284"/>
    <mergeCell ref="E32:F32"/>
    <mergeCell ref="C32:D32"/>
    <mergeCell ref="I31:J31"/>
    <mergeCell ref="K31:L31"/>
    <mergeCell ref="C36:D36"/>
    <mergeCell ref="G33:H33"/>
    <mergeCell ref="G32:H32"/>
    <mergeCell ref="K32:L32"/>
    <mergeCell ref="I32:J32"/>
    <mergeCell ref="I226:J226"/>
    <mergeCell ref="I192:J192"/>
    <mergeCell ref="I194:J194"/>
    <mergeCell ref="I213:J213"/>
    <mergeCell ref="I195:J195"/>
    <mergeCell ref="I205:J205"/>
    <mergeCell ref="I206:J206"/>
    <mergeCell ref="I199:J199"/>
    <mergeCell ref="I215:J215"/>
    <mergeCell ref="K207:L207"/>
    <mergeCell ref="I38:J38"/>
    <mergeCell ref="K62:L62"/>
    <mergeCell ref="K78:L78"/>
    <mergeCell ref="K226:L226"/>
    <mergeCell ref="K197:L197"/>
    <mergeCell ref="K77:L77"/>
    <mergeCell ref="K85:L85"/>
    <mergeCell ref="I172:J172"/>
    <mergeCell ref="I97:J97"/>
    <mergeCell ref="G136:H136"/>
    <mergeCell ref="I46:J46"/>
    <mergeCell ref="G78:H78"/>
    <mergeCell ref="G129:H129"/>
    <mergeCell ref="G183:H183"/>
    <mergeCell ref="G193:H193"/>
    <mergeCell ref="I184:J184"/>
    <mergeCell ref="G175:H175"/>
    <mergeCell ref="I122:J122"/>
    <mergeCell ref="I123:J123"/>
    <mergeCell ref="G44:H44"/>
    <mergeCell ref="G62:H62"/>
    <mergeCell ref="G66:H66"/>
    <mergeCell ref="G46:H46"/>
    <mergeCell ref="I108:J108"/>
    <mergeCell ref="G77:H77"/>
    <mergeCell ref="I98:J98"/>
    <mergeCell ref="G100:H100"/>
    <mergeCell ref="G47:H47"/>
    <mergeCell ref="I100:J100"/>
    <mergeCell ref="I129:J129"/>
    <mergeCell ref="I117:J117"/>
    <mergeCell ref="I162:J162"/>
    <mergeCell ref="I164:J164"/>
    <mergeCell ref="A168:L168"/>
    <mergeCell ref="E199:F199"/>
    <mergeCell ref="G198:H198"/>
    <mergeCell ref="G137:H137"/>
    <mergeCell ref="G165:H165"/>
    <mergeCell ref="G170:H170"/>
    <mergeCell ref="G42:H42"/>
    <mergeCell ref="G227:H227"/>
    <mergeCell ref="I40:J40"/>
    <mergeCell ref="I43:J43"/>
    <mergeCell ref="I42:J42"/>
    <mergeCell ref="G234:H234"/>
    <mergeCell ref="G210:H210"/>
    <mergeCell ref="G215:H215"/>
    <mergeCell ref="I221:J221"/>
    <mergeCell ref="G61:H61"/>
    <mergeCell ref="G163:H163"/>
    <mergeCell ref="M274:N274"/>
    <mergeCell ref="I360:J360"/>
    <mergeCell ref="K294:L294"/>
    <mergeCell ref="I308:J308"/>
    <mergeCell ref="I293:J293"/>
    <mergeCell ref="I281:J281"/>
    <mergeCell ref="I296:J296"/>
    <mergeCell ref="I305:J305"/>
    <mergeCell ref="G237:H237"/>
    <mergeCell ref="E345:F345"/>
    <mergeCell ref="E342:F342"/>
    <mergeCell ref="C358:D358"/>
    <mergeCell ref="I41:J41"/>
    <mergeCell ref="I44:J44"/>
    <mergeCell ref="I183:J183"/>
    <mergeCell ref="I177:J177"/>
    <mergeCell ref="I227:J227"/>
    <mergeCell ref="C333:D333"/>
    <mergeCell ref="I223:J223"/>
    <mergeCell ref="C337:D337"/>
    <mergeCell ref="E343:F343"/>
    <mergeCell ref="C391:D391"/>
    <mergeCell ref="C389:D389"/>
    <mergeCell ref="E391:F391"/>
    <mergeCell ref="E397:F397"/>
    <mergeCell ref="E354:F354"/>
    <mergeCell ref="E348:F348"/>
    <mergeCell ref="E388:F388"/>
    <mergeCell ref="E347:F347"/>
    <mergeCell ref="G751:H751"/>
    <mergeCell ref="A760:I760"/>
    <mergeCell ref="C810:D810"/>
    <mergeCell ref="A758:H758"/>
    <mergeCell ref="C827:D827"/>
    <mergeCell ref="C826:D826"/>
    <mergeCell ref="G797:H797"/>
    <mergeCell ref="G808:H808"/>
    <mergeCell ref="C815:D815"/>
    <mergeCell ref="C812:D812"/>
    <mergeCell ref="G847:H847"/>
    <mergeCell ref="G846:H846"/>
    <mergeCell ref="G799:H799"/>
    <mergeCell ref="E813:F813"/>
    <mergeCell ref="C800:D800"/>
    <mergeCell ref="A802:J802"/>
    <mergeCell ref="C822:D822"/>
    <mergeCell ref="G807:H807"/>
    <mergeCell ref="C808:D808"/>
    <mergeCell ref="E846:F846"/>
    <mergeCell ref="G788:H788"/>
    <mergeCell ref="G787:H787"/>
    <mergeCell ref="C799:D799"/>
    <mergeCell ref="G800:H800"/>
    <mergeCell ref="E789:F789"/>
    <mergeCell ref="C782:D782"/>
    <mergeCell ref="C787:D787"/>
    <mergeCell ref="C790:D790"/>
    <mergeCell ref="E790:F790"/>
    <mergeCell ref="E807:F807"/>
    <mergeCell ref="C786:D786"/>
    <mergeCell ref="C788:D788"/>
    <mergeCell ref="E788:F788"/>
    <mergeCell ref="E808:F808"/>
    <mergeCell ref="C783:D783"/>
    <mergeCell ref="C712:D712"/>
    <mergeCell ref="A708:H708"/>
    <mergeCell ref="C744:D744"/>
    <mergeCell ref="E721:F721"/>
    <mergeCell ref="G734:H734"/>
    <mergeCell ref="E783:F783"/>
    <mergeCell ref="E778:F778"/>
    <mergeCell ref="C721:D721"/>
    <mergeCell ref="E796:F796"/>
    <mergeCell ref="E784:F784"/>
    <mergeCell ref="E797:F797"/>
    <mergeCell ref="C789:D789"/>
    <mergeCell ref="G674:H674"/>
    <mergeCell ref="E678:F678"/>
    <mergeCell ref="E682:F682"/>
    <mergeCell ref="G683:H683"/>
    <mergeCell ref="G681:H681"/>
    <mergeCell ref="C781:D781"/>
    <mergeCell ref="E677:F677"/>
    <mergeCell ref="G679:H679"/>
    <mergeCell ref="G680:H680"/>
    <mergeCell ref="G677:H677"/>
    <mergeCell ref="G682:H682"/>
    <mergeCell ref="K669:L669"/>
    <mergeCell ref="G676:H676"/>
    <mergeCell ref="K673:L673"/>
    <mergeCell ref="I680:J680"/>
    <mergeCell ref="K674:L674"/>
    <mergeCell ref="C647:D647"/>
    <mergeCell ref="C659:D659"/>
    <mergeCell ref="C646:D646"/>
    <mergeCell ref="C628:D628"/>
    <mergeCell ref="C649:D649"/>
    <mergeCell ref="C656:D656"/>
    <mergeCell ref="G650:H650"/>
    <mergeCell ref="G656:H656"/>
    <mergeCell ref="K628:L628"/>
    <mergeCell ref="G627:H627"/>
    <mergeCell ref="E616:F616"/>
    <mergeCell ref="E628:F628"/>
    <mergeCell ref="G625:H625"/>
    <mergeCell ref="E649:F649"/>
    <mergeCell ref="I646:J646"/>
    <mergeCell ref="I647:J647"/>
    <mergeCell ref="E646:F646"/>
    <mergeCell ref="E626:F626"/>
    <mergeCell ref="C623:D623"/>
    <mergeCell ref="E625:F625"/>
    <mergeCell ref="C624:D624"/>
    <mergeCell ref="A634:H634"/>
    <mergeCell ref="C627:D627"/>
    <mergeCell ref="E565:F565"/>
    <mergeCell ref="C574:D574"/>
    <mergeCell ref="C566:D566"/>
    <mergeCell ref="C563:D563"/>
    <mergeCell ref="C568:D568"/>
    <mergeCell ref="E564:F564"/>
    <mergeCell ref="E566:F566"/>
    <mergeCell ref="C569:D569"/>
    <mergeCell ref="C567:D567"/>
    <mergeCell ref="E574:F574"/>
    <mergeCell ref="E680:F680"/>
    <mergeCell ref="C674:D674"/>
    <mergeCell ref="E668:F668"/>
    <mergeCell ref="E624:F624"/>
    <mergeCell ref="E751:F751"/>
    <mergeCell ref="C734:D734"/>
    <mergeCell ref="A707:H707"/>
    <mergeCell ref="G712:H712"/>
    <mergeCell ref="E712:F712"/>
    <mergeCell ref="C626:D626"/>
    <mergeCell ref="E825:F825"/>
    <mergeCell ref="E842:F842"/>
    <mergeCell ref="E823:F823"/>
    <mergeCell ref="G826:H826"/>
    <mergeCell ref="G825:H825"/>
    <mergeCell ref="C828:D828"/>
    <mergeCell ref="E847:F847"/>
    <mergeCell ref="G744:H744"/>
    <mergeCell ref="G789:H789"/>
    <mergeCell ref="G798:H798"/>
    <mergeCell ref="E780:F780"/>
    <mergeCell ref="G786:H786"/>
    <mergeCell ref="E781:F781"/>
    <mergeCell ref="G780:H780"/>
    <mergeCell ref="A830:J830"/>
    <mergeCell ref="G823:H823"/>
    <mergeCell ref="A662:J662"/>
    <mergeCell ref="E855:F855"/>
    <mergeCell ref="E854:F854"/>
    <mergeCell ref="E852:F852"/>
    <mergeCell ref="E848:F848"/>
    <mergeCell ref="E850:F850"/>
    <mergeCell ref="E851:F851"/>
    <mergeCell ref="I781:J781"/>
    <mergeCell ref="E849:F849"/>
    <mergeCell ref="E845:F845"/>
    <mergeCell ref="G829:H829"/>
    <mergeCell ref="G828:H828"/>
    <mergeCell ref="C824:D824"/>
    <mergeCell ref="G843:H843"/>
    <mergeCell ref="E824:F824"/>
    <mergeCell ref="C844:D844"/>
    <mergeCell ref="C843:D843"/>
    <mergeCell ref="E843:F843"/>
    <mergeCell ref="C842:D842"/>
    <mergeCell ref="E829:F829"/>
    <mergeCell ref="I847:J847"/>
    <mergeCell ref="E826:F826"/>
    <mergeCell ref="I843:J843"/>
    <mergeCell ref="I844:J844"/>
    <mergeCell ref="G824:H824"/>
    <mergeCell ref="G842:H842"/>
    <mergeCell ref="I845:J845"/>
    <mergeCell ref="G844:H844"/>
    <mergeCell ref="E844:F844"/>
    <mergeCell ref="A839:J839"/>
    <mergeCell ref="C431:D431"/>
    <mergeCell ref="C660:D660"/>
    <mergeCell ref="C778:D778"/>
    <mergeCell ref="E698:F698"/>
    <mergeCell ref="C779:D779"/>
    <mergeCell ref="E659:F659"/>
    <mergeCell ref="E601:F601"/>
    <mergeCell ref="C610:D610"/>
    <mergeCell ref="E674:F674"/>
    <mergeCell ref="E669:F669"/>
    <mergeCell ref="C334:D334"/>
    <mergeCell ref="C450:D450"/>
    <mergeCell ref="C443:D443"/>
    <mergeCell ref="C449:D449"/>
    <mergeCell ref="C448:D448"/>
    <mergeCell ref="E434:F434"/>
    <mergeCell ref="E443:F443"/>
    <mergeCell ref="E442:F442"/>
    <mergeCell ref="E435:F435"/>
    <mergeCell ref="C434:D434"/>
    <mergeCell ref="E360:F360"/>
    <mergeCell ref="C362:D362"/>
    <mergeCell ref="E367:F367"/>
    <mergeCell ref="C425:D425"/>
    <mergeCell ref="E336:F336"/>
    <mergeCell ref="C355:D355"/>
    <mergeCell ref="E362:F362"/>
    <mergeCell ref="C406:D406"/>
    <mergeCell ref="E404:F404"/>
    <mergeCell ref="E406:F406"/>
    <mergeCell ref="C417:D417"/>
    <mergeCell ref="E328:F328"/>
    <mergeCell ref="C405:D405"/>
    <mergeCell ref="C397:D397"/>
    <mergeCell ref="C171:D171"/>
    <mergeCell ref="E230:F230"/>
    <mergeCell ref="E207:F207"/>
    <mergeCell ref="E214:F214"/>
    <mergeCell ref="E198:F198"/>
    <mergeCell ref="E334:F334"/>
    <mergeCell ref="G225:H225"/>
    <mergeCell ref="G224:H224"/>
    <mergeCell ref="G226:H226"/>
    <mergeCell ref="G236:H236"/>
    <mergeCell ref="K50:L50"/>
    <mergeCell ref="I49:J49"/>
    <mergeCell ref="G146:H146"/>
    <mergeCell ref="A107:L107"/>
    <mergeCell ref="E90:F90"/>
    <mergeCell ref="I80:J80"/>
    <mergeCell ref="E79:F79"/>
    <mergeCell ref="E115:F115"/>
    <mergeCell ref="G96:H96"/>
    <mergeCell ref="E109:F109"/>
    <mergeCell ref="C109:D109"/>
    <mergeCell ref="E125:F125"/>
    <mergeCell ref="G116:H116"/>
    <mergeCell ref="E122:F122"/>
    <mergeCell ref="E117:F117"/>
    <mergeCell ref="G117:H117"/>
    <mergeCell ref="C62:D62"/>
    <mergeCell ref="E48:F48"/>
    <mergeCell ref="C49:D49"/>
    <mergeCell ref="K48:L48"/>
    <mergeCell ref="I48:J48"/>
    <mergeCell ref="E49:F49"/>
    <mergeCell ref="G48:H48"/>
    <mergeCell ref="C61:D61"/>
    <mergeCell ref="C60:D60"/>
    <mergeCell ref="E59:F59"/>
    <mergeCell ref="E40:F40"/>
    <mergeCell ref="C39:D39"/>
    <mergeCell ref="E47:F47"/>
    <mergeCell ref="E46:F46"/>
    <mergeCell ref="E41:F41"/>
    <mergeCell ref="E45:F45"/>
    <mergeCell ref="E44:F44"/>
    <mergeCell ref="C46:D46"/>
    <mergeCell ref="C45:D45"/>
    <mergeCell ref="E43:F43"/>
    <mergeCell ref="E50:F50"/>
    <mergeCell ref="E57:F57"/>
    <mergeCell ref="E58:F58"/>
    <mergeCell ref="C57:D57"/>
    <mergeCell ref="E60:F60"/>
    <mergeCell ref="A55:L55"/>
    <mergeCell ref="I56:J56"/>
    <mergeCell ref="K60:L60"/>
    <mergeCell ref="G58:H58"/>
    <mergeCell ref="C50:D50"/>
    <mergeCell ref="C68:D68"/>
    <mergeCell ref="A74:L74"/>
    <mergeCell ref="I103:J103"/>
    <mergeCell ref="C102:D102"/>
    <mergeCell ref="E78:F78"/>
    <mergeCell ref="E103:F103"/>
    <mergeCell ref="E101:F101"/>
    <mergeCell ref="E69:F69"/>
    <mergeCell ref="I96:J96"/>
    <mergeCell ref="G76:H76"/>
    <mergeCell ref="C37:D37"/>
    <mergeCell ref="C59:D59"/>
    <mergeCell ref="C42:D42"/>
    <mergeCell ref="C38:D38"/>
    <mergeCell ref="C41:D41"/>
    <mergeCell ref="C44:D44"/>
    <mergeCell ref="C43:D43"/>
    <mergeCell ref="C47:D47"/>
    <mergeCell ref="C48:D48"/>
    <mergeCell ref="C40:D40"/>
    <mergeCell ref="C145:D145"/>
    <mergeCell ref="C122:D122"/>
    <mergeCell ref="C144:D144"/>
    <mergeCell ref="C139:D139"/>
    <mergeCell ref="C138:D138"/>
    <mergeCell ref="C136:D136"/>
    <mergeCell ref="C127:D127"/>
    <mergeCell ref="C125:D125"/>
    <mergeCell ref="A134:L134"/>
    <mergeCell ref="I143:J143"/>
    <mergeCell ref="E222:F222"/>
    <mergeCell ref="G223:H223"/>
    <mergeCell ref="G211:H211"/>
    <mergeCell ref="A200:H200"/>
    <mergeCell ref="E225:F225"/>
    <mergeCell ref="E213:F213"/>
    <mergeCell ref="E215:F215"/>
    <mergeCell ref="E211:F211"/>
    <mergeCell ref="E212:F212"/>
    <mergeCell ref="C210:D210"/>
    <mergeCell ref="C198:D198"/>
    <mergeCell ref="C222:D222"/>
    <mergeCell ref="C194:D194"/>
    <mergeCell ref="E206:F206"/>
    <mergeCell ref="E194:F194"/>
    <mergeCell ref="G206:H206"/>
    <mergeCell ref="C195:D195"/>
    <mergeCell ref="C197:D197"/>
    <mergeCell ref="C196:D196"/>
    <mergeCell ref="C199:D199"/>
    <mergeCell ref="C213:D213"/>
    <mergeCell ref="C212:D212"/>
    <mergeCell ref="C206:D206"/>
    <mergeCell ref="C207:D207"/>
    <mergeCell ref="C208:D208"/>
    <mergeCell ref="C211:D211"/>
    <mergeCell ref="C209:D209"/>
    <mergeCell ref="C317:D317"/>
    <mergeCell ref="E310:F310"/>
    <mergeCell ref="E315:F315"/>
    <mergeCell ref="E317:F317"/>
    <mergeCell ref="G293:H293"/>
    <mergeCell ref="E303:F303"/>
    <mergeCell ref="C316:D316"/>
    <mergeCell ref="C303:D303"/>
    <mergeCell ref="G296:H296"/>
    <mergeCell ref="G285:H285"/>
    <mergeCell ref="G304:H304"/>
    <mergeCell ref="E273:F273"/>
    <mergeCell ref="G273:H273"/>
    <mergeCell ref="E266:F266"/>
    <mergeCell ref="E271:F271"/>
    <mergeCell ref="E267:F267"/>
    <mergeCell ref="G268:H268"/>
    <mergeCell ref="E284:F284"/>
    <mergeCell ref="C309:D309"/>
    <mergeCell ref="E293:F293"/>
    <mergeCell ref="E296:F296"/>
    <mergeCell ref="E308:F308"/>
    <mergeCell ref="E246:F246"/>
    <mergeCell ref="E309:F309"/>
    <mergeCell ref="E265:F265"/>
    <mergeCell ref="C264:D264"/>
    <mergeCell ref="E253:F253"/>
    <mergeCell ref="E254:F254"/>
    <mergeCell ref="E923:F923"/>
    <mergeCell ref="C929:D929"/>
    <mergeCell ref="C921:D921"/>
    <mergeCell ref="C922:D922"/>
    <mergeCell ref="C918:D918"/>
    <mergeCell ref="C908:D908"/>
    <mergeCell ref="E912:F912"/>
    <mergeCell ref="C910:D910"/>
    <mergeCell ref="C923:D923"/>
    <mergeCell ref="C985:D985"/>
    <mergeCell ref="C988:D988"/>
    <mergeCell ref="C987:D987"/>
    <mergeCell ref="C986:D986"/>
    <mergeCell ref="E1011:F1011"/>
    <mergeCell ref="E1012:F1012"/>
    <mergeCell ref="E1010:F1010"/>
    <mergeCell ref="E989:F989"/>
    <mergeCell ref="E987:F987"/>
    <mergeCell ref="E1009:F1009"/>
    <mergeCell ref="C1062:D1062"/>
    <mergeCell ref="E1053:F1053"/>
    <mergeCell ref="E1014:F1014"/>
    <mergeCell ref="C1032:D1032"/>
    <mergeCell ref="E1040:F1040"/>
    <mergeCell ref="E988:F988"/>
    <mergeCell ref="C1010:D1010"/>
    <mergeCell ref="C1009:D1009"/>
    <mergeCell ref="C994:D994"/>
    <mergeCell ref="E1013:F1013"/>
    <mergeCell ref="E1122:F1122"/>
    <mergeCell ref="E1052:F1052"/>
    <mergeCell ref="E1123:F1123"/>
    <mergeCell ref="A1112:H1112"/>
    <mergeCell ref="E1054:F1054"/>
    <mergeCell ref="E1021:F1021"/>
    <mergeCell ref="E1022:F1022"/>
    <mergeCell ref="G1052:H1052"/>
    <mergeCell ref="E1064:F1064"/>
    <mergeCell ref="C1025:D1025"/>
    <mergeCell ref="C1094:D1094"/>
    <mergeCell ref="E1094:F1094"/>
    <mergeCell ref="G1122:H1122"/>
    <mergeCell ref="E1039:F1039"/>
    <mergeCell ref="C1043:D1043"/>
    <mergeCell ref="C1039:D1039"/>
    <mergeCell ref="E1074:F1074"/>
    <mergeCell ref="G1060:H1060"/>
    <mergeCell ref="E1105:F1105"/>
    <mergeCell ref="G1040:H1040"/>
    <mergeCell ref="E1073:F1073"/>
    <mergeCell ref="G1023:H1023"/>
    <mergeCell ref="E1015:F1015"/>
    <mergeCell ref="C1102:D1102"/>
    <mergeCell ref="C1099:D1099"/>
    <mergeCell ref="E1099:F1099"/>
    <mergeCell ref="G1099:H1099"/>
    <mergeCell ref="C1097:D1097"/>
    <mergeCell ref="E1027:F1027"/>
    <mergeCell ref="C1050:D1050"/>
    <mergeCell ref="E1131:F1131"/>
    <mergeCell ref="E1007:F1007"/>
    <mergeCell ref="E1023:F1023"/>
    <mergeCell ref="G1033:H1033"/>
    <mergeCell ref="C1030:D1030"/>
    <mergeCell ref="C1029:D1029"/>
    <mergeCell ref="G1024:H1024"/>
    <mergeCell ref="G1106:H1106"/>
    <mergeCell ref="E1029:F1029"/>
    <mergeCell ref="C1060:D1060"/>
    <mergeCell ref="E268:F268"/>
    <mergeCell ref="A275:J275"/>
    <mergeCell ref="G910:H910"/>
    <mergeCell ref="C909:D909"/>
    <mergeCell ref="G1152:H1152"/>
    <mergeCell ref="E1136:F1136"/>
    <mergeCell ref="A1114:H1114"/>
    <mergeCell ref="E1124:F1124"/>
    <mergeCell ref="G1124:H1124"/>
    <mergeCell ref="G1125:H1125"/>
    <mergeCell ref="G281:H281"/>
    <mergeCell ref="I252:J252"/>
    <mergeCell ref="G295:H295"/>
    <mergeCell ref="E304:F304"/>
    <mergeCell ref="E291:F291"/>
    <mergeCell ref="G305:H305"/>
    <mergeCell ref="G265:H265"/>
    <mergeCell ref="E283:F283"/>
    <mergeCell ref="G282:H282"/>
    <mergeCell ref="G271:H271"/>
    <mergeCell ref="G272:H272"/>
    <mergeCell ref="G245:H245"/>
    <mergeCell ref="G264:H264"/>
    <mergeCell ref="I230:J230"/>
    <mergeCell ref="G267:H267"/>
    <mergeCell ref="G270:H270"/>
    <mergeCell ref="G248:H248"/>
    <mergeCell ref="G233:H233"/>
    <mergeCell ref="I264:J264"/>
    <mergeCell ref="I254:J254"/>
    <mergeCell ref="E226:F226"/>
    <mergeCell ref="C233:D233"/>
    <mergeCell ref="G247:H247"/>
    <mergeCell ref="G230:H230"/>
    <mergeCell ref="I235:J235"/>
    <mergeCell ref="C245:D245"/>
    <mergeCell ref="G229:H229"/>
    <mergeCell ref="G246:H246"/>
    <mergeCell ref="E245:F245"/>
    <mergeCell ref="I247:J247"/>
    <mergeCell ref="K228:L228"/>
    <mergeCell ref="I246:J246"/>
    <mergeCell ref="I320:J320"/>
    <mergeCell ref="I285:J285"/>
    <mergeCell ref="I274:J274"/>
    <mergeCell ref="I307:J307"/>
    <mergeCell ref="I318:J318"/>
    <mergeCell ref="I231:J231"/>
    <mergeCell ref="I267:J267"/>
    <mergeCell ref="I269:J269"/>
    <mergeCell ref="E337:F337"/>
    <mergeCell ref="C348:D348"/>
    <mergeCell ref="E474:F474"/>
    <mergeCell ref="G319:H319"/>
    <mergeCell ref="G321:H321"/>
    <mergeCell ref="G474:H474"/>
    <mergeCell ref="C347:D347"/>
    <mergeCell ref="C346:D346"/>
    <mergeCell ref="C330:D330"/>
    <mergeCell ref="C424:D424"/>
    <mergeCell ref="C426:D426"/>
    <mergeCell ref="G475:H475"/>
    <mergeCell ref="G660:H660"/>
    <mergeCell ref="C357:D357"/>
    <mergeCell ref="C359:D359"/>
    <mergeCell ref="C407:D407"/>
    <mergeCell ref="C489:D489"/>
    <mergeCell ref="C475:D475"/>
    <mergeCell ref="C476:D476"/>
    <mergeCell ref="C477:D477"/>
    <mergeCell ref="E453:F453"/>
    <mergeCell ref="C657:D657"/>
    <mergeCell ref="C676:D676"/>
    <mergeCell ref="E675:F675"/>
    <mergeCell ref="C668:D668"/>
    <mergeCell ref="C669:D669"/>
    <mergeCell ref="E579:F579"/>
    <mergeCell ref="E591:F591"/>
    <mergeCell ref="E586:F586"/>
    <mergeCell ref="C584:D584"/>
    <mergeCell ref="C698:D698"/>
    <mergeCell ref="E660:F660"/>
    <mergeCell ref="C683:D683"/>
    <mergeCell ref="C658:D658"/>
    <mergeCell ref="G950:H950"/>
    <mergeCell ref="G896:H896"/>
    <mergeCell ref="G918:H918"/>
    <mergeCell ref="G898:H898"/>
    <mergeCell ref="E921:F921"/>
    <mergeCell ref="A915:L915"/>
    <mergeCell ref="E1028:F1028"/>
    <mergeCell ref="E1097:F1097"/>
    <mergeCell ref="G943:H943"/>
    <mergeCell ref="G1054:H1054"/>
    <mergeCell ref="G1014:H1014"/>
    <mergeCell ref="G1022:H1022"/>
    <mergeCell ref="E944:F944"/>
    <mergeCell ref="E985:F985"/>
    <mergeCell ref="E992:F992"/>
    <mergeCell ref="E969:F969"/>
    <mergeCell ref="I1061:J1061"/>
    <mergeCell ref="G1011:H1011"/>
    <mergeCell ref="I1033:J1033"/>
    <mergeCell ref="I1049:J1049"/>
    <mergeCell ref="G948:H948"/>
    <mergeCell ref="G1007:H1007"/>
    <mergeCell ref="G959:H959"/>
    <mergeCell ref="G968:H968"/>
    <mergeCell ref="G965:H965"/>
    <mergeCell ref="G986:H986"/>
    <mergeCell ref="I1078:J1078"/>
    <mergeCell ref="G1064:H1064"/>
    <mergeCell ref="G1062:H1062"/>
    <mergeCell ref="E1008:F1008"/>
    <mergeCell ref="E1033:F1033"/>
    <mergeCell ref="G1031:H1031"/>
    <mergeCell ref="E1032:F1032"/>
    <mergeCell ref="I1042:J1042"/>
    <mergeCell ref="G1032:H1032"/>
    <mergeCell ref="I1008:J1008"/>
    <mergeCell ref="I949:J949"/>
    <mergeCell ref="G951:H951"/>
    <mergeCell ref="G966:H966"/>
    <mergeCell ref="E957:F957"/>
    <mergeCell ref="E956:F956"/>
    <mergeCell ref="G957:H957"/>
    <mergeCell ref="I951:J951"/>
    <mergeCell ref="E965:F965"/>
    <mergeCell ref="E952:F952"/>
    <mergeCell ref="E967:F967"/>
    <mergeCell ref="E958:F958"/>
    <mergeCell ref="E1006:F1006"/>
    <mergeCell ref="E999:F999"/>
    <mergeCell ref="I969:J969"/>
    <mergeCell ref="G987:H987"/>
    <mergeCell ref="I959:J959"/>
    <mergeCell ref="G996:H996"/>
    <mergeCell ref="I996:J996"/>
    <mergeCell ref="A960:J960"/>
    <mergeCell ref="C1000:D1000"/>
    <mergeCell ref="E1000:F1000"/>
    <mergeCell ref="I986:J986"/>
    <mergeCell ref="A980:J980"/>
    <mergeCell ref="I998:J998"/>
    <mergeCell ref="C997:D997"/>
    <mergeCell ref="G999:H999"/>
    <mergeCell ref="I999:J999"/>
    <mergeCell ref="C996:D996"/>
    <mergeCell ref="E996:F996"/>
    <mergeCell ref="G940:H940"/>
    <mergeCell ref="I941:J941"/>
    <mergeCell ref="I943:J943"/>
    <mergeCell ref="I942:J942"/>
    <mergeCell ref="G944:H944"/>
    <mergeCell ref="I952:J952"/>
    <mergeCell ref="G941:H941"/>
    <mergeCell ref="I950:J950"/>
    <mergeCell ref="I948:J948"/>
    <mergeCell ref="I944:J944"/>
    <mergeCell ref="E940:F940"/>
    <mergeCell ref="C1141:D1141"/>
    <mergeCell ref="G1137:H1137"/>
    <mergeCell ref="E1137:F1137"/>
    <mergeCell ref="E1127:F1127"/>
    <mergeCell ref="A1115:I1115"/>
    <mergeCell ref="C1138:D1138"/>
    <mergeCell ref="E1126:F1126"/>
    <mergeCell ref="E1130:F1130"/>
    <mergeCell ref="C1130:D1130"/>
    <mergeCell ref="G1128:H1128"/>
    <mergeCell ref="I1160:J1160"/>
    <mergeCell ref="E1161:F1161"/>
    <mergeCell ref="G1163:H1163"/>
    <mergeCell ref="G1160:H1160"/>
    <mergeCell ref="E1158:F1158"/>
    <mergeCell ref="G1159:H1159"/>
    <mergeCell ref="E1162:F1162"/>
    <mergeCell ref="I1162:J1162"/>
    <mergeCell ref="G1161:H1161"/>
    <mergeCell ref="E1163:F1163"/>
    <mergeCell ref="A1155:J1155"/>
    <mergeCell ref="E1149:F1149"/>
    <mergeCell ref="G1174:H1174"/>
    <mergeCell ref="G1172:H1172"/>
    <mergeCell ref="C1147:D1147"/>
    <mergeCell ref="E1152:F1152"/>
    <mergeCell ref="I1163:J1163"/>
    <mergeCell ref="G1164:H1164"/>
    <mergeCell ref="E1164:F1164"/>
    <mergeCell ref="E1160:F1160"/>
    <mergeCell ref="G1162:H1162"/>
    <mergeCell ref="G1165:H1165"/>
    <mergeCell ref="G1186:H1186"/>
    <mergeCell ref="E1185:F1185"/>
    <mergeCell ref="G1170:H1170"/>
    <mergeCell ref="G1184:H1184"/>
    <mergeCell ref="E1184:F1184"/>
    <mergeCell ref="E1186:F1186"/>
    <mergeCell ref="G1185:H1185"/>
    <mergeCell ref="E1171:F1171"/>
    <mergeCell ref="E1198:F1198"/>
    <mergeCell ref="G1202:H1202"/>
    <mergeCell ref="E1196:F1196"/>
    <mergeCell ref="G1198:H1198"/>
    <mergeCell ref="G1187:H1187"/>
    <mergeCell ref="G1196:H1196"/>
    <mergeCell ref="E1194:F1194"/>
    <mergeCell ref="G1173:H1173"/>
    <mergeCell ref="E1172:F1172"/>
    <mergeCell ref="A1317:B1317"/>
    <mergeCell ref="C1313:D1313"/>
    <mergeCell ref="E1313:F1313"/>
    <mergeCell ref="G1303:H1303"/>
    <mergeCell ref="G1341:H1341"/>
    <mergeCell ref="I1496:J1496"/>
    <mergeCell ref="G1494:H1494"/>
    <mergeCell ref="C1482:D1482"/>
    <mergeCell ref="E1437:F1437"/>
    <mergeCell ref="C1494:D1494"/>
    <mergeCell ref="C1542:D1542"/>
    <mergeCell ref="C1521:D1521"/>
    <mergeCell ref="E1497:F1497"/>
    <mergeCell ref="G1503:H1503"/>
    <mergeCell ref="G1495:H1495"/>
    <mergeCell ref="G1502:H1502"/>
    <mergeCell ref="E1506:F1506"/>
    <mergeCell ref="E1505:F1505"/>
    <mergeCell ref="C1504:D1504"/>
    <mergeCell ref="C1502:D1502"/>
    <mergeCell ref="E1493:F1493"/>
    <mergeCell ref="E1450:F1450"/>
    <mergeCell ref="C1481:D1481"/>
    <mergeCell ref="C1450:D1450"/>
    <mergeCell ref="C1484:D1484"/>
    <mergeCell ref="E1635:F1635"/>
    <mergeCell ref="C1519:D1519"/>
    <mergeCell ref="A1512:J1512"/>
    <mergeCell ref="I1518:J1518"/>
    <mergeCell ref="A1513:J1513"/>
    <mergeCell ref="I1571:J1571"/>
    <mergeCell ref="A1620:J1620"/>
    <mergeCell ref="C1550:D1550"/>
    <mergeCell ref="I1735:J1735"/>
    <mergeCell ref="C1553:D1553"/>
    <mergeCell ref="G1635:H1641"/>
    <mergeCell ref="C1635:D1635"/>
    <mergeCell ref="I1705:J1705"/>
    <mergeCell ref="G1558:H1558"/>
    <mergeCell ref="E1560:F1560"/>
    <mergeCell ref="G1786:H1786"/>
    <mergeCell ref="G1333:H1333"/>
    <mergeCell ref="G1338:H1338"/>
    <mergeCell ref="E1312:F1312"/>
    <mergeCell ref="G1413:H1413"/>
    <mergeCell ref="C1520:D1520"/>
    <mergeCell ref="G1522:H1522"/>
    <mergeCell ref="G1497:H1497"/>
    <mergeCell ref="C1411:D1411"/>
    <mergeCell ref="C1786:D1786"/>
    <mergeCell ref="C1944:D1944"/>
    <mergeCell ref="C1898:D1898"/>
    <mergeCell ref="E1944:F1944"/>
    <mergeCell ref="E1933:F1933"/>
    <mergeCell ref="G1944:H1944"/>
    <mergeCell ref="G1933:H1933"/>
    <mergeCell ref="C1933:D1933"/>
    <mergeCell ref="E1898:F1898"/>
    <mergeCell ref="G1983:H1983"/>
    <mergeCell ref="G1984:H1984"/>
    <mergeCell ref="G2003:H2003"/>
    <mergeCell ref="I1984:J1984"/>
    <mergeCell ref="I1985:J1985"/>
    <mergeCell ref="G2008:H2008"/>
    <mergeCell ref="A2006:H2006"/>
    <mergeCell ref="I1990:J1990"/>
    <mergeCell ref="C1991:D1991"/>
    <mergeCell ref="E1991:F1991"/>
    <mergeCell ref="I2016:J2016"/>
    <mergeCell ref="I2011:J2011"/>
    <mergeCell ref="G2011:H2011"/>
    <mergeCell ref="I2010:J2010"/>
    <mergeCell ref="I2004:J2004"/>
    <mergeCell ref="I2008:J2008"/>
    <mergeCell ref="G2005:H2005"/>
    <mergeCell ref="A2024:J2024"/>
    <mergeCell ref="C2030:D2030"/>
    <mergeCell ref="C2029:D2029"/>
    <mergeCell ref="C2027:D2027"/>
    <mergeCell ref="C2028:D2028"/>
    <mergeCell ref="G2027:H2027"/>
    <mergeCell ref="G2028:H2028"/>
    <mergeCell ref="I2012:J2012"/>
    <mergeCell ref="G2010:H2010"/>
    <mergeCell ref="G2012:H2012"/>
    <mergeCell ref="I2017:J2017"/>
    <mergeCell ref="I2015:J2015"/>
    <mergeCell ref="G2039:H2039"/>
    <mergeCell ref="G2033:H2033"/>
    <mergeCell ref="I2038:J2038"/>
    <mergeCell ref="I2030:J2030"/>
    <mergeCell ref="I2033:J2033"/>
    <mergeCell ref="G2016:H2016"/>
    <mergeCell ref="G2017:H2017"/>
    <mergeCell ref="K2039:L2039"/>
    <mergeCell ref="E2027:F2027"/>
    <mergeCell ref="G2031:H2031"/>
    <mergeCell ref="I2032:J2032"/>
    <mergeCell ref="E2031:F2031"/>
    <mergeCell ref="G2030:H2030"/>
    <mergeCell ref="G2038:H2038"/>
    <mergeCell ref="K2032:L2032"/>
    <mergeCell ref="K2033:L2033"/>
    <mergeCell ref="I2029:J2029"/>
    <mergeCell ref="A1933:A1934"/>
    <mergeCell ref="A1944:A1945"/>
    <mergeCell ref="E2033:F2033"/>
    <mergeCell ref="E2040:F2040"/>
    <mergeCell ref="E2032:F2032"/>
    <mergeCell ref="G2029:H2029"/>
    <mergeCell ref="E2029:F2029"/>
    <mergeCell ref="G2032:H2032"/>
    <mergeCell ref="E2030:F2030"/>
    <mergeCell ref="G2004:H2004"/>
    <mergeCell ref="C2003:D2003"/>
    <mergeCell ref="A1893:J1893"/>
    <mergeCell ref="I1919:J1919"/>
    <mergeCell ref="I2002:J2002"/>
    <mergeCell ref="B1933:B1934"/>
    <mergeCell ref="B1898:B1899"/>
    <mergeCell ref="G1898:H1898"/>
    <mergeCell ref="I1983:J1983"/>
    <mergeCell ref="G1956:H1956"/>
    <mergeCell ref="I2003:J2003"/>
    <mergeCell ref="A1898:A1899"/>
    <mergeCell ref="I1847:J1847"/>
    <mergeCell ref="A1623:A1624"/>
    <mergeCell ref="E1831:F1831"/>
    <mergeCell ref="C1831:D1831"/>
    <mergeCell ref="I1520:J1520"/>
    <mergeCell ref="A1776:A1777"/>
    <mergeCell ref="C1559:D1559"/>
    <mergeCell ref="E1549:F1549"/>
    <mergeCell ref="I1557:J1557"/>
    <mergeCell ref="E1786:F1786"/>
    <mergeCell ref="E1520:F1520"/>
    <mergeCell ref="A1784:I1784"/>
    <mergeCell ref="A1566:H1566"/>
    <mergeCell ref="C1551:D1551"/>
    <mergeCell ref="A1632:J1632"/>
    <mergeCell ref="G1528:H1528"/>
    <mergeCell ref="E1527:F1527"/>
    <mergeCell ref="C1536:D1536"/>
    <mergeCell ref="E1541:F1541"/>
    <mergeCell ref="I1502:J1502"/>
    <mergeCell ref="G1433:H1433"/>
    <mergeCell ref="G1442:H1442"/>
    <mergeCell ref="C1560:D1560"/>
    <mergeCell ref="C1506:D1506"/>
    <mergeCell ref="I1635:J1635"/>
    <mergeCell ref="I1494:J1494"/>
    <mergeCell ref="I1497:J1497"/>
    <mergeCell ref="I1495:J1495"/>
    <mergeCell ref="I1528:J1528"/>
    <mergeCell ref="C1436:D1436"/>
    <mergeCell ref="E1432:F1432"/>
    <mergeCell ref="C1434:D1434"/>
    <mergeCell ref="E1438:F1438"/>
    <mergeCell ref="A1443:J1443"/>
    <mergeCell ref="E1434:F1434"/>
    <mergeCell ref="E1435:F1435"/>
    <mergeCell ref="E1439:F1439"/>
    <mergeCell ref="G1439:H1439"/>
    <mergeCell ref="G1458:H1458"/>
    <mergeCell ref="E1410:F1410"/>
    <mergeCell ref="I1439:J1439"/>
    <mergeCell ref="I1437:J1437"/>
    <mergeCell ref="I1435:J1435"/>
    <mergeCell ref="I1440:J1440"/>
    <mergeCell ref="G1452:H1452"/>
    <mergeCell ref="E1457:F1457"/>
    <mergeCell ref="I1456:J1456"/>
    <mergeCell ref="I1448:J1448"/>
    <mergeCell ref="I1356:J1356"/>
    <mergeCell ref="C1401:D1401"/>
    <mergeCell ref="C1396:D1396"/>
    <mergeCell ref="G1394:H1394"/>
    <mergeCell ref="C1392:D1392"/>
    <mergeCell ref="C1391:D1391"/>
    <mergeCell ref="G1392:H1392"/>
    <mergeCell ref="G1357:H1357"/>
    <mergeCell ref="E1357:F1357"/>
    <mergeCell ref="E1397:F1397"/>
    <mergeCell ref="E1331:F1331"/>
    <mergeCell ref="G1309:H1309"/>
    <mergeCell ref="E1311:F1311"/>
    <mergeCell ref="G1414:H1414"/>
    <mergeCell ref="G1352:H1352"/>
    <mergeCell ref="E1391:F1391"/>
    <mergeCell ref="E1392:F1392"/>
    <mergeCell ref="E1408:F1408"/>
    <mergeCell ref="G1400:H1400"/>
    <mergeCell ref="E1398:F1398"/>
    <mergeCell ref="C1397:D1397"/>
    <mergeCell ref="C1366:D1366"/>
    <mergeCell ref="E1338:F1338"/>
    <mergeCell ref="E1333:F1333"/>
    <mergeCell ref="G1354:H1354"/>
    <mergeCell ref="C1390:D1390"/>
    <mergeCell ref="G1389:H1389"/>
    <mergeCell ref="E1390:F1390"/>
    <mergeCell ref="C1394:D1394"/>
    <mergeCell ref="C1393:D1393"/>
    <mergeCell ref="G1275:H1275"/>
    <mergeCell ref="C1357:D1357"/>
    <mergeCell ref="G1314:H1314"/>
    <mergeCell ref="C1458:D1458"/>
    <mergeCell ref="E1250:F1250"/>
    <mergeCell ref="E1251:F1251"/>
    <mergeCell ref="E1254:F1254"/>
    <mergeCell ref="E1265:F1265"/>
    <mergeCell ref="C1356:D1356"/>
    <mergeCell ref="G1358:H1358"/>
    <mergeCell ref="I1388:J1388"/>
    <mergeCell ref="E1303:F1303"/>
    <mergeCell ref="E1341:F1341"/>
    <mergeCell ref="G1265:H1265"/>
    <mergeCell ref="G1264:H1264"/>
    <mergeCell ref="I1319:J1319"/>
    <mergeCell ref="I1353:J1353"/>
    <mergeCell ref="E1310:F1310"/>
    <mergeCell ref="E1275:F1275"/>
    <mergeCell ref="G1353:H1353"/>
    <mergeCell ref="G1254:H1254"/>
    <mergeCell ref="E1211:F1211"/>
    <mergeCell ref="E1223:F1223"/>
    <mergeCell ref="G1223:H1223"/>
    <mergeCell ref="A1238:J1238"/>
    <mergeCell ref="C1234:D1234"/>
    <mergeCell ref="I1251:J1251"/>
    <mergeCell ref="A1225:J1225"/>
    <mergeCell ref="C1212:D1212"/>
    <mergeCell ref="I1249:J1249"/>
    <mergeCell ref="E1212:F1212"/>
    <mergeCell ref="C1220:D1220"/>
    <mergeCell ref="G1218:H1218"/>
    <mergeCell ref="I1217:J1217"/>
    <mergeCell ref="C1218:D1218"/>
    <mergeCell ref="E1218:F1218"/>
    <mergeCell ref="A1215:L1215"/>
    <mergeCell ref="K1218:L1218"/>
    <mergeCell ref="C1219:D1219"/>
    <mergeCell ref="I1198:J1198"/>
    <mergeCell ref="I1195:J1195"/>
    <mergeCell ref="I1188:J1188"/>
    <mergeCell ref="I1194:J1194"/>
    <mergeCell ref="A1189:J1189"/>
    <mergeCell ref="A1192:L1192"/>
    <mergeCell ref="G1195:H1195"/>
    <mergeCell ref="G1194:H1194"/>
    <mergeCell ref="C1197:D1197"/>
    <mergeCell ref="E1188:F1188"/>
    <mergeCell ref="C1198:D1198"/>
    <mergeCell ref="I1105:J1105"/>
    <mergeCell ref="A1107:J1107"/>
    <mergeCell ref="I1013:J1013"/>
    <mergeCell ref="E1139:F1139"/>
    <mergeCell ref="I1130:J1130"/>
    <mergeCell ref="E1138:F1138"/>
    <mergeCell ref="G1127:H1127"/>
    <mergeCell ref="A1119:H1119"/>
    <mergeCell ref="I1054:J1054"/>
    <mergeCell ref="I1184:J1184"/>
    <mergeCell ref="I1131:J1131"/>
    <mergeCell ref="I939:J939"/>
    <mergeCell ref="I940:J940"/>
    <mergeCell ref="I954:J954"/>
    <mergeCell ref="I966:J966"/>
    <mergeCell ref="I958:J958"/>
    <mergeCell ref="I1011:J1011"/>
    <mergeCell ref="I955:J955"/>
    <mergeCell ref="I957:J957"/>
    <mergeCell ref="C677:D677"/>
    <mergeCell ref="A710:H710"/>
    <mergeCell ref="G699:H699"/>
    <mergeCell ref="E679:F679"/>
    <mergeCell ref="A706:H706"/>
    <mergeCell ref="G700:H700"/>
    <mergeCell ref="A704:H704"/>
    <mergeCell ref="G691:H691"/>
    <mergeCell ref="C688:D688"/>
    <mergeCell ref="C680:D680"/>
    <mergeCell ref="E821:F821"/>
    <mergeCell ref="E786:F786"/>
    <mergeCell ref="E782:F782"/>
    <mergeCell ref="G689:H689"/>
    <mergeCell ref="G778:H778"/>
    <mergeCell ref="G783:H783"/>
    <mergeCell ref="G790:H790"/>
    <mergeCell ref="G781:H781"/>
    <mergeCell ref="E815:F815"/>
    <mergeCell ref="E810:F810"/>
    <mergeCell ref="E666:F666"/>
    <mergeCell ref="G667:H667"/>
    <mergeCell ref="I924:J924"/>
    <mergeCell ref="E656:F656"/>
    <mergeCell ref="G900:H900"/>
    <mergeCell ref="I842:J842"/>
    <mergeCell ref="I910:J910"/>
    <mergeCell ref="A873:J873"/>
    <mergeCell ref="G659:H659"/>
    <mergeCell ref="G894:H894"/>
    <mergeCell ref="G608:H608"/>
    <mergeCell ref="G668:H668"/>
    <mergeCell ref="A743:H743"/>
    <mergeCell ref="C813:D813"/>
    <mergeCell ref="I829:J829"/>
    <mergeCell ref="C820:D820"/>
    <mergeCell ref="G697:H697"/>
    <mergeCell ref="C751:D751"/>
    <mergeCell ref="G773:H773"/>
    <mergeCell ref="G796:H796"/>
    <mergeCell ref="I578:J578"/>
    <mergeCell ref="E585:F585"/>
    <mergeCell ref="G601:H601"/>
    <mergeCell ref="G600:H600"/>
    <mergeCell ref="G586:H586"/>
    <mergeCell ref="G585:H585"/>
    <mergeCell ref="G598:H598"/>
    <mergeCell ref="G591:H591"/>
    <mergeCell ref="I600:J600"/>
    <mergeCell ref="A594:J594"/>
    <mergeCell ref="E593:F593"/>
    <mergeCell ref="E584:F584"/>
    <mergeCell ref="G592:H592"/>
    <mergeCell ref="G593:H593"/>
    <mergeCell ref="E578:F578"/>
    <mergeCell ref="G578:H578"/>
    <mergeCell ref="C585:D585"/>
    <mergeCell ref="C586:D586"/>
    <mergeCell ref="I583:J583"/>
    <mergeCell ref="G546:H546"/>
    <mergeCell ref="E563:F563"/>
    <mergeCell ref="E548:F548"/>
    <mergeCell ref="G548:H548"/>
    <mergeCell ref="E576:F576"/>
    <mergeCell ref="A580:J580"/>
    <mergeCell ref="I585:J585"/>
    <mergeCell ref="E577:F577"/>
    <mergeCell ref="C579:D579"/>
    <mergeCell ref="G574:H574"/>
    <mergeCell ref="I575:J575"/>
    <mergeCell ref="G535:H535"/>
    <mergeCell ref="G543:H543"/>
    <mergeCell ref="G544:H544"/>
    <mergeCell ref="E545:F545"/>
    <mergeCell ref="I564:J564"/>
    <mergeCell ref="I579:J579"/>
    <mergeCell ref="E518:F518"/>
    <mergeCell ref="G537:H537"/>
    <mergeCell ref="G534:H534"/>
    <mergeCell ref="G536:H536"/>
    <mergeCell ref="G533:H533"/>
    <mergeCell ref="I537:J537"/>
    <mergeCell ref="I528:J528"/>
    <mergeCell ref="A525:J525"/>
    <mergeCell ref="G518:H518"/>
    <mergeCell ref="G523:H523"/>
    <mergeCell ref="G512:H512"/>
    <mergeCell ref="C501:D501"/>
    <mergeCell ref="C500:D500"/>
    <mergeCell ref="G490:H490"/>
    <mergeCell ref="E490:F490"/>
    <mergeCell ref="C490:D490"/>
    <mergeCell ref="C492:D492"/>
    <mergeCell ref="G491:H491"/>
    <mergeCell ref="E512:F512"/>
    <mergeCell ref="E510:F510"/>
    <mergeCell ref="E333:F333"/>
    <mergeCell ref="E335:F335"/>
    <mergeCell ref="G434:H434"/>
    <mergeCell ref="G443:H443"/>
    <mergeCell ref="E426:F426"/>
    <mergeCell ref="E431:F431"/>
    <mergeCell ref="G333:H333"/>
    <mergeCell ref="G355:H355"/>
    <mergeCell ref="G371:H371"/>
    <mergeCell ref="G388:H388"/>
    <mergeCell ref="C162:D162"/>
    <mergeCell ref="C154:D154"/>
    <mergeCell ref="E162:F162"/>
    <mergeCell ref="G154:H154"/>
    <mergeCell ref="E148:F148"/>
    <mergeCell ref="G147:H147"/>
    <mergeCell ref="A155:H155"/>
    <mergeCell ref="E152:F152"/>
    <mergeCell ref="G152:H152"/>
    <mergeCell ref="G162:H162"/>
    <mergeCell ref="C321:D321"/>
    <mergeCell ref="E326:F326"/>
    <mergeCell ref="C231:D231"/>
    <mergeCell ref="C170:D170"/>
    <mergeCell ref="E223:F223"/>
    <mergeCell ref="E285:F285"/>
    <mergeCell ref="E210:F210"/>
    <mergeCell ref="E305:F305"/>
    <mergeCell ref="E272:F272"/>
    <mergeCell ref="C307:D307"/>
    <mergeCell ref="E128:F128"/>
    <mergeCell ref="G164:H164"/>
    <mergeCell ref="E161:F161"/>
    <mergeCell ref="A140:J140"/>
    <mergeCell ref="G145:H145"/>
    <mergeCell ref="G139:H139"/>
    <mergeCell ref="E154:F154"/>
    <mergeCell ref="I146:J146"/>
    <mergeCell ref="I147:J147"/>
    <mergeCell ref="C161:D161"/>
    <mergeCell ref="G331:H331"/>
    <mergeCell ref="G342:H342"/>
    <mergeCell ref="G306:H306"/>
    <mergeCell ref="G320:H320"/>
    <mergeCell ref="I341:J341"/>
    <mergeCell ref="G307:H307"/>
    <mergeCell ref="G315:H315"/>
    <mergeCell ref="I337:J337"/>
    <mergeCell ref="I342:J342"/>
    <mergeCell ref="I321:J321"/>
    <mergeCell ref="M360:N360"/>
    <mergeCell ref="I401:J401"/>
    <mergeCell ref="M371:N371"/>
    <mergeCell ref="M362:N362"/>
    <mergeCell ref="M361:N361"/>
    <mergeCell ref="K397:L397"/>
    <mergeCell ref="M421:N421"/>
    <mergeCell ref="I370:J370"/>
    <mergeCell ref="K392:L392"/>
    <mergeCell ref="G404:H404"/>
    <mergeCell ref="I396:J396"/>
    <mergeCell ref="I404:J404"/>
    <mergeCell ref="I372:J372"/>
    <mergeCell ref="I403:J403"/>
    <mergeCell ref="G390:H390"/>
    <mergeCell ref="G370:H370"/>
    <mergeCell ref="K372:L372"/>
    <mergeCell ref="I388:J388"/>
    <mergeCell ref="I356:J356"/>
    <mergeCell ref="K367:L367"/>
    <mergeCell ref="I366:J366"/>
    <mergeCell ref="K362:L362"/>
    <mergeCell ref="I358:J358"/>
    <mergeCell ref="K386:L386"/>
    <mergeCell ref="K398:L398"/>
    <mergeCell ref="K401:L401"/>
    <mergeCell ref="I398:J398"/>
    <mergeCell ref="I402:J402"/>
    <mergeCell ref="G392:H392"/>
    <mergeCell ref="I405:J405"/>
    <mergeCell ref="I397:J397"/>
    <mergeCell ref="K396:L396"/>
    <mergeCell ref="G402:H402"/>
    <mergeCell ref="G403:H403"/>
    <mergeCell ref="G398:H398"/>
    <mergeCell ref="A399:J399"/>
    <mergeCell ref="I391:J391"/>
    <mergeCell ref="C398:D398"/>
    <mergeCell ref="E389:F389"/>
    <mergeCell ref="E402:F402"/>
    <mergeCell ref="C392:D392"/>
    <mergeCell ref="E398:F398"/>
    <mergeCell ref="E390:F390"/>
    <mergeCell ref="I408:J408"/>
    <mergeCell ref="I416:J416"/>
    <mergeCell ref="M419:N419"/>
    <mergeCell ref="I406:J406"/>
    <mergeCell ref="I414:J414"/>
    <mergeCell ref="I389:J389"/>
    <mergeCell ref="K390:L390"/>
    <mergeCell ref="K403:L403"/>
    <mergeCell ref="K404:L404"/>
    <mergeCell ref="K414:L414"/>
    <mergeCell ref="R770:S770"/>
    <mergeCell ref="R764:S764"/>
    <mergeCell ref="M422:N422"/>
    <mergeCell ref="I415:J415"/>
    <mergeCell ref="I418:J418"/>
    <mergeCell ref="K415:L415"/>
    <mergeCell ref="I419:J419"/>
    <mergeCell ref="K598:L598"/>
    <mergeCell ref="K599:L599"/>
    <mergeCell ref="I676:J676"/>
    <mergeCell ref="P767:Q767"/>
    <mergeCell ref="P768:Q768"/>
    <mergeCell ref="R768:S768"/>
    <mergeCell ref="S758:T758"/>
    <mergeCell ref="S761:T761"/>
    <mergeCell ref="Q759:R759"/>
    <mergeCell ref="Q761:R761"/>
    <mergeCell ref="Q760:R760"/>
    <mergeCell ref="G850:H850"/>
    <mergeCell ref="G909:H909"/>
    <mergeCell ref="E908:F908"/>
    <mergeCell ref="G853:H853"/>
    <mergeCell ref="G854:H854"/>
    <mergeCell ref="G877:H877"/>
    <mergeCell ref="E893:F893"/>
    <mergeCell ref="E853:F853"/>
    <mergeCell ref="E886:F886"/>
    <mergeCell ref="E894:F894"/>
    <mergeCell ref="G929:H929"/>
    <mergeCell ref="E901:F901"/>
    <mergeCell ref="E909:F909"/>
    <mergeCell ref="E910:F910"/>
    <mergeCell ref="G908:H908"/>
    <mergeCell ref="E930:F930"/>
    <mergeCell ref="E922:F922"/>
    <mergeCell ref="E913:F913"/>
    <mergeCell ref="A902:H902"/>
    <mergeCell ref="C901:D901"/>
    <mergeCell ref="I909:J909"/>
    <mergeCell ref="I932:J932"/>
    <mergeCell ref="I923:J923"/>
    <mergeCell ref="I922:J922"/>
    <mergeCell ref="I935:J935"/>
    <mergeCell ref="I934:J934"/>
    <mergeCell ref="I933:J933"/>
    <mergeCell ref="I929:J929"/>
    <mergeCell ref="I967:J967"/>
    <mergeCell ref="G958:H958"/>
    <mergeCell ref="I1053:J1053"/>
    <mergeCell ref="I1022:J1022"/>
    <mergeCell ref="I1052:J1052"/>
    <mergeCell ref="I1060:J1060"/>
    <mergeCell ref="G967:H967"/>
    <mergeCell ref="I964:J964"/>
    <mergeCell ref="I1024:J1024"/>
    <mergeCell ref="G976:H976"/>
    <mergeCell ref="K1414:L1414"/>
    <mergeCell ref="E900:F900"/>
    <mergeCell ref="G971:H971"/>
    <mergeCell ref="I1183:J1183"/>
    <mergeCell ref="I1313:J1313"/>
    <mergeCell ref="E1205:F1205"/>
    <mergeCell ref="E1399:F1399"/>
    <mergeCell ref="G1399:H1399"/>
    <mergeCell ref="I1396:J1396"/>
    <mergeCell ref="I1391:J1391"/>
    <mergeCell ref="K1412:L1412"/>
    <mergeCell ref="G1435:H1435"/>
    <mergeCell ref="G1432:H1432"/>
    <mergeCell ref="I1433:J1433"/>
    <mergeCell ref="K1435:L1435"/>
    <mergeCell ref="K1429:L1429"/>
    <mergeCell ref="K1413:L1413"/>
    <mergeCell ref="I1414:J1414"/>
    <mergeCell ref="K1430:L1430"/>
    <mergeCell ref="I1434:J1434"/>
    <mergeCell ref="K1450:L1450"/>
    <mergeCell ref="K1541:L1541"/>
    <mergeCell ref="K1449:L1449"/>
    <mergeCell ref="K1485:L1485"/>
    <mergeCell ref="K1504:L1504"/>
    <mergeCell ref="K1451:L1451"/>
    <mergeCell ref="K1480:L1480"/>
    <mergeCell ref="K1496:L1496"/>
    <mergeCell ref="K1506:L1506"/>
    <mergeCell ref="K1495:L1495"/>
    <mergeCell ref="C1440:D1440"/>
    <mergeCell ref="C1433:D1433"/>
    <mergeCell ref="E1436:F1436"/>
    <mergeCell ref="A1445:L1445"/>
    <mergeCell ref="C1438:D1438"/>
    <mergeCell ref="K1494:L1494"/>
    <mergeCell ref="A1486:J1486"/>
    <mergeCell ref="C1483:D1483"/>
    <mergeCell ref="E1484:F1484"/>
    <mergeCell ref="K1483:L1483"/>
    <mergeCell ref="I1491:J1491"/>
    <mergeCell ref="E1485:F1485"/>
    <mergeCell ref="C1485:D1485"/>
    <mergeCell ref="R1661:S1661"/>
    <mergeCell ref="K1390:L1390"/>
    <mergeCell ref="K1389:L1389"/>
    <mergeCell ref="K1409:L1409"/>
    <mergeCell ref="K1557:L1557"/>
    <mergeCell ref="K1398:L1398"/>
    <mergeCell ref="K1437:L1437"/>
    <mergeCell ref="K1408:L1408"/>
    <mergeCell ref="K1410:L1410"/>
    <mergeCell ref="P1390:Q1390"/>
    <mergeCell ref="P1389:Q1389"/>
    <mergeCell ref="K1392:L1392"/>
    <mergeCell ref="K1393:L1393"/>
    <mergeCell ref="R1653:S1653"/>
    <mergeCell ref="I1560:J1560"/>
    <mergeCell ref="P1395:Q1395"/>
    <mergeCell ref="P1396:Q1396"/>
    <mergeCell ref="K1401:L1401"/>
    <mergeCell ref="K1428:L1428"/>
    <mergeCell ref="K1400:L1400"/>
    <mergeCell ref="K1455:L1455"/>
    <mergeCell ref="I1493:J1493"/>
    <mergeCell ref="K1396:L1396"/>
    <mergeCell ref="P1388:Q1388"/>
    <mergeCell ref="S1686:Y1713"/>
    <mergeCell ref="T1636:Z1665"/>
    <mergeCell ref="W1629:Y1635"/>
    <mergeCell ref="R769:S769"/>
    <mergeCell ref="R772:S772"/>
    <mergeCell ref="R1626:S1626"/>
    <mergeCell ref="P771:Q771"/>
    <mergeCell ref="R771:S771"/>
    <mergeCell ref="T1626:U1626"/>
    <mergeCell ref="M768:N768"/>
    <mergeCell ref="I797:J797"/>
    <mergeCell ref="I783:J783"/>
    <mergeCell ref="K1397:L1397"/>
    <mergeCell ref="R767:S767"/>
    <mergeCell ref="R773:S773"/>
    <mergeCell ref="R774:S774"/>
    <mergeCell ref="P772:Q772"/>
    <mergeCell ref="P774:Q774"/>
    <mergeCell ref="P1392:Q1392"/>
    <mergeCell ref="P770:Q770"/>
    <mergeCell ref="K771:L771"/>
    <mergeCell ref="M771:N771"/>
    <mergeCell ref="P773:Q773"/>
    <mergeCell ref="K770:L770"/>
    <mergeCell ref="K769:L769"/>
    <mergeCell ref="K773:L773"/>
    <mergeCell ref="P769:Q769"/>
    <mergeCell ref="R765:S765"/>
    <mergeCell ref="S760:T760"/>
    <mergeCell ref="S759:T759"/>
    <mergeCell ref="P765:Q765"/>
    <mergeCell ref="P764:Q764"/>
    <mergeCell ref="S755:T755"/>
    <mergeCell ref="Q758:R758"/>
    <mergeCell ref="Q752:R752"/>
    <mergeCell ref="S752:T752"/>
    <mergeCell ref="S754:T754"/>
    <mergeCell ref="Q754:R754"/>
    <mergeCell ref="P729:Q729"/>
    <mergeCell ref="S753:T753"/>
    <mergeCell ref="P730:Q730"/>
    <mergeCell ref="P723:Q723"/>
    <mergeCell ref="I697:J697"/>
    <mergeCell ref="Q755:R755"/>
    <mergeCell ref="Q753:R753"/>
    <mergeCell ref="P722:Q722"/>
    <mergeCell ref="E700:F700"/>
    <mergeCell ref="A720:H720"/>
    <mergeCell ref="E744:F744"/>
    <mergeCell ref="E734:F734"/>
    <mergeCell ref="A705:H705"/>
    <mergeCell ref="A1423:H1423"/>
    <mergeCell ref="G1431:H1431"/>
    <mergeCell ref="I1408:J1408"/>
    <mergeCell ref="E1407:F1407"/>
    <mergeCell ref="I1430:J1430"/>
    <mergeCell ref="G1428:H1428"/>
    <mergeCell ref="I1427:J1427"/>
    <mergeCell ref="I1409:J1409"/>
    <mergeCell ref="C1430:D1430"/>
    <mergeCell ref="I1410:J1410"/>
    <mergeCell ref="I1358:J1358"/>
    <mergeCell ref="G1408:H1408"/>
    <mergeCell ref="I1407:J1407"/>
    <mergeCell ref="G768:H768"/>
    <mergeCell ref="G772:H772"/>
    <mergeCell ref="G771:H771"/>
    <mergeCell ref="I782:J782"/>
    <mergeCell ref="I771:J771"/>
    <mergeCell ref="I800:J800"/>
    <mergeCell ref="I790:J790"/>
    <mergeCell ref="E798:F798"/>
    <mergeCell ref="C814:D814"/>
    <mergeCell ref="E787:F787"/>
    <mergeCell ref="G767:H767"/>
    <mergeCell ref="G784:H784"/>
    <mergeCell ref="C797:D797"/>
    <mergeCell ref="E814:F814"/>
    <mergeCell ref="E779:F779"/>
    <mergeCell ref="C807:D807"/>
    <mergeCell ref="G813:H813"/>
    <mergeCell ref="I773:J773"/>
    <mergeCell ref="A775:J775"/>
    <mergeCell ref="I780:J780"/>
    <mergeCell ref="I779:J779"/>
    <mergeCell ref="E785:F785"/>
    <mergeCell ref="C784:D784"/>
    <mergeCell ref="G779:H779"/>
    <mergeCell ref="C785:D785"/>
    <mergeCell ref="G782:H782"/>
    <mergeCell ref="G785:H785"/>
    <mergeCell ref="I846:J846"/>
    <mergeCell ref="G774:H774"/>
    <mergeCell ref="I854:J854"/>
    <mergeCell ref="G821:H821"/>
    <mergeCell ref="I811:J811"/>
    <mergeCell ref="G848:H848"/>
    <mergeCell ref="I813:J813"/>
    <mergeCell ref="I812:J812"/>
    <mergeCell ref="A831:J831"/>
    <mergeCell ref="I799:J799"/>
    <mergeCell ref="A393:J393"/>
    <mergeCell ref="I473:J473"/>
    <mergeCell ref="I563:J563"/>
    <mergeCell ref="I547:J547"/>
    <mergeCell ref="I550:J550"/>
    <mergeCell ref="I543:J543"/>
    <mergeCell ref="I519:J519"/>
    <mergeCell ref="I523:J523"/>
    <mergeCell ref="I508:J508"/>
    <mergeCell ref="I518:J518"/>
    <mergeCell ref="I386:J386"/>
    <mergeCell ref="G359:H359"/>
    <mergeCell ref="G345:H345"/>
    <mergeCell ref="I348:J348"/>
    <mergeCell ref="G367:H367"/>
    <mergeCell ref="I353:J353"/>
    <mergeCell ref="G354:H354"/>
    <mergeCell ref="I371:J371"/>
    <mergeCell ref="G361:H361"/>
    <mergeCell ref="G369:H369"/>
    <mergeCell ref="G98:H98"/>
    <mergeCell ref="K537:L537"/>
    <mergeCell ref="G337:H337"/>
    <mergeCell ref="G266:H266"/>
    <mergeCell ref="G332:H332"/>
    <mergeCell ref="G329:H329"/>
    <mergeCell ref="I536:J536"/>
    <mergeCell ref="I423:J423"/>
    <mergeCell ref="I531:J531"/>
    <mergeCell ref="I480:J480"/>
    <mergeCell ref="K214:L214"/>
    <mergeCell ref="K108:L108"/>
    <mergeCell ref="I161:J161"/>
    <mergeCell ref="I149:J149"/>
    <mergeCell ref="I145:J145"/>
    <mergeCell ref="I197:J197"/>
    <mergeCell ref="I182:J182"/>
    <mergeCell ref="K171:L171"/>
    <mergeCell ref="A202:L202"/>
    <mergeCell ref="K161:L161"/>
    <mergeCell ref="K47:L47"/>
    <mergeCell ref="C64:D64"/>
    <mergeCell ref="I47:J47"/>
    <mergeCell ref="G89:H89"/>
    <mergeCell ref="I87:J87"/>
    <mergeCell ref="I88:J88"/>
    <mergeCell ref="A71:H71"/>
    <mergeCell ref="E87:F87"/>
    <mergeCell ref="G86:H86"/>
    <mergeCell ref="G87:H87"/>
    <mergeCell ref="G84:H84"/>
    <mergeCell ref="G49:H49"/>
    <mergeCell ref="G60:H60"/>
    <mergeCell ref="I75:J75"/>
    <mergeCell ref="I59:J59"/>
    <mergeCell ref="I45:J45"/>
    <mergeCell ref="G57:H57"/>
    <mergeCell ref="G59:H59"/>
    <mergeCell ref="G64:H64"/>
    <mergeCell ref="G65:H65"/>
    <mergeCell ref="K42:L42"/>
    <mergeCell ref="G45:H45"/>
    <mergeCell ref="G50:H50"/>
    <mergeCell ref="K58:L58"/>
    <mergeCell ref="G336:H336"/>
    <mergeCell ref="G103:H103"/>
    <mergeCell ref="K46:L46"/>
    <mergeCell ref="I61:J61"/>
    <mergeCell ref="I63:J63"/>
    <mergeCell ref="G330:H330"/>
    <mergeCell ref="K36:L36"/>
    <mergeCell ref="K37:L37"/>
    <mergeCell ref="E37:F37"/>
    <mergeCell ref="E42:F42"/>
    <mergeCell ref="G40:H40"/>
    <mergeCell ref="G37:H37"/>
    <mergeCell ref="G39:H39"/>
    <mergeCell ref="E39:F39"/>
    <mergeCell ref="I37:J37"/>
    <mergeCell ref="G38:H38"/>
    <mergeCell ref="I34:J34"/>
    <mergeCell ref="B5:G5"/>
    <mergeCell ref="A4:K4"/>
    <mergeCell ref="E34:F34"/>
    <mergeCell ref="C35:D35"/>
    <mergeCell ref="K34:L34"/>
    <mergeCell ref="K35:L35"/>
    <mergeCell ref="K33:L33"/>
    <mergeCell ref="C33:D33"/>
    <mergeCell ref="C34:D34"/>
    <mergeCell ref="A1:L1"/>
    <mergeCell ref="A8:B8"/>
    <mergeCell ref="A24:H24"/>
    <mergeCell ref="A26:F26"/>
    <mergeCell ref="G34:H34"/>
    <mergeCell ref="I883:J883"/>
    <mergeCell ref="G35:H35"/>
    <mergeCell ref="I35:J35"/>
    <mergeCell ref="I874:J874"/>
    <mergeCell ref="I875:J875"/>
    <mergeCell ref="C900:D900"/>
    <mergeCell ref="C899:D899"/>
    <mergeCell ref="C898:D898"/>
    <mergeCell ref="I857:J857"/>
    <mergeCell ref="I896:J896"/>
    <mergeCell ref="E877:F877"/>
    <mergeCell ref="E880:F880"/>
    <mergeCell ref="G881:H881"/>
    <mergeCell ref="C895:D895"/>
    <mergeCell ref="C884:D884"/>
    <mergeCell ref="C894:D894"/>
    <mergeCell ref="C897:D897"/>
    <mergeCell ref="I530:J530"/>
    <mergeCell ref="I645:J645"/>
    <mergeCell ref="I544:J544"/>
    <mergeCell ref="I546:J546"/>
    <mergeCell ref="I851:J851"/>
    <mergeCell ref="I815:J815"/>
    <mergeCell ref="I822:J822"/>
    <mergeCell ref="I814:J814"/>
    <mergeCell ref="I651:J651"/>
    <mergeCell ref="I677:J677"/>
    <mergeCell ref="I551:J551"/>
    <mergeCell ref="I616:J616"/>
    <mergeCell ref="I488:J488"/>
    <mergeCell ref="I650:J650"/>
    <mergeCell ref="I617:J617"/>
    <mergeCell ref="I529:J529"/>
    <mergeCell ref="I545:J545"/>
    <mergeCell ref="I577:J577"/>
    <mergeCell ref="K853:L853"/>
    <mergeCell ref="K808:L808"/>
    <mergeCell ref="K825:L825"/>
    <mergeCell ref="K824:L824"/>
    <mergeCell ref="K845:L845"/>
    <mergeCell ref="K852:L852"/>
    <mergeCell ref="K841:L841"/>
    <mergeCell ref="K812:L812"/>
    <mergeCell ref="K843:L843"/>
    <mergeCell ref="K810:L810"/>
    <mergeCell ref="K813:L813"/>
    <mergeCell ref="I784:J784"/>
    <mergeCell ref="K815:L815"/>
    <mergeCell ref="K828:L828"/>
    <mergeCell ref="K827:L827"/>
    <mergeCell ref="I789:J789"/>
    <mergeCell ref="I821:J821"/>
    <mergeCell ref="K823:L823"/>
    <mergeCell ref="K847:L847"/>
    <mergeCell ref="I593:J593"/>
    <mergeCell ref="I542:J542"/>
    <mergeCell ref="G576:H576"/>
    <mergeCell ref="I622:J622"/>
    <mergeCell ref="I561:J561"/>
    <mergeCell ref="I584:J584"/>
    <mergeCell ref="K846:L846"/>
    <mergeCell ref="K844:L844"/>
    <mergeCell ref="K814:L814"/>
    <mergeCell ref="I635:J635"/>
    <mergeCell ref="I576:J576"/>
    <mergeCell ref="I560:J560"/>
    <mergeCell ref="I608:J608"/>
    <mergeCell ref="I610:J610"/>
    <mergeCell ref="K774:L774"/>
    <mergeCell ref="I614:J614"/>
    <mergeCell ref="I609:J609"/>
    <mergeCell ref="I655:J655"/>
    <mergeCell ref="I656:J656"/>
    <mergeCell ref="C648:D648"/>
    <mergeCell ref="E511:F511"/>
    <mergeCell ref="E440:F440"/>
    <mergeCell ref="C80:D80"/>
    <mergeCell ref="E111:F111"/>
    <mergeCell ref="E603:F603"/>
    <mergeCell ref="E575:F575"/>
    <mergeCell ref="C114:D114"/>
    <mergeCell ref="E114:F114"/>
    <mergeCell ref="E602:F602"/>
    <mergeCell ref="E76:F76"/>
    <mergeCell ref="E82:F82"/>
    <mergeCell ref="E84:F84"/>
    <mergeCell ref="E63:F63"/>
    <mergeCell ref="E64:F64"/>
    <mergeCell ref="E66:F66"/>
    <mergeCell ref="E65:F65"/>
    <mergeCell ref="A70:H70"/>
    <mergeCell ref="C66:D66"/>
    <mergeCell ref="C63:D63"/>
    <mergeCell ref="K63:L63"/>
    <mergeCell ref="G63:H63"/>
    <mergeCell ref="E81:F81"/>
    <mergeCell ref="E80:F80"/>
    <mergeCell ref="G80:H80"/>
    <mergeCell ref="E61:F61"/>
    <mergeCell ref="G68:H68"/>
    <mergeCell ref="G79:H79"/>
    <mergeCell ref="G81:H81"/>
    <mergeCell ref="I65:J65"/>
    <mergeCell ref="K45:L45"/>
    <mergeCell ref="K38:L38"/>
    <mergeCell ref="K39:L39"/>
    <mergeCell ref="K43:L43"/>
    <mergeCell ref="K59:L59"/>
    <mergeCell ref="K41:L41"/>
    <mergeCell ref="K44:L44"/>
    <mergeCell ref="K57:L57"/>
    <mergeCell ref="K49:L49"/>
    <mergeCell ref="K40:L40"/>
    <mergeCell ref="K61:L61"/>
    <mergeCell ref="I64:J64"/>
    <mergeCell ref="I62:J62"/>
    <mergeCell ref="K87:L87"/>
    <mergeCell ref="I84:J84"/>
    <mergeCell ref="K84:L84"/>
    <mergeCell ref="K79:L79"/>
    <mergeCell ref="I79:J79"/>
    <mergeCell ref="K66:L66"/>
    <mergeCell ref="I69:J69"/>
    <mergeCell ref="G88:H88"/>
    <mergeCell ref="K86:L86"/>
    <mergeCell ref="K88:L88"/>
    <mergeCell ref="K89:L89"/>
    <mergeCell ref="K97:L97"/>
    <mergeCell ref="A94:L94"/>
    <mergeCell ref="I86:J86"/>
    <mergeCell ref="I90:J90"/>
    <mergeCell ref="G90:H90"/>
    <mergeCell ref="K96:L96"/>
    <mergeCell ref="C69:D69"/>
    <mergeCell ref="I82:J82"/>
    <mergeCell ref="I85:J85"/>
    <mergeCell ref="K80:L80"/>
    <mergeCell ref="A83:J83"/>
    <mergeCell ref="I81:J81"/>
    <mergeCell ref="K82:L82"/>
    <mergeCell ref="G85:H85"/>
    <mergeCell ref="E85:F85"/>
    <mergeCell ref="C85:D85"/>
    <mergeCell ref="K65:L65"/>
    <mergeCell ref="I68:J68"/>
    <mergeCell ref="K69:L69"/>
    <mergeCell ref="I76:J76"/>
    <mergeCell ref="K68:L68"/>
    <mergeCell ref="K76:L76"/>
    <mergeCell ref="K75:L75"/>
    <mergeCell ref="K67:L67"/>
    <mergeCell ref="K64:L64"/>
    <mergeCell ref="M76:N76"/>
    <mergeCell ref="G82:H82"/>
    <mergeCell ref="I77:J77"/>
    <mergeCell ref="K81:L81"/>
    <mergeCell ref="M80:N80"/>
    <mergeCell ref="M82:N82"/>
    <mergeCell ref="M79:N79"/>
    <mergeCell ref="I78:J78"/>
    <mergeCell ref="M78:N78"/>
    <mergeCell ref="K162:L162"/>
    <mergeCell ref="K179:L179"/>
    <mergeCell ref="A120:L120"/>
    <mergeCell ref="K136:L136"/>
    <mergeCell ref="I173:J173"/>
    <mergeCell ref="C174:D174"/>
    <mergeCell ref="I176:J176"/>
    <mergeCell ref="E126:F126"/>
    <mergeCell ref="I174:J174"/>
    <mergeCell ref="I179:J179"/>
    <mergeCell ref="C78:D78"/>
    <mergeCell ref="G97:H97"/>
    <mergeCell ref="I598:J598"/>
    <mergeCell ref="I657:J657"/>
    <mergeCell ref="K848:L848"/>
    <mergeCell ref="K163:L163"/>
    <mergeCell ref="K152:L152"/>
    <mergeCell ref="K225:L225"/>
    <mergeCell ref="K227:L227"/>
    <mergeCell ref="I332:J332"/>
    <mergeCell ref="G387:H387"/>
    <mergeCell ref="K431:L431"/>
    <mergeCell ref="G358:H358"/>
    <mergeCell ref="I361:J361"/>
    <mergeCell ref="K475:L475"/>
    <mergeCell ref="K442:L442"/>
    <mergeCell ref="I422:J422"/>
    <mergeCell ref="I425:J425"/>
    <mergeCell ref="G397:H397"/>
    <mergeCell ref="I369:J369"/>
    <mergeCell ref="K851:L851"/>
    <mergeCell ref="K855:L855"/>
    <mergeCell ref="I355:J355"/>
    <mergeCell ref="K480:L480"/>
    <mergeCell ref="I390:J390"/>
    <mergeCell ref="I392:J392"/>
    <mergeCell ref="I574:J574"/>
    <mergeCell ref="I562:J562"/>
    <mergeCell ref="I548:J548"/>
    <mergeCell ref="I493:J493"/>
    <mergeCell ref="K1040:L1040"/>
    <mergeCell ref="K1129:L1129"/>
    <mergeCell ref="G343:H343"/>
    <mergeCell ref="K1027:L1027"/>
    <mergeCell ref="K1028:L1028"/>
    <mergeCell ref="K477:L477"/>
    <mergeCell ref="K482:L482"/>
    <mergeCell ref="K878:L878"/>
    <mergeCell ref="K1022:L1022"/>
    <mergeCell ref="K829:L829"/>
    <mergeCell ref="K1103:L1103"/>
    <mergeCell ref="C1104:D1104"/>
    <mergeCell ref="K1137:L1137"/>
    <mergeCell ref="K1140:L1140"/>
    <mergeCell ref="K1126:L1126"/>
    <mergeCell ref="K1011:L1011"/>
    <mergeCell ref="K1034:L1034"/>
    <mergeCell ref="K1128:L1128"/>
    <mergeCell ref="K1043:L1043"/>
    <mergeCell ref="K1041:L1041"/>
    <mergeCell ref="K1071:L1071"/>
    <mergeCell ref="K1122:L1122"/>
    <mergeCell ref="C1123:D1123"/>
    <mergeCell ref="G1130:H1130"/>
    <mergeCell ref="E1103:F1103"/>
    <mergeCell ref="G1103:H1103"/>
    <mergeCell ref="I1123:J1123"/>
    <mergeCell ref="K1105:L1105"/>
    <mergeCell ref="K1125:L1125"/>
    <mergeCell ref="I1103:J1103"/>
    <mergeCell ref="K1102:L1102"/>
    <mergeCell ref="K1101:L1101"/>
    <mergeCell ref="K1147:L1147"/>
    <mergeCell ref="K1123:L1123"/>
    <mergeCell ref="K1130:L1130"/>
    <mergeCell ref="K1065:L1065"/>
    <mergeCell ref="K1131:L1131"/>
    <mergeCell ref="K1075:L1075"/>
    <mergeCell ref="K1076:L1076"/>
    <mergeCell ref="K1077:L1077"/>
    <mergeCell ref="K1338:L1338"/>
    <mergeCell ref="K1193:L1193"/>
    <mergeCell ref="K1156:L1156"/>
    <mergeCell ref="K1124:L1124"/>
    <mergeCell ref="K1062:L1062"/>
    <mergeCell ref="K1061:L1061"/>
    <mergeCell ref="K1096:L1096"/>
    <mergeCell ref="K1064:L1064"/>
    <mergeCell ref="K1063:L1063"/>
    <mergeCell ref="K1099:L1099"/>
    <mergeCell ref="K1211:L1211"/>
    <mergeCell ref="K1220:L1220"/>
    <mergeCell ref="K1265:L1265"/>
    <mergeCell ref="K1307:L1307"/>
    <mergeCell ref="K1217:L1217"/>
    <mergeCell ref="K1127:L1127"/>
    <mergeCell ref="K1161:L1161"/>
    <mergeCell ref="K1148:L1148"/>
    <mergeCell ref="A1132:L1132"/>
    <mergeCell ref="I1182:J1182"/>
    <mergeCell ref="K1139:L1139"/>
    <mergeCell ref="K1152:L1152"/>
    <mergeCell ref="K1162:L1162"/>
    <mergeCell ref="K1330:L1330"/>
    <mergeCell ref="K1196:L1196"/>
    <mergeCell ref="K1197:L1197"/>
    <mergeCell ref="K1184:L1184"/>
    <mergeCell ref="K1212:L1212"/>
    <mergeCell ref="K1319:L1319"/>
    <mergeCell ref="K1177:L1177"/>
    <mergeCell ref="G1199:H1199"/>
    <mergeCell ref="K1354:L1354"/>
    <mergeCell ref="K1342:L1342"/>
    <mergeCell ref="K1323:L1323"/>
    <mergeCell ref="K1328:L1328"/>
    <mergeCell ref="K1343:L1343"/>
    <mergeCell ref="K1352:L1352"/>
    <mergeCell ref="K1329:L1329"/>
    <mergeCell ref="K1324:L1324"/>
    <mergeCell ref="K1351:L1351"/>
    <mergeCell ref="C1137:D1137"/>
    <mergeCell ref="I1127:J1127"/>
    <mergeCell ref="G1131:H1131"/>
    <mergeCell ref="C1139:D1139"/>
    <mergeCell ref="G1123:H1123"/>
    <mergeCell ref="C1129:D1129"/>
    <mergeCell ref="G1136:H1136"/>
    <mergeCell ref="E1128:F1128"/>
    <mergeCell ref="G1138:H1138"/>
    <mergeCell ref="I1138:J1138"/>
    <mergeCell ref="I895:J895"/>
    <mergeCell ref="G923:H923"/>
    <mergeCell ref="I852:J852"/>
    <mergeCell ref="G845:H845"/>
    <mergeCell ref="I898:J898"/>
    <mergeCell ref="I901:J901"/>
    <mergeCell ref="I882:J882"/>
    <mergeCell ref="I855:J855"/>
    <mergeCell ref="G851:H851"/>
    <mergeCell ref="A905:L905"/>
    <mergeCell ref="I1392:J1392"/>
    <mergeCell ref="I1389:J1389"/>
    <mergeCell ref="I1393:J1393"/>
    <mergeCell ref="I1406:J1406"/>
    <mergeCell ref="I1050:J1050"/>
    <mergeCell ref="I1165:J1165"/>
    <mergeCell ref="I1159:J1159"/>
    <mergeCell ref="I1387:J1387"/>
    <mergeCell ref="I1357:J1357"/>
    <mergeCell ref="A1283:J1283"/>
    <mergeCell ref="G1388:H1388"/>
    <mergeCell ref="E1358:F1358"/>
    <mergeCell ref="G1482:H1482"/>
    <mergeCell ref="C1395:D1395"/>
    <mergeCell ref="E1479:F1479"/>
    <mergeCell ref="E1428:F1428"/>
    <mergeCell ref="E1452:F1452"/>
    <mergeCell ref="C1388:D1388"/>
    <mergeCell ref="G1430:H1430"/>
    <mergeCell ref="A1426:J1426"/>
    <mergeCell ref="G1535:H1535"/>
    <mergeCell ref="E1536:F1536"/>
    <mergeCell ref="C1505:D1505"/>
    <mergeCell ref="C1400:D1400"/>
    <mergeCell ref="I1506:J1506"/>
    <mergeCell ref="I1519:J1519"/>
    <mergeCell ref="E1519:F1519"/>
    <mergeCell ref="G1518:H1518"/>
    <mergeCell ref="G1505:H1505"/>
    <mergeCell ref="G1496:H1496"/>
    <mergeCell ref="I1548:J1548"/>
    <mergeCell ref="I1541:J1541"/>
    <mergeCell ref="G1536:H1536"/>
    <mergeCell ref="E1518:F1518"/>
    <mergeCell ref="G1506:H1506"/>
    <mergeCell ref="A1510:J1510"/>
    <mergeCell ref="I1536:J1536"/>
    <mergeCell ref="C1535:D1535"/>
    <mergeCell ref="E1521:F1521"/>
    <mergeCell ref="E1522:F1522"/>
    <mergeCell ref="I1533:J1533"/>
    <mergeCell ref="I1535:J1535"/>
    <mergeCell ref="I1543:J1543"/>
    <mergeCell ref="I1540:J1540"/>
    <mergeCell ref="K1536:L1536"/>
    <mergeCell ref="K1547:L1547"/>
    <mergeCell ref="E1529:F1529"/>
    <mergeCell ref="E1535:F1535"/>
    <mergeCell ref="E1528:F1528"/>
    <mergeCell ref="E1534:F1534"/>
    <mergeCell ref="I1558:J1558"/>
    <mergeCell ref="E1542:F1542"/>
    <mergeCell ref="G1541:H1541"/>
    <mergeCell ref="G1529:H1529"/>
    <mergeCell ref="G1548:H1548"/>
    <mergeCell ref="G1542:H1542"/>
    <mergeCell ref="G1551:H1551"/>
    <mergeCell ref="E1558:F1558"/>
    <mergeCell ref="E1553:F1553"/>
    <mergeCell ref="E1548:F1548"/>
    <mergeCell ref="G1543:H1543"/>
    <mergeCell ref="G1549:H1549"/>
    <mergeCell ref="C1527:D1527"/>
    <mergeCell ref="G1560:H1560"/>
    <mergeCell ref="E1550:F1550"/>
    <mergeCell ref="E1559:F1559"/>
    <mergeCell ref="E1552:F1552"/>
    <mergeCell ref="G1553:H1553"/>
    <mergeCell ref="G1559:H1559"/>
    <mergeCell ref="E1551:F1551"/>
    <mergeCell ref="E1543:F1543"/>
    <mergeCell ref="G1552:H1552"/>
    <mergeCell ref="I1451:J1451"/>
    <mergeCell ref="C1541:D1541"/>
    <mergeCell ref="G1480:H1480"/>
    <mergeCell ref="I1483:J1483"/>
    <mergeCell ref="G1483:H1483"/>
    <mergeCell ref="G1492:H1492"/>
    <mergeCell ref="I1484:J1484"/>
    <mergeCell ref="C1529:D1529"/>
    <mergeCell ref="G1534:H1534"/>
    <mergeCell ref="G1520:H1520"/>
    <mergeCell ref="G1550:H1550"/>
    <mergeCell ref="I1485:J1485"/>
    <mergeCell ref="G1479:H1479"/>
    <mergeCell ref="I1477:J1477"/>
    <mergeCell ref="I1542:J1542"/>
    <mergeCell ref="I1501:J1501"/>
    <mergeCell ref="A1507:J1507"/>
    <mergeCell ref="G1519:H1519"/>
    <mergeCell ref="A1487:J1487"/>
    <mergeCell ref="G1521:H1521"/>
    <mergeCell ref="G1450:H1450"/>
    <mergeCell ref="I1450:J1450"/>
    <mergeCell ref="C1452:D1452"/>
    <mergeCell ref="E1449:F1449"/>
    <mergeCell ref="G1434:H1434"/>
    <mergeCell ref="I1447:J1447"/>
    <mergeCell ref="C1441:D1441"/>
    <mergeCell ref="I1441:J1441"/>
    <mergeCell ref="I1442:J1442"/>
    <mergeCell ref="I1449:J1449"/>
    <mergeCell ref="I848:J848"/>
    <mergeCell ref="I947:J947"/>
    <mergeCell ref="I928:J928"/>
    <mergeCell ref="I850:J850"/>
    <mergeCell ref="I856:J856"/>
    <mergeCell ref="C1449:D1449"/>
    <mergeCell ref="E1441:F1441"/>
    <mergeCell ref="E1440:F1440"/>
    <mergeCell ref="C1399:D1399"/>
    <mergeCell ref="G1393:H1393"/>
    <mergeCell ref="I426:J426"/>
    <mergeCell ref="I407:J407"/>
    <mergeCell ref="I565:J565"/>
    <mergeCell ref="G357:H357"/>
    <mergeCell ref="I362:J362"/>
    <mergeCell ref="I1007:J1007"/>
    <mergeCell ref="I988:J988"/>
    <mergeCell ref="I894:J894"/>
    <mergeCell ref="I884:J884"/>
    <mergeCell ref="I878:J878"/>
    <mergeCell ref="I359:J359"/>
    <mergeCell ref="I354:J354"/>
    <mergeCell ref="G356:H356"/>
    <mergeCell ref="G334:H334"/>
    <mergeCell ref="G344:H344"/>
    <mergeCell ref="G360:H360"/>
    <mergeCell ref="G335:H335"/>
    <mergeCell ref="G348:H348"/>
    <mergeCell ref="G362:H362"/>
    <mergeCell ref="K1106:L1106"/>
    <mergeCell ref="K1179:L1179"/>
    <mergeCell ref="K1150:L1150"/>
    <mergeCell ref="K1146:L1146"/>
    <mergeCell ref="I343:J343"/>
    <mergeCell ref="I346:J346"/>
    <mergeCell ref="G347:H347"/>
    <mergeCell ref="I347:J347"/>
    <mergeCell ref="I357:J357"/>
    <mergeCell ref="K1023:L1023"/>
    <mergeCell ref="K1210:L1210"/>
    <mergeCell ref="K1165:L1165"/>
    <mergeCell ref="K1185:L1185"/>
    <mergeCell ref="K1194:L1194"/>
    <mergeCell ref="K1195:L1195"/>
    <mergeCell ref="K1187:L1187"/>
    <mergeCell ref="K1186:L1186"/>
    <mergeCell ref="K1136:L1136"/>
    <mergeCell ref="K1141:L1141"/>
    <mergeCell ref="K1174:L1174"/>
    <mergeCell ref="K1159:L1159"/>
    <mergeCell ref="K1009:L1009"/>
    <mergeCell ref="K1007:L1007"/>
    <mergeCell ref="K921:L921"/>
    <mergeCell ref="K886:L886"/>
    <mergeCell ref="K1138:L1138"/>
    <mergeCell ref="K1053:L1053"/>
    <mergeCell ref="K1072:L1072"/>
    <mergeCell ref="K1073:L1073"/>
    <mergeCell ref="K1160:L1160"/>
    <mergeCell ref="K1158:L1158"/>
    <mergeCell ref="K1151:L1151"/>
    <mergeCell ref="K1157:L1157"/>
    <mergeCell ref="K1171:L1171"/>
    <mergeCell ref="K1173:L1173"/>
    <mergeCell ref="K1172:L1172"/>
    <mergeCell ref="I1592:J1592"/>
    <mergeCell ref="I1675:J1675"/>
    <mergeCell ref="I1646:J1646"/>
    <mergeCell ref="K1621:L1621"/>
    <mergeCell ref="I1609:J1609"/>
    <mergeCell ref="K1188:L1188"/>
    <mergeCell ref="I1553:J1553"/>
    <mergeCell ref="I1552:J1552"/>
    <mergeCell ref="K1542:L1542"/>
    <mergeCell ref="K1543:L1543"/>
    <mergeCell ref="K1491:L1491"/>
    <mergeCell ref="I1760:J1760"/>
    <mergeCell ref="K1623:L1623"/>
    <mergeCell ref="K1592:L1592"/>
    <mergeCell ref="I1623:J1623"/>
    <mergeCell ref="I1666:J1666"/>
    <mergeCell ref="K1533:L1533"/>
    <mergeCell ref="K1497:L1497"/>
    <mergeCell ref="K1503:L1503"/>
    <mergeCell ref="K1519:L1519"/>
    <mergeCell ref="K1484:L1484"/>
    <mergeCell ref="K1482:L1482"/>
    <mergeCell ref="K1452:L1452"/>
    <mergeCell ref="K1458:L1458"/>
    <mergeCell ref="K1479:L1479"/>
    <mergeCell ref="K1440:L1440"/>
    <mergeCell ref="K1477:L1477"/>
    <mergeCell ref="K1478:L1478"/>
    <mergeCell ref="K1456:L1456"/>
    <mergeCell ref="K1453:L1453"/>
    <mergeCell ref="K1481:L1481"/>
    <mergeCell ref="K1454:L1454"/>
    <mergeCell ref="K1388:L1388"/>
    <mergeCell ref="K1395:L1395"/>
    <mergeCell ref="K1387:L1387"/>
    <mergeCell ref="K1399:L1399"/>
    <mergeCell ref="K1411:L1411"/>
    <mergeCell ref="K1407:L1407"/>
    <mergeCell ref="K1394:L1394"/>
    <mergeCell ref="K1391:L1391"/>
    <mergeCell ref="K1344:L1344"/>
    <mergeCell ref="K1356:L1356"/>
    <mergeCell ref="K1340:L1340"/>
    <mergeCell ref="K1375:L1375"/>
    <mergeCell ref="K1358:L1358"/>
    <mergeCell ref="K1457:L1457"/>
    <mergeCell ref="K1355:L1355"/>
    <mergeCell ref="K1350:L1350"/>
    <mergeCell ref="K1353:L1353"/>
    <mergeCell ref="K1345:L1345"/>
    <mergeCell ref="K1368:L1368"/>
    <mergeCell ref="K1367:L1367"/>
    <mergeCell ref="K1357:L1357"/>
    <mergeCell ref="K935:L935"/>
    <mergeCell ref="K784:L784"/>
    <mergeCell ref="K877:L877"/>
    <mergeCell ref="K912:L912"/>
    <mergeCell ref="K911:L911"/>
    <mergeCell ref="K876:L876"/>
    <mergeCell ref="K1341:L1341"/>
    <mergeCell ref="K898:L898"/>
    <mergeCell ref="K900:L900"/>
    <mergeCell ref="K897:L897"/>
    <mergeCell ref="K826:L826"/>
    <mergeCell ref="K842:L842"/>
    <mergeCell ref="K928:L928"/>
    <mergeCell ref="K854:L854"/>
    <mergeCell ref="K850:L850"/>
    <mergeCell ref="K874:L874"/>
    <mergeCell ref="K910:L910"/>
    <mergeCell ref="K579:L579"/>
    <mergeCell ref="K573:L573"/>
    <mergeCell ref="K767:L767"/>
    <mergeCell ref="K574:L574"/>
    <mergeCell ref="K648:L648"/>
    <mergeCell ref="K934:L934"/>
    <mergeCell ref="K894:L894"/>
    <mergeCell ref="K576:L576"/>
    <mergeCell ref="K578:L578"/>
    <mergeCell ref="K783:L783"/>
    <mergeCell ref="K585:L585"/>
    <mergeCell ref="K586:L586"/>
    <mergeCell ref="K635:L635"/>
    <mergeCell ref="K668:L668"/>
    <mergeCell ref="K544:L544"/>
    <mergeCell ref="K649:L649"/>
    <mergeCell ref="K650:L650"/>
    <mergeCell ref="K646:L646"/>
    <mergeCell ref="K647:L647"/>
    <mergeCell ref="K645:L645"/>
    <mergeCell ref="K535:L535"/>
    <mergeCell ref="K536:L536"/>
    <mergeCell ref="K498:L498"/>
    <mergeCell ref="K502:L502"/>
    <mergeCell ref="K500:L500"/>
    <mergeCell ref="K501:L501"/>
    <mergeCell ref="K529:L529"/>
    <mergeCell ref="K532:L532"/>
    <mergeCell ref="K528:L528"/>
    <mergeCell ref="K534:L534"/>
    <mergeCell ref="M457:N457"/>
    <mergeCell ref="K510:L510"/>
    <mergeCell ref="K523:L523"/>
    <mergeCell ref="K521:L521"/>
    <mergeCell ref="K522:L522"/>
    <mergeCell ref="K519:L519"/>
    <mergeCell ref="K511:L511"/>
    <mergeCell ref="K476:L476"/>
    <mergeCell ref="M480:N480"/>
    <mergeCell ref="M488:N488"/>
    <mergeCell ref="K424:L424"/>
    <mergeCell ref="K443:L443"/>
    <mergeCell ref="K444:L444"/>
    <mergeCell ref="K452:L452"/>
    <mergeCell ref="K451:L451"/>
    <mergeCell ref="K450:L450"/>
    <mergeCell ref="K447:L447"/>
    <mergeCell ref="K405:L405"/>
    <mergeCell ref="K419:L419"/>
    <mergeCell ref="K417:L417"/>
    <mergeCell ref="K441:L441"/>
    <mergeCell ref="K518:L518"/>
    <mergeCell ref="K371:L371"/>
    <mergeCell ref="K423:L423"/>
    <mergeCell ref="K471:L471"/>
    <mergeCell ref="K453:L453"/>
    <mergeCell ref="K465:L465"/>
    <mergeCell ref="K425:L425"/>
    <mergeCell ref="I413:J413"/>
    <mergeCell ref="I368:J368"/>
    <mergeCell ref="K413:L413"/>
    <mergeCell ref="K422:L422"/>
    <mergeCell ref="K418:L418"/>
    <mergeCell ref="K402:L402"/>
    <mergeCell ref="K408:L408"/>
    <mergeCell ref="K406:L406"/>
    <mergeCell ref="K407:L407"/>
    <mergeCell ref="C295:D295"/>
    <mergeCell ref="K305:L305"/>
    <mergeCell ref="I295:J295"/>
    <mergeCell ref="A297:J297"/>
    <mergeCell ref="K481:L481"/>
    <mergeCell ref="K361:L361"/>
    <mergeCell ref="K366:L366"/>
    <mergeCell ref="K416:L416"/>
    <mergeCell ref="I302:J302"/>
    <mergeCell ref="K314:L314"/>
    <mergeCell ref="I225:J225"/>
    <mergeCell ref="I224:J224"/>
    <mergeCell ref="I222:J222"/>
    <mergeCell ref="I245:J245"/>
    <mergeCell ref="I236:J236"/>
    <mergeCell ref="I251:J251"/>
    <mergeCell ref="I228:J228"/>
    <mergeCell ref="I229:J229"/>
    <mergeCell ref="I234:J234"/>
    <mergeCell ref="I232:J232"/>
    <mergeCell ref="C1558:D1558"/>
    <mergeCell ref="K271:L271"/>
    <mergeCell ref="I271:J271"/>
    <mergeCell ref="K273:L273"/>
    <mergeCell ref="K285:L285"/>
    <mergeCell ref="K295:L295"/>
    <mergeCell ref="I273:J273"/>
    <mergeCell ref="C305:D305"/>
    <mergeCell ref="E306:F306"/>
    <mergeCell ref="I294:J294"/>
    <mergeCell ref="I1547:J1547"/>
    <mergeCell ref="A1569:H1569"/>
    <mergeCell ref="A1564:H1564"/>
    <mergeCell ref="A1606:J1606"/>
    <mergeCell ref="I1480:J1480"/>
    <mergeCell ref="I1504:J1504"/>
    <mergeCell ref="A1515:J1515"/>
    <mergeCell ref="I1505:J1505"/>
    <mergeCell ref="I1559:J1559"/>
    <mergeCell ref="I1551:J1551"/>
    <mergeCell ref="C1457:D1457"/>
    <mergeCell ref="C1398:D1398"/>
    <mergeCell ref="C1549:D1549"/>
    <mergeCell ref="C1437:D1437"/>
    <mergeCell ref="C1534:D1534"/>
    <mergeCell ref="C1528:D1528"/>
    <mergeCell ref="C1548:D1548"/>
    <mergeCell ref="C1408:D1408"/>
    <mergeCell ref="A1498:J1498"/>
    <mergeCell ref="G1449:H1449"/>
    <mergeCell ref="G1451:H1451"/>
    <mergeCell ref="A1460:H1460"/>
    <mergeCell ref="I1481:J1481"/>
    <mergeCell ref="G1457:H1457"/>
    <mergeCell ref="I1457:J1457"/>
    <mergeCell ref="E1456:F1456"/>
    <mergeCell ref="I1458:J1458"/>
    <mergeCell ref="G1478:H1478"/>
    <mergeCell ref="C1480:D1480"/>
    <mergeCell ref="C1479:D1479"/>
    <mergeCell ref="C1439:D1439"/>
    <mergeCell ref="G1440:H1440"/>
    <mergeCell ref="I1455:J1455"/>
    <mergeCell ref="I1454:J1454"/>
    <mergeCell ref="G1453:H1453"/>
    <mergeCell ref="E1455:F1455"/>
    <mergeCell ref="I1452:J1452"/>
    <mergeCell ref="E1451:F1451"/>
    <mergeCell ref="E1454:F1454"/>
    <mergeCell ref="I1453:J1453"/>
    <mergeCell ref="I1429:J1429"/>
    <mergeCell ref="G1436:H1436"/>
    <mergeCell ref="I1431:J1431"/>
    <mergeCell ref="G1441:H1441"/>
    <mergeCell ref="I1432:J1432"/>
    <mergeCell ref="G1437:H1437"/>
    <mergeCell ref="G1340:H1340"/>
    <mergeCell ref="E1442:F1442"/>
    <mergeCell ref="G1410:H1410"/>
    <mergeCell ref="I1333:J1333"/>
    <mergeCell ref="I1436:J1436"/>
    <mergeCell ref="I1438:J1438"/>
    <mergeCell ref="I1397:J1397"/>
    <mergeCell ref="I1390:J1390"/>
    <mergeCell ref="I1394:J1394"/>
    <mergeCell ref="I1395:J1395"/>
    <mergeCell ref="I1340:J1340"/>
    <mergeCell ref="I1400:J1400"/>
    <mergeCell ref="A1422:I1422"/>
    <mergeCell ref="I1339:J1339"/>
    <mergeCell ref="I1352:J1352"/>
    <mergeCell ref="I1350:J1350"/>
    <mergeCell ref="I1351:J1351"/>
    <mergeCell ref="I1343:J1343"/>
    <mergeCell ref="I1344:J1344"/>
    <mergeCell ref="I1355:J1355"/>
    <mergeCell ref="G1331:H1331"/>
    <mergeCell ref="E1332:F1332"/>
    <mergeCell ref="G1322:H1322"/>
    <mergeCell ref="G1330:H1330"/>
    <mergeCell ref="I1324:J1324"/>
    <mergeCell ref="I1323:J1323"/>
    <mergeCell ref="G1323:H1323"/>
    <mergeCell ref="I1331:J1331"/>
    <mergeCell ref="E1323:F1323"/>
    <mergeCell ref="G1332:H1332"/>
    <mergeCell ref="I1320:J1320"/>
    <mergeCell ref="I1321:J1321"/>
    <mergeCell ref="I1330:J1330"/>
    <mergeCell ref="I1329:J1329"/>
    <mergeCell ref="I1322:J1322"/>
    <mergeCell ref="I1354:J1354"/>
    <mergeCell ref="I1345:J1345"/>
    <mergeCell ref="I1341:J1341"/>
    <mergeCell ref="I1342:J1342"/>
    <mergeCell ref="I1338:J1338"/>
    <mergeCell ref="C1320:D1320"/>
    <mergeCell ref="E1324:F1324"/>
    <mergeCell ref="G1321:H1321"/>
    <mergeCell ref="G1324:H1324"/>
    <mergeCell ref="C1330:D1330"/>
    <mergeCell ref="C1329:D1329"/>
    <mergeCell ref="E1321:F1321"/>
    <mergeCell ref="E1322:F1322"/>
    <mergeCell ref="C1203:D1203"/>
    <mergeCell ref="C1311:D1311"/>
    <mergeCell ref="I1141:J1141"/>
    <mergeCell ref="I1150:J1150"/>
    <mergeCell ref="E1141:F1141"/>
    <mergeCell ref="E1146:F1146"/>
    <mergeCell ref="I1186:J1186"/>
    <mergeCell ref="G1203:H1203"/>
    <mergeCell ref="I1185:J1185"/>
    <mergeCell ref="I1193:J1193"/>
    <mergeCell ref="C1287:D1287"/>
    <mergeCell ref="C1288:D1288"/>
    <mergeCell ref="E1288:F1288"/>
    <mergeCell ref="G1288:H1288"/>
    <mergeCell ref="E1286:F1286"/>
    <mergeCell ref="I1205:J1205"/>
    <mergeCell ref="I1206:J1206"/>
    <mergeCell ref="A1242:H1242"/>
    <mergeCell ref="I1212:J1212"/>
    <mergeCell ref="G1212:H1212"/>
    <mergeCell ref="I985:J985"/>
    <mergeCell ref="I1122:J1122"/>
    <mergeCell ref="I1106:J1106"/>
    <mergeCell ref="A1002:L1002"/>
    <mergeCell ref="I1199:J1199"/>
    <mergeCell ref="I1196:J1196"/>
    <mergeCell ref="E1199:F1199"/>
    <mergeCell ref="K1163:L1163"/>
    <mergeCell ref="K1164:L1164"/>
    <mergeCell ref="K1183:L1183"/>
    <mergeCell ref="K1020:L1020"/>
    <mergeCell ref="K1013:L1013"/>
    <mergeCell ref="K1014:L1014"/>
    <mergeCell ref="K932:L932"/>
    <mergeCell ref="E1140:F1140"/>
    <mergeCell ref="G1147:H1147"/>
    <mergeCell ref="E1129:F1129"/>
    <mergeCell ref="G1139:H1139"/>
    <mergeCell ref="G1013:H1013"/>
    <mergeCell ref="I984:J984"/>
    <mergeCell ref="K908:L908"/>
    <mergeCell ref="K913:L913"/>
    <mergeCell ref="K919:L919"/>
    <mergeCell ref="K920:L920"/>
    <mergeCell ref="G921:H921"/>
    <mergeCell ref="K923:L923"/>
    <mergeCell ref="I913:J913"/>
    <mergeCell ref="K918:L918"/>
    <mergeCell ref="I911:J911"/>
    <mergeCell ref="I921:J921"/>
    <mergeCell ref="K882:L882"/>
    <mergeCell ref="K883:L883"/>
    <mergeCell ref="G884:H884"/>
    <mergeCell ref="G811:H811"/>
    <mergeCell ref="G814:H814"/>
    <mergeCell ref="I849:J849"/>
    <mergeCell ref="K849:L849"/>
    <mergeCell ref="K822:L822"/>
    <mergeCell ref="G815:H815"/>
    <mergeCell ref="I841:J841"/>
    <mergeCell ref="E884:F884"/>
    <mergeCell ref="I683:J683"/>
    <mergeCell ref="C689:D689"/>
    <mergeCell ref="E683:F683"/>
    <mergeCell ref="I787:J787"/>
    <mergeCell ref="A792:J792"/>
    <mergeCell ref="G698:H698"/>
    <mergeCell ref="C699:D699"/>
    <mergeCell ref="I774:J774"/>
    <mergeCell ref="E827:F827"/>
    <mergeCell ref="G822:H822"/>
    <mergeCell ref="E822:F822"/>
    <mergeCell ref="I824:J824"/>
    <mergeCell ref="G812:H812"/>
    <mergeCell ref="I828:J828"/>
    <mergeCell ref="I823:J823"/>
    <mergeCell ref="I825:J825"/>
    <mergeCell ref="G827:H827"/>
    <mergeCell ref="I826:J826"/>
    <mergeCell ref="I827:J827"/>
    <mergeCell ref="I769:J769"/>
    <mergeCell ref="G769:H769"/>
    <mergeCell ref="I699:J699"/>
    <mergeCell ref="A733:J733"/>
    <mergeCell ref="A759:H759"/>
    <mergeCell ref="K821:L821"/>
    <mergeCell ref="K811:L811"/>
    <mergeCell ref="I772:J772"/>
    <mergeCell ref="A761:H761"/>
    <mergeCell ref="E811:F811"/>
    <mergeCell ref="I768:J768"/>
    <mergeCell ref="I767:J767"/>
    <mergeCell ref="G766:H766"/>
    <mergeCell ref="I667:J667"/>
    <mergeCell ref="I673:J673"/>
    <mergeCell ref="G675:H675"/>
    <mergeCell ref="A764:H764"/>
    <mergeCell ref="C766:D766"/>
    <mergeCell ref="E766:F766"/>
    <mergeCell ref="A749:J749"/>
    <mergeCell ref="I660:J660"/>
    <mergeCell ref="I674:J674"/>
    <mergeCell ref="I675:J675"/>
    <mergeCell ref="G678:H678"/>
    <mergeCell ref="E676:F676"/>
    <mergeCell ref="I661:J661"/>
    <mergeCell ref="I666:J666"/>
    <mergeCell ref="I669:J669"/>
    <mergeCell ref="G669:H669"/>
    <mergeCell ref="I668:J668"/>
    <mergeCell ref="I607:J607"/>
    <mergeCell ref="I613:J613"/>
    <mergeCell ref="G602:H602"/>
    <mergeCell ref="A633:J633"/>
    <mergeCell ref="G610:H610"/>
    <mergeCell ref="G626:H626"/>
    <mergeCell ref="E615:F615"/>
    <mergeCell ref="G616:H616"/>
    <mergeCell ref="I628:J628"/>
    <mergeCell ref="G609:H609"/>
    <mergeCell ref="I603:J603"/>
    <mergeCell ref="G562:H562"/>
    <mergeCell ref="G566:H566"/>
    <mergeCell ref="G563:H563"/>
    <mergeCell ref="G575:H575"/>
    <mergeCell ref="G577:H577"/>
    <mergeCell ref="I573:J573"/>
    <mergeCell ref="I566:J566"/>
    <mergeCell ref="G584:H584"/>
    <mergeCell ref="I590:J590"/>
    <mergeCell ref="G435:H435"/>
    <mergeCell ref="I501:J501"/>
    <mergeCell ref="G500:H500"/>
    <mergeCell ref="I500:J500"/>
    <mergeCell ref="I509:J509"/>
    <mergeCell ref="I498:J498"/>
    <mergeCell ref="G481:H481"/>
    <mergeCell ref="G482:H482"/>
    <mergeCell ref="I481:J481"/>
    <mergeCell ref="G452:H452"/>
    <mergeCell ref="E424:F424"/>
    <mergeCell ref="G433:H433"/>
    <mergeCell ref="E483:F483"/>
    <mergeCell ref="E484:F484"/>
    <mergeCell ref="G483:H483"/>
    <mergeCell ref="C481:D481"/>
    <mergeCell ref="C483:D483"/>
    <mergeCell ref="G431:H431"/>
    <mergeCell ref="E433:F433"/>
    <mergeCell ref="G432:H432"/>
    <mergeCell ref="G426:H426"/>
    <mergeCell ref="E432:F432"/>
    <mergeCell ref="E408:F408"/>
    <mergeCell ref="G407:H407"/>
    <mergeCell ref="E423:F423"/>
    <mergeCell ref="G424:H424"/>
    <mergeCell ref="G423:H423"/>
    <mergeCell ref="G425:H425"/>
    <mergeCell ref="E430:F430"/>
    <mergeCell ref="E425:F425"/>
    <mergeCell ref="E416:F416"/>
    <mergeCell ref="G408:H408"/>
    <mergeCell ref="E407:F407"/>
    <mergeCell ref="G418:H418"/>
    <mergeCell ref="E403:F403"/>
    <mergeCell ref="G414:H414"/>
    <mergeCell ref="G405:H405"/>
    <mergeCell ref="G416:H416"/>
    <mergeCell ref="G415:H415"/>
    <mergeCell ref="G406:H406"/>
    <mergeCell ref="I316:J316"/>
    <mergeCell ref="I310:J310"/>
    <mergeCell ref="I345:J345"/>
    <mergeCell ref="I290:J290"/>
    <mergeCell ref="I270:J270"/>
    <mergeCell ref="I317:J317"/>
    <mergeCell ref="I344:J344"/>
    <mergeCell ref="I304:J304"/>
    <mergeCell ref="I282:J282"/>
    <mergeCell ref="I272:J272"/>
    <mergeCell ref="I248:J248"/>
    <mergeCell ref="I325:J325"/>
    <mergeCell ref="I319:J319"/>
    <mergeCell ref="I326:J326"/>
    <mergeCell ref="I336:J336"/>
    <mergeCell ref="I268:J268"/>
    <mergeCell ref="I262:J262"/>
    <mergeCell ref="I314:J314"/>
    <mergeCell ref="I330:J330"/>
    <mergeCell ref="I327:J327"/>
    <mergeCell ref="G292:H292"/>
    <mergeCell ref="E281:F281"/>
    <mergeCell ref="G228:H228"/>
    <mergeCell ref="I280:J280"/>
    <mergeCell ref="I331:J331"/>
    <mergeCell ref="I333:J333"/>
    <mergeCell ref="G326:H326"/>
    <mergeCell ref="G308:H308"/>
    <mergeCell ref="I315:J315"/>
    <mergeCell ref="I309:J309"/>
    <mergeCell ref="I207:J207"/>
    <mergeCell ref="I208:J208"/>
    <mergeCell ref="G209:H209"/>
    <mergeCell ref="G214:H214"/>
    <mergeCell ref="G212:H212"/>
    <mergeCell ref="I212:J212"/>
    <mergeCell ref="G213:H213"/>
    <mergeCell ref="I214:J214"/>
    <mergeCell ref="G205:H205"/>
    <mergeCell ref="I198:J198"/>
    <mergeCell ref="I193:J193"/>
    <mergeCell ref="G196:H196"/>
    <mergeCell ref="G194:H194"/>
    <mergeCell ref="G197:H197"/>
    <mergeCell ref="G199:H199"/>
    <mergeCell ref="G195:H195"/>
    <mergeCell ref="I196:J196"/>
    <mergeCell ref="I204:J204"/>
    <mergeCell ref="G185:H185"/>
    <mergeCell ref="I191:J191"/>
    <mergeCell ref="I185:J185"/>
    <mergeCell ref="I175:J175"/>
    <mergeCell ref="I180:J180"/>
    <mergeCell ref="G179:H179"/>
    <mergeCell ref="G182:H182"/>
    <mergeCell ref="A178:H178"/>
    <mergeCell ref="G180:H180"/>
    <mergeCell ref="E185:F185"/>
    <mergeCell ref="I135:J135"/>
    <mergeCell ref="I136:J136"/>
    <mergeCell ref="I144:J144"/>
    <mergeCell ref="I171:J171"/>
    <mergeCell ref="I163:J163"/>
    <mergeCell ref="I150:J150"/>
    <mergeCell ref="I154:J154"/>
    <mergeCell ref="I170:J170"/>
    <mergeCell ref="I126:J126"/>
    <mergeCell ref="I148:J148"/>
    <mergeCell ref="G144:H144"/>
    <mergeCell ref="G128:H128"/>
    <mergeCell ref="I151:J151"/>
    <mergeCell ref="I169:J169"/>
    <mergeCell ref="I153:J153"/>
    <mergeCell ref="I165:J165"/>
    <mergeCell ref="G127:H127"/>
    <mergeCell ref="I152:J152"/>
    <mergeCell ref="I99:J99"/>
    <mergeCell ref="I102:J102"/>
    <mergeCell ref="G99:H99"/>
    <mergeCell ref="G101:H101"/>
    <mergeCell ref="I127:J127"/>
    <mergeCell ref="G110:H110"/>
    <mergeCell ref="G126:H126"/>
    <mergeCell ref="I116:J116"/>
    <mergeCell ref="I124:J124"/>
    <mergeCell ref="G102:H102"/>
    <mergeCell ref="G122:H122"/>
    <mergeCell ref="I115:J115"/>
    <mergeCell ref="G113:H113"/>
    <mergeCell ref="G114:H114"/>
    <mergeCell ref="I112:J112"/>
    <mergeCell ref="I114:J114"/>
    <mergeCell ref="G111:H111"/>
    <mergeCell ref="I109:J109"/>
    <mergeCell ref="I110:J110"/>
    <mergeCell ref="I50:J50"/>
    <mergeCell ref="I57:J57"/>
    <mergeCell ref="I60:J60"/>
    <mergeCell ref="I58:J58"/>
    <mergeCell ref="I66:J66"/>
    <mergeCell ref="I89:J89"/>
    <mergeCell ref="G109:H109"/>
    <mergeCell ref="C58:D58"/>
    <mergeCell ref="K56:L56"/>
    <mergeCell ref="G391:H391"/>
    <mergeCell ref="K899:L899"/>
    <mergeCell ref="K885:L885"/>
    <mergeCell ref="G473:H473"/>
    <mergeCell ref="I376:J376"/>
    <mergeCell ref="I597:J597"/>
    <mergeCell ref="I101:J101"/>
    <mergeCell ref="I770:J770"/>
    <mergeCell ref="I893:J893"/>
    <mergeCell ref="I899:J899"/>
    <mergeCell ref="I328:J328"/>
    <mergeCell ref="G372:H372"/>
    <mergeCell ref="I367:J367"/>
    <mergeCell ref="I329:J329"/>
    <mergeCell ref="I334:J334"/>
    <mergeCell ref="G346:H346"/>
    <mergeCell ref="G328:H328"/>
    <mergeCell ref="I788:J788"/>
    <mergeCell ref="I907:J907"/>
    <mergeCell ref="K907:L907"/>
    <mergeCell ref="K893:L893"/>
    <mergeCell ref="I858:J858"/>
    <mergeCell ref="I897:J897"/>
    <mergeCell ref="K896:L896"/>
    <mergeCell ref="K892:L892"/>
    <mergeCell ref="K879:L879"/>
    <mergeCell ref="K881:L881"/>
    <mergeCell ref="I891:J891"/>
    <mergeCell ref="I810:J810"/>
    <mergeCell ref="I785:J785"/>
    <mergeCell ref="I798:J798"/>
    <mergeCell ref="I786:J786"/>
    <mergeCell ref="C433:D433"/>
    <mergeCell ref="G501:H501"/>
    <mergeCell ref="I483:J483"/>
    <mergeCell ref="A487:J487"/>
    <mergeCell ref="I695:J695"/>
    <mergeCell ref="I490:J490"/>
    <mergeCell ref="C344:D344"/>
    <mergeCell ref="E344:F344"/>
    <mergeCell ref="I441:J441"/>
    <mergeCell ref="G442:H442"/>
    <mergeCell ref="I431:J431"/>
    <mergeCell ref="I434:J434"/>
    <mergeCell ref="G389:H389"/>
    <mergeCell ref="G368:H368"/>
    <mergeCell ref="I387:J387"/>
    <mergeCell ref="E405:F405"/>
    <mergeCell ref="I532:J532"/>
    <mergeCell ref="I492:J492"/>
    <mergeCell ref="I591:J591"/>
    <mergeCell ref="I482:J482"/>
    <mergeCell ref="I648:J648"/>
    <mergeCell ref="A485:J485"/>
    <mergeCell ref="G489:H489"/>
    <mergeCell ref="I521:J521"/>
    <mergeCell ref="A604:J604"/>
    <mergeCell ref="G579:H579"/>
    <mergeCell ref="I649:J649"/>
    <mergeCell ref="K651:L651"/>
    <mergeCell ref="K337:L337"/>
    <mergeCell ref="K426:L426"/>
    <mergeCell ref="G449:H449"/>
    <mergeCell ref="K358:L358"/>
    <mergeCell ref="K359:L359"/>
    <mergeCell ref="I424:J424"/>
    <mergeCell ref="I429:J429"/>
    <mergeCell ref="K344:L344"/>
    <mergeCell ref="K331:L331"/>
    <mergeCell ref="K321:L321"/>
    <mergeCell ref="K336:L336"/>
    <mergeCell ref="I335:J335"/>
    <mergeCell ref="K329:L329"/>
    <mergeCell ref="K334:L334"/>
    <mergeCell ref="K333:L333"/>
    <mergeCell ref="K332:L332"/>
    <mergeCell ref="K330:L330"/>
    <mergeCell ref="K327:L327"/>
    <mergeCell ref="K341:L341"/>
    <mergeCell ref="K342:L342"/>
    <mergeCell ref="K360:L360"/>
    <mergeCell ref="K346:L346"/>
    <mergeCell ref="K347:L347"/>
    <mergeCell ref="K356:L356"/>
    <mergeCell ref="K348:L348"/>
    <mergeCell ref="K283:L283"/>
    <mergeCell ref="K309:L309"/>
    <mergeCell ref="K310:L310"/>
    <mergeCell ref="K325:L325"/>
    <mergeCell ref="K319:L319"/>
    <mergeCell ref="K315:L315"/>
    <mergeCell ref="K317:L317"/>
    <mergeCell ref="K318:L318"/>
    <mergeCell ref="K304:L304"/>
    <mergeCell ref="K306:L306"/>
    <mergeCell ref="K291:L291"/>
    <mergeCell ref="K303:L303"/>
    <mergeCell ref="K296:L296"/>
    <mergeCell ref="K290:L290"/>
    <mergeCell ref="K292:L292"/>
    <mergeCell ref="K302:L302"/>
    <mergeCell ref="K316:L316"/>
    <mergeCell ref="K264:L264"/>
    <mergeCell ref="K182:L182"/>
    <mergeCell ref="K223:L223"/>
    <mergeCell ref="K183:L183"/>
    <mergeCell ref="K224:L224"/>
    <mergeCell ref="K233:L233"/>
    <mergeCell ref="K195:L195"/>
    <mergeCell ref="K263:L263"/>
    <mergeCell ref="K196:L196"/>
    <mergeCell ref="K109:L109"/>
    <mergeCell ref="K102:L102"/>
    <mergeCell ref="K328:L328"/>
    <mergeCell ref="K232:L232"/>
    <mergeCell ref="K320:L320"/>
    <mergeCell ref="K326:L326"/>
    <mergeCell ref="K307:L307"/>
    <mergeCell ref="K265:L265"/>
    <mergeCell ref="K236:L236"/>
    <mergeCell ref="K181:L181"/>
    <mergeCell ref="K198:L198"/>
    <mergeCell ref="A216:L216"/>
    <mergeCell ref="K222:L222"/>
    <mergeCell ref="K221:L221"/>
    <mergeCell ref="C224:D224"/>
    <mergeCell ref="I121:J121"/>
    <mergeCell ref="G125:H125"/>
    <mergeCell ref="I125:J125"/>
    <mergeCell ref="I128:J128"/>
    <mergeCell ref="K145:L145"/>
    <mergeCell ref="K99:L99"/>
    <mergeCell ref="K103:L103"/>
    <mergeCell ref="K129:L129"/>
    <mergeCell ref="K110:L110"/>
    <mergeCell ref="K111:L111"/>
    <mergeCell ref="K124:L124"/>
    <mergeCell ref="K125:L125"/>
    <mergeCell ref="K115:L115"/>
    <mergeCell ref="K101:L101"/>
    <mergeCell ref="K112:L112"/>
    <mergeCell ref="K127:L127"/>
    <mergeCell ref="K148:L148"/>
    <mergeCell ref="K139:L139"/>
    <mergeCell ref="K114:L114"/>
    <mergeCell ref="K121:L121"/>
    <mergeCell ref="K135:L135"/>
    <mergeCell ref="K144:L144"/>
    <mergeCell ref="K116:L116"/>
    <mergeCell ref="K143:L143"/>
    <mergeCell ref="K174:L174"/>
    <mergeCell ref="K132:L132"/>
    <mergeCell ref="K100:L100"/>
    <mergeCell ref="K180:L180"/>
    <mergeCell ref="K177:L177"/>
    <mergeCell ref="K176:L176"/>
    <mergeCell ref="K128:L128"/>
    <mergeCell ref="K147:L147"/>
    <mergeCell ref="K126:L126"/>
    <mergeCell ref="K173:L173"/>
    <mergeCell ref="K149:L149"/>
    <mergeCell ref="K113:L113"/>
    <mergeCell ref="K164:L164"/>
    <mergeCell ref="K98:L98"/>
    <mergeCell ref="K122:L122"/>
    <mergeCell ref="K194:L194"/>
    <mergeCell ref="K185:L185"/>
    <mergeCell ref="K170:L170"/>
    <mergeCell ref="K150:L150"/>
    <mergeCell ref="K151:L151"/>
    <mergeCell ref="K234:L234"/>
    <mergeCell ref="K235:L235"/>
    <mergeCell ref="K237:L237"/>
    <mergeCell ref="K90:L90"/>
    <mergeCell ref="K172:L172"/>
    <mergeCell ref="K130:L130"/>
    <mergeCell ref="K165:L165"/>
    <mergeCell ref="K123:L123"/>
    <mergeCell ref="K169:L169"/>
    <mergeCell ref="K146:L146"/>
    <mergeCell ref="I484:J484"/>
    <mergeCell ref="K266:L266"/>
    <mergeCell ref="K267:L267"/>
    <mergeCell ref="K269:L269"/>
    <mergeCell ref="K272:L272"/>
    <mergeCell ref="K284:L284"/>
    <mergeCell ref="K343:L343"/>
    <mergeCell ref="K281:L281"/>
    <mergeCell ref="I440:J440"/>
    <mergeCell ref="K270:L270"/>
    <mergeCell ref="I477:J477"/>
    <mergeCell ref="K583:L583"/>
    <mergeCell ref="I533:J533"/>
    <mergeCell ref="K449:L449"/>
    <mergeCell ref="K193:L193"/>
    <mergeCell ref="K262:L262"/>
    <mergeCell ref="K199:L199"/>
    <mergeCell ref="K280:L280"/>
    <mergeCell ref="K274:L274"/>
    <mergeCell ref="K530:L530"/>
    <mergeCell ref="K600:L600"/>
    <mergeCell ref="I586:J586"/>
    <mergeCell ref="I522:J522"/>
    <mergeCell ref="G521:H521"/>
    <mergeCell ref="K282:L282"/>
    <mergeCell ref="K335:L335"/>
    <mergeCell ref="I502:J502"/>
    <mergeCell ref="A587:J587"/>
    <mergeCell ref="K484:L484"/>
    <mergeCell ref="I499:J499"/>
    <mergeCell ref="M173:N173"/>
    <mergeCell ref="M174:N174"/>
    <mergeCell ref="G603:H603"/>
    <mergeCell ref="K448:L448"/>
    <mergeCell ref="K488:L488"/>
    <mergeCell ref="K483:L483"/>
    <mergeCell ref="K473:L473"/>
    <mergeCell ref="K472:L472"/>
    <mergeCell ref="I512:J512"/>
    <mergeCell ref="K493:L493"/>
    <mergeCell ref="M175:N175"/>
    <mergeCell ref="M176:N176"/>
    <mergeCell ref="K175:L175"/>
    <mergeCell ref="M430:N430"/>
    <mergeCell ref="K432:L432"/>
    <mergeCell ref="K369:L369"/>
    <mergeCell ref="K231:L231"/>
    <mergeCell ref="K229:L229"/>
    <mergeCell ref="K268:L268"/>
    <mergeCell ref="K293:L293"/>
    <mergeCell ref="K430:L430"/>
    <mergeCell ref="K434:L434"/>
    <mergeCell ref="K520:L520"/>
    <mergeCell ref="K491:L491"/>
    <mergeCell ref="K531:L531"/>
    <mergeCell ref="K429:L429"/>
    <mergeCell ref="K439:L439"/>
    <mergeCell ref="K460:L460"/>
    <mergeCell ref="K508:L508"/>
    <mergeCell ref="K464:L464"/>
    <mergeCell ref="M438:N438"/>
    <mergeCell ref="I432:J432"/>
    <mergeCell ref="I433:J433"/>
    <mergeCell ref="I430:J430"/>
    <mergeCell ref="G484:H484"/>
    <mergeCell ref="K435:L435"/>
    <mergeCell ref="K433:L433"/>
    <mergeCell ref="I435:J435"/>
    <mergeCell ref="I438:J438"/>
    <mergeCell ref="K438:L438"/>
    <mergeCell ref="K376:L376"/>
    <mergeCell ref="K354:L354"/>
    <mergeCell ref="K357:L357"/>
    <mergeCell ref="K355:L355"/>
    <mergeCell ref="K370:L370"/>
    <mergeCell ref="K391:L391"/>
    <mergeCell ref="K387:L387"/>
    <mergeCell ref="K368:L368"/>
    <mergeCell ref="K388:L388"/>
    <mergeCell ref="K389:L389"/>
    <mergeCell ref="K512:L512"/>
    <mergeCell ref="K492:L492"/>
    <mergeCell ref="K509:L509"/>
    <mergeCell ref="K440:L440"/>
    <mergeCell ref="K490:L490"/>
    <mergeCell ref="K489:L489"/>
    <mergeCell ref="K584:L584"/>
    <mergeCell ref="M498:N498"/>
    <mergeCell ref="M529:N529"/>
    <mergeCell ref="K575:L575"/>
    <mergeCell ref="K542:L542"/>
    <mergeCell ref="K545:L545"/>
    <mergeCell ref="K577:L577"/>
    <mergeCell ref="K533:L533"/>
    <mergeCell ref="K543:L543"/>
    <mergeCell ref="K499:L499"/>
    <mergeCell ref="K782:L782"/>
    <mergeCell ref="K772:L772"/>
    <mergeCell ref="M767:N767"/>
    <mergeCell ref="M772:N772"/>
    <mergeCell ref="M770:N770"/>
    <mergeCell ref="K785:L785"/>
    <mergeCell ref="K780:L780"/>
    <mergeCell ref="K781:L781"/>
    <mergeCell ref="K779:L779"/>
    <mergeCell ref="K768:L768"/>
    <mergeCell ref="K809:L809"/>
    <mergeCell ref="I809:J809"/>
    <mergeCell ref="K786:L786"/>
    <mergeCell ref="K787:L787"/>
    <mergeCell ref="K788:L788"/>
    <mergeCell ref="K789:L789"/>
    <mergeCell ref="K790:L790"/>
    <mergeCell ref="K797:L797"/>
    <mergeCell ref="C911:D911"/>
    <mergeCell ref="C913:D913"/>
    <mergeCell ref="E911:F911"/>
    <mergeCell ref="E918:F918"/>
    <mergeCell ref="G911:H911"/>
    <mergeCell ref="K798:L798"/>
    <mergeCell ref="K799:L799"/>
    <mergeCell ref="K800:L800"/>
    <mergeCell ref="A803:J803"/>
    <mergeCell ref="A816:J816"/>
    <mergeCell ref="C912:D912"/>
    <mergeCell ref="C920:D920"/>
    <mergeCell ref="I917:J917"/>
    <mergeCell ref="K929:L929"/>
    <mergeCell ref="G932:H932"/>
    <mergeCell ref="G922:H922"/>
    <mergeCell ref="I931:J931"/>
    <mergeCell ref="K930:L930"/>
    <mergeCell ref="K931:L931"/>
    <mergeCell ref="G930:H930"/>
    <mergeCell ref="I987:J987"/>
    <mergeCell ref="K917:L917"/>
    <mergeCell ref="I918:J918"/>
    <mergeCell ref="A926:L926"/>
    <mergeCell ref="K922:L922"/>
    <mergeCell ref="G942:H942"/>
    <mergeCell ref="K986:L986"/>
    <mergeCell ref="G933:H933"/>
    <mergeCell ref="K924:L924"/>
    <mergeCell ref="G935:H935"/>
    <mergeCell ref="G924:H924"/>
    <mergeCell ref="K933:L933"/>
    <mergeCell ref="K988:L988"/>
    <mergeCell ref="G931:H931"/>
    <mergeCell ref="I930:J930"/>
    <mergeCell ref="K1100:L1100"/>
    <mergeCell ref="G1097:H1097"/>
    <mergeCell ref="I1097:J1097"/>
    <mergeCell ref="K947:L947"/>
    <mergeCell ref="K985:L985"/>
    <mergeCell ref="K1097:L1097"/>
    <mergeCell ref="K1098:L1098"/>
    <mergeCell ref="E1104:F1104"/>
    <mergeCell ref="G1104:H1104"/>
    <mergeCell ref="I1104:J1104"/>
    <mergeCell ref="K1104:L1104"/>
    <mergeCell ref="I1099:J1099"/>
    <mergeCell ref="E1102:F1102"/>
    <mergeCell ref="G1102:H1102"/>
    <mergeCell ref="I1102:J1102"/>
    <mergeCell ref="I1094:J1094"/>
    <mergeCell ref="K1094:L1094"/>
    <mergeCell ref="C1096:D1096"/>
    <mergeCell ref="E1096:F1096"/>
    <mergeCell ref="C1098:D1098"/>
    <mergeCell ref="E1098:F1098"/>
    <mergeCell ref="G1096:H1096"/>
    <mergeCell ref="I1096:J1096"/>
    <mergeCell ref="C1095:D1095"/>
    <mergeCell ref="E1095:F1095"/>
    <mergeCell ref="C1101:D1101"/>
    <mergeCell ref="E1101:F1101"/>
    <mergeCell ref="G1101:H1101"/>
    <mergeCell ref="I1101:J1101"/>
    <mergeCell ref="G1098:H1098"/>
    <mergeCell ref="I1098:J1098"/>
    <mergeCell ref="C1100:D1100"/>
    <mergeCell ref="E1100:F1100"/>
    <mergeCell ref="I1100:J1100"/>
    <mergeCell ref="G1100:H1100"/>
    <mergeCell ref="G1095:H1095"/>
    <mergeCell ref="I1095:J1095"/>
    <mergeCell ref="K1095:L1095"/>
    <mergeCell ref="C1092:D1092"/>
    <mergeCell ref="E1092:F1092"/>
    <mergeCell ref="G1092:H1092"/>
    <mergeCell ref="I1092:J1092"/>
    <mergeCell ref="K1092:L1092"/>
    <mergeCell ref="C1093:D1093"/>
    <mergeCell ref="E1093:F1093"/>
    <mergeCell ref="G1093:H1093"/>
    <mergeCell ref="I1093:J1093"/>
    <mergeCell ref="K1093:L1093"/>
    <mergeCell ref="C1090:D1090"/>
    <mergeCell ref="E1090:F1090"/>
    <mergeCell ref="G1090:H1090"/>
    <mergeCell ref="I1090:J1090"/>
    <mergeCell ref="K1090:L1090"/>
    <mergeCell ref="C1091:D1091"/>
    <mergeCell ref="E1091:F1091"/>
    <mergeCell ref="G1091:H1091"/>
    <mergeCell ref="I1091:J1091"/>
    <mergeCell ref="K1091:L1091"/>
    <mergeCell ref="C1088:D1088"/>
    <mergeCell ref="E1088:F1088"/>
    <mergeCell ref="G1088:H1088"/>
    <mergeCell ref="I1088:J1088"/>
    <mergeCell ref="K1088:L1088"/>
    <mergeCell ref="C1089:D1089"/>
    <mergeCell ref="E1089:F1089"/>
    <mergeCell ref="G1089:H1089"/>
    <mergeCell ref="I1089:J1089"/>
    <mergeCell ref="K1089:L1089"/>
    <mergeCell ref="C1086:D1086"/>
    <mergeCell ref="G1086:H1086"/>
    <mergeCell ref="I1086:J1086"/>
    <mergeCell ref="K1086:L1086"/>
    <mergeCell ref="C1087:D1087"/>
    <mergeCell ref="E1087:F1087"/>
    <mergeCell ref="K1087:L1087"/>
    <mergeCell ref="E1086:F1086"/>
    <mergeCell ref="K1000:L1000"/>
    <mergeCell ref="I1012:J1012"/>
    <mergeCell ref="E1065:F1065"/>
    <mergeCell ref="I1065:J1065"/>
    <mergeCell ref="G1061:H1061"/>
    <mergeCell ref="E1085:F1085"/>
    <mergeCell ref="K1039:L1039"/>
    <mergeCell ref="K1067:L1067"/>
    <mergeCell ref="I1000:J1000"/>
    <mergeCell ref="I1085:J1085"/>
    <mergeCell ref="K1085:L1085"/>
    <mergeCell ref="K1042:L1042"/>
    <mergeCell ref="G1063:H1063"/>
    <mergeCell ref="I1063:J1063"/>
    <mergeCell ref="K1049:L1049"/>
    <mergeCell ref="G1066:H1066"/>
    <mergeCell ref="I1066:J1066"/>
    <mergeCell ref="K1066:L1066"/>
    <mergeCell ref="K1060:L1060"/>
    <mergeCell ref="K1024:L1024"/>
    <mergeCell ref="G1005:H1005"/>
    <mergeCell ref="K1054:L1054"/>
    <mergeCell ref="I1084:J1084"/>
    <mergeCell ref="E1061:F1061"/>
    <mergeCell ref="E1062:F1062"/>
    <mergeCell ref="I1059:J1059"/>
    <mergeCell ref="K1015:L1015"/>
    <mergeCell ref="K1021:L1021"/>
    <mergeCell ref="K1008:L1008"/>
    <mergeCell ref="K999:L999"/>
    <mergeCell ref="E998:F998"/>
    <mergeCell ref="K1005:L1005"/>
    <mergeCell ref="K1010:L1010"/>
    <mergeCell ref="I1010:J1010"/>
    <mergeCell ref="G1010:H1010"/>
    <mergeCell ref="G1008:H1008"/>
    <mergeCell ref="G1009:H1009"/>
    <mergeCell ref="G998:H998"/>
    <mergeCell ref="K998:L998"/>
    <mergeCell ref="C995:D995"/>
    <mergeCell ref="E995:F995"/>
    <mergeCell ref="G995:H995"/>
    <mergeCell ref="I995:J995"/>
    <mergeCell ref="K995:L995"/>
    <mergeCell ref="K997:L997"/>
    <mergeCell ref="E997:F997"/>
    <mergeCell ref="G997:H997"/>
    <mergeCell ref="I997:J997"/>
    <mergeCell ref="K996:L996"/>
    <mergeCell ref="I993:J993"/>
    <mergeCell ref="K993:L993"/>
    <mergeCell ref="K994:L994"/>
    <mergeCell ref="I989:J989"/>
    <mergeCell ref="K984:L984"/>
    <mergeCell ref="K989:L989"/>
    <mergeCell ref="A991:L991"/>
    <mergeCell ref="G989:H989"/>
    <mergeCell ref="G985:H985"/>
    <mergeCell ref="K987:L987"/>
    <mergeCell ref="G978:H978"/>
    <mergeCell ref="C976:D976"/>
    <mergeCell ref="C975:D975"/>
    <mergeCell ref="C979:D979"/>
    <mergeCell ref="C977:D977"/>
    <mergeCell ref="G977:H977"/>
    <mergeCell ref="G979:H979"/>
    <mergeCell ref="E976:F976"/>
    <mergeCell ref="E975:F975"/>
    <mergeCell ref="G975:H975"/>
    <mergeCell ref="K975:L975"/>
    <mergeCell ref="K976:L976"/>
    <mergeCell ref="K977:L977"/>
    <mergeCell ref="K978:L978"/>
    <mergeCell ref="K979:L979"/>
    <mergeCell ref="I979:J979"/>
    <mergeCell ref="I975:J975"/>
    <mergeCell ref="I977:J977"/>
    <mergeCell ref="I976:J976"/>
    <mergeCell ref="K971:L971"/>
    <mergeCell ref="E974:F974"/>
    <mergeCell ref="G974:H974"/>
    <mergeCell ref="I974:J974"/>
    <mergeCell ref="K974:L974"/>
    <mergeCell ref="I968:J968"/>
    <mergeCell ref="G969:H969"/>
    <mergeCell ref="I970:J970"/>
    <mergeCell ref="I971:J971"/>
    <mergeCell ref="E970:F970"/>
    <mergeCell ref="K958:L958"/>
    <mergeCell ref="K957:L957"/>
    <mergeCell ref="K959:L959"/>
    <mergeCell ref="K968:L968"/>
    <mergeCell ref="K969:L969"/>
    <mergeCell ref="K970:L970"/>
    <mergeCell ref="K964:L964"/>
    <mergeCell ref="K1286:L1286"/>
    <mergeCell ref="K948:L948"/>
    <mergeCell ref="K949:L949"/>
    <mergeCell ref="K950:L950"/>
    <mergeCell ref="K951:L951"/>
    <mergeCell ref="K952:L952"/>
    <mergeCell ref="A962:L962"/>
    <mergeCell ref="G949:H949"/>
    <mergeCell ref="K965:L965"/>
    <mergeCell ref="K966:L966"/>
    <mergeCell ref="A1247:J1248"/>
    <mergeCell ref="I1211:J1211"/>
    <mergeCell ref="A1226:J1226"/>
    <mergeCell ref="I1210:J1210"/>
    <mergeCell ref="C1251:D1251"/>
    <mergeCell ref="K954:L954"/>
    <mergeCell ref="I956:J956"/>
    <mergeCell ref="K967:L967"/>
    <mergeCell ref="K956:L956"/>
    <mergeCell ref="K955:L955"/>
    <mergeCell ref="I1332:J1332"/>
    <mergeCell ref="G1306:H1306"/>
    <mergeCell ref="I1314:J1314"/>
    <mergeCell ref="G1313:H1313"/>
    <mergeCell ref="K1314:L1314"/>
    <mergeCell ref="E1309:F1309"/>
    <mergeCell ref="I1308:J1308"/>
    <mergeCell ref="I1306:J1306"/>
    <mergeCell ref="K1308:L1308"/>
    <mergeCell ref="E1330:F1330"/>
    <mergeCell ref="G1320:H1320"/>
    <mergeCell ref="E1329:F1329"/>
    <mergeCell ref="E1306:F1306"/>
    <mergeCell ref="E1307:F1307"/>
    <mergeCell ref="G1329:H1329"/>
    <mergeCell ref="E1320:F1320"/>
    <mergeCell ref="A1325:H1325"/>
    <mergeCell ref="C1322:D1322"/>
    <mergeCell ref="E1314:F1314"/>
    <mergeCell ref="C1324:D1324"/>
    <mergeCell ref="K1084:L1084"/>
    <mergeCell ref="A1069:J1069"/>
    <mergeCell ref="I1083:J1083"/>
    <mergeCell ref="K1083:L1083"/>
    <mergeCell ref="C1085:D1085"/>
    <mergeCell ref="C1084:D1084"/>
    <mergeCell ref="K1074:L1074"/>
    <mergeCell ref="E1084:F1084"/>
    <mergeCell ref="G1084:H1084"/>
    <mergeCell ref="G1085:H1085"/>
    <mergeCell ref="K1059:L1059"/>
    <mergeCell ref="K1288:L1288"/>
    <mergeCell ref="I1285:J1285"/>
    <mergeCell ref="K1285:L1285"/>
    <mergeCell ref="I1178:J1178"/>
    <mergeCell ref="K1178:L1178"/>
    <mergeCell ref="K1170:L1170"/>
    <mergeCell ref="I1286:J1286"/>
    <mergeCell ref="I1169:J1169"/>
    <mergeCell ref="K1176:L1176"/>
    <mergeCell ref="K1169:L1169"/>
    <mergeCell ref="I1292:J1292"/>
    <mergeCell ref="I1289:J1289"/>
    <mergeCell ref="G1286:H1286"/>
    <mergeCell ref="K1175:L1175"/>
    <mergeCell ref="I1177:J1177"/>
    <mergeCell ref="I1290:J1290"/>
    <mergeCell ref="K1290:L1290"/>
    <mergeCell ref="G1287:H1287"/>
    <mergeCell ref="I1287:J1287"/>
    <mergeCell ref="G1177:H1177"/>
    <mergeCell ref="G1178:H1178"/>
    <mergeCell ref="G1176:H1176"/>
    <mergeCell ref="I1172:J1172"/>
    <mergeCell ref="I1479:J1479"/>
    <mergeCell ref="K1303:L1303"/>
    <mergeCell ref="A1384:J1384"/>
    <mergeCell ref="A1461:L1461"/>
    <mergeCell ref="K1427:L1427"/>
    <mergeCell ref="I1328:J1328"/>
    <mergeCell ref="I1174:J1174"/>
    <mergeCell ref="E1177:F1177"/>
    <mergeCell ref="K1287:L1287"/>
    <mergeCell ref="I1293:J1293"/>
    <mergeCell ref="I1291:J1291"/>
    <mergeCell ref="I1062:J1062"/>
    <mergeCell ref="I1204:J1204"/>
    <mergeCell ref="I1197:J1197"/>
    <mergeCell ref="G1087:H1087"/>
    <mergeCell ref="I1087:J1087"/>
    <mergeCell ref="I1179:J1179"/>
    <mergeCell ref="K1289:L1289"/>
    <mergeCell ref="I1303:J1303"/>
    <mergeCell ref="K1304:L1304"/>
    <mergeCell ref="G1292:H1292"/>
    <mergeCell ref="G1289:H1289"/>
    <mergeCell ref="A1181:L1181"/>
    <mergeCell ref="K1293:L1293"/>
    <mergeCell ref="K1292:L1292"/>
    <mergeCell ref="K1291:L1291"/>
    <mergeCell ref="E1178:F1178"/>
    <mergeCell ref="G1307:H1307"/>
    <mergeCell ref="E1290:F1290"/>
    <mergeCell ref="G1290:H1290"/>
    <mergeCell ref="C1289:D1289"/>
    <mergeCell ref="C1178:D1178"/>
    <mergeCell ref="E1291:F1291"/>
    <mergeCell ref="E1287:F1287"/>
    <mergeCell ref="G1207:H1207"/>
    <mergeCell ref="G1279:H1279"/>
    <mergeCell ref="E1179:F1179"/>
    <mergeCell ref="C1195:D1195"/>
    <mergeCell ref="K1501:L1501"/>
    <mergeCell ref="K1492:L1492"/>
    <mergeCell ref="K1518:L1518"/>
    <mergeCell ref="K1505:L1505"/>
    <mergeCell ref="K1517:L1517"/>
    <mergeCell ref="I1375:J1375"/>
    <mergeCell ref="A1298:H1298"/>
    <mergeCell ref="E1292:F1292"/>
    <mergeCell ref="I1170:J1170"/>
    <mergeCell ref="I1173:J1173"/>
    <mergeCell ref="I1176:J1176"/>
    <mergeCell ref="I1175:J1175"/>
    <mergeCell ref="E1174:F1174"/>
    <mergeCell ref="G1175:H1175"/>
    <mergeCell ref="E1176:F1176"/>
    <mergeCell ref="E1170:F1170"/>
    <mergeCell ref="E1173:F1173"/>
    <mergeCell ref="E1175:F1175"/>
    <mergeCell ref="K2041:L2041"/>
    <mergeCell ref="K2037:L2037"/>
    <mergeCell ref="K2038:L2038"/>
    <mergeCell ref="K2019:L2019"/>
    <mergeCell ref="K2026:L2026"/>
    <mergeCell ref="K2027:L2027"/>
    <mergeCell ref="K2028:L2028"/>
    <mergeCell ref="K2029:L2029"/>
    <mergeCell ref="K2030:L2030"/>
    <mergeCell ref="K2031:L2031"/>
    <mergeCell ref="K1493:L1493"/>
    <mergeCell ref="C1293:D1293"/>
    <mergeCell ref="A1297:I1297"/>
    <mergeCell ref="C1177:D1177"/>
    <mergeCell ref="I1171:J1171"/>
    <mergeCell ref="K2040:L2040"/>
    <mergeCell ref="G1171:H1171"/>
    <mergeCell ref="K1520:L1520"/>
    <mergeCell ref="A1295:J1295"/>
    <mergeCell ref="G1179:H1179"/>
    <mergeCell ref="E1293:F1293"/>
    <mergeCell ref="K1548:L1548"/>
    <mergeCell ref="K1549:L1549"/>
    <mergeCell ref="K1984:L1984"/>
    <mergeCell ref="K1985:L1985"/>
    <mergeCell ref="A3:H3"/>
    <mergeCell ref="G1381:H1381"/>
    <mergeCell ref="I1381:J1381"/>
    <mergeCell ref="K1381:L1381"/>
    <mergeCell ref="C1382:D1382"/>
    <mergeCell ref="K1958:L1958"/>
    <mergeCell ref="K1973:L1973"/>
    <mergeCell ref="K1982:L1982"/>
    <mergeCell ref="K1753:L1753"/>
    <mergeCell ref="K1657:L1657"/>
    <mergeCell ref="C2019:D2019"/>
    <mergeCell ref="K2016:L2016"/>
    <mergeCell ref="K2017:L2017"/>
    <mergeCell ref="K2018:L2018"/>
    <mergeCell ref="K2002:L2002"/>
    <mergeCell ref="K2006:L2006"/>
    <mergeCell ref="K2005:L2005"/>
    <mergeCell ref="K2004:L2004"/>
    <mergeCell ref="K2003:L2003"/>
    <mergeCell ref="K1990:L1990"/>
    <mergeCell ref="K2015:L2015"/>
    <mergeCell ref="K2007:L2007"/>
    <mergeCell ref="K1997:L1997"/>
    <mergeCell ref="K1983:L1983"/>
    <mergeCell ref="K1552:L1552"/>
    <mergeCell ref="K1559:L1559"/>
    <mergeCell ref="K1768:L1768"/>
    <mergeCell ref="K1847:L1847"/>
    <mergeCell ref="K1725:L1725"/>
    <mergeCell ref="K1571:L1571"/>
    <mergeCell ref="K1743:L1743"/>
    <mergeCell ref="K1646:L1646"/>
    <mergeCell ref="K1969:L1969"/>
    <mergeCell ref="K1529:L1529"/>
    <mergeCell ref="K1735:L1735"/>
    <mergeCell ref="K1694:L1694"/>
    <mergeCell ref="K1550:L1550"/>
    <mergeCell ref="K1551:L1551"/>
    <mergeCell ref="K1534:L1534"/>
    <mergeCell ref="K1560:L1560"/>
    <mergeCell ref="K1558:L1558"/>
    <mergeCell ref="K1553:L1553"/>
    <mergeCell ref="G1382:H1382"/>
    <mergeCell ref="I1382:J1382"/>
    <mergeCell ref="K1382:L1382"/>
    <mergeCell ref="K1522:L1522"/>
    <mergeCell ref="K1540:L1540"/>
    <mergeCell ref="K1527:L1527"/>
    <mergeCell ref="K1535:L1535"/>
    <mergeCell ref="K1521:L1521"/>
    <mergeCell ref="K1502:L1502"/>
    <mergeCell ref="K1528:L1528"/>
    <mergeCell ref="K1379:L1379"/>
    <mergeCell ref="E1380:F1380"/>
    <mergeCell ref="G1380:H1380"/>
    <mergeCell ref="I1380:J1380"/>
    <mergeCell ref="K1380:L1380"/>
    <mergeCell ref="A1805:H1805"/>
    <mergeCell ref="K1609:L1609"/>
    <mergeCell ref="I1683:J1683"/>
    <mergeCell ref="C1381:D1381"/>
    <mergeCell ref="E1381:F1381"/>
    <mergeCell ref="C1378:D1378"/>
    <mergeCell ref="E1378:F1378"/>
    <mergeCell ref="G1378:H1378"/>
    <mergeCell ref="I1378:J1378"/>
    <mergeCell ref="K1378:L1378"/>
    <mergeCell ref="A1843:H1843"/>
    <mergeCell ref="C1379:D1379"/>
    <mergeCell ref="E1379:F1379"/>
    <mergeCell ref="G1379:H1379"/>
    <mergeCell ref="I1379:J1379"/>
    <mergeCell ref="C1376:D1376"/>
    <mergeCell ref="E1376:F1376"/>
    <mergeCell ref="G1376:H1376"/>
    <mergeCell ref="I1376:J1376"/>
    <mergeCell ref="K1376:L1376"/>
    <mergeCell ref="C1377:D1377"/>
    <mergeCell ref="E1377:F1377"/>
    <mergeCell ref="G1377:H1377"/>
    <mergeCell ref="I1377:J1377"/>
    <mergeCell ref="K1377:L1377"/>
  </mergeCells>
  <hyperlinks>
    <hyperlink ref="A9" location="'Зима 19-20, Весна 20'!A1661" display="Гавана (осн. часть)"/>
    <hyperlink ref="A10" location="'Зима 19-20, Весна 20'!A1893" display=" - Историческая часть Гаваны"/>
    <hyperlink ref="A11" location="'Зима 19-20, Весна 20'!A2103" display=" - Восточные пляжи Гаваны"/>
    <hyperlink ref="A14" location="'Зима 19-20, Весна 20'!A687" display="Тринидад"/>
    <hyperlink ref="A15" location="'Зима 19-20, Весна 20'!A767" display="Сьенфуэгос"/>
    <hyperlink ref="A17" location="'Зима 19-20, Весна 20'!A829" display="Кайо Ларго"/>
    <hyperlink ref="A18" location="'Зима 19-20, Весна 20'!A907" display="Кайо Энсеначос"/>
    <hyperlink ref="A19" location="'Зима 19-20, Весна 20'!A942" display="Кайо Санта Мария"/>
    <hyperlink ref="A20" location="'Зима 19-20, Весна 20'!A1186" display="Кайо Коко"/>
    <hyperlink ref="A21" location="'Зима 19-20, Весна 20'!A1375" display="Кайо Гильермо"/>
    <hyperlink ref="A23" location="'Зима 19-20, Весна 20'!A1600" display="Сантьяго-де-Куба"/>
    <hyperlink ref="A22" location="'Зима 19-20, Весна 20'!A1512" display="Ольгин"/>
    <hyperlink ref="A24:C24" location="'Зима 18-19, Весна 19'!A1767" display="Трансферы Гавана, Варадеро (цены на остальные трансферы указаны после каждого курорта)"/>
    <hyperlink ref="A12" location="'Зима 19-20, Весна 20'!A2137" display=" - Хибакоа"/>
    <hyperlink ref="A1:C1" location="'Зима 18-19, Весна 19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13" location="'Зима 19-20, Весна 20'!A51" display="Варадеро"/>
    <hyperlink ref="A1:L1" location="'Зима 19-20, Весна 20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24:H24" location="'Зима 19-20, Весна 20'!A2156" display="Трансферы Гавана, Варадеро (цены на остальные трансферы указаны после каждого курорта)"/>
  </hyperlinks>
  <printOptions/>
  <pageMargins left="0.7" right="0.7" top="0.75" bottom="0.75" header="0.3" footer="0.3"/>
  <pageSetup horizontalDpi="600" verticalDpi="600" orientation="portrait" paperSize="9" r:id="rId1"/>
  <ignoredErrors>
    <ignoredError sqref="D41 D44 D131 D198 D268 D1398 D1413 D786 F86 D86 D40 D45 D60 D59 F60 D130 D789 D787 D788 D894 D1455 C1440:D1440 E943 E585:F585 F598 E600:F600 F609 F624 F1559 F1558 E1559 E1558 D827 D826 D829 C333:F333 D320 C1011:L1011 F40 H40 H45 F227 F228 F229 F230 F231 F232 F233 F234 C1433:D1433 C1435:D1435 D1434 C1437:D1437 D1436 D1442 F1413 D1394 D1395 D1396 D1397 F1394 F1395 F1396 F1397 F1398 D785 C1859:D1859 D1854:D1857 C1863:D1863 D1861 D1867 D1869 D1871 D1883:D1892 D825 D828 F45 F59 F130 D332 C337:F337 D334 C335:F335 D336 F332 F334 F336 C1858:D1858 C1862:D1862 E586:F586 F584 E601:F601 F599 F603 F602 E610:F610 F608 F6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2016-09-02T07:38:38Z</cp:lastPrinted>
  <dcterms:created xsi:type="dcterms:W3CDTF">2012-09-03T07:18:34Z</dcterms:created>
  <dcterms:modified xsi:type="dcterms:W3CDTF">2021-01-05T08:23:42Z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