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5345" windowHeight="3525" tabRatio="589" activeTab="0"/>
  </bookViews>
  <sheets>
    <sheet name="Зима 19-20, Весна 20" sheetId="1" r:id="rId1"/>
  </sheet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<sst xmlns="http://schemas.openxmlformats.org/spreadsheetml/2006/main" count="3068" uniqueCount="1222">
  <si>
    <r>
      <t xml:space="preserve">JIBACOA -  ХИБАКОА </t>
    </r>
    <r>
      <rPr>
        <b/>
        <i/>
        <sz val="10"/>
        <rFont val="Arial Cyr"/>
        <family val="0"/>
      </rPr>
      <t>(местечко посередине между Гаваной и Варадеро, в 60 км от Гаваны и в 70 км от Варадеро)</t>
    </r>
  </si>
  <si>
    <t xml:space="preserve">Starfish Cayo Santa Maria </t>
  </si>
  <si>
    <t xml:space="preserve">SUITE DBL  </t>
  </si>
  <si>
    <t>Ocean Casa del Mar</t>
  </si>
  <si>
    <t>DELUXE OCEAN VIEW DBL</t>
  </si>
  <si>
    <t>DELUXE OCEAN VIEW SGL</t>
  </si>
  <si>
    <t>GRAND PREMIUM  VISTA LAGUNA DBL</t>
  </si>
  <si>
    <t>GRAND PREMIUM VISTA LAGUNA SGL</t>
  </si>
  <si>
    <t>GRAND SUITE  LAGUNA DBL</t>
  </si>
  <si>
    <t>GRAND SUITE  LAGUNA SGL</t>
  </si>
  <si>
    <t>Во всех категориях номеров максимально разрещение 2 взр+2 реб/3 взр</t>
  </si>
  <si>
    <t>SUPERIOR OCEAN  VIEW DBL</t>
  </si>
  <si>
    <t>SUPERIOR  OCEAN  VIEW SGL</t>
  </si>
  <si>
    <t xml:space="preserve">DBL OCEAN VIEW </t>
  </si>
  <si>
    <t xml:space="preserve">SGL OCEAN VIEW </t>
  </si>
  <si>
    <t>SUITE SWIM OUT DBL</t>
  </si>
  <si>
    <t xml:space="preserve">SGL </t>
  </si>
  <si>
    <t>Pullman Cayo Coco</t>
  </si>
  <si>
    <t>DELUXE GARDEN VIEW DBL</t>
  </si>
  <si>
    <t xml:space="preserve">LUXURY JR SUITE DBL </t>
  </si>
  <si>
    <t xml:space="preserve">LUXURY JR SUITE SGL </t>
  </si>
  <si>
    <t>Playa Coco</t>
  </si>
  <si>
    <t>Memories Holguin</t>
  </si>
  <si>
    <t>Las Americas</t>
  </si>
  <si>
    <t xml:space="preserve">                                                                    </t>
  </si>
  <si>
    <t xml:space="preserve">Ocean Vista Azul  </t>
  </si>
  <si>
    <t xml:space="preserve">Grand Memories Varadero </t>
  </si>
  <si>
    <t>Цены включают 10% комиссии турагентствам от наземного обслуживания,  включая все трансферы.                                                                                                     Внутренний перелёт, турсбор и страховка некомиссионные.</t>
  </si>
  <si>
    <t>DBL DELUXE</t>
  </si>
  <si>
    <t>STD MODERNO DBL</t>
  </si>
  <si>
    <t>STD MODERNO SGL</t>
  </si>
  <si>
    <t>STD COLONIAL DBL</t>
  </si>
  <si>
    <t>STD COLONIAL SGL</t>
  </si>
  <si>
    <t>JR  SUITE MODERNO DBL</t>
  </si>
  <si>
    <t>JR  SUITE MODERNO SGL</t>
  </si>
  <si>
    <t>JR SUITE COLONIAL DBL</t>
  </si>
  <si>
    <t>JR SUITE COLONIAL SGL</t>
  </si>
  <si>
    <t>SUITE  MODERNO DBL</t>
  </si>
  <si>
    <t>SUITE  MODERNO SGL</t>
  </si>
  <si>
    <t>SUITE  COLONIAL DBL</t>
  </si>
  <si>
    <t>SUITE  COLONIAL SGL</t>
  </si>
  <si>
    <t xml:space="preserve">3*  </t>
  </si>
  <si>
    <t xml:space="preserve">DBL  STANDARD </t>
  </si>
  <si>
    <t xml:space="preserve">SGL  STANDARD  </t>
  </si>
  <si>
    <t>Deauville</t>
  </si>
  <si>
    <t xml:space="preserve"> </t>
  </si>
  <si>
    <t>Sunbeach</t>
  </si>
  <si>
    <r>
      <t xml:space="preserve">                                                          </t>
    </r>
    <r>
      <rPr>
        <b/>
        <i/>
        <sz val="16"/>
        <color indexed="12"/>
        <rFont val="Arial Cyr"/>
        <family val="0"/>
      </rPr>
      <t xml:space="preserve"> </t>
    </r>
    <r>
      <rPr>
        <b/>
        <i/>
        <sz val="12"/>
        <color indexed="12"/>
        <rFont val="Arial Cyr"/>
        <family val="2"/>
      </rPr>
      <t xml:space="preserve">                VARADERO   -  ВАРАДЕРО </t>
    </r>
    <r>
      <rPr>
        <i/>
        <sz val="12"/>
        <rFont val="Arial Cyr"/>
        <family val="2"/>
      </rPr>
      <t xml:space="preserve">(140 км от Гаваны)                                                            </t>
    </r>
  </si>
  <si>
    <r>
      <t xml:space="preserve">                                                                           ОТЕЛИ СИСТЕМЫ "ALL INCLUSIVE" (ВСЕ ВКЛЮЧЕНО)   НА ВАРАДЕРО                       </t>
    </r>
    <r>
      <rPr>
        <i/>
        <sz val="11"/>
        <color indexed="12"/>
        <rFont val="Arial Cyr"/>
        <family val="0"/>
      </rPr>
      <t xml:space="preserve">            </t>
    </r>
  </si>
  <si>
    <t>Отель</t>
  </si>
  <si>
    <t>JR SUITE DBL</t>
  </si>
  <si>
    <t>5*</t>
  </si>
  <si>
    <t>JR SUITE SGL</t>
  </si>
  <si>
    <t>EXTRA BED</t>
  </si>
  <si>
    <t xml:space="preserve">Paradisus Princesa del Mar              </t>
  </si>
  <si>
    <t>JR SUITE DBL OCEAN VIEW</t>
  </si>
  <si>
    <t>Melia Las Americas</t>
  </si>
  <si>
    <t>DBL</t>
  </si>
  <si>
    <t>SGL</t>
  </si>
  <si>
    <t>DBL  OCEAN  VIEW</t>
  </si>
  <si>
    <t>SGL  OCEAN  VIEW</t>
  </si>
  <si>
    <t xml:space="preserve">Melia Varadero </t>
  </si>
  <si>
    <t>SUITE DBL</t>
  </si>
  <si>
    <t>SUITE SGL</t>
  </si>
  <si>
    <t>Melia Las Antillas</t>
  </si>
  <si>
    <t>4*</t>
  </si>
  <si>
    <t>Sol Palmeras</t>
  </si>
  <si>
    <t>DBL OCEAN  VIEW</t>
  </si>
  <si>
    <t>SUITE  DBL</t>
  </si>
  <si>
    <t>SUITE  SGL</t>
  </si>
  <si>
    <t>Sol Palmeras - Bungalow</t>
  </si>
  <si>
    <t>В стандартном номере разрешается размещение: 3 взр или 2 взр + 1 реб</t>
  </si>
  <si>
    <t xml:space="preserve">DBL  </t>
  </si>
  <si>
    <t xml:space="preserve">SGL  </t>
  </si>
  <si>
    <t>DBL OCEAN VIEW</t>
  </si>
  <si>
    <t>SGL OCEAN VIEW</t>
  </si>
  <si>
    <t>JR  SUITE  DBL</t>
  </si>
  <si>
    <t>JR  SUITE  SGL</t>
  </si>
  <si>
    <t>CHD + 2 взр (от 2 до 12 лет)</t>
  </si>
  <si>
    <t xml:space="preserve">Iberostar Laguna Azul    </t>
  </si>
  <si>
    <t>Iberostar Playa Alameda</t>
  </si>
  <si>
    <t>Iberostar Tainos</t>
  </si>
  <si>
    <t>Memories Varadero</t>
  </si>
  <si>
    <t>DELUXE DBL</t>
  </si>
  <si>
    <t>DELUXE SGL</t>
  </si>
  <si>
    <t>CHD + 2 взр  (от 2 до 12 лет)</t>
  </si>
  <si>
    <t>EXTRA  BED</t>
  </si>
  <si>
    <t>Barcelo Solymar</t>
  </si>
  <si>
    <t>Основное здание</t>
  </si>
  <si>
    <t>DBL  SUPERIOR OCEAN  VIEW</t>
  </si>
  <si>
    <t>SGL  SUPERIOR OCEAN  VIEW</t>
  </si>
  <si>
    <t>CHD + 2 взр (до 6 лет)</t>
  </si>
  <si>
    <t>CHD + 2 взр (от 7 до 12 лет)</t>
  </si>
  <si>
    <t>Arenas Doradas</t>
  </si>
  <si>
    <t>CHD  + 2 взр (от 2 до 12 лет)</t>
  </si>
  <si>
    <t>Barlovento</t>
  </si>
  <si>
    <t>Kawama</t>
  </si>
  <si>
    <t>Villa Tortuga</t>
  </si>
  <si>
    <t>3*</t>
  </si>
  <si>
    <t>Tuxpan</t>
  </si>
  <si>
    <t>CHD + 2 взр (до 12 лет)</t>
  </si>
  <si>
    <t>Brisas del Caribe</t>
  </si>
  <si>
    <t xml:space="preserve">DBL </t>
  </si>
  <si>
    <t>(вторая линия пляжа)</t>
  </si>
  <si>
    <t>Club Karey</t>
  </si>
  <si>
    <t>Club Tropical</t>
  </si>
  <si>
    <t>Acuazul 3*</t>
  </si>
  <si>
    <t>Mar del Sur 2*</t>
  </si>
  <si>
    <t>однокомнатные апартаменты (цена за номер)</t>
  </si>
  <si>
    <t>двухкомнатные апартаменты (цена за номер)</t>
  </si>
  <si>
    <t>Los Delfines 3*</t>
  </si>
  <si>
    <t>BB</t>
  </si>
  <si>
    <r>
      <t xml:space="preserve">TRINIDAD  -   ТРИНИДАД </t>
    </r>
    <r>
      <rPr>
        <i/>
        <sz val="12"/>
        <rFont val="Arial Cyr"/>
        <family val="2"/>
      </rPr>
      <t>(407 км от Гаваны, Карибское побережье)</t>
    </r>
  </si>
  <si>
    <t>HB</t>
  </si>
  <si>
    <t xml:space="preserve">Iberostar Grand Hotel Trinidad </t>
  </si>
  <si>
    <t>AI</t>
  </si>
  <si>
    <t>Ancon</t>
  </si>
  <si>
    <t xml:space="preserve">DBL  TROPICAL </t>
  </si>
  <si>
    <t>SGL  TROPICAL</t>
  </si>
  <si>
    <t>DBL  TROPICAL</t>
  </si>
  <si>
    <t>DBL  BUNGALOW</t>
  </si>
  <si>
    <t>SGL  BUNGALOW</t>
  </si>
  <si>
    <t>CHD + 2 взр (от 3 до 12 лет)</t>
  </si>
  <si>
    <t xml:space="preserve">Rancho Luna </t>
  </si>
  <si>
    <t xml:space="preserve">Faro Luna </t>
  </si>
  <si>
    <t>Курорты на островах - отели по системе ALL INCLUSIVE ( "ВСЕ ВКЛЮЧЕНО")</t>
  </si>
  <si>
    <r>
      <t xml:space="preserve">                                                                                  CAYO  LARGO  -  ОСТРОВ  КАЙО  ЛАРГО </t>
    </r>
    <r>
      <rPr>
        <i/>
        <sz val="12"/>
        <rFont val="Arial Cyr"/>
        <family val="2"/>
      </rPr>
      <t>(в Карибском море - Южное побережье)</t>
    </r>
  </si>
  <si>
    <t>Sol  Cayo  Largo</t>
  </si>
  <si>
    <r>
      <t xml:space="preserve">CAYO  ENSENACHOS - ОСТРОВ  ЭНСЕНАЧОС </t>
    </r>
    <r>
      <rPr>
        <i/>
        <sz val="12"/>
        <rFont val="Arial Cyr"/>
        <family val="0"/>
      </rPr>
      <t>( в Атлантическом океане - Северное побережье)</t>
    </r>
  </si>
  <si>
    <t xml:space="preserve">Iberostar Ensenachos  </t>
  </si>
  <si>
    <t>Park Suite DBL</t>
  </si>
  <si>
    <t>Park Suite SGL</t>
  </si>
  <si>
    <t>SPA Suite DBL</t>
  </si>
  <si>
    <t>SPA Suite SGL</t>
  </si>
  <si>
    <r>
      <t xml:space="preserve">CAYO  SANTA  MARIA - ОСТРОВ  САНТА  МАРИЯ </t>
    </r>
    <r>
      <rPr>
        <i/>
        <sz val="12"/>
        <rFont val="Arial Cyr"/>
        <family val="0"/>
      </rPr>
      <t>( в Атлантическом океане - Северное побережье)</t>
    </r>
  </si>
  <si>
    <t xml:space="preserve">       Внимание! Отель только для взрослых c 18 лет!  Размещение 3-го взрослого в номере не допускается</t>
  </si>
  <si>
    <t>НОВЫЙ</t>
  </si>
  <si>
    <t xml:space="preserve">SUITE  DBL </t>
  </si>
  <si>
    <t xml:space="preserve">SUITE  SGL </t>
  </si>
  <si>
    <r>
      <t xml:space="preserve">CAYO COCO    -  ОСТРОВ  КАЙО  КОКО </t>
    </r>
    <r>
      <rPr>
        <i/>
        <sz val="12"/>
        <rFont val="Arial Cyr"/>
        <family val="2"/>
      </rPr>
      <t>(Атлантический океан - Северное побережье)</t>
    </r>
  </si>
  <si>
    <t>Melia Cayo Coco</t>
  </si>
  <si>
    <t>Отель только для взрослых cтарше 18 лет</t>
  </si>
  <si>
    <t>Sol  Cayo  Coco</t>
  </si>
  <si>
    <t>Tryp  Cayo  Coco</t>
  </si>
  <si>
    <t xml:space="preserve">Memories Flamenco </t>
  </si>
  <si>
    <t>Memories Caribe</t>
  </si>
  <si>
    <r>
      <t xml:space="preserve">CAYO GUILLERMO  -  ОСТРОВ  КАЙО  ГИЛЬЕРМО </t>
    </r>
    <r>
      <rPr>
        <i/>
        <sz val="12"/>
        <rFont val="Arial Cyr"/>
        <family val="2"/>
      </rPr>
      <t>(</t>
    </r>
    <r>
      <rPr>
        <b/>
        <i/>
        <sz val="12"/>
        <rFont val="Arial Cyr"/>
        <family val="0"/>
      </rPr>
      <t>А</t>
    </r>
    <r>
      <rPr>
        <b/>
        <i/>
        <sz val="12"/>
        <rFont val="Arial Cyr"/>
        <family val="2"/>
      </rPr>
      <t>тлантический океан - Северное Побережье)</t>
    </r>
  </si>
  <si>
    <t>Melia Cayo Guillermo</t>
  </si>
  <si>
    <t>Sol Cayo Guillermo</t>
  </si>
  <si>
    <t>Iberostar Daiquiri</t>
  </si>
  <si>
    <t>ALL INCLUSIVE</t>
  </si>
  <si>
    <t>Paradisus Rio de Oro</t>
  </si>
  <si>
    <t>Sol Rio de Luna y Mares</t>
  </si>
  <si>
    <t xml:space="preserve">SUITE DBL </t>
  </si>
  <si>
    <t xml:space="preserve">Playa  Pesquero </t>
  </si>
  <si>
    <t>Brisas Guardalavaca</t>
  </si>
  <si>
    <t>DBL VILLA</t>
  </si>
  <si>
    <t>Club Amigo Atlantico Guardalavaca</t>
  </si>
  <si>
    <t xml:space="preserve">HB  </t>
  </si>
  <si>
    <t>Melia  Santiago  de  Cuba</t>
  </si>
  <si>
    <t>Brisas Sierra Mar</t>
  </si>
  <si>
    <t xml:space="preserve">DBL  TROPICAL  </t>
  </si>
  <si>
    <t xml:space="preserve">SGL  TROPICAL  </t>
  </si>
  <si>
    <t>LA HABANA   -  ГАВАНА</t>
  </si>
  <si>
    <t>Melia Cohiba</t>
  </si>
  <si>
    <t>Melia Habana</t>
  </si>
  <si>
    <t>Tryp  Habana  Libre</t>
  </si>
  <si>
    <t>DBL  PANORAMIC  VIEW</t>
  </si>
  <si>
    <t>SGL  PANORAMIC  VIEW</t>
  </si>
  <si>
    <t>Presidente</t>
  </si>
  <si>
    <t>Nacional</t>
  </si>
  <si>
    <t xml:space="preserve">Panorama    </t>
  </si>
  <si>
    <t>Comodoro</t>
  </si>
  <si>
    <t>St. John's - Vedado</t>
  </si>
  <si>
    <t>ОТЕЛИ В ИСТОРИЧЕСКОЙ ЧАСТИ ГАВАНЫ</t>
  </si>
  <si>
    <t>Saratoga</t>
  </si>
  <si>
    <t>DELUXE  PATIO  DBL</t>
  </si>
  <si>
    <t>DELUXE  PATIO  SGL</t>
  </si>
  <si>
    <t>SUITE  PRADO  DBL</t>
  </si>
  <si>
    <t>SUITE  PRADO  SGL</t>
  </si>
  <si>
    <t>SUITE  CAPITOLIO  DBL</t>
  </si>
  <si>
    <t>SUITE  CAPITOLIO  SGL</t>
  </si>
  <si>
    <t>SUITE  HABANA  DBL</t>
  </si>
  <si>
    <t>SUITE  HABANA  SGL</t>
  </si>
  <si>
    <t>Iberostar Parque Central</t>
  </si>
  <si>
    <t>CHD + 2 взр  (от 3 до 12 лет)</t>
  </si>
  <si>
    <t>Santa Isabel 5*</t>
  </si>
  <si>
    <t>Plaza</t>
  </si>
  <si>
    <t>Inglaterra</t>
  </si>
  <si>
    <t>Telegrafo 4*</t>
  </si>
  <si>
    <t>Florida 4*</t>
  </si>
  <si>
    <t>Armadores de Santander 4*</t>
  </si>
  <si>
    <t>Ambos Mundos 4*</t>
  </si>
  <si>
    <t>Conde de Villanueva 4*</t>
  </si>
  <si>
    <t>Palacio San Miguel 4*</t>
  </si>
  <si>
    <t>Palacio Marques de Prado Ameno 4*</t>
  </si>
  <si>
    <t>Los Frailes 3*</t>
  </si>
  <si>
    <t>Beltran de Santa Cruz 3*</t>
  </si>
  <si>
    <t>Tejadillo 3*</t>
  </si>
  <si>
    <t>2*</t>
  </si>
  <si>
    <t>Villa Los Pinos</t>
  </si>
  <si>
    <t>Вилла с двумя спальнями (макс. 4 чел.)</t>
  </si>
  <si>
    <t>Вилла с тремя спальнями (макс. 6 чел.)</t>
  </si>
  <si>
    <t>Вилла с четырьмя спальнями (макс. 8 чел.)</t>
  </si>
  <si>
    <t>Atlantico</t>
  </si>
  <si>
    <r>
      <t>Внимание</t>
    </r>
    <r>
      <rPr>
        <b/>
        <i/>
        <sz val="12"/>
        <rFont val="Arial Cyr"/>
        <family val="2"/>
      </rPr>
      <t>: расчетный час в гостиницах Кубы - 12 часов.</t>
    </r>
  </si>
  <si>
    <t>СТОИМОСТЬ УКАЗАНА НА ОДНОГО ЧЕЛОВЕКА В НОМЕРЕ!!!</t>
  </si>
  <si>
    <t>Все  виды SUITE при одноместном проживании (SUITE SGL) расчитываются по запросу.</t>
  </si>
  <si>
    <t>ВО ВСЕХ ТАБЛИЦАХ ПРОЖИВАНИЕ EXTRA BED и CHD + 2 ВЗР  РАССЧИТАНО ТОЛЬКО ДЛЯ СТАНДАРТНЫХ НОМЕРОВ!</t>
  </si>
  <si>
    <t xml:space="preserve">Проживание 1-го ребенка с 1-им взрослым и  2 детей  в одном номере - по запросу. </t>
  </si>
  <si>
    <t>Melia Peninsula Varadero</t>
  </si>
  <si>
    <t>Ocean Varadero el Patriarca</t>
  </si>
  <si>
    <t>PRIVILEGE DELUXE DBL</t>
  </si>
  <si>
    <t>PRIVILEGE DELUXE SGL</t>
  </si>
  <si>
    <t>BUNGALOW DBL</t>
  </si>
  <si>
    <t>BUNGALOW SGL</t>
  </si>
  <si>
    <t>Royalton Cayo Santa Maria  5*</t>
  </si>
  <si>
    <t>ROYALTON SUITE  DBL</t>
  </si>
  <si>
    <t>JR SUITE SGL OCEAN VIEW</t>
  </si>
  <si>
    <t xml:space="preserve">Melia Marina Varadero </t>
  </si>
  <si>
    <t>DBL THE LEVEL</t>
  </si>
  <si>
    <t>SGL THE LEVEL</t>
  </si>
  <si>
    <t>Melia Marina Varadero APARTMENTS</t>
  </si>
  <si>
    <t>RO</t>
  </si>
  <si>
    <t>1 BEDROOM APARTMENT</t>
  </si>
  <si>
    <t>2 BEDROOM APARTMENT</t>
  </si>
  <si>
    <t>Отель только для взрослых cтарше 18 лет !!!!    Размешение 3-го взрослого в номерах категории  Royal Service  не допускается</t>
  </si>
  <si>
    <t xml:space="preserve">Отель только для взрослых от 16 лет! </t>
  </si>
  <si>
    <t xml:space="preserve">Bungalow Barcelo Solymar </t>
  </si>
  <si>
    <t>DBL SUPERIOR</t>
  </si>
  <si>
    <t>SGL SUPERIOR</t>
  </si>
  <si>
    <t xml:space="preserve">В отеле размещение 3-го взрослого в номере не допускается!!! Максимально размещение 2 взрослых+1 ребёнок </t>
  </si>
  <si>
    <t>DBL OCEAN VIEW THE LEVEL</t>
  </si>
  <si>
    <t>DBL MARINA VIEW THE LEVEL</t>
  </si>
  <si>
    <t>SGL MARINA VIEW THE LEVEL</t>
  </si>
  <si>
    <t>3 BEDROOM APARTMENT</t>
  </si>
  <si>
    <t>Во всех категориях номеров максимально разрещение 2 взр+2 реб или 3 взр+1 реб, 1 взр+3 реб.</t>
  </si>
  <si>
    <t>Meliá Jardines del Rey</t>
  </si>
  <si>
    <t>JR SUITE OCEAN VIEW DBL</t>
  </si>
  <si>
    <t>Внимание! Отель только для взрослых c 18 лет!  В отеле размещение 3-го человека в номере не допускается</t>
  </si>
  <si>
    <t>JR  SUITE DBL</t>
  </si>
  <si>
    <t>JR  SUITE SGL</t>
  </si>
  <si>
    <t>ROYAL  SUITE DBL</t>
  </si>
  <si>
    <t>ROYAL  SUITE SGL</t>
  </si>
  <si>
    <t>PRESIDENTIAL  SUITE DBL</t>
  </si>
  <si>
    <t>PRESIDENTIAL  SUITE SGL</t>
  </si>
  <si>
    <t>DELUXE  DBL</t>
  </si>
  <si>
    <t>DELUXE  SGL</t>
  </si>
  <si>
    <t>CHD + 2 взр  (от 0 до 4 лет)</t>
  </si>
  <si>
    <t>CHD + 2 взр  (от 5 до 12 лет)</t>
  </si>
  <si>
    <t>SUITE DBL GARDEN VIEW</t>
  </si>
  <si>
    <t>SUITE SGL GARDEN VIEW</t>
  </si>
  <si>
    <t>APARTMENT STUDIO</t>
  </si>
  <si>
    <t>Максимальное размещение в Studio - 2взр+1 реб, 1 Bedroom Apartment - 3 взр+ 1 реб, 2 Bedroom Apartment - 5 взр + 1 реб, 3 Bedroom Apartment - 7 взр + 1 реб.</t>
  </si>
  <si>
    <t>Во всех категориях номеров максимально разрещение 2 взр+2 реб или 3 взр+1 реб</t>
  </si>
  <si>
    <t>Meson de la Flota 2*</t>
  </si>
  <si>
    <t>Hostal Valencia 2*</t>
  </si>
  <si>
    <t>Park View 3*</t>
  </si>
  <si>
    <t>Comendador 3*</t>
  </si>
  <si>
    <t>Terral 4* (на набережной Малекон)</t>
  </si>
  <si>
    <t>JR SUITE  DBL</t>
  </si>
  <si>
    <t>JR SUITE  SGL</t>
  </si>
  <si>
    <t>В Jr Suite разрешено размещение max 2 чел, во всех остальных номерах максимально разрещение 2 взр+2 реб или 3 взр</t>
  </si>
  <si>
    <t xml:space="preserve">Внимание!  Отель  только для взрослых c 15 лет!  </t>
  </si>
  <si>
    <t>DBL BUNGALOW</t>
  </si>
  <si>
    <t>SGL BUNGALOW</t>
  </si>
  <si>
    <t xml:space="preserve">     Внимание! Отель только для взрослых от 18 лет!  </t>
  </si>
  <si>
    <t>В Jr Suite и Royal Suite размещение max 2 чел, в Presidential Suite max 4 чел (третий и четвёртый в номере -15% от цены)</t>
  </si>
  <si>
    <t>EXTRA BED в Bungalow</t>
  </si>
  <si>
    <r>
      <t xml:space="preserve">                                                         PLAYA SANTA MARIA   -  ПЛЯЖ САНТА МАРИЯ </t>
    </r>
    <r>
      <rPr>
        <b/>
        <i/>
        <sz val="10"/>
        <rFont val="Arial Cyr"/>
        <family val="0"/>
      </rPr>
      <t>самый близкий пляж от Гаваны (18 км)</t>
    </r>
  </si>
  <si>
    <t>Время заселения в гостиницы - 15 или 16 часов</t>
  </si>
  <si>
    <t>Extra BED</t>
  </si>
  <si>
    <t>Grand Village Suite для туристов от 14 лет (до 3 взр) // Family Grand Village Suite с двумя спальнями  для туристов от 14 лет (от 4 до 6 взр)</t>
  </si>
  <si>
    <t>FAMILY GRAND VILLAGE</t>
  </si>
  <si>
    <t>GRAND VILLAGE DBL</t>
  </si>
  <si>
    <t>GRAND VILLAGE SGL</t>
  </si>
  <si>
    <t xml:space="preserve">SUITE SGL </t>
  </si>
  <si>
    <t xml:space="preserve">Royalton  Hicacos </t>
  </si>
  <si>
    <t>01.11.15 - 21.12.15</t>
  </si>
  <si>
    <t>Starfish  Cuatro  Palmas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</si>
  <si>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31 декабря</t>
    </r>
    <r>
      <rPr>
        <i/>
        <sz val="11"/>
        <color indexed="8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>63 $</t>
    </r>
    <r>
      <rPr>
        <i/>
        <sz val="11"/>
        <color indexed="8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 xml:space="preserve">32 $  </t>
    </r>
  </si>
  <si>
    <t>GRAND SUITE  DBL</t>
  </si>
  <si>
    <t>GRAND SUITE  SGL</t>
  </si>
  <si>
    <t>DBL 1 BEDROOM</t>
  </si>
  <si>
    <t>SGL 1 BEDROOM</t>
  </si>
  <si>
    <t>SGL  DELUXE</t>
  </si>
  <si>
    <t xml:space="preserve"> Внимание! Отель только для взрослых от 16 лет!   Размещение 3-го взрослого в номере не допускается</t>
  </si>
  <si>
    <t>JUNIOR SUITE  DBL  ROYAL SERVICE</t>
  </si>
  <si>
    <t>JUNIOR SUITE  SGL  ROYAL SERVICE</t>
  </si>
  <si>
    <t xml:space="preserve">Junior Suite Ocean View  DBL  Royal Service  </t>
  </si>
  <si>
    <t xml:space="preserve">Junior Suite Ocean View  SGL  Royal Service  </t>
  </si>
  <si>
    <t>DBL SUPERIOR OCEAN  VIEW</t>
  </si>
  <si>
    <t>SGL SUPERIOR OCEAN  VIEW</t>
  </si>
  <si>
    <t>Memories Miramar Habana</t>
  </si>
  <si>
    <t>PRIVILEGE  SUITE DBL</t>
  </si>
  <si>
    <t>PRIVILEGE  SUITE SGL</t>
  </si>
  <si>
    <t>PRIVILEGE  DELUXE OCEAN VIEW DBL</t>
  </si>
  <si>
    <t>PRIVILEGE  DELUXE OCEAN VIEW  SGL</t>
  </si>
  <si>
    <t>PRIVILEGE  DELUXE OCEAN FRONT DBL</t>
  </si>
  <si>
    <t>PRIVILEGE  DELUXE OCEAN FRONT  SGL</t>
  </si>
  <si>
    <t>ROYAL MASTER SUITE DBL</t>
  </si>
  <si>
    <t>ROYAL MASTER SUITE SGL</t>
  </si>
  <si>
    <t>DBL  Южное крыло</t>
  </si>
  <si>
    <t>SGL  Южное крыло</t>
  </si>
  <si>
    <t>EXTRA BED Южное крыло</t>
  </si>
  <si>
    <t>DBL  Северное крыло</t>
  </si>
  <si>
    <t>SGL Северное крыло</t>
  </si>
  <si>
    <t>EXTRA BED Северное крыло</t>
  </si>
  <si>
    <r>
      <t xml:space="preserve">CIENFUEGOS  -   СЬЕНФУЭГОС </t>
    </r>
    <r>
      <rPr>
        <i/>
        <sz val="12"/>
        <rFont val="Arial Cyr"/>
        <family val="2"/>
      </rPr>
      <t>(336 км от Гаваны, Карибское побережье)</t>
    </r>
  </si>
  <si>
    <t xml:space="preserve">В номере Park Suite возможно размещение 2 взр+2 реб или 3 взр //  SPA Suite и Duplex только для взрослых от 18 лет, максимально 3 взр. </t>
  </si>
  <si>
    <t>Memories Jibacoa</t>
  </si>
  <si>
    <t xml:space="preserve">Отель только для взрослых с 16 лет! В номере Suite разрешено размещение max 2 взр. </t>
  </si>
  <si>
    <t xml:space="preserve"> - Историческая часть Гаваны</t>
  </si>
  <si>
    <t>Варадеро</t>
  </si>
  <si>
    <t>Тринидад</t>
  </si>
  <si>
    <t>Сьенфуэгос</t>
  </si>
  <si>
    <t>Кайо Ларго</t>
  </si>
  <si>
    <t>Кайо Энсеначос</t>
  </si>
  <si>
    <t>Кайо Санта Мария</t>
  </si>
  <si>
    <t>Кайо Коко</t>
  </si>
  <si>
    <t>Кайо Гильермо</t>
  </si>
  <si>
    <t>Сантьяго-де-Куба</t>
  </si>
  <si>
    <t>Трансферы Гавана, Варадеро (цены на остальные трансферы указаны после каждого курорта)</t>
  </si>
  <si>
    <t>HOLGUIN    -  ОЛЬГИН</t>
  </si>
  <si>
    <t>Ольгин</t>
  </si>
  <si>
    <t>ОБЩИЕ УСЛОВИЯ!!! Читать обязательно.</t>
  </si>
  <si>
    <t xml:space="preserve">         Острова:</t>
  </si>
  <si>
    <t xml:space="preserve">                                               </t>
  </si>
  <si>
    <t xml:space="preserve">    Путеводитель по курортам: </t>
  </si>
  <si>
    <t xml:space="preserve"> - Восточные пляжи Гаваны</t>
  </si>
  <si>
    <t xml:space="preserve"> - Хибакоа</t>
  </si>
  <si>
    <t>Гавана (осн. часть)</t>
  </si>
  <si>
    <t>01.04.17 - 30.04.17</t>
  </si>
  <si>
    <t>DBL CLASSIC</t>
  </si>
  <si>
    <t>SGL CLASSIC</t>
  </si>
  <si>
    <t>DBL CLASSIC OCEAN  VIEW</t>
  </si>
  <si>
    <t>SGL CLASSIC OCEAN  VIEW</t>
  </si>
  <si>
    <t>Во всех категориях номеров максимально разрещение 2 взр+2 реб, 3 взр, 1 взр+3 реб</t>
  </si>
  <si>
    <t>01.11.16 - 21.12.16</t>
  </si>
  <si>
    <t>DBL CLASSIC OCEAN VIEW</t>
  </si>
  <si>
    <t>SGL CLASSIC OCEAN VIEW</t>
  </si>
  <si>
    <t xml:space="preserve">Paradisus Varadero </t>
  </si>
  <si>
    <t>JR SUITE DBL OCEAN VIEW ROYAL SERVICE</t>
  </si>
  <si>
    <t xml:space="preserve">DBL CLASSIC MARINA VIEW </t>
  </si>
  <si>
    <t>SGL CLASSIC MARINA VIEW</t>
  </si>
  <si>
    <t>БЕЗ ПИТАНИЯ! ЦЕНА ЗА НОМЕР!</t>
  </si>
  <si>
    <t>Размещение ребенка во всех  номерах  Apartment - 13 долларов в день</t>
  </si>
  <si>
    <t xml:space="preserve">JR SUITE DBL ROYAL SERVICE </t>
  </si>
  <si>
    <t xml:space="preserve">JR SUITE SGL ROYAL SERVICE </t>
  </si>
  <si>
    <t xml:space="preserve">JR SUITE DBL OCEAN VIEW ROYAL SERVICE </t>
  </si>
  <si>
    <t xml:space="preserve">   22.12.16 - 02.01.17</t>
  </si>
  <si>
    <t>03.01.17 - 31.03.17</t>
  </si>
  <si>
    <t>BUNGALOW DBL OCEAN VIEW</t>
  </si>
  <si>
    <t>BUNGALOW SGL OCEAN VIEW</t>
  </si>
  <si>
    <r>
      <t xml:space="preserve">Iberostar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</si>
  <si>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>Во всех остальных категориях номеров разрешено размещение только одного ребёнка в номере с двумя взрослыми!</t>
  </si>
  <si>
    <t>Iberostar Bella Vista</t>
  </si>
  <si>
    <t>DBL ELITE</t>
  </si>
  <si>
    <t>SGL ELITE</t>
  </si>
  <si>
    <t xml:space="preserve">В номерах Стандарт и Стандарт Ocean View max 2 взр+1 реб, 3 взр; в номерах Jr Suite и Suite Elite max 3 взр; во всех остальных категориях max 2 взр!  </t>
  </si>
  <si>
    <t xml:space="preserve">В зоне Elite и в Jr Suite  размещение только для взрослых от 18 лет! </t>
  </si>
  <si>
    <t>Доплата за номер Standard Elite Ocean View - 32 долл с чел в номере в сутки, за номер Suite Elite - 38 долл с чел.</t>
  </si>
  <si>
    <t xml:space="preserve">Во всех категориях номеров максимальное размещение 2 взр+2 реб, 3 взр, в номере Presidential Suite -  4 чел. </t>
  </si>
  <si>
    <t xml:space="preserve">EXTRA BED  </t>
  </si>
  <si>
    <t xml:space="preserve">Starfish Montehabana </t>
  </si>
  <si>
    <t>Доплата за номер Superior - 7 долл с чел в сутки</t>
  </si>
  <si>
    <t>DBL Superior</t>
  </si>
  <si>
    <t>SGL Superior</t>
  </si>
  <si>
    <t>Starfish Las  Palmas 3*</t>
  </si>
  <si>
    <t xml:space="preserve">Starfish  Varadero  </t>
  </si>
  <si>
    <t xml:space="preserve">Finca Ma Dolores </t>
  </si>
  <si>
    <t>EXTRA BED TROPICAL OCEAN SIDE</t>
  </si>
  <si>
    <t>DBL без балкона</t>
  </si>
  <si>
    <t>SGL без балкона</t>
  </si>
  <si>
    <t>EXTRA  BED без балкона</t>
  </si>
  <si>
    <t>DBL с балконом</t>
  </si>
  <si>
    <t>SGL с балконом</t>
  </si>
  <si>
    <t>EXTRA  BED с балконом</t>
  </si>
  <si>
    <t xml:space="preserve">SGL SUPERIOR  </t>
  </si>
  <si>
    <t xml:space="preserve">EXTRA BED STANDARD  </t>
  </si>
  <si>
    <t>CHD + 2 взр (до 12)</t>
  </si>
  <si>
    <t>Доплата за номер Ocean View - 13 долл за номер в сутки</t>
  </si>
  <si>
    <r>
      <t xml:space="preserve">Стоимость дана за виллу в день без питания. </t>
    </r>
    <r>
      <rPr>
        <b/>
        <i/>
        <sz val="11"/>
        <color indexed="10"/>
        <rFont val="Arial Cyr"/>
        <family val="0"/>
      </rPr>
      <t>Доплата за завтрак - 8 $ на человека, завтрак+ужин - 18 $ на человека.</t>
    </r>
  </si>
  <si>
    <t>ПРИ РАННЕМ БРОНИРОВАНИИ ОТЕЛЯ С 01.10.16 ДО 30.11.16 НА ПЕРИОД С 03.01.17 ПО 30.04.17 СКИДКА 15 % СО ВЗРОСЛОГО В DBL (оплата должна быть произведена до 15.12.16)</t>
  </si>
  <si>
    <t>DBL  SUPERIOR</t>
  </si>
  <si>
    <t xml:space="preserve">SUITE OCEAN VIEW DBL </t>
  </si>
  <si>
    <t>Доплата за смежные номера 4 долл с чел</t>
  </si>
  <si>
    <t xml:space="preserve">JR SUITE DBL SUPERIOR </t>
  </si>
  <si>
    <t xml:space="preserve">JR SUITE DBL OCEAN VIEW </t>
  </si>
  <si>
    <t xml:space="preserve">JR SUITE SGL OCEAN VIEW </t>
  </si>
  <si>
    <t xml:space="preserve">Внимание! Отель только для взрослых c 16 лет! </t>
  </si>
  <si>
    <t>Iberostar Mojito</t>
  </si>
  <si>
    <t>DELUXE GARDEN VIEW SGL</t>
  </si>
  <si>
    <t>Pestana Cayo Coco</t>
  </si>
  <si>
    <r>
      <t xml:space="preserve">Трансфер групповой отель на Кайо Санта Мария - отель на Варадеро - </t>
    </r>
    <r>
      <rPr>
        <b/>
        <i/>
        <sz val="11"/>
        <color indexed="10"/>
        <rFont val="Arial Cyr"/>
        <family val="0"/>
      </rPr>
      <t>35 долл OW</t>
    </r>
  </si>
  <si>
    <t>JR SUITE  SARATOGA DBL</t>
  </si>
  <si>
    <t>JR SUITE  SARATOGA SGL</t>
  </si>
  <si>
    <t>CHD + 2 взр (от 3 до 12,99 лет)</t>
  </si>
  <si>
    <r>
      <t xml:space="preserve">Трансфер групповой отель на Кайо Санта Мария - отель в Гаване (выезд в 14.00) - </t>
    </r>
    <r>
      <rPr>
        <b/>
        <i/>
        <sz val="11"/>
        <color indexed="10"/>
        <rFont val="Arial Cyr"/>
        <family val="0"/>
      </rPr>
      <t xml:space="preserve">40 долл OW   </t>
    </r>
  </si>
  <si>
    <r>
      <t xml:space="preserve">Трансфер групповой отель на Кайо Энсеначос - отель на Варадеро - </t>
    </r>
    <r>
      <rPr>
        <b/>
        <i/>
        <sz val="11"/>
        <color indexed="10"/>
        <rFont val="Arial Cyr"/>
        <family val="0"/>
      </rPr>
      <t>35 долл OW</t>
    </r>
  </si>
  <si>
    <r>
      <t xml:space="preserve">Трансфер групповой отель в Гаване - отель на Кайо Энсеначос - </t>
    </r>
    <r>
      <rPr>
        <b/>
        <i/>
        <sz val="11"/>
        <color indexed="10"/>
        <rFont val="Arial Cyr"/>
        <family val="0"/>
      </rPr>
      <t>40 долл  OW</t>
    </r>
  </si>
  <si>
    <r>
      <t xml:space="preserve">Трансферы групповые аэропорт Ольгина - отель на пляже Гуардалавака - </t>
    </r>
    <r>
      <rPr>
        <b/>
        <i/>
        <sz val="11"/>
        <color indexed="10"/>
        <rFont val="Arial Cyr"/>
        <family val="0"/>
      </rPr>
      <t>20 долл</t>
    </r>
    <r>
      <rPr>
        <b/>
        <i/>
        <sz val="11"/>
        <rFont val="Arial Cyr"/>
        <family val="0"/>
      </rPr>
      <t xml:space="preserve">;                                                                                                                                                                      Аэропорт Ольгина - отель в Сантьяго де Куба - </t>
    </r>
    <r>
      <rPr>
        <b/>
        <i/>
        <sz val="11"/>
        <color indexed="10"/>
        <rFont val="Arial Cyr"/>
        <family val="0"/>
      </rPr>
      <t>50 долл</t>
    </r>
    <r>
      <rPr>
        <b/>
        <i/>
        <sz val="11"/>
        <rFont val="Arial Cyr"/>
        <family val="0"/>
      </rPr>
      <t xml:space="preserve"> </t>
    </r>
  </si>
  <si>
    <t>Habana 612  3*</t>
  </si>
  <si>
    <t xml:space="preserve">Las Cuevas </t>
  </si>
  <si>
    <t>SANTIAGO DE CUBA -   САНТЬЯГО-ДЕ-КУБА</t>
  </si>
  <si>
    <t>Four Points by Sheraton Havana</t>
  </si>
  <si>
    <t xml:space="preserve">!!! При аннуляции отеля штрафные санкции начинаются за 3 недели до заезда. На новогодний сезон за 2 месяца до заезда!  </t>
  </si>
  <si>
    <t>ДАТА ОТКРЫТИЯ ПОКА НЕ ОПРЕДЕЛЕНА</t>
  </si>
  <si>
    <t>НО НЕ РАНЬШЕ ЯНВАРЯ 2017</t>
  </si>
  <si>
    <t>Be Live Experience Turquesa</t>
  </si>
  <si>
    <t>Be Live Experience Varadero</t>
  </si>
  <si>
    <t>ex Villa Cuba</t>
  </si>
  <si>
    <t>Pelicano</t>
  </si>
  <si>
    <r>
      <rPr>
        <b/>
        <i/>
        <sz val="11"/>
        <rFont val="Arial Cyr"/>
        <family val="0"/>
      </rPr>
      <t xml:space="preserve">Отель только для взрослых от 16 лет! </t>
    </r>
    <r>
      <rPr>
        <i/>
        <sz val="11"/>
        <rFont val="Arial Cyr"/>
        <family val="0"/>
      </rPr>
      <t>Во всех категориях номеров максимально 3 взр</t>
    </r>
  </si>
  <si>
    <t>Villa Iguana</t>
  </si>
  <si>
    <t xml:space="preserve">Comodoro  Bungalow Alborada </t>
  </si>
  <si>
    <t xml:space="preserve">   </t>
  </si>
  <si>
    <t>Внимание! Отель только для взрослых от 18 лет!         Размещение 3-го взрослого в номере не допускается</t>
  </si>
  <si>
    <t xml:space="preserve">В номере Bungalow Suite max 2 взр, в номерах Jr Suite, Suite и Bungalow 1 Bedroom разрешается max: 1 взр+3 реб, 2 взр+2 реб, 3 взр+1 реб (во всех номерах дополнительно ставится только одна допкровать). </t>
  </si>
  <si>
    <t xml:space="preserve">В номере Bungalow Familiar разрешается max размещение:  4 взр, 4 взр+1 реб. Минимум 3 взр. </t>
  </si>
  <si>
    <t>Superior  Concierge Service SGL (Дом космонавтов)</t>
  </si>
  <si>
    <t>Superior  Concierge Service DBL (Дом космонавтов)</t>
  </si>
  <si>
    <t xml:space="preserve">*Скидка раннего бронирования </t>
  </si>
  <si>
    <t xml:space="preserve">JR SUITE DBL </t>
  </si>
  <si>
    <t xml:space="preserve">SUITE DBL ROYAL SERVICE </t>
  </si>
  <si>
    <t>ROYAL SUITE DBL THE LEVEL</t>
  </si>
  <si>
    <t>GRAND SUITE DBL OCEAN VIEW THE LEVEL</t>
  </si>
  <si>
    <t xml:space="preserve">LUXURY JR SUITE DBL OCEAN VIEW </t>
  </si>
  <si>
    <t>LUXURY JR SUITE SGL OCEAN VIEW</t>
  </si>
  <si>
    <t xml:space="preserve">SGL THE LEVEL   </t>
  </si>
  <si>
    <t xml:space="preserve">Минимальный срок проживания 3 ночи. В зоне Privilege размещение только для взрослых от 18 лет! </t>
  </si>
  <si>
    <t xml:space="preserve">Доплата за номер Executive - 26 долл с чел в сутки. Доплата за номера Deluxe Executive, Jr Suite Executive, Master Suite Executive под запрос </t>
  </si>
  <si>
    <r>
      <t xml:space="preserve">Отель только для взрослых от 16 лет! </t>
    </r>
    <r>
      <rPr>
        <i/>
        <sz val="11"/>
        <rFont val="Arial Cyr"/>
        <family val="0"/>
      </rPr>
      <t>Размещение 3-го взрослого в номере не допускается</t>
    </r>
  </si>
  <si>
    <t>(бунгало, вторая линия пляжа, завтраки)</t>
  </si>
  <si>
    <t>Максимальное размещение: в номере Deluxe 2 взр + 2 реб, 3 взр+ 1 реб; в Suite 2 взр+1 реб, 3 взр</t>
  </si>
  <si>
    <t>Los Cactus</t>
  </si>
  <si>
    <t>SUITE DBL POOL VIEW</t>
  </si>
  <si>
    <t>SUITE SGL POOL VIEW</t>
  </si>
  <si>
    <t xml:space="preserve">CHD + 2 взр (до 12 лет)  </t>
  </si>
  <si>
    <t>DBL cabaña (домик)</t>
  </si>
  <si>
    <t>SGL cabaña (домик)</t>
  </si>
  <si>
    <r>
      <t xml:space="preserve">EXTRA BED, </t>
    </r>
    <r>
      <rPr>
        <b/>
        <sz val="10"/>
        <rFont val="Arial Cyr"/>
        <family val="0"/>
      </rPr>
      <t>HB</t>
    </r>
  </si>
  <si>
    <r>
      <t xml:space="preserve">DBL cabaña (домик), </t>
    </r>
    <r>
      <rPr>
        <b/>
        <sz val="10"/>
        <rFont val="Arial Cyr"/>
        <family val="0"/>
      </rPr>
      <t>HB</t>
    </r>
  </si>
  <si>
    <r>
      <t xml:space="preserve">SGL cabaña (домик), </t>
    </r>
    <r>
      <rPr>
        <b/>
        <sz val="10"/>
        <rFont val="Arial Cyr"/>
        <family val="0"/>
      </rPr>
      <t>HB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</si>
  <si>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 и 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26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$.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</si>
  <si>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 и 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20</t>
    </r>
    <r>
      <rPr>
        <b/>
        <i/>
        <sz val="11"/>
        <color indexed="10"/>
        <rFont val="Arial Cyr"/>
        <family val="0"/>
      </rPr>
      <t>$.</t>
    </r>
  </si>
  <si>
    <t>Comodoro  Bungalow Pleamar</t>
  </si>
  <si>
    <t>1 Bedroom DBL</t>
  </si>
  <si>
    <t>1 Bedroom SGL</t>
  </si>
  <si>
    <t>Доплата за номер Superior Room - 26 долл за номер в сутки.</t>
  </si>
  <si>
    <t>Villa Tropico</t>
  </si>
  <si>
    <t>Raquel 4 *</t>
  </si>
  <si>
    <t>Tulipan</t>
  </si>
  <si>
    <t>Colina</t>
  </si>
  <si>
    <t xml:space="preserve">Lincoln </t>
  </si>
  <si>
    <t>Доплата за ужин 16 долл</t>
  </si>
  <si>
    <t>SUITE SWIM OUT SGL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</si>
  <si>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24 и 31 декабря на человека </t>
    </r>
    <r>
      <rPr>
        <b/>
        <i/>
        <sz val="11"/>
        <color indexed="10"/>
        <rFont val="Arial Cyr"/>
        <family val="0"/>
      </rPr>
      <t>65 $</t>
    </r>
    <r>
      <rPr>
        <i/>
        <sz val="11"/>
        <color indexed="8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>33 $</t>
    </r>
  </si>
  <si>
    <r>
      <t>Доплата за Panoramic View Dbl - 7 $  с человека в сутки, за номер  Elite Dbl - 46 $ с человека в сутки,  за Elite Jr Suite Dbl - 59</t>
    </r>
    <r>
      <rPr>
        <b/>
        <i/>
        <sz val="11"/>
        <color indexed="10"/>
        <rFont val="Arial Cyr"/>
        <family val="0"/>
      </rPr>
      <t xml:space="preserve"> </t>
    </r>
    <r>
      <rPr>
        <i/>
        <sz val="11"/>
        <rFont val="Arial Cyr"/>
        <family val="0"/>
      </rPr>
      <t>$ c человека в сутки</t>
    </r>
  </si>
  <si>
    <t>Gran Hotel Manzana Kempinski</t>
  </si>
  <si>
    <t>PATIO  DBL</t>
  </si>
  <si>
    <t>PATIO  SGL</t>
  </si>
  <si>
    <t>GRAND DELUXE DBL</t>
  </si>
  <si>
    <t>GRAND DELUXE SGL</t>
  </si>
  <si>
    <t>HAMINGUEY JR SUITE DBL</t>
  </si>
  <si>
    <t>HAMINGUEY JR SUITE SGL</t>
  </si>
  <si>
    <t xml:space="preserve">JR SUITE DBL CONSTANTE </t>
  </si>
  <si>
    <t>SUITE MEZZANINE DBL</t>
  </si>
  <si>
    <t>SUITE MEZZANINE SGL</t>
  </si>
  <si>
    <t>SUITE ESQUINA DBL</t>
  </si>
  <si>
    <t>SUITE ESQUINA SGL</t>
  </si>
  <si>
    <t>CHD + 2 взр (от 0 до 5 лет)</t>
  </si>
  <si>
    <t>CHD + 2 взр (от 6 до 12 лет)</t>
  </si>
  <si>
    <t>Максимальное размещение: Patio и Deluxe - 2 взр, остальные категории номеров - 2 взр+1 реб или 3 взр</t>
  </si>
  <si>
    <t>EP</t>
  </si>
  <si>
    <t>Минимальное количество проживания в высокий сезон - 2 ночи. ЕР - без питания!</t>
  </si>
  <si>
    <t>Sercotel Experience Cayo Santa Maria</t>
  </si>
  <si>
    <t>SUPERIOR DBL</t>
  </si>
  <si>
    <t>SUPERIOR SGL</t>
  </si>
  <si>
    <t>SUPERIOR OCEAN VIEW DBL</t>
  </si>
  <si>
    <t>SUPERIOR OCEAN VIEW SGL</t>
  </si>
  <si>
    <t>ПРИ РАННЕМ БРОНИРОВАНИИ ОТЕЛЯ ДО 31.10 СКИДКА 10% (оплата должна быть произведена до 25.12)</t>
  </si>
  <si>
    <r>
      <rPr>
        <i/>
        <sz val="11"/>
        <rFont val="Arial Cyr"/>
        <family val="0"/>
      </rPr>
      <t>О</t>
    </r>
    <r>
      <rPr>
        <i/>
        <sz val="11"/>
        <color indexed="8"/>
        <rFont val="Arial Cyr"/>
        <family val="0"/>
      </rPr>
      <t xml:space="preserve">бязательная доплата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color indexed="8"/>
        <rFont val="Arial Cyr"/>
        <family val="0"/>
      </rPr>
      <t xml:space="preserve"> декабря на человека в номере </t>
    </r>
    <r>
      <rPr>
        <i/>
        <sz val="11"/>
        <color indexed="10"/>
        <rFont val="Arial Cyr"/>
        <family val="0"/>
      </rPr>
      <t>26</t>
    </r>
    <r>
      <rPr>
        <b/>
        <i/>
        <sz val="11"/>
        <color indexed="10"/>
        <rFont val="Arial Cyr"/>
        <family val="0"/>
      </rPr>
      <t xml:space="preserve"> $</t>
    </r>
    <r>
      <rPr>
        <i/>
        <sz val="11"/>
        <color indexed="8"/>
        <rFont val="Arial Cyr"/>
        <family val="0"/>
      </rPr>
      <t xml:space="preserve">.  Дети до 12 лет по </t>
    </r>
    <r>
      <rPr>
        <i/>
        <sz val="11"/>
        <color indexed="10"/>
        <rFont val="Arial Cyr"/>
        <family val="0"/>
      </rPr>
      <t>13</t>
    </r>
    <r>
      <rPr>
        <b/>
        <i/>
        <sz val="11"/>
        <color indexed="10"/>
        <rFont val="Arial Cyr"/>
        <family val="0"/>
      </rPr>
      <t xml:space="preserve"> $</t>
    </r>
  </si>
  <si>
    <r>
      <t xml:space="preserve">!!! ВНИМАНИЕ: обязательная доплата  </t>
    </r>
    <r>
      <rPr>
        <i/>
        <sz val="11"/>
        <color indexed="10"/>
        <rFont val="Arial Cyr"/>
        <family val="0"/>
      </rPr>
      <t xml:space="preserve">24 </t>
    </r>
    <r>
      <rPr>
        <i/>
        <sz val="11"/>
        <rFont val="Arial Cyr"/>
        <family val="0"/>
      </rPr>
      <t xml:space="preserve">и </t>
    </r>
    <r>
      <rPr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0"/>
      </rPr>
      <t xml:space="preserve">декабря </t>
    </r>
    <r>
      <rPr>
        <i/>
        <sz val="11"/>
        <color indexed="10"/>
        <rFont val="Arial Cyr"/>
        <family val="0"/>
      </rPr>
      <t xml:space="preserve">33 </t>
    </r>
    <r>
      <rPr>
        <i/>
        <sz val="11"/>
        <rFont val="Arial Cyr"/>
        <family val="0"/>
      </rPr>
      <t xml:space="preserve">доллара  за взрослого и </t>
    </r>
    <r>
      <rPr>
        <i/>
        <sz val="11"/>
        <color indexed="10"/>
        <rFont val="Arial Cyr"/>
        <family val="0"/>
      </rPr>
      <t>16</t>
    </r>
    <r>
      <rPr>
        <i/>
        <sz val="11"/>
        <rFont val="Arial Cyr"/>
        <family val="0"/>
      </rPr>
      <t xml:space="preserve"> долларов за ребенка</t>
    </r>
  </si>
  <si>
    <t>СТОИМОСТЬ УКАЗАНА В  ДОЛЛАРАХ США НА ОДНОГО ЧЕЛОВЕКА В НОМЕРЕ!!! СТОИМОСТЬ EXTRA BED И CHD ДАНЫ ТОЛЬКО ДЛЯ СТАНДАРТНЫХ НОМЕРОВ!!!                                                                  &gt;&gt;&gt;  ПУТЕВОДИТЕЛЬ  &lt;&lt;&lt;</t>
  </si>
  <si>
    <t xml:space="preserve">Cubanacan                          </t>
  </si>
  <si>
    <t xml:space="preserve">Gran Caribe                            </t>
  </si>
  <si>
    <t xml:space="preserve">Gran Caribe                          </t>
  </si>
  <si>
    <t xml:space="preserve">Habaguanex                        </t>
  </si>
  <si>
    <t xml:space="preserve">Gran Caribe                        </t>
  </si>
  <si>
    <t xml:space="preserve">Gran Caribe                    </t>
  </si>
  <si>
    <t xml:space="preserve">Habaguanex                    </t>
  </si>
  <si>
    <t xml:space="preserve">Iberostar                   </t>
  </si>
  <si>
    <t xml:space="preserve">Islazul                                   </t>
  </si>
  <si>
    <t xml:space="preserve">Islazul                                 </t>
  </si>
  <si>
    <t xml:space="preserve">Islazul                               </t>
  </si>
  <si>
    <t xml:space="preserve">Gran Caribe                       </t>
  </si>
  <si>
    <t xml:space="preserve">Cubanacan                       </t>
  </si>
  <si>
    <t xml:space="preserve">Cubanacan                      </t>
  </si>
  <si>
    <t xml:space="preserve">Cubanacan                        </t>
  </si>
  <si>
    <t xml:space="preserve">BlueDiamond                     </t>
  </si>
  <si>
    <t xml:space="preserve">BlueDiamond                       </t>
  </si>
  <si>
    <t xml:space="preserve">Н10                                          </t>
  </si>
  <si>
    <t xml:space="preserve">Iberostar                              </t>
  </si>
  <si>
    <r>
      <rPr>
        <i/>
        <sz val="11"/>
        <rFont val="Arial Cyr"/>
        <family val="0"/>
      </rPr>
      <t xml:space="preserve">Roc  </t>
    </r>
    <r>
      <rPr>
        <b/>
        <sz val="11"/>
        <color indexed="48"/>
        <rFont val="Arial Cyr"/>
        <family val="0"/>
      </rPr>
      <t xml:space="preserve">         </t>
    </r>
    <r>
      <rPr>
        <b/>
        <sz val="11"/>
        <color indexed="10"/>
        <rFont val="Arial Cyr"/>
        <family val="0"/>
      </rPr>
      <t xml:space="preserve">                         </t>
    </r>
  </si>
  <si>
    <r>
      <t xml:space="preserve">Sheraton                             </t>
    </r>
    <r>
      <rPr>
        <b/>
        <sz val="11"/>
        <color indexed="12"/>
        <rFont val="Arial Cyr"/>
        <family val="2"/>
      </rPr>
      <t xml:space="preserve">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</si>
  <si>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</si>
  <si>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</si>
  <si>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  </t>
    </r>
  </si>
  <si>
    <r>
      <rPr>
        <i/>
        <sz val="11"/>
        <rFont val="Arial Cyr"/>
        <family val="0"/>
      </rPr>
      <t xml:space="preserve">Islazul  </t>
    </r>
    <r>
      <rPr>
        <i/>
        <sz val="11"/>
        <color indexed="12"/>
        <rFont val="Arial Cyr"/>
        <family val="0"/>
      </rPr>
      <t xml:space="preserve">                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</si>
  <si>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   </t>
    </r>
  </si>
  <si>
    <t xml:space="preserve">BlueDiamond                   </t>
  </si>
  <si>
    <r>
      <t xml:space="preserve">Cubanacan               </t>
    </r>
    <r>
      <rPr>
        <sz val="11"/>
        <color indexed="12"/>
        <rFont val="Arial Cyr"/>
        <family val="0"/>
      </rPr>
      <t xml:space="preserve">         </t>
    </r>
  </si>
  <si>
    <r>
      <rPr>
        <i/>
        <sz val="11"/>
        <rFont val="Arial Cyr"/>
        <family val="0"/>
      </rPr>
      <t>Gaviota</t>
    </r>
    <r>
      <rPr>
        <i/>
        <sz val="11"/>
        <color indexed="12"/>
        <rFont val="Arial Cyr"/>
        <family val="0"/>
      </rPr>
      <t xml:space="preserve">                            </t>
    </r>
  </si>
  <si>
    <t xml:space="preserve">Iberostar                                 </t>
  </si>
  <si>
    <t xml:space="preserve">Iberostar                               </t>
  </si>
  <si>
    <t xml:space="preserve">ACCOR                           </t>
  </si>
  <si>
    <t xml:space="preserve">Pestana                            </t>
  </si>
  <si>
    <t xml:space="preserve">Gaviota                        </t>
  </si>
  <si>
    <t xml:space="preserve">BlueDiamond           </t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</si>
  <si>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</si>
  <si>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</t>
    </r>
  </si>
  <si>
    <t xml:space="preserve"> H10                                     </t>
  </si>
  <si>
    <t xml:space="preserve">Sercotel                                      </t>
  </si>
  <si>
    <t xml:space="preserve">BlueDiamond                          </t>
  </si>
  <si>
    <t xml:space="preserve">BlueDiamond                        </t>
  </si>
  <si>
    <r>
      <t xml:space="preserve">Gaviota                  </t>
    </r>
    <r>
      <rPr>
        <sz val="11"/>
        <rFont val="Arial Cyr"/>
        <family val="2"/>
      </rPr>
      <t xml:space="preserve">       </t>
    </r>
    <r>
      <rPr>
        <b/>
        <sz val="11"/>
        <color indexed="12"/>
        <rFont val="Arial Cyr"/>
        <family val="2"/>
      </rPr>
      <t xml:space="preserve">       </t>
    </r>
  </si>
  <si>
    <t xml:space="preserve">Gran Caribe                         </t>
  </si>
  <si>
    <r>
      <t>Gran  Caribe</t>
    </r>
    <r>
      <rPr>
        <i/>
        <sz val="11"/>
        <color indexed="48"/>
        <rFont val="Arial Cyr"/>
        <family val="0"/>
      </rPr>
      <t xml:space="preserve">                      </t>
    </r>
  </si>
  <si>
    <r>
      <t>Gran  Caribe</t>
    </r>
    <r>
      <rPr>
        <i/>
        <sz val="11"/>
        <color indexed="48"/>
        <rFont val="Arial Cyr"/>
        <family val="0"/>
      </rPr>
      <t xml:space="preserve">                         </t>
    </r>
  </si>
  <si>
    <t xml:space="preserve">Iberostar                                  </t>
  </si>
  <si>
    <t xml:space="preserve">Islazul                 </t>
  </si>
  <si>
    <t xml:space="preserve">Islazul                                     </t>
  </si>
  <si>
    <t xml:space="preserve">Islazul                                      </t>
  </si>
  <si>
    <r>
      <t xml:space="preserve">Cubanacan                          </t>
    </r>
    <r>
      <rPr>
        <sz val="11"/>
        <color indexed="12"/>
        <rFont val="Arial Cyr"/>
        <family val="0"/>
      </rPr>
      <t xml:space="preserve"> </t>
    </r>
  </si>
  <si>
    <t xml:space="preserve">Gran Caribe                   </t>
  </si>
  <si>
    <t xml:space="preserve">Gran Caribe                      </t>
  </si>
  <si>
    <r>
      <rPr>
        <i/>
        <sz val="11"/>
        <rFont val="Arial Cyr"/>
        <family val="0"/>
      </rPr>
      <t xml:space="preserve">Roc  </t>
    </r>
    <r>
      <rPr>
        <b/>
        <sz val="11"/>
        <color indexed="48"/>
        <rFont val="Arial Cyr"/>
        <family val="0"/>
      </rPr>
      <t xml:space="preserve">         </t>
    </r>
    <r>
      <rPr>
        <b/>
        <sz val="11"/>
        <color indexed="10"/>
        <rFont val="Arial Cyr"/>
        <family val="0"/>
      </rPr>
      <t xml:space="preserve">                          </t>
    </r>
  </si>
  <si>
    <r>
      <rPr>
        <i/>
        <sz val="11"/>
        <rFont val="Arial Cyr"/>
        <family val="0"/>
      </rPr>
      <t xml:space="preserve">Barcelo </t>
    </r>
    <r>
      <rPr>
        <i/>
        <sz val="11"/>
        <color indexed="30"/>
        <rFont val="Arial Cyr"/>
        <family val="0"/>
      </rPr>
      <t xml:space="preserve">                                  </t>
    </r>
  </si>
  <si>
    <r>
      <rPr>
        <i/>
        <sz val="11"/>
        <rFont val="Arial Cyr"/>
        <family val="0"/>
      </rPr>
      <t xml:space="preserve">Barcelo </t>
    </r>
    <r>
      <rPr>
        <i/>
        <sz val="11"/>
        <color indexed="30"/>
        <rFont val="Arial Cyr"/>
        <family val="0"/>
      </rPr>
      <t xml:space="preserve">                                </t>
    </r>
  </si>
  <si>
    <t xml:space="preserve">BlueDiamond                         </t>
  </si>
  <si>
    <t xml:space="preserve">H10                                         </t>
  </si>
  <si>
    <t xml:space="preserve">Iberostar                                </t>
  </si>
  <si>
    <r>
      <t>Трансферы групповые аэропорт Гаваны - отели Гаваны</t>
    </r>
    <r>
      <rPr>
        <i/>
        <sz val="11"/>
        <color indexed="10"/>
        <rFont val="Arial Cyr"/>
        <family val="2"/>
      </rPr>
      <t xml:space="preserve"> - 10 долл</t>
    </r>
    <r>
      <rPr>
        <i/>
        <sz val="11"/>
        <rFont val="Arial Cyr"/>
        <family val="2"/>
      </rPr>
      <t xml:space="preserve"> // такси (1-2 чел) </t>
    </r>
    <r>
      <rPr>
        <i/>
        <sz val="11"/>
        <rFont val="Arial Cyr"/>
        <family val="0"/>
      </rPr>
      <t>-</t>
    </r>
    <r>
      <rPr>
        <i/>
        <sz val="11"/>
        <color indexed="10"/>
        <rFont val="Arial Cyr"/>
        <family val="2"/>
      </rPr>
      <t xml:space="preserve"> 30 долл </t>
    </r>
    <r>
      <rPr>
        <i/>
        <sz val="11"/>
        <rFont val="Arial Cyr"/>
        <family val="0"/>
      </rPr>
      <t xml:space="preserve">// минивен (3-4 чел) - </t>
    </r>
    <r>
      <rPr>
        <i/>
        <sz val="11"/>
        <color indexed="10"/>
        <rFont val="Arial Cyr"/>
        <family val="0"/>
      </rPr>
      <t>77 долл</t>
    </r>
    <r>
      <rPr>
        <i/>
        <sz val="11"/>
        <rFont val="Arial Cyr"/>
        <family val="0"/>
      </rPr>
      <t xml:space="preserve"> // минибас (5-8 чел) - </t>
    </r>
    <r>
      <rPr>
        <i/>
        <sz val="11"/>
        <color indexed="10"/>
        <rFont val="Arial Cyr"/>
        <family val="0"/>
      </rPr>
      <t xml:space="preserve">85 долл  </t>
    </r>
  </si>
  <si>
    <t xml:space="preserve">Gran Caribe                           </t>
  </si>
  <si>
    <r>
      <t xml:space="preserve">Трансферы групповые отели Варадеро - аэропорт Гаваны </t>
    </r>
    <r>
      <rPr>
        <i/>
        <sz val="11"/>
        <color indexed="10"/>
        <rFont val="Arial Cyr"/>
        <family val="2"/>
      </rPr>
      <t xml:space="preserve">- 25 долл </t>
    </r>
    <r>
      <rPr>
        <i/>
        <sz val="11"/>
        <rFont val="Arial Cyr"/>
        <family val="2"/>
      </rPr>
      <t xml:space="preserve">// такси (1-2 чел) </t>
    </r>
    <r>
      <rPr>
        <i/>
        <sz val="11"/>
        <color indexed="10"/>
        <rFont val="Arial Cyr"/>
        <family val="2"/>
      </rPr>
      <t xml:space="preserve">- 135 долл </t>
    </r>
    <r>
      <rPr>
        <i/>
        <sz val="11"/>
        <rFont val="Arial Cyr"/>
        <family val="0"/>
      </rPr>
      <t xml:space="preserve">// минивен (3-4 чел) - </t>
    </r>
    <r>
      <rPr>
        <i/>
        <sz val="11"/>
        <color indexed="10"/>
        <rFont val="Arial Cyr"/>
        <family val="0"/>
      </rPr>
      <t>260 долл</t>
    </r>
    <r>
      <rPr>
        <i/>
        <sz val="11"/>
        <rFont val="Arial Cyr"/>
        <family val="0"/>
      </rPr>
      <t xml:space="preserve"> // минибас (5-8 чел) - </t>
    </r>
    <r>
      <rPr>
        <i/>
        <sz val="11"/>
        <color indexed="10"/>
        <rFont val="Arial Cyr"/>
        <family val="0"/>
      </rPr>
      <t xml:space="preserve">285 долл  </t>
    </r>
  </si>
  <si>
    <r>
      <t xml:space="preserve">Трансферы  групповые аэропорт Варадеро - отели Варадеро </t>
    </r>
    <r>
      <rPr>
        <i/>
        <sz val="11"/>
        <color indexed="10"/>
        <rFont val="Arial Cyr"/>
        <family val="0"/>
      </rPr>
      <t>- 10 долл</t>
    </r>
    <r>
      <rPr>
        <i/>
        <sz val="11"/>
        <rFont val="Arial Cyr"/>
        <family val="2"/>
      </rPr>
      <t xml:space="preserve"> // такси (1-2 чел) </t>
    </r>
    <r>
      <rPr>
        <i/>
        <sz val="11"/>
        <color indexed="10"/>
        <rFont val="Arial Cyr"/>
        <family val="2"/>
      </rPr>
      <t>- 40 долл</t>
    </r>
    <r>
      <rPr>
        <i/>
        <sz val="11"/>
        <rFont val="Arial Cyr"/>
        <family val="0"/>
      </rPr>
      <t xml:space="preserve"> // минивен (3-4 чел) - </t>
    </r>
    <r>
      <rPr>
        <i/>
        <sz val="11"/>
        <color indexed="10"/>
        <rFont val="Arial Cyr"/>
        <family val="0"/>
      </rPr>
      <t>78 долл</t>
    </r>
    <r>
      <rPr>
        <i/>
        <sz val="11"/>
        <rFont val="Arial Cyr"/>
        <family val="0"/>
      </rPr>
      <t xml:space="preserve"> // минибас (6-8 чел) - </t>
    </r>
    <r>
      <rPr>
        <i/>
        <sz val="11"/>
        <color indexed="10"/>
        <rFont val="Arial Cyr"/>
        <family val="0"/>
      </rPr>
      <t xml:space="preserve">85 долл   </t>
    </r>
  </si>
  <si>
    <r>
      <t xml:space="preserve">Трансферы отель в Тринидаде - отель на Варадеро (OW) - такси (1-2 чел) </t>
    </r>
    <r>
      <rPr>
        <b/>
        <i/>
        <sz val="11"/>
        <color indexed="10"/>
        <rFont val="Arial Cyr"/>
        <family val="0"/>
      </rPr>
      <t>218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371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411 долл </t>
    </r>
  </si>
  <si>
    <r>
      <t xml:space="preserve">Трансферы отель в Тринидаде - отель в Сьенфуэгосe (OW) - такси (1-2 чел) </t>
    </r>
    <r>
      <rPr>
        <b/>
        <i/>
        <sz val="11"/>
        <color indexed="10"/>
        <rFont val="Arial Cyr"/>
        <family val="0"/>
      </rPr>
      <t>75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121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135 долл </t>
    </r>
  </si>
  <si>
    <r>
      <t xml:space="preserve">Трансферы отель в Тринидаде - аэропорт в Гаване (OW) - такси (1-2 чел) </t>
    </r>
    <r>
      <rPr>
        <b/>
        <i/>
        <sz val="11"/>
        <color indexed="10"/>
        <rFont val="Arial Cyr"/>
        <family val="0"/>
      </rPr>
      <t>270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441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490 долл </t>
    </r>
  </si>
  <si>
    <r>
      <t xml:space="preserve">Трансферы отель в Тринидаде - отель на острове Кайо Коко (OW) такси (1-2 чел) </t>
    </r>
    <r>
      <rPr>
        <b/>
        <i/>
        <sz val="11"/>
        <color indexed="10"/>
        <rFont val="Arial Cyr"/>
        <family val="0"/>
      </rPr>
      <t>192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317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351 долл </t>
    </r>
  </si>
  <si>
    <r>
      <t xml:space="preserve">Трансферы отель в Сьенфуэгосe - отель в Тринидаде (OW) - такси (1-2 чел) </t>
    </r>
    <r>
      <rPr>
        <b/>
        <i/>
        <sz val="11"/>
        <color indexed="10"/>
        <rFont val="Arial Cyr"/>
        <family val="0"/>
      </rPr>
      <t>72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121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135 долл</t>
    </r>
  </si>
  <si>
    <r>
      <t xml:space="preserve">Трансферы отель в Сьенфуэгосe - отель на Варадеро (OW)  - такси (1-2 чел) </t>
    </r>
    <r>
      <rPr>
        <b/>
        <i/>
        <sz val="11"/>
        <color indexed="10"/>
        <rFont val="Arial Cyr"/>
        <family val="0"/>
      </rPr>
      <t>143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255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280 долл</t>
    </r>
    <r>
      <rPr>
        <b/>
        <i/>
        <sz val="11"/>
        <rFont val="Arial Cyr"/>
        <family val="0"/>
      </rPr>
      <t xml:space="preserve"> </t>
    </r>
  </si>
  <si>
    <r>
      <t xml:space="preserve">Трансфер аэропорт или отель в Гаване - отель на Кайо Энсеначос OW - такси (1-2 чел) </t>
    </r>
    <r>
      <rPr>
        <b/>
        <i/>
        <sz val="11"/>
        <color indexed="10"/>
        <rFont val="Arial Cyr"/>
        <family val="0"/>
      </rPr>
      <t>292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458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510 долл</t>
    </r>
  </si>
  <si>
    <r>
      <t xml:space="preserve">Трансфер отель на Кайо Энсеначос - отель на Варадеро OW - такси (1-2 чел) </t>
    </r>
    <r>
      <rPr>
        <b/>
        <i/>
        <sz val="11"/>
        <color indexed="10"/>
        <rFont val="Arial Cyr"/>
        <family val="0"/>
      </rPr>
      <t>250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393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435 долл</t>
    </r>
  </si>
  <si>
    <r>
      <t xml:space="preserve">Трансфер аэропорт или отель в Гаване - отель на Кайо Санта Мария OW - такси (1-2 чел) </t>
    </r>
    <r>
      <rPr>
        <b/>
        <i/>
        <sz val="11"/>
        <color indexed="10"/>
        <rFont val="Arial Cyr"/>
        <family val="0"/>
      </rPr>
      <t>292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458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510 долл</t>
    </r>
  </si>
  <si>
    <r>
      <t xml:space="preserve">Трансфер отель на Кайо Санта Мария - отель на Варадеро OW - такси (1-2 чел) </t>
    </r>
    <r>
      <rPr>
        <b/>
        <i/>
        <sz val="11"/>
        <color indexed="10"/>
        <rFont val="Arial Cyr"/>
        <family val="0"/>
      </rPr>
      <t>250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393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435 долл</t>
    </r>
  </si>
  <si>
    <r>
      <t xml:space="preserve">Трансферы групповые аэропорт Гаваны - отели Варадеро </t>
    </r>
    <r>
      <rPr>
        <i/>
        <sz val="11"/>
        <color indexed="10"/>
        <rFont val="Arial Cyr"/>
        <family val="2"/>
      </rPr>
      <t xml:space="preserve">- 25 долл </t>
    </r>
    <r>
      <rPr>
        <i/>
        <sz val="11"/>
        <rFont val="Arial Cyr"/>
        <family val="2"/>
      </rPr>
      <t xml:space="preserve">// такси (1-2 чел) </t>
    </r>
    <r>
      <rPr>
        <i/>
        <sz val="11"/>
        <color indexed="10"/>
        <rFont val="Arial Cyr"/>
        <family val="2"/>
      </rPr>
      <t xml:space="preserve">- 120 долл </t>
    </r>
    <r>
      <rPr>
        <i/>
        <sz val="11"/>
        <rFont val="Arial Cyr"/>
        <family val="0"/>
      </rPr>
      <t xml:space="preserve">// минивен (3-4 чел) - </t>
    </r>
    <r>
      <rPr>
        <i/>
        <sz val="11"/>
        <color indexed="10"/>
        <rFont val="Arial Cyr"/>
        <family val="0"/>
      </rPr>
      <t>255 долл</t>
    </r>
    <r>
      <rPr>
        <i/>
        <sz val="11"/>
        <rFont val="Arial Cyr"/>
        <family val="0"/>
      </rPr>
      <t xml:space="preserve"> // минибас (5-8 чел) - </t>
    </r>
    <r>
      <rPr>
        <i/>
        <sz val="11"/>
        <color indexed="10"/>
        <rFont val="Arial Cyr"/>
        <family val="0"/>
      </rPr>
      <t xml:space="preserve">280 долл  </t>
    </r>
  </si>
  <si>
    <r>
      <t xml:space="preserve">Трансферы групповые отели Гаваны - отели Варадеро </t>
    </r>
    <r>
      <rPr>
        <i/>
        <sz val="11"/>
        <color indexed="10"/>
        <rFont val="Arial Cyr"/>
        <family val="2"/>
      </rPr>
      <t xml:space="preserve">- 20 долл </t>
    </r>
    <r>
      <rPr>
        <i/>
        <sz val="11"/>
        <rFont val="Arial Cyr"/>
        <family val="2"/>
      </rPr>
      <t xml:space="preserve">// такси (1-2 чел) </t>
    </r>
    <r>
      <rPr>
        <i/>
        <sz val="11"/>
        <color indexed="10"/>
        <rFont val="Arial Cyr"/>
        <family val="2"/>
      </rPr>
      <t>- 135 долл</t>
    </r>
    <r>
      <rPr>
        <i/>
        <sz val="11"/>
        <rFont val="Arial Cyr"/>
        <family val="0"/>
      </rPr>
      <t xml:space="preserve"> // минивен (3-4 чел) - </t>
    </r>
    <r>
      <rPr>
        <i/>
        <sz val="11"/>
        <color indexed="10"/>
        <rFont val="Arial Cyr"/>
        <family val="0"/>
      </rPr>
      <t xml:space="preserve">235 долл </t>
    </r>
    <r>
      <rPr>
        <i/>
        <sz val="11"/>
        <rFont val="Arial Cyr"/>
        <family val="0"/>
      </rPr>
      <t xml:space="preserve">// минибас (5-8 чел) -  </t>
    </r>
    <r>
      <rPr>
        <i/>
        <sz val="11"/>
        <color indexed="10"/>
        <rFont val="Arial Cyr"/>
        <family val="0"/>
      </rPr>
      <t xml:space="preserve">260 долл  </t>
    </r>
  </si>
  <si>
    <t>VILLA DBL</t>
  </si>
  <si>
    <t>VILLA SGL</t>
  </si>
  <si>
    <t>Трансферы премиум класса:</t>
  </si>
  <si>
    <r>
      <t xml:space="preserve">Трансфер аэропорт Гаваны - отели Гаваны </t>
    </r>
    <r>
      <rPr>
        <b/>
        <sz val="11"/>
        <color indexed="12"/>
        <rFont val="Arial Cyr"/>
        <family val="0"/>
      </rPr>
      <t xml:space="preserve">Renault Latitude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Renault Dynamique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VW Passat </t>
    </r>
    <r>
      <rPr>
        <sz val="11"/>
        <rFont val="Arial Cyr"/>
        <family val="0"/>
      </rPr>
      <t>или</t>
    </r>
    <r>
      <rPr>
        <sz val="11"/>
        <color indexed="12"/>
        <rFont val="Arial Cyr"/>
        <family val="0"/>
      </rPr>
      <t xml:space="preserve"> </t>
    </r>
    <r>
      <rPr>
        <b/>
        <sz val="11"/>
        <color indexed="12"/>
        <rFont val="Arial Cyr"/>
        <family val="0"/>
      </rPr>
      <t xml:space="preserve">Audi A4 </t>
    </r>
    <r>
      <rPr>
        <i/>
        <sz val="11"/>
        <color indexed="10"/>
        <rFont val="Arial Cyr"/>
        <family val="2"/>
      </rPr>
      <t xml:space="preserve"> - 70 долл</t>
    </r>
    <r>
      <rPr>
        <i/>
        <sz val="11"/>
        <rFont val="Arial Cyr"/>
        <family val="2"/>
      </rPr>
      <t xml:space="preserve"> (1-3 чел.) </t>
    </r>
  </si>
  <si>
    <r>
      <t xml:space="preserve">Трансфер аэропорт Варадеро - отели Варадеро </t>
    </r>
    <r>
      <rPr>
        <b/>
        <sz val="11"/>
        <color indexed="12"/>
        <rFont val="Arial Cyr"/>
        <family val="0"/>
      </rPr>
      <t xml:space="preserve">Renault Latitude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Renault Dynamique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VW Passat </t>
    </r>
    <r>
      <rPr>
        <sz val="11"/>
        <rFont val="Arial Cyr"/>
        <family val="0"/>
      </rPr>
      <t>или</t>
    </r>
    <r>
      <rPr>
        <sz val="11"/>
        <color indexed="12"/>
        <rFont val="Arial Cyr"/>
        <family val="0"/>
      </rPr>
      <t xml:space="preserve"> </t>
    </r>
    <r>
      <rPr>
        <b/>
        <sz val="11"/>
        <color indexed="12"/>
        <rFont val="Arial Cyr"/>
        <family val="0"/>
      </rPr>
      <t xml:space="preserve">Audi A4 </t>
    </r>
    <r>
      <rPr>
        <i/>
        <sz val="11"/>
        <color indexed="10"/>
        <rFont val="Arial Cyr"/>
        <family val="2"/>
      </rPr>
      <t xml:space="preserve"> - 70 долл</t>
    </r>
    <r>
      <rPr>
        <i/>
        <sz val="11"/>
        <rFont val="Arial Cyr"/>
        <family val="2"/>
      </rPr>
      <t xml:space="preserve"> (1-3 чел.) </t>
    </r>
  </si>
  <si>
    <r>
      <t xml:space="preserve">Трансфер аэропорт Гаваны или отель Гаваны - отель на Варадеро </t>
    </r>
    <r>
      <rPr>
        <b/>
        <sz val="11"/>
        <color indexed="12"/>
        <rFont val="Arial Cyr"/>
        <family val="0"/>
      </rPr>
      <t xml:space="preserve">Renault Latitude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Renault Dynamique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VW Passat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Audi A4 </t>
    </r>
    <r>
      <rPr>
        <i/>
        <sz val="11"/>
        <color indexed="10"/>
        <rFont val="Arial Cyr"/>
        <family val="2"/>
      </rPr>
      <t xml:space="preserve"> - 206 долл</t>
    </r>
    <r>
      <rPr>
        <i/>
        <sz val="11"/>
        <rFont val="Arial Cyr"/>
        <family val="2"/>
      </rPr>
      <t xml:space="preserve"> (1-3 чел.) </t>
    </r>
  </si>
  <si>
    <r>
      <t xml:space="preserve">Трансферы премиум класса минивэн - VW Transporter T5 </t>
    </r>
    <r>
      <rPr>
        <sz val="12"/>
        <rFont val="Arial Cyr"/>
        <family val="0"/>
      </rPr>
      <t>или</t>
    </r>
    <r>
      <rPr>
        <b/>
        <sz val="12"/>
        <color indexed="12"/>
        <rFont val="Arial Cyr"/>
        <family val="0"/>
      </rPr>
      <t xml:space="preserve"> Hyundai H1TQ</t>
    </r>
    <r>
      <rPr>
        <b/>
        <sz val="12"/>
        <color indexed="12"/>
        <rFont val="Arial Cyr"/>
        <family val="0"/>
      </rPr>
      <t>:</t>
    </r>
  </si>
  <si>
    <r>
      <t xml:space="preserve">Трансферы премиум класса минивэн - </t>
    </r>
    <r>
      <rPr>
        <b/>
        <sz val="12"/>
        <color indexed="12"/>
        <rFont val="Arial Cyr"/>
        <family val="0"/>
      </rPr>
      <t>Hyundai H1 Starex:</t>
    </r>
  </si>
  <si>
    <r>
      <t>Трансфер аэропорт Гаваны - отели Гаваны</t>
    </r>
    <r>
      <rPr>
        <i/>
        <sz val="11"/>
        <color indexed="10"/>
        <rFont val="Arial Cyr"/>
        <family val="2"/>
      </rPr>
      <t xml:space="preserve"> - 140 долл</t>
    </r>
    <r>
      <rPr>
        <i/>
        <sz val="11"/>
        <rFont val="Arial Cyr"/>
        <family val="2"/>
      </rPr>
      <t xml:space="preserve"> (3-5 чел.) </t>
    </r>
  </si>
  <si>
    <r>
      <t>Трансфер аэропорт Варадеро - отели Варадеро</t>
    </r>
    <r>
      <rPr>
        <i/>
        <sz val="11"/>
        <color indexed="10"/>
        <rFont val="Arial Cyr"/>
        <family val="2"/>
      </rPr>
      <t xml:space="preserve"> - 125 долл</t>
    </r>
    <r>
      <rPr>
        <i/>
        <sz val="11"/>
        <rFont val="Arial Cyr"/>
        <family val="2"/>
      </rPr>
      <t xml:space="preserve"> (3-5 чел.) </t>
    </r>
  </si>
  <si>
    <r>
      <t xml:space="preserve">Трансфер аэропорт Гаваны или отель Гаваны - отель на Варадеро </t>
    </r>
    <r>
      <rPr>
        <i/>
        <sz val="11"/>
        <color indexed="10"/>
        <rFont val="Arial Cyr"/>
        <family val="2"/>
      </rPr>
      <t xml:space="preserve">- 260 долл </t>
    </r>
    <r>
      <rPr>
        <i/>
        <sz val="11"/>
        <rFont val="Arial Cyr"/>
        <family val="2"/>
      </rPr>
      <t xml:space="preserve">(3-5 чел.) </t>
    </r>
  </si>
  <si>
    <r>
      <t>Трансфер аэропорт Гаваны - отели Гаваны</t>
    </r>
    <r>
      <rPr>
        <i/>
        <sz val="11"/>
        <color indexed="10"/>
        <rFont val="Arial Cyr"/>
        <family val="2"/>
      </rPr>
      <t xml:space="preserve"> - 151 долл</t>
    </r>
    <r>
      <rPr>
        <i/>
        <sz val="11"/>
        <rFont val="Arial Cyr"/>
        <family val="2"/>
      </rPr>
      <t xml:space="preserve"> (3-5 чел.) </t>
    </r>
  </si>
  <si>
    <r>
      <t>Трансфер аэропорт Варадеро - отели Варадеро</t>
    </r>
    <r>
      <rPr>
        <i/>
        <sz val="11"/>
        <color indexed="10"/>
        <rFont val="Arial Cyr"/>
        <family val="2"/>
      </rPr>
      <t xml:space="preserve"> - 151 долл</t>
    </r>
    <r>
      <rPr>
        <i/>
        <sz val="11"/>
        <rFont val="Arial Cyr"/>
        <family val="2"/>
      </rPr>
      <t xml:space="preserve"> (3-5 чел.) </t>
    </r>
  </si>
  <si>
    <r>
      <t xml:space="preserve">Трансфер аэропорт Гаваны или отель Гаваны - отель на Варадеро </t>
    </r>
    <r>
      <rPr>
        <i/>
        <sz val="11"/>
        <color indexed="10"/>
        <rFont val="Arial Cyr"/>
        <family val="2"/>
      </rPr>
      <t xml:space="preserve">- 300 долл </t>
    </r>
    <r>
      <rPr>
        <i/>
        <sz val="11"/>
        <rFont val="Arial Cyr"/>
        <family val="2"/>
      </rPr>
      <t xml:space="preserve">(3-5 чел.) </t>
    </r>
  </si>
  <si>
    <r>
      <t xml:space="preserve">Трансфер аэропорт Гаваны или отель Гаваны - отель на острове Санта Мария </t>
    </r>
    <r>
      <rPr>
        <b/>
        <sz val="11"/>
        <color indexed="12"/>
        <rFont val="Arial Cyr"/>
        <family val="0"/>
      </rPr>
      <t xml:space="preserve">Renault Latitude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Renault Dynamique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VW Passat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Audi A4 </t>
    </r>
    <r>
      <rPr>
        <i/>
        <sz val="11"/>
        <color indexed="10"/>
        <rFont val="Arial Cyr"/>
        <family val="2"/>
      </rPr>
      <t xml:space="preserve"> - 465 долл</t>
    </r>
    <r>
      <rPr>
        <i/>
        <sz val="11"/>
        <rFont val="Arial Cyr"/>
        <family val="2"/>
      </rPr>
      <t xml:space="preserve"> (1-3 чел.) </t>
    </r>
  </si>
  <si>
    <r>
      <t xml:space="preserve">Трансфер аэропорт Гаваны или отель Гаваны - отель на острове Санта Мария  </t>
    </r>
    <r>
      <rPr>
        <i/>
        <sz val="11"/>
        <color indexed="10"/>
        <rFont val="Arial Cyr"/>
        <family val="2"/>
      </rPr>
      <t xml:space="preserve">- 500 долл </t>
    </r>
    <r>
      <rPr>
        <i/>
        <sz val="11"/>
        <rFont val="Arial Cyr"/>
        <family val="2"/>
      </rPr>
      <t xml:space="preserve">(3-5 чел.) </t>
    </r>
  </si>
  <si>
    <r>
      <t xml:space="preserve">Трансфер аэропорт Гаваны или отель Гаваны - отель на острове Санта Мария  </t>
    </r>
    <r>
      <rPr>
        <i/>
        <sz val="11"/>
        <color indexed="10"/>
        <rFont val="Arial Cyr"/>
        <family val="2"/>
      </rPr>
      <t xml:space="preserve">- 520 долл </t>
    </r>
    <r>
      <rPr>
        <i/>
        <sz val="11"/>
        <rFont val="Arial Cyr"/>
        <family val="2"/>
      </rPr>
      <t xml:space="preserve">(3-5 чел.) </t>
    </r>
  </si>
  <si>
    <t>ПРИ БРОНИРОВАНИИ ОТЕЛЯ МИНИМУМ ЗА 30 ДНЕЙ ДО ЗАЕЗДА СКИДКА 10%   *cкидка раннего бронирования не даётся с доплаты за Sgl!</t>
  </si>
  <si>
    <t xml:space="preserve">Memories Paraiso </t>
  </si>
  <si>
    <r>
      <t xml:space="preserve">Трансфер групповой отель в Гаване - отель на Кайо Санта Мария  (выезд в 5.00) - </t>
    </r>
    <r>
      <rPr>
        <b/>
        <i/>
        <sz val="11"/>
        <color indexed="10"/>
        <rFont val="Arial Cyr"/>
        <family val="0"/>
      </rPr>
      <t xml:space="preserve">40 долл OW   </t>
    </r>
  </si>
  <si>
    <t>01.11.18 - 21.12.18</t>
  </si>
  <si>
    <t>22.12.18 - 02.01.19</t>
  </si>
  <si>
    <t>03.01.19 - 31.03.19</t>
  </si>
  <si>
    <t>01.04.19 - 30.04.19</t>
  </si>
  <si>
    <t>03.01.19 - 31.01.19</t>
  </si>
  <si>
    <t xml:space="preserve"> 01.02.19 - 31.03.19</t>
  </si>
  <si>
    <t xml:space="preserve">ПРИ РАННЕМ БРОНИРОВАНИИ ОТЕЛЯ ДО 31.10 СКИДКА 10% </t>
  </si>
  <si>
    <t>03.01.19 - 30.04.19</t>
  </si>
  <si>
    <t>Iberostar Habana Riviera</t>
  </si>
  <si>
    <t xml:space="preserve">  01.04.19 - 30.04.19</t>
  </si>
  <si>
    <t>Iberostar Gran Hotel Packard</t>
  </si>
  <si>
    <t>DBL SUPERIOR OCEAN VIEW</t>
  </si>
  <si>
    <t>JR SUITE DBL STAR PRESTIGE</t>
  </si>
  <si>
    <t>SUITE FARO DBL STAR PRESTIGE</t>
  </si>
  <si>
    <t>SUITE FARO SGL STAR PRESTIGE</t>
  </si>
  <si>
    <t>SUITE BAHIA DBL STAR PRESTIGE</t>
  </si>
  <si>
    <t>SUITE BAHIA SGL STAR PRESTIGE</t>
  </si>
  <si>
    <t>В номерах Star Prestige и Suite Packard max 2 взр, в остальных категориях максимальное размещение 2 взр+2 реб, 3 взр</t>
  </si>
  <si>
    <t xml:space="preserve">Iberostar San Felix </t>
  </si>
  <si>
    <t xml:space="preserve">Iberostar                         </t>
  </si>
  <si>
    <t>STUDIO DBL</t>
  </si>
  <si>
    <t>STUDIO SGL</t>
  </si>
  <si>
    <t>DBL  STANDARD</t>
  </si>
  <si>
    <t>SGL  STANDARD</t>
  </si>
  <si>
    <t>Категории номеров Superior и Jr Suite под запрос</t>
  </si>
  <si>
    <t>Iberostar Casa Granda</t>
  </si>
  <si>
    <t>Iberostar Imperial</t>
  </si>
  <si>
    <t xml:space="preserve">                    01.04.19 - 30.04.19</t>
  </si>
  <si>
    <r>
      <t>4</t>
    </r>
    <r>
      <rPr>
        <sz val="11"/>
        <rFont val="Arial Cyr"/>
        <family val="2"/>
      </rPr>
      <t>*</t>
    </r>
  </si>
  <si>
    <t>ПРИ РАННЕМ БРОНИРОВАНИИ ОТЕЛЯ ДО 30.09 НА ПЕРИОД С 01.11 ПО 02.01 СКИДКА 25% (оплата должна быть произведена до 15.10) *cкидка раннего бронирования не даётся с доплаты за Sgl!</t>
  </si>
  <si>
    <t>ПРИ РАННЕМ БРОНИРОВАНИИ ОТЕЛЯ ДО 30.11 НА ПЕРИОД С 03.01 ПО 30.04 СКИДКА 25% (оплата должна быть произведена до 15.12) *cкидка раннего бронирования не даётся с доплаты за Sgl!</t>
  </si>
  <si>
    <t>ПРИ РАННЕМ БРОНИРОВАНИИ ОТЕЛЯ ДО 30.09 НА ПЕРИОД С 01.11 ПО 02.01 СКИДКА 30% (оплата должна быть произведена до 15.10) *cкидка раннего бронирования не даётся с доплаты за Sgl!</t>
  </si>
  <si>
    <t>ПРИ РАННЕМ БРОНИРОВАНИИ ОТЕЛЯ ДО 30.11 НА ПЕРИОД С 03.01 ПО 30.04 СКИДКА 30% (оплата должна быть произведена до 15.12) *cкидка раннего бронирования не даётся с доплаты за Sgl!</t>
  </si>
  <si>
    <t>DBL STAR PRESTIGE</t>
  </si>
  <si>
    <t>SGL STAR PRESTIGE</t>
  </si>
  <si>
    <t>DBL STAR PRESTIGE OCEAN  VIEW</t>
  </si>
  <si>
    <t>SGL STAR PRESTIGE OCEAN  VIEW</t>
  </si>
  <si>
    <t>SUITE DBL STAR PRESTIGE</t>
  </si>
  <si>
    <t>SUITE SGL STAR PRESTIGE</t>
  </si>
  <si>
    <t>22.12.18 - 03.01.19</t>
  </si>
  <si>
    <t>01.02.19 - 31.03.19</t>
  </si>
  <si>
    <t>Категории номеров Premium, Premium Ocean View, The Level , The Level Ocean View под запрос</t>
  </si>
  <si>
    <t>DBL THE LEVEL OCEAN  VIEW</t>
  </si>
  <si>
    <t>SGL THE LEVEL OCEAN  VIEW</t>
  </si>
  <si>
    <t xml:space="preserve">DBL THE LEVEL   </t>
  </si>
  <si>
    <t xml:space="preserve">GRAND SUITE SGL THE LEVEL  </t>
  </si>
  <si>
    <t xml:space="preserve">GRAND SUITE DBL THE LEVEL  </t>
  </si>
  <si>
    <t>Palacio O`Farril 4*</t>
  </si>
  <si>
    <t>JR SUITE DBL (в Beltran de Santa Cruz и Los Frailes)</t>
  </si>
  <si>
    <t>JR SUITE SGL (в Beltran de Santa Cruz и Los Frailes)</t>
  </si>
  <si>
    <t>SUITE DBL (в Armadores de Santander и Conde de Villanueva)</t>
  </si>
  <si>
    <t>SUITE SGL (в Armadores de Santander и Conde de Villanueva)</t>
  </si>
  <si>
    <t xml:space="preserve">В зоне Prestige и в Jr Suite  размещение только для взрослых от 18 лет! </t>
  </si>
  <si>
    <t>JR SUITE DBL SUPERIOR</t>
  </si>
  <si>
    <t>JR SUITE SGL SUPERIOR</t>
  </si>
  <si>
    <t>Duplex Suite DBL</t>
  </si>
  <si>
    <t>Duplex Suite SGL</t>
  </si>
  <si>
    <r>
      <t xml:space="preserve">!!! ВНИМАНИЕ: обязательная доплата </t>
    </r>
    <r>
      <rPr>
        <b/>
        <i/>
        <sz val="11"/>
        <color indexed="10"/>
        <rFont val="Arial Cyr"/>
        <family val="0"/>
      </rPr>
      <t xml:space="preserve">24 </t>
    </r>
    <r>
      <rPr>
        <i/>
        <sz val="11"/>
        <rFont val="Arial Cyr"/>
        <family val="2"/>
      </rPr>
      <t xml:space="preserve">и </t>
    </r>
    <r>
      <rPr>
        <b/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2"/>
      </rPr>
      <t xml:space="preserve">декабря </t>
    </r>
    <r>
      <rPr>
        <b/>
        <i/>
        <sz val="11"/>
        <color indexed="10"/>
        <rFont val="Arial Cyr"/>
        <family val="0"/>
      </rPr>
      <t xml:space="preserve">+ 65 $ </t>
    </r>
    <r>
      <rPr>
        <i/>
        <sz val="11"/>
        <rFont val="Arial Cyr"/>
        <family val="2"/>
      </rPr>
      <t xml:space="preserve">с человека. Дети до 12 лет </t>
    </r>
    <r>
      <rPr>
        <b/>
        <i/>
        <sz val="11"/>
        <color indexed="10"/>
        <rFont val="Arial Cyr"/>
        <family val="0"/>
      </rPr>
      <t>33 $</t>
    </r>
    <r>
      <rPr>
        <i/>
        <sz val="11"/>
        <rFont val="Arial Cyr"/>
        <family val="2"/>
      </rPr>
      <t xml:space="preserve">  </t>
    </r>
  </si>
  <si>
    <t>Iberostar Colonial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</si>
  <si>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24 и 31 декабря на человека </t>
    </r>
    <r>
      <rPr>
        <b/>
        <i/>
        <sz val="11"/>
        <color indexed="10"/>
        <rFont val="Arial Cyr"/>
        <family val="0"/>
      </rPr>
      <t>52 $</t>
    </r>
    <r>
      <rPr>
        <i/>
        <sz val="11"/>
        <color indexed="8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>26 $</t>
    </r>
  </si>
  <si>
    <t>Доплата за Std Ocean View Dbl - 7 $  с чел в сутки, за Suite Dbl - 26 $ с чел в сутки</t>
  </si>
  <si>
    <t>Доплата за Std Superior Dbl - 7 $  с чел в сутки, за Familiar Dbl - 13 $ с чел в сутки</t>
  </si>
  <si>
    <r>
      <t xml:space="preserve">!!! ВНИМАНИЕ: обязательная доплата </t>
    </r>
    <r>
      <rPr>
        <b/>
        <i/>
        <sz val="11"/>
        <color indexed="10"/>
        <rFont val="Arial Cyr"/>
        <family val="0"/>
      </rPr>
      <t xml:space="preserve">24 </t>
    </r>
    <r>
      <rPr>
        <i/>
        <sz val="11"/>
        <rFont val="Arial Cyr"/>
        <family val="2"/>
      </rPr>
      <t xml:space="preserve">и </t>
    </r>
    <r>
      <rPr>
        <b/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2"/>
      </rPr>
      <t xml:space="preserve">декабря </t>
    </r>
    <r>
      <rPr>
        <b/>
        <i/>
        <sz val="11"/>
        <color indexed="10"/>
        <rFont val="Arial Cyr"/>
        <family val="0"/>
      </rPr>
      <t xml:space="preserve">+ 52 $ </t>
    </r>
    <r>
      <rPr>
        <i/>
        <sz val="11"/>
        <rFont val="Arial Cyr"/>
        <family val="2"/>
      </rPr>
      <t xml:space="preserve">с человека. Дети до 12 лет </t>
    </r>
    <r>
      <rPr>
        <b/>
        <i/>
        <sz val="11"/>
        <color indexed="10"/>
        <rFont val="Arial Cyr"/>
        <family val="0"/>
      </rPr>
      <t>26 $</t>
    </r>
    <r>
      <rPr>
        <i/>
        <sz val="11"/>
        <rFont val="Arial Cyr"/>
        <family val="2"/>
      </rPr>
      <t xml:space="preserve">  </t>
    </r>
  </si>
  <si>
    <t xml:space="preserve">  01.11.18 - 21.12.18</t>
  </si>
  <si>
    <t xml:space="preserve"> 22.12.18 - 03.01.19 </t>
  </si>
  <si>
    <t xml:space="preserve">   01.02.19 - 31.03.19</t>
  </si>
  <si>
    <t xml:space="preserve">  04.01.19 - 31.01.19</t>
  </si>
  <si>
    <t>ПРИ БРОНИРОВАНИИ ОТЕЛЯ МИНИМУМ ЗА 30 ДНЕЙ ДО ЗАЕЗДА СКИДКА (указана в таблице) (для номеров Srandart и Bungalow 1 Bedroom)  *cкидка раннего бронирования не даётся с доплаты за Sgl!</t>
  </si>
  <si>
    <t>Максимальное размещение: 3 взр+1 реб, 2 взр+2  реб</t>
  </si>
  <si>
    <t>GARDEN SUITE DBL THE LEVEL</t>
  </si>
  <si>
    <t>GARDEN SUITE SGL THE LEVEL</t>
  </si>
  <si>
    <t>GARDEN GRAND SUITE DBL THE LEVEL</t>
  </si>
  <si>
    <t>GARDEN GRAND SUITE SGL THE LEVEL</t>
  </si>
  <si>
    <t>ПРИ БРОНИРОВАНИИ ОТЕЛЯ МИНИМУМ ЗА 30 ДНЕЙ ДО ЗАЕЗДА СКИДКА (указана в таблице) *cкидка раннего бронирования не даётся с доплаты за Sgl и с SPO!</t>
  </si>
  <si>
    <t>ПРИ БРОНИРОВАНИИ ОТЕЛЯ МИНИМУМ ЗА 30 ДНЕЙ ДО ЗАЕЗДА СКИДКА (указана в таблице)  *cкидка раннего бронирования не даётся с доплаты за Sgl!</t>
  </si>
  <si>
    <t>*Скидка раннего бронирования</t>
  </si>
  <si>
    <t>ПРИ БРОНИРОВАНИИ ОТЕЛЯ МИНИМУМ ЗА 30 ДНЕЙ ДО ЗАЕЗДА СКИДКА (указана в таблице) *cкидка раннего бронирования не даётся с доплаты за Sgl!</t>
  </si>
  <si>
    <t>Доплата  за одноместное проживание в номерах The Level и Ocean View The Level + 78 долл</t>
  </si>
  <si>
    <t>ПРИ БРОНИРОВАНИИ ОТЕЛЯ МИНИМУМ ЗА 30 ДНЕЙ ДО ЗАЕЗДА СКИДКА (указана в таблице)     *cкидка раннего бронирования не даётся с доплаты за Sgl!</t>
  </si>
  <si>
    <t xml:space="preserve">Номера Royal Service только для взрослых от 18 лет, max 2 взр! В остальных номерах допустимо размещение 3 взр, 2 взр + 2 реб. </t>
  </si>
  <si>
    <t>JR SUITE DBL GARDEN SWIM-UP ROYAL SERVICE</t>
  </si>
  <si>
    <t xml:space="preserve">Melia Internacional            </t>
  </si>
  <si>
    <t>DBL THE LEVEL OCEAN VIEW</t>
  </si>
  <si>
    <t>DBL THE LEVEL PREMIUM OCEAN VIEW</t>
  </si>
  <si>
    <t>JR SUITE DBL THE LEVEL OCEAN VIEW</t>
  </si>
  <si>
    <t>GRAND SUITE DBL THE LEVEL OCEAN VIEW</t>
  </si>
  <si>
    <t xml:space="preserve">Jr Suite The Level Ocean View только для взрослых от 18 лет, max 3 чел. В остальных категориях номеров разрешено размещение 3 взр или 2 взр+2 реб. </t>
  </si>
  <si>
    <t>В номере Standard и Superior Ocean View мах 3 взр или 2 взр+1 реб, в номере Jr Suite - 3 взр или 2 взр+2 реб</t>
  </si>
  <si>
    <t>ПРИ БРОНИРОВАНИИ ОТЕЛЯ МИНИМУМ ЗА 30 ДНЕЙ ДО ЗАЕЗДА СКИДКА (указана в таблице) (ИСКЛЮЧАЯ номер Jr Suite)    *cкидка раннего бронирования не даётся с доплаты за Sgl!</t>
  </si>
  <si>
    <t>ПРИ БРОНИРОВАНИИ ОТЕЛЯ МИНИМУМ ЗА 30 ДНЕЙ ДО ЗАЕЗДА СКИДКА (указана в таблице) (номера Classic и Grand Premium Vista Laguna)  *cкидка раннего бронирования не даётся с доплаты за Sgl!</t>
  </si>
  <si>
    <t>(ex Iberostar Playa Blanca)</t>
  </si>
  <si>
    <t>Bella Isla Resort</t>
  </si>
  <si>
    <r>
      <t xml:space="preserve">Gran Caribe          </t>
    </r>
    <r>
      <rPr>
        <i/>
        <sz val="11"/>
        <color indexed="48"/>
        <rFont val="Arial Cyr"/>
        <family val="0"/>
      </rPr>
      <t xml:space="preserve">                  </t>
    </r>
  </si>
  <si>
    <t xml:space="preserve">Максимальное размещение: 2 взр + 1 реб или 3 взр во всех номерах, кроме Suite. В Suite возможно размещение 2 взр+2 реб. </t>
  </si>
  <si>
    <t xml:space="preserve">Villa Bellarena </t>
  </si>
  <si>
    <t>Максимальное размещение: 2 взр + 2 реб</t>
  </si>
  <si>
    <t xml:space="preserve">45 просторных деревянных домиков, в 300 метрах от основной зоны Bella Isla Resort, гости этой зоны также могут пользоваться инфраструктурой основной части отеля </t>
  </si>
  <si>
    <t xml:space="preserve">GRAND SUITE DBL </t>
  </si>
  <si>
    <t xml:space="preserve">GRAND SUITE SGL </t>
  </si>
  <si>
    <t>Во всех категориях номеров максимально разрещение 2 взр+2 реб</t>
  </si>
  <si>
    <t>ПРИ БРОНИРОВАНИИ ОТЕЛЯ МИНИМУМ ЗА 30 ДНЕЙ ДО ЗАЕЗДА СКИДКА (указана в таблице)    *cкидка раннего бронирования не даётся с доплаты за Sgl!</t>
  </si>
  <si>
    <t>ПРИ БРОНИРОВАНИИ ОТЕЛЯ МИНИМУМ ЗА 30 ДНЕЙ ДО ЗАЕЗДА СКИДКА (указана в таблице) (для номера Classic!)   *cкидка раннего бронирования не даётся с доплаты за Sgl!</t>
  </si>
  <si>
    <t>JR SUITE DBL THE LEVEL*</t>
  </si>
  <si>
    <t>JR SUITE DBL OCEAN VIEW THE LEVEL*</t>
  </si>
  <si>
    <t>JR SUITE DBL ROMANCE OCEAN VIEW THE LEVEL*</t>
  </si>
  <si>
    <t>ПРИ БРОНИРОВАНИИ ОТЕЛЯ МИНИМУМ ЗА 30 ДНЕЙ ДО ЗАЕЗДА СКИДКА (указана в таблице) (для номеров, помеченных *)   *cкидка раннего бронирования не даётся с доплаты за Sgl!</t>
  </si>
  <si>
    <t xml:space="preserve">DBL OCEAN  VIEW </t>
  </si>
  <si>
    <t xml:space="preserve">SGL OCEAN  VIEW </t>
  </si>
  <si>
    <t xml:space="preserve">DBL SUPERIOR  OCEAN  VIEW </t>
  </si>
  <si>
    <t xml:space="preserve">SGL SUPERIOR  OCEAN  VIEW </t>
  </si>
  <si>
    <t>Villa Palacio Azul Dbl</t>
  </si>
  <si>
    <t>Villa Casa Verde Dbl</t>
  </si>
  <si>
    <t>Villa Perla del Mar Dbl</t>
  </si>
  <si>
    <t>Villa Perla del Mar Jr Suite Dbl Sea View</t>
  </si>
  <si>
    <t>ПРИ БРОНИРОВАНИИ ОТЕЛЯ МИНИМУМ ЗА 30 ДНЕЙ ДО ЗАЕЗДА СКИДКА (указана в таблице) (только для номера STD)    *cкидка раннего бронирования не даётся с доплаты за Sgl!</t>
  </si>
  <si>
    <t>В номере Standard max 2 взр или 2 взр+1 реб, в Villa Palazio Azul и Perla del Mar max 3 взр или 2 взр+1 реб, в Villa Casa Verde и Villa Perla del Mar Jr Suite Sea View max 2 взр</t>
  </si>
  <si>
    <t>ПРИ БРОНИРОВАНИИ ОТЕЛЯ МИНИМУМ ЗА 30 ДНЕЙ ДО ЗАЕЗДА СКИДКА (указана в таблице) (только для номера Classic)    *cкидка раннего бронирования не даётся с доплаты за Sgl!</t>
  </si>
  <si>
    <t>Melia San Carlos</t>
  </si>
  <si>
    <t>DBL CLASSIC CITY VIEW</t>
  </si>
  <si>
    <t>04.01.19 - 31.03.19</t>
  </si>
  <si>
    <t>ПРИ БРОНИРОВАНИИ ОТЕЛЯ МИНИМУМ ЗА 30 ДНЕЙ ДО ЗАЕЗДА СКИДКА (указана в таблице)   *cкидка раннего бронирования не даётся с доплаты за Sgl!</t>
  </si>
  <si>
    <t>В номере Classic и Classic City View max 2 взр или 2 взр+1 инфант</t>
  </si>
  <si>
    <t xml:space="preserve">   01.11.18 - 21.12.18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</si>
  <si>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 xml:space="preserve">24, 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25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31</t>
    </r>
    <r>
      <rPr>
        <i/>
        <sz val="11"/>
        <color indexed="10"/>
        <rFont val="Arial Cyr"/>
        <family val="0"/>
      </rPr>
      <t xml:space="preserve"> </t>
    </r>
    <r>
      <rPr>
        <i/>
        <sz val="11"/>
        <rFont val="Arial Cyr"/>
        <family val="0"/>
      </rPr>
      <t xml:space="preserve">декабря </t>
    </r>
    <r>
      <rPr>
        <i/>
        <sz val="11"/>
        <color indexed="8"/>
        <rFont val="Arial Cyr"/>
        <family val="0"/>
      </rPr>
      <t xml:space="preserve">по </t>
    </r>
    <r>
      <rPr>
        <b/>
        <i/>
        <sz val="11"/>
        <color indexed="10"/>
        <rFont val="Arial Cyr"/>
        <family val="0"/>
      </rPr>
      <t>59 долл</t>
    </r>
  </si>
  <si>
    <r>
      <t xml:space="preserve">Внимание! Отель только для взрослых c 18 лет!                </t>
    </r>
    <r>
      <rPr>
        <i/>
        <sz val="11"/>
        <rFont val="Arial Cyr"/>
        <family val="0"/>
      </rPr>
      <t xml:space="preserve">Доплата за одноместное размещение во всех номерах + 33 долл за ночь </t>
    </r>
  </si>
  <si>
    <t>Occidental Arenas Blancas</t>
  </si>
  <si>
    <t xml:space="preserve">  03.01.19 - 31.01.19</t>
  </si>
  <si>
    <t>Allegro Palma Real</t>
  </si>
  <si>
    <t>вторая линия пляжа</t>
  </si>
  <si>
    <t>JR  SUITE SANCTUARY  DBL*</t>
  </si>
  <si>
    <t>JR SUITE SANCTUARY  SGL*</t>
  </si>
  <si>
    <t>SUITE SANCTUARY DBL*</t>
  </si>
  <si>
    <t>SUITE SANCTUARY SGL*</t>
  </si>
  <si>
    <t xml:space="preserve">Максимальное размещение: в номере STD и Superior 2 взр + 2 реб, 3 взр+ 1 реб; *зона Sanctuary только для взрослых!  - max 2 взр </t>
  </si>
  <si>
    <t>Grand Muthu Cayo Guillermo</t>
  </si>
  <si>
    <t>Muthu</t>
  </si>
  <si>
    <t>03.01.19 - 21.01.19</t>
  </si>
  <si>
    <t>22.01.19 - 31.03.19</t>
  </si>
  <si>
    <t>Доплата за вид на море 20 $  с чел в сутки</t>
  </si>
  <si>
    <r>
      <t>Доплата за Deluxe Laguna View Dbl - 7 $  с чел в сутки, за Deluxe Front Ocean View Dbl - 26 $ с чел в сутки, за Jr Suite Dbl - 85</t>
    </r>
    <r>
      <rPr>
        <b/>
        <i/>
        <sz val="11"/>
        <color indexed="10"/>
        <rFont val="Arial Cyr"/>
        <family val="0"/>
      </rPr>
      <t xml:space="preserve"> </t>
    </r>
    <r>
      <rPr>
        <i/>
        <sz val="11"/>
        <rFont val="Arial Cyr"/>
        <family val="0"/>
      </rPr>
      <t>$ c чел в сутки, за Suite - 160 $ с чел в сутки</t>
    </r>
  </si>
  <si>
    <t xml:space="preserve">  22.12.18 - 02.01.19 </t>
  </si>
  <si>
    <t xml:space="preserve">  01.02.19 - 31.03.19</t>
  </si>
  <si>
    <t xml:space="preserve"> 01.04.19 - 30.04.19</t>
  </si>
  <si>
    <r>
      <t xml:space="preserve">Минимальное бронирование: 3 ночи. </t>
    </r>
    <r>
      <rPr>
        <i/>
        <sz val="11"/>
        <rFont val="Arial Cyr"/>
        <family val="0"/>
      </rPr>
      <t>Доплата за Suite - 43 $  с чел в сутки, за Privilege Deluxe - 52 $ с чел в сутки, за Privilege Deluxe Ocean View - 72 $ с чел в сутки</t>
    </r>
  </si>
  <si>
    <t>Playa  Costa Verde</t>
  </si>
  <si>
    <r>
      <t xml:space="preserve">!!! ВНИМАНИЕ: обязательная доплата </t>
    </r>
    <r>
      <rPr>
        <i/>
        <sz val="11"/>
        <color indexed="10"/>
        <rFont val="Arial Cyr"/>
        <family val="0"/>
      </rPr>
      <t>24</t>
    </r>
    <r>
      <rPr>
        <i/>
        <sz val="11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rFont val="Arial Cyr"/>
        <family val="0"/>
      </rPr>
      <t xml:space="preserve"> декабря на человека в номере </t>
    </r>
    <r>
      <rPr>
        <b/>
        <i/>
        <sz val="11"/>
        <color indexed="10"/>
        <rFont val="Arial Cyr"/>
        <family val="0"/>
      </rPr>
      <t>26 долл.</t>
    </r>
    <r>
      <rPr>
        <b/>
        <i/>
        <sz val="11"/>
        <color indexed="10"/>
        <rFont val="Arial Cyr"/>
        <family val="0"/>
      </rPr>
      <t xml:space="preserve"> </t>
    </r>
    <r>
      <rPr>
        <i/>
        <sz val="11"/>
        <rFont val="Arial Cyr"/>
        <family val="0"/>
      </rPr>
      <t xml:space="preserve"> </t>
    </r>
  </si>
  <si>
    <r>
      <t xml:space="preserve">!!! ВНИМАНИЕ: обязательная доплата </t>
    </r>
    <r>
      <rPr>
        <i/>
        <sz val="11"/>
        <color indexed="10"/>
        <rFont val="Arial Cyr"/>
        <family val="0"/>
      </rPr>
      <t>24</t>
    </r>
    <r>
      <rPr>
        <i/>
        <sz val="11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rFont val="Arial Cyr"/>
        <family val="0"/>
      </rPr>
      <t xml:space="preserve"> декабря на человека в номере  </t>
    </r>
    <r>
      <rPr>
        <b/>
        <i/>
        <sz val="11"/>
        <color indexed="10"/>
        <rFont val="Arial Cyr"/>
        <family val="0"/>
      </rPr>
      <t>33 долл.</t>
    </r>
    <r>
      <rPr>
        <b/>
        <i/>
        <sz val="11"/>
        <color indexed="10"/>
        <rFont val="Arial Cyr"/>
        <family val="0"/>
      </rPr>
      <t xml:space="preserve"> </t>
    </r>
  </si>
  <si>
    <t xml:space="preserve">Доплата за номер с видом на море 13 долл за человека в сутки 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</si>
  <si>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rFont val="Arial Cyr"/>
        <family val="0"/>
      </rPr>
      <t xml:space="preserve"> декабря по </t>
    </r>
    <r>
      <rPr>
        <b/>
        <i/>
        <sz val="11"/>
        <color indexed="10"/>
        <rFont val="Arial Cyr"/>
        <family val="0"/>
      </rPr>
      <t xml:space="preserve">13 $. </t>
    </r>
    <r>
      <rPr>
        <i/>
        <sz val="11"/>
        <rFont val="Arial Cyr"/>
        <family val="0"/>
      </rPr>
      <t xml:space="preserve"> </t>
    </r>
  </si>
  <si>
    <t>CHD + 2 взр (до 13 лет)  (без допкровати)</t>
  </si>
  <si>
    <t>CHD + 2 взр (до 13 лет) (с допкроватью)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</si>
  <si>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rFont val="Arial Cyr"/>
        <family val="0"/>
      </rPr>
      <t xml:space="preserve"> декабря по </t>
    </r>
    <r>
      <rPr>
        <b/>
        <i/>
        <sz val="11"/>
        <color indexed="10"/>
        <rFont val="Arial Cyr"/>
        <family val="0"/>
      </rPr>
      <t xml:space="preserve">16 $. </t>
    </r>
    <r>
      <rPr>
        <i/>
        <sz val="11"/>
        <rFont val="Arial Cyr"/>
        <family val="0"/>
      </rPr>
      <t xml:space="preserve"> 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</si>
  <si>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 xml:space="preserve">24 </t>
    </r>
    <r>
      <rPr>
        <i/>
        <sz val="11"/>
        <rFont val="Arial Cyr"/>
        <family val="2"/>
      </rPr>
      <t xml:space="preserve">и </t>
    </r>
    <r>
      <rPr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2"/>
      </rPr>
      <t xml:space="preserve">декабря по </t>
    </r>
    <r>
      <rPr>
        <b/>
        <i/>
        <sz val="11"/>
        <color indexed="10"/>
        <rFont val="Arial Cyr"/>
        <family val="0"/>
      </rPr>
      <t>16 $</t>
    </r>
    <r>
      <rPr>
        <i/>
        <sz val="11"/>
        <rFont val="Arial Cyr"/>
        <family val="2"/>
      </rPr>
      <t xml:space="preserve">. 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</si>
  <si>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rFont val="Arial Cyr"/>
        <family val="2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rFont val="Arial Cyr"/>
        <family val="2"/>
      </rPr>
      <t xml:space="preserve"> декабря по </t>
    </r>
    <r>
      <rPr>
        <b/>
        <i/>
        <sz val="11"/>
        <color indexed="10"/>
        <rFont val="Arial Cyr"/>
        <family val="0"/>
      </rPr>
      <t>16 $</t>
    </r>
    <r>
      <rPr>
        <i/>
        <sz val="11"/>
        <rFont val="Arial Cyr"/>
        <family val="2"/>
      </rPr>
      <t xml:space="preserve">. 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</si>
  <si>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rFont val="Arial Cyr"/>
        <family val="2"/>
      </rPr>
      <t xml:space="preserve"> и </t>
    </r>
    <r>
      <rPr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2"/>
      </rPr>
      <t xml:space="preserve">декабря по </t>
    </r>
    <r>
      <rPr>
        <b/>
        <i/>
        <sz val="11"/>
        <color indexed="10"/>
        <rFont val="Arial Cyr"/>
        <family val="0"/>
      </rPr>
      <t>13 $</t>
    </r>
    <r>
      <rPr>
        <i/>
        <sz val="11"/>
        <rFont val="Arial Cyr"/>
        <family val="2"/>
      </rPr>
      <t xml:space="preserve">. </t>
    </r>
  </si>
  <si>
    <t>Pullman - Dos Mares 2*</t>
  </si>
  <si>
    <t>BB!!!</t>
  </si>
  <si>
    <r>
      <t xml:space="preserve">!!! ВНИМАНИЕ: обязательная доплата 24 и 31 декабря  </t>
    </r>
    <r>
      <rPr>
        <b/>
        <i/>
        <sz val="11"/>
        <color indexed="10"/>
        <rFont val="Arial Cyr"/>
        <family val="0"/>
      </rPr>
      <t xml:space="preserve">16 $ </t>
    </r>
    <r>
      <rPr>
        <i/>
        <sz val="11"/>
        <rFont val="Arial Cyr"/>
        <family val="0"/>
      </rPr>
      <t xml:space="preserve">на </t>
    </r>
    <r>
      <rPr>
        <i/>
        <sz val="11"/>
        <rFont val="Arial Cyr"/>
        <family val="2"/>
      </rPr>
      <t xml:space="preserve">человека </t>
    </r>
  </si>
  <si>
    <t>CHD + 2 взр (от 2 до 12 лет) без балкона</t>
  </si>
  <si>
    <t>CHD + 2 взр (от 2 до 12 лет) с балконом</t>
  </si>
  <si>
    <t>Neptuno - Triton</t>
  </si>
  <si>
    <t>Puntarena - Playa Caleta</t>
  </si>
  <si>
    <t>DBL CANAL VIEW</t>
  </si>
  <si>
    <t>SGL CANAL VIEW</t>
  </si>
  <si>
    <r>
      <t xml:space="preserve">!!! ВНИМАНИЕ: обязательная доплата к цене за взрослого в номере 24 и 31 декабря </t>
    </r>
    <r>
      <rPr>
        <i/>
        <sz val="11"/>
        <color indexed="10"/>
        <rFont val="Arial Cyr"/>
        <family val="0"/>
      </rPr>
      <t>33 $.</t>
    </r>
  </si>
  <si>
    <t>PATIO SUITE DBL</t>
  </si>
  <si>
    <r>
      <t>Доплата за Dbl Ocean View - 13 $  с чел в сутки, за номер  Privillege Dbl - 33 $ с чел в сутки,  за Privillege Ocean View Dbl - 46</t>
    </r>
    <r>
      <rPr>
        <b/>
        <i/>
        <sz val="11"/>
        <color indexed="10"/>
        <rFont val="Arial Cyr"/>
        <family val="0"/>
      </rPr>
      <t xml:space="preserve"> </t>
    </r>
    <r>
      <rPr>
        <i/>
        <sz val="11"/>
        <rFont val="Arial Cyr"/>
        <family val="0"/>
      </rPr>
      <t>$ c чел в сутки,  за Privillege Suite Dbl - 98 $ c чел в сутки</t>
    </r>
  </si>
  <si>
    <t>Playa Cayo Santa Maria</t>
  </si>
  <si>
    <t>Sol Cayo Santa Maria</t>
  </si>
  <si>
    <t>Melia Las Dunas</t>
  </si>
  <si>
    <t>Melia Cayo Santa Maria</t>
  </si>
  <si>
    <t>Melia Buenavista</t>
  </si>
  <si>
    <t>22.12.18 - 06.01.19</t>
  </si>
  <si>
    <t>07.01.19 - 21.04.19</t>
  </si>
  <si>
    <t xml:space="preserve">Elite Club Vacanze                    </t>
  </si>
  <si>
    <t xml:space="preserve">CHD + 2 взр (до 12 лет)   </t>
  </si>
  <si>
    <t>Sercotel Caribbean</t>
  </si>
  <si>
    <t xml:space="preserve">Sercotel                                  </t>
  </si>
  <si>
    <t xml:space="preserve">Sercotel Lido  </t>
  </si>
  <si>
    <t>Muthu Playa Varadero</t>
  </si>
  <si>
    <t>(ex Playa de Oro)</t>
  </si>
  <si>
    <t xml:space="preserve">Muthu                           </t>
  </si>
  <si>
    <r>
      <t xml:space="preserve">!!! ВНИМАНИЕ: обязательная доплата к цене за человека в номере 24 и 31 декабря </t>
    </r>
    <r>
      <rPr>
        <i/>
        <sz val="11"/>
        <color indexed="10"/>
        <rFont val="Arial Cyr"/>
        <family val="0"/>
      </rPr>
      <t xml:space="preserve">33 $. </t>
    </r>
    <r>
      <rPr>
        <i/>
        <sz val="11"/>
        <rFont val="Arial Cyr"/>
        <family val="0"/>
      </rPr>
      <t>Дети до 12 лет</t>
    </r>
    <r>
      <rPr>
        <i/>
        <sz val="11"/>
        <color indexed="10"/>
        <rFont val="Arial Cyr"/>
        <family val="0"/>
      </rPr>
      <t xml:space="preserve"> 16 $. 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</si>
  <si>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 xml:space="preserve">24 и 31 </t>
    </r>
    <r>
      <rPr>
        <i/>
        <sz val="11"/>
        <rFont val="Arial Cyr"/>
        <family val="0"/>
      </rPr>
      <t xml:space="preserve">декабря </t>
    </r>
    <r>
      <rPr>
        <b/>
        <i/>
        <sz val="11"/>
        <color indexed="10"/>
        <rFont val="Arial Cyr"/>
        <family val="0"/>
      </rPr>
      <t xml:space="preserve">20 $. </t>
    </r>
    <r>
      <rPr>
        <i/>
        <sz val="11"/>
        <rFont val="Arial Cyr"/>
        <family val="0"/>
      </rPr>
      <t xml:space="preserve">Дети до 12 лет </t>
    </r>
    <r>
      <rPr>
        <b/>
        <i/>
        <sz val="11"/>
        <color indexed="10"/>
        <rFont val="Arial Cyr"/>
        <family val="0"/>
      </rPr>
      <t xml:space="preserve">10 $  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</si>
  <si>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 xml:space="preserve">24 и 31 </t>
    </r>
    <r>
      <rPr>
        <i/>
        <sz val="11"/>
        <rFont val="Arial Cyr"/>
        <family val="0"/>
      </rPr>
      <t xml:space="preserve">декабря </t>
    </r>
    <r>
      <rPr>
        <b/>
        <i/>
        <sz val="11"/>
        <color indexed="10"/>
        <rFont val="Arial Cyr"/>
        <family val="0"/>
      </rPr>
      <t xml:space="preserve">26 $. </t>
    </r>
    <r>
      <rPr>
        <i/>
        <sz val="11"/>
        <rFont val="Arial Cyr"/>
        <family val="0"/>
      </rPr>
      <t xml:space="preserve">Дети до 12 лет </t>
    </r>
    <r>
      <rPr>
        <b/>
        <i/>
        <sz val="11"/>
        <color indexed="10"/>
        <rFont val="Arial Cyr"/>
        <family val="0"/>
      </rPr>
      <t xml:space="preserve">13 $  </t>
    </r>
  </si>
  <si>
    <t>Trinidad 500</t>
  </si>
  <si>
    <t xml:space="preserve">Grand Memories Santa Maria </t>
  </si>
  <si>
    <t>JR SUITE DBL SUPERIOR (OCEAN  VIEW)</t>
  </si>
  <si>
    <t xml:space="preserve">SUITE DELUXE DBL  </t>
  </si>
  <si>
    <t xml:space="preserve">JR SUITE SANCTUARY DELUXE DBL </t>
  </si>
  <si>
    <t xml:space="preserve">Максимальное размещение: в номере Jr Suite STD и Superior 2 взр + 2 реб, 3 взр; в Suite 3 взр; *зона Sanctuary только для взрослых от 18 лет!  - max 2 взр </t>
  </si>
  <si>
    <r>
      <t xml:space="preserve">!!! ВНИМАНИЕ: обязательная доплата  </t>
    </r>
    <r>
      <rPr>
        <i/>
        <sz val="11"/>
        <color indexed="10"/>
        <rFont val="Arial Cyr"/>
        <family val="0"/>
      </rPr>
      <t xml:space="preserve">24 </t>
    </r>
    <r>
      <rPr>
        <i/>
        <sz val="11"/>
        <rFont val="Arial Cyr"/>
        <family val="0"/>
      </rPr>
      <t xml:space="preserve">и </t>
    </r>
    <r>
      <rPr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0"/>
      </rPr>
      <t xml:space="preserve">декабря </t>
    </r>
    <r>
      <rPr>
        <i/>
        <sz val="11"/>
        <color indexed="10"/>
        <rFont val="Arial Cyr"/>
        <family val="0"/>
      </rPr>
      <t xml:space="preserve">52 </t>
    </r>
    <r>
      <rPr>
        <i/>
        <sz val="11"/>
        <rFont val="Arial Cyr"/>
        <family val="0"/>
      </rPr>
      <t xml:space="preserve">долл c чел, дети до 12 лет </t>
    </r>
    <r>
      <rPr>
        <i/>
        <sz val="11"/>
        <color indexed="10"/>
        <rFont val="Arial Cyr"/>
        <family val="0"/>
      </rPr>
      <t>26</t>
    </r>
    <r>
      <rPr>
        <i/>
        <sz val="11"/>
        <rFont val="Arial Cyr"/>
        <family val="0"/>
      </rPr>
      <t xml:space="preserve"> долл</t>
    </r>
  </si>
  <si>
    <t>SUPERIOR CLUB SGL</t>
  </si>
  <si>
    <t>OCEAN VIEW CLUB DBL</t>
  </si>
  <si>
    <t>OCEAN VIEW CLUB SGL</t>
  </si>
  <si>
    <t>SUPERIOR CLUB DBL  (зона Club только для взрослых от 18 лет!)</t>
  </si>
  <si>
    <t xml:space="preserve">Доплата за Jr Suite 39 долл с чел, за Suite 65 долл с чел,  за Jr Suite Club 48 долл с чел, за Suite Club 74 долл с чел </t>
  </si>
  <si>
    <t>Максимальное размещение: в номере Jr Suite 2 взр + 2 реб, 3 взр; в Suite 2 взр+1 реб, 3 взр</t>
  </si>
  <si>
    <t xml:space="preserve"> 22.12.18 - 02.01.19</t>
  </si>
  <si>
    <r>
      <t xml:space="preserve">Доплата за Pestana Prioruty Club 13 долл cо взр. в номере. Обязательная доплата </t>
    </r>
    <r>
      <rPr>
        <i/>
        <sz val="11"/>
        <color indexed="10"/>
        <rFont val="Arial Cyr"/>
        <family val="0"/>
      </rPr>
      <t>24</t>
    </r>
    <r>
      <rPr>
        <i/>
        <sz val="11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rFont val="Arial Cyr"/>
        <family val="0"/>
      </rPr>
      <t xml:space="preserve"> декабря на человека в номере </t>
    </r>
    <r>
      <rPr>
        <b/>
        <i/>
        <sz val="11"/>
        <color indexed="10"/>
        <rFont val="Arial Cyr"/>
        <family val="0"/>
      </rPr>
      <t>33 $</t>
    </r>
    <r>
      <rPr>
        <i/>
        <sz val="11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>16 $</t>
    </r>
  </si>
  <si>
    <r>
      <t xml:space="preserve">Трансфер аэропорт или отель в Гаване - отель на Кайо Коко OW - такси (1-2 чел) </t>
    </r>
    <r>
      <rPr>
        <b/>
        <i/>
        <sz val="11"/>
        <color indexed="10"/>
        <rFont val="Arial Cyr"/>
        <family val="0"/>
      </rPr>
      <t>403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615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685 долл </t>
    </r>
  </si>
  <si>
    <r>
      <t xml:space="preserve">Трансфер отель на Кайо Коко - отель на Варадеро OW - такси (1-2 чел) </t>
    </r>
    <r>
      <rPr>
        <b/>
        <i/>
        <sz val="11"/>
        <color indexed="10"/>
        <rFont val="Arial Cyr"/>
        <family val="0"/>
      </rPr>
      <t>338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545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608 долл </t>
    </r>
  </si>
  <si>
    <r>
      <t xml:space="preserve">!!! ВНИМАНИЕ: обязательная доплата  </t>
    </r>
    <r>
      <rPr>
        <i/>
        <sz val="11"/>
        <color indexed="10"/>
        <rFont val="Arial Cyr"/>
        <family val="0"/>
      </rPr>
      <t xml:space="preserve">24 </t>
    </r>
    <r>
      <rPr>
        <i/>
        <sz val="11"/>
        <rFont val="Arial Cyr"/>
        <family val="0"/>
      </rPr>
      <t xml:space="preserve">и </t>
    </r>
    <r>
      <rPr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0"/>
      </rPr>
      <t xml:space="preserve">декабря </t>
    </r>
    <r>
      <rPr>
        <i/>
        <sz val="11"/>
        <color indexed="10"/>
        <rFont val="Arial Cyr"/>
        <family val="0"/>
      </rPr>
      <t xml:space="preserve">42 </t>
    </r>
    <r>
      <rPr>
        <i/>
        <sz val="11"/>
        <rFont val="Arial Cyr"/>
        <family val="0"/>
      </rPr>
      <t xml:space="preserve">долл c чел, дети до 12 лет </t>
    </r>
    <r>
      <rPr>
        <i/>
        <sz val="11"/>
        <color indexed="10"/>
        <rFont val="Arial Cyr"/>
        <family val="0"/>
      </rPr>
      <t>21</t>
    </r>
    <r>
      <rPr>
        <i/>
        <sz val="11"/>
        <rFont val="Arial Cyr"/>
        <family val="0"/>
      </rPr>
      <t xml:space="preserve"> долл</t>
    </r>
  </si>
  <si>
    <r>
      <t xml:space="preserve">Перелет и трансферы Гавана - Кайо Коко или Кайо Гильермо и трансферы групповые от отеля до отеля OW - </t>
    </r>
    <r>
      <rPr>
        <b/>
        <i/>
        <sz val="11"/>
        <color indexed="10"/>
        <rFont val="Arial Cyr"/>
        <family val="0"/>
      </rPr>
      <t xml:space="preserve">90 </t>
    </r>
    <r>
      <rPr>
        <b/>
        <i/>
        <sz val="11"/>
        <color indexed="10"/>
        <rFont val="Arial Cyr"/>
        <family val="0"/>
      </rPr>
      <t>долл</t>
    </r>
    <r>
      <rPr>
        <b/>
        <i/>
        <sz val="11"/>
        <rFont val="Arial Cyr"/>
        <family val="0"/>
      </rPr>
      <t xml:space="preserve">       </t>
    </r>
    <r>
      <rPr>
        <b/>
        <i/>
        <sz val="11"/>
        <color indexed="10"/>
        <rFont val="Arial Cyr"/>
        <family val="0"/>
      </rPr>
      <t xml:space="preserve">  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</t>
    </r>
  </si>
  <si>
    <r>
      <t xml:space="preserve">Перелет Ольгин-Кайо Коко и трансферы групповые от отеля до отеля на Кайо Коко или Кайо Гильермо OW - </t>
    </r>
    <r>
      <rPr>
        <b/>
        <i/>
        <sz val="11"/>
        <color indexed="10"/>
        <rFont val="Arial Cyr"/>
        <family val="0"/>
      </rPr>
      <t xml:space="preserve">40 долл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</t>
    </r>
  </si>
  <si>
    <r>
      <t xml:space="preserve">Трансфер аэропорт или отель в Гаване - отель на Кайо Гильермо OW - такси (1-2 чел) </t>
    </r>
    <r>
      <rPr>
        <b/>
        <i/>
        <sz val="11"/>
        <color indexed="10"/>
        <rFont val="Arial Cyr"/>
        <family val="0"/>
      </rPr>
      <t>420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653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728 долл </t>
    </r>
  </si>
  <si>
    <r>
      <t xml:space="preserve">Трансфер отель на Кайо Гильермо - отель на Варадеро OW - такси (1-2 чел) </t>
    </r>
    <r>
      <rPr>
        <b/>
        <i/>
        <sz val="11"/>
        <color indexed="10"/>
        <rFont val="Arial Cyr"/>
        <family val="0"/>
      </rPr>
      <t>360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588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655 долл </t>
    </r>
  </si>
  <si>
    <t>Максимальное размещение: в номере STD 2 взр + 2 реб, 3 взр; в Suite 2 взр+1 реб, 3 взр</t>
  </si>
  <si>
    <r>
      <t xml:space="preserve">Перелет Гавана-Ольгин (чартер) и трансферы групповые от отеля до отеля OW - </t>
    </r>
    <r>
      <rPr>
        <b/>
        <i/>
        <sz val="11"/>
        <color indexed="10"/>
        <rFont val="Arial Cyr"/>
        <family val="0"/>
      </rPr>
      <t xml:space="preserve">140 долл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   </t>
    </r>
  </si>
  <si>
    <r>
      <t xml:space="preserve">Трансферы а/п Ольгина - отель на пляже - такси (1-2 чел) </t>
    </r>
    <r>
      <rPr>
        <b/>
        <i/>
        <sz val="11"/>
        <color indexed="10"/>
        <rFont val="Arial Cyr"/>
        <family val="0"/>
      </rPr>
      <t>55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102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112 долл </t>
    </r>
  </si>
  <si>
    <r>
      <t xml:space="preserve">Трансферы а/п Сантьяго - отели Сантьяго (в городе) - такси (1-2 чел) </t>
    </r>
    <r>
      <rPr>
        <b/>
        <i/>
        <sz val="11"/>
        <color indexed="10"/>
        <rFont val="Arial Cyr"/>
        <family val="0"/>
      </rPr>
      <t>30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78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85 долл </t>
    </r>
  </si>
  <si>
    <r>
      <t xml:space="preserve">!!!ВНИМАНИЕ: во время Feria de la Habana (FIHAV) </t>
    </r>
    <r>
      <rPr>
        <b/>
        <i/>
        <sz val="11"/>
        <color indexed="10"/>
        <rFont val="Arial Cyr"/>
        <family val="0"/>
      </rPr>
      <t>с 1 ноября по 4 ноября</t>
    </r>
    <r>
      <rPr>
        <b/>
        <i/>
        <sz val="11"/>
        <rFont val="Arial Cyr"/>
        <family val="0"/>
      </rPr>
      <t xml:space="preserve"> обязательная доплата </t>
    </r>
    <r>
      <rPr>
        <b/>
        <i/>
        <sz val="11"/>
        <color indexed="10"/>
        <rFont val="Arial Cyr"/>
        <family val="0"/>
      </rPr>
      <t>13</t>
    </r>
    <r>
      <rPr>
        <b/>
        <i/>
        <sz val="11"/>
        <color indexed="10"/>
        <rFont val="Arial Cyr"/>
        <family val="0"/>
      </rPr>
      <t xml:space="preserve"> долларов </t>
    </r>
    <r>
      <rPr>
        <b/>
        <i/>
        <sz val="11"/>
        <rFont val="Arial Cyr"/>
        <family val="0"/>
      </rPr>
      <t xml:space="preserve">с человека в номере за ночь!!! 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</si>
  <si>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 xml:space="preserve">24 и 31 декабря </t>
    </r>
    <r>
      <rPr>
        <b/>
        <i/>
        <sz val="11"/>
        <color indexed="10"/>
        <rFont val="Arial Cyr"/>
        <family val="0"/>
      </rPr>
      <t>33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 xml:space="preserve">$. </t>
    </r>
    <r>
      <rPr>
        <i/>
        <sz val="11"/>
        <rFont val="Arial Cyr"/>
        <family val="0"/>
      </rPr>
      <t>Дети до 12 лет</t>
    </r>
    <r>
      <rPr>
        <b/>
        <i/>
        <sz val="11"/>
        <color indexed="10"/>
        <rFont val="Arial Cyr"/>
        <family val="0"/>
      </rPr>
      <t xml:space="preserve"> 16 $ </t>
    </r>
  </si>
  <si>
    <t xml:space="preserve">Palacio San Felipe y Santiago de </t>
  </si>
  <si>
    <t>Bejucal 5*</t>
  </si>
  <si>
    <t>Valentin Perla Blanca</t>
  </si>
  <si>
    <r>
      <t xml:space="preserve">Cubanacan Viajes                 </t>
    </r>
    <r>
      <rPr>
        <sz val="11"/>
        <rFont val="Arial Cyr"/>
        <family val="2"/>
      </rPr>
      <t xml:space="preserve">       </t>
    </r>
    <r>
      <rPr>
        <b/>
        <sz val="11"/>
        <color indexed="12"/>
        <rFont val="Arial Cyr"/>
        <family val="2"/>
      </rPr>
      <t xml:space="preserve">       </t>
    </r>
  </si>
  <si>
    <t>DBL GARDEN VIEW</t>
  </si>
  <si>
    <t>SGL GARDEN VIEW</t>
  </si>
  <si>
    <t xml:space="preserve">Внимание! Отель только для взрослых c 18 лет!   </t>
  </si>
  <si>
    <r>
      <t xml:space="preserve">!!! ВНИМАНИЕ: обязательная доплата </t>
    </r>
    <r>
      <rPr>
        <i/>
        <sz val="11"/>
        <color indexed="10"/>
        <rFont val="Arial Cyr"/>
        <family val="0"/>
      </rPr>
      <t xml:space="preserve">24 </t>
    </r>
    <r>
      <rPr>
        <i/>
        <sz val="11"/>
        <rFont val="Arial Cyr"/>
        <family val="0"/>
      </rPr>
      <t xml:space="preserve">и </t>
    </r>
    <r>
      <rPr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0"/>
      </rPr>
      <t xml:space="preserve">декабря </t>
    </r>
    <r>
      <rPr>
        <i/>
        <sz val="11"/>
        <color indexed="10"/>
        <rFont val="Arial Cyr"/>
        <family val="0"/>
      </rPr>
      <t xml:space="preserve">33 </t>
    </r>
    <r>
      <rPr>
        <i/>
        <sz val="11"/>
        <rFont val="Arial Cyr"/>
        <family val="0"/>
      </rPr>
      <t>долл c чел</t>
    </r>
  </si>
  <si>
    <t>01.02.19 - 16.04.19</t>
  </si>
  <si>
    <t>17.04.19 - 30.04.19</t>
  </si>
  <si>
    <t>22.12.18 - 28.02.19</t>
  </si>
  <si>
    <t>03.03.19 - 13.04.19</t>
  </si>
  <si>
    <t>14.04.19 - 21.04.19</t>
  </si>
  <si>
    <r>
      <t xml:space="preserve">!!! ВНИМАНИЕ: обязательная доплата </t>
    </r>
    <r>
      <rPr>
        <i/>
        <sz val="11"/>
        <color indexed="10"/>
        <rFont val="Arial Cyr"/>
        <family val="0"/>
      </rPr>
      <t xml:space="preserve">24 </t>
    </r>
    <r>
      <rPr>
        <i/>
        <sz val="11"/>
        <rFont val="Arial Cyr"/>
        <family val="0"/>
      </rPr>
      <t xml:space="preserve">и </t>
    </r>
    <r>
      <rPr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0"/>
      </rPr>
      <t xml:space="preserve">декабря </t>
    </r>
    <r>
      <rPr>
        <i/>
        <sz val="11"/>
        <color indexed="10"/>
        <rFont val="Arial Cyr"/>
        <family val="0"/>
      </rPr>
      <t xml:space="preserve">26 </t>
    </r>
    <r>
      <rPr>
        <i/>
        <sz val="11"/>
        <rFont val="Arial Cyr"/>
        <family val="0"/>
      </rPr>
      <t>долл c чел</t>
    </r>
  </si>
  <si>
    <t>(ex Tropicoco)</t>
  </si>
  <si>
    <t>22.12.18 - 26.12.18</t>
  </si>
  <si>
    <t>27.12.18 - 02.01.19</t>
  </si>
  <si>
    <t>01.02.19 - 15.04.19</t>
  </si>
  <si>
    <t>DELUXE DBL PARTIAL OCEAN VIEW</t>
  </si>
  <si>
    <t>DELUXE SGL PARTIAL OCEAN VIEW</t>
  </si>
  <si>
    <t>Dhawa Cayo Santa Maria</t>
  </si>
  <si>
    <r>
      <t xml:space="preserve">!!! ВНИМАНИЕ: обязательная доплата </t>
    </r>
    <r>
      <rPr>
        <i/>
        <sz val="11"/>
        <color indexed="10"/>
        <rFont val="Arial Cyr"/>
        <family val="0"/>
      </rPr>
      <t xml:space="preserve">24 </t>
    </r>
    <r>
      <rPr>
        <i/>
        <sz val="11"/>
        <rFont val="Arial Cyr"/>
        <family val="0"/>
      </rPr>
      <t xml:space="preserve">и </t>
    </r>
    <r>
      <rPr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0"/>
      </rPr>
      <t xml:space="preserve">декабря </t>
    </r>
    <r>
      <rPr>
        <i/>
        <sz val="11"/>
        <color indexed="10"/>
        <rFont val="Arial Cyr"/>
        <family val="0"/>
      </rPr>
      <t xml:space="preserve">39 </t>
    </r>
    <r>
      <rPr>
        <i/>
        <sz val="11"/>
        <rFont val="Arial Cyr"/>
        <family val="0"/>
      </rPr>
      <t xml:space="preserve">долл c чел, дети до 12 лет </t>
    </r>
    <r>
      <rPr>
        <i/>
        <sz val="11"/>
        <color indexed="10"/>
        <rFont val="Arial Cyr"/>
        <family val="0"/>
      </rPr>
      <t>20</t>
    </r>
    <r>
      <rPr>
        <i/>
        <sz val="11"/>
        <rFont val="Arial Cyr"/>
        <family val="0"/>
      </rPr>
      <t xml:space="preserve"> долл</t>
    </r>
  </si>
  <si>
    <t xml:space="preserve">Доплата за Premium Ocean Front View 20 долл с чел, за Jr Suite Ocean Front 26 долл с чел, за One Bedroom Suite 46 долл с чел </t>
  </si>
  <si>
    <r>
      <t xml:space="preserve">Трансферы отель в Сьенфуэгосe - отель на острове Санта Мария (OW) такси (1-2 чел) </t>
    </r>
    <r>
      <rPr>
        <b/>
        <i/>
        <sz val="11"/>
        <color indexed="10"/>
        <rFont val="Arial Cyr"/>
        <family val="0"/>
      </rPr>
      <t>136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280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303 долл</t>
    </r>
  </si>
  <si>
    <r>
      <t xml:space="preserve">Перелет  Сантьяго де Куба-Кайо Коко и трансферы групповые от отеля до отеля на Кайо Коко или Кайо Гильермо OW (чартер) - </t>
    </r>
    <r>
      <rPr>
        <b/>
        <i/>
        <sz val="11"/>
        <color indexed="10"/>
        <rFont val="Arial Cyr"/>
        <family val="0"/>
      </rPr>
      <t xml:space="preserve">90 долл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</t>
    </r>
  </si>
  <si>
    <r>
      <t xml:space="preserve">Трансфер индивидуальный аэропорт Гаваны - Пляж Санта Мария такси (1-2 чел.) - </t>
    </r>
    <r>
      <rPr>
        <b/>
        <i/>
        <sz val="11"/>
        <color indexed="10"/>
        <rFont val="Arial Cyr"/>
        <family val="0"/>
      </rPr>
      <t>40</t>
    </r>
    <r>
      <rPr>
        <b/>
        <i/>
        <sz val="11"/>
        <color indexed="10"/>
        <rFont val="Arial Cyr"/>
        <family val="0"/>
      </rPr>
      <t xml:space="preserve"> долл</t>
    </r>
    <r>
      <rPr>
        <b/>
        <i/>
        <sz val="11"/>
        <rFont val="Arial Cyr"/>
        <family val="0"/>
      </rPr>
      <t xml:space="preserve">, минивен (3-5 чел) </t>
    </r>
    <r>
      <rPr>
        <b/>
        <i/>
        <sz val="11"/>
        <color indexed="10"/>
        <rFont val="Arial Cyr"/>
        <family val="0"/>
      </rPr>
      <t xml:space="preserve">55 долл, </t>
    </r>
    <r>
      <rPr>
        <b/>
        <i/>
        <sz val="11"/>
        <rFont val="Arial Cyr"/>
        <family val="0"/>
      </rPr>
      <t>минибас (6-8 чел)</t>
    </r>
    <r>
      <rPr>
        <b/>
        <i/>
        <sz val="11"/>
        <color indexed="10"/>
        <rFont val="Arial Cyr"/>
        <family val="0"/>
      </rPr>
      <t xml:space="preserve"> 80 долл     </t>
    </r>
    <r>
      <rPr>
        <b/>
        <i/>
        <sz val="11"/>
        <rFont val="Arial Cyr"/>
        <family val="0"/>
      </rPr>
      <t xml:space="preserve">  </t>
    </r>
  </si>
  <si>
    <r>
      <t xml:space="preserve">Трансфер индивидуальный аэропорт Гавана - Хибакоа  такси (1-2 чел.) - </t>
    </r>
    <r>
      <rPr>
        <b/>
        <i/>
        <sz val="11"/>
        <color indexed="10"/>
        <rFont val="Arial Cyr"/>
        <family val="0"/>
      </rPr>
      <t>65 долл</t>
    </r>
    <r>
      <rPr>
        <b/>
        <i/>
        <sz val="11"/>
        <rFont val="Arial Cyr"/>
        <family val="0"/>
      </rPr>
      <t>, минивен (3-5 чел)</t>
    </r>
    <r>
      <rPr>
        <b/>
        <i/>
        <sz val="11"/>
        <color indexed="10"/>
        <rFont val="Arial Cyr"/>
        <family val="0"/>
      </rPr>
      <t xml:space="preserve"> 90 долл, </t>
    </r>
    <r>
      <rPr>
        <b/>
        <i/>
        <sz val="11"/>
        <rFont val="Arial Cyr"/>
        <family val="0"/>
      </rPr>
      <t xml:space="preserve">минибас (6-8 чел) </t>
    </r>
    <r>
      <rPr>
        <b/>
        <i/>
        <sz val="11"/>
        <color indexed="10"/>
        <rFont val="Arial Cyr"/>
        <family val="0"/>
      </rPr>
      <t xml:space="preserve">120 долл     </t>
    </r>
    <r>
      <rPr>
        <b/>
        <i/>
        <sz val="11"/>
        <rFont val="Arial Cyr"/>
        <family val="0"/>
      </rPr>
      <t xml:space="preserve"> </t>
    </r>
  </si>
  <si>
    <r>
      <t xml:space="preserve">Внутренний перелёт Гавана - Кайо Энсеначос + трансферы групповые от отеля до отеля - </t>
    </r>
    <r>
      <rPr>
        <b/>
        <i/>
        <sz val="11"/>
        <color indexed="10"/>
        <rFont val="Arial Cyr"/>
        <family val="0"/>
      </rPr>
      <t>120 долл OW</t>
    </r>
    <r>
      <rPr>
        <b/>
        <i/>
        <sz val="11"/>
        <rFont val="Arial Cyr"/>
        <family val="0"/>
      </rPr>
      <t xml:space="preserve">   (*Havanatur)                                                                                                                                             </t>
    </r>
    <r>
      <rPr>
        <b/>
        <i/>
        <sz val="11"/>
        <color indexed="10"/>
        <rFont val="Arial Cyr"/>
        <family val="0"/>
      </rPr>
      <t xml:space="preserve">  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</t>
    </r>
  </si>
  <si>
    <t>Mar Azul</t>
  </si>
  <si>
    <r>
      <rPr>
        <b/>
        <i/>
        <sz val="22"/>
        <color indexed="18"/>
        <rFont val="Arial Cyr"/>
        <family val="0"/>
      </rPr>
      <t xml:space="preserve">Туроператор Havanatour International          </t>
    </r>
    <r>
      <rPr>
        <b/>
        <i/>
        <sz val="18"/>
        <color indexed="48"/>
        <rFont val="Arial Cyr"/>
        <family val="0"/>
      </rPr>
      <t xml:space="preserve">                                                                                                                          </t>
    </r>
    <r>
      <rPr>
        <b/>
        <i/>
        <sz val="18"/>
        <color indexed="10"/>
        <rFont val="Arial Cyr"/>
        <family val="0"/>
      </rPr>
      <t xml:space="preserve">ЦЕНОВОЙ КАТAЛОГ ЗИМА 2019/20- ВЕСНА  2020 ГОДА  </t>
    </r>
    <r>
      <rPr>
        <b/>
        <i/>
        <sz val="18"/>
        <color indexed="48"/>
        <rFont val="Arial Cyr"/>
        <family val="0"/>
      </rPr>
      <t xml:space="preserve">                                         </t>
    </r>
  </si>
  <si>
    <t>(01.11.2019 - 30.04.2020)</t>
  </si>
  <si>
    <t xml:space="preserve">                                               ЦЕНОВОЙ КАТAЛОГ ЗИМА 2019/20 - ВЕСНА  2020ГОДА </t>
  </si>
  <si>
    <t xml:space="preserve">  01.11.19 - 21.12.19</t>
  </si>
  <si>
    <t xml:space="preserve">   22.12.19 - 03.01.20</t>
  </si>
  <si>
    <t xml:space="preserve">   04.01.20 - 31.01.20</t>
  </si>
  <si>
    <t xml:space="preserve">   01.02.20 - 31.03.20</t>
  </si>
  <si>
    <t xml:space="preserve">  01.04.20 - 30.04.20</t>
  </si>
  <si>
    <t>JUNIOR SUITE DBL THE RESERVE</t>
  </si>
  <si>
    <t>JUNIOR SUITE SGL THE RESERVE</t>
  </si>
  <si>
    <t>JUNIOR SUITE DBL THE RESERVE GARDEN SWIM-UP</t>
  </si>
  <si>
    <t>JUNIOR SUITE SGL THE RESERVE GARDEN SWIM-UP</t>
  </si>
  <si>
    <r>
      <t xml:space="preserve">MASTER SUITE TWO BEDROOM THE RESERVE </t>
    </r>
    <r>
      <rPr>
        <b/>
        <sz val="10"/>
        <color indexed="8"/>
        <rFont val="Arial Cyr"/>
        <family val="0"/>
      </rPr>
      <t>(за номер)</t>
    </r>
  </si>
  <si>
    <t>GARDEN VILLA ROYAL SERVICE</t>
  </si>
  <si>
    <t>*Скидка раннего бронирования для всех типов номеров</t>
  </si>
  <si>
    <t>*Скидка раннего бронирования 2 bdrm THE RESERVE и Garden Villa</t>
  </si>
  <si>
    <t>ПРИ БРОНИРОВАНИИ ОТЕЛЯ МИНИМУМ ЗА 30 ДНЕЙ ДО ЗАЕЗДА СКИДКА (указана в таблице) (исключая Two BEDROOM MASTER SUITE и GARDEN VILLA )  *cкидка раннего бронирования не даётся с доплаты за Sgl!</t>
  </si>
  <si>
    <t>ПРИ БРОНИРОВАНИИ ОТЕЛЯ МИНИМУМ ЗА 90 ДНЕЙ ДО ЗАЕЗДА СКИДКА (указана в таблице) для TWO BEDROOM MASTER SUITE и GARDEN VILLA *cкидка раннего бронирования не даётся с доплаты за Sgl!</t>
  </si>
  <si>
    <t>В номере Master Suite Two Bedroom Concierge Family размещение от 4 до 6 чел. В Garden Villa 2 взр</t>
  </si>
  <si>
    <t xml:space="preserve">  22.12.19 - 03.01.20 </t>
  </si>
  <si>
    <t xml:space="preserve">  04.01.20 - 31.01.20</t>
  </si>
  <si>
    <t>MASTER SUITE ROYAL SERVICE (за номер)</t>
  </si>
  <si>
    <t>SUITE PRESIDENCIAL ROYAL SERVICE</t>
  </si>
  <si>
    <t xml:space="preserve">Доплата  за одноместное проживание во всех категориях Royal Service + 110 долларов.   </t>
  </si>
  <si>
    <t>ПРИ БРОНИРОВАНИИ ОТЕЛЯ МИНИМУМ ЗА 30 ДНЕЙ ДО ЗАЕЗДА СКИДКА (указана в таблице) (исключая Master Suite Royal Service и Suite Presidencial) *cкидка раннего бронирования не даётся с доплаты за Sgl!</t>
  </si>
  <si>
    <t>*Скидка раннего бронирования для Master Suite Royal Service и  Suite Pres</t>
  </si>
  <si>
    <t>ПРИ БРОНИРОВАНИИ ОТЕЛЯ МИНИМУМ ЗА 90 ДНЕЙ ДО ЗАЕЗДА СКИДКА (указана в таблице) (для Master Suite Royal Service и Suite Presidencial) *cкидка раннего бронирования не даётся с доплаты за Sgl!</t>
  </si>
  <si>
    <t xml:space="preserve"> 22.12.19 - 03.01.20 </t>
  </si>
  <si>
    <t xml:space="preserve">Melia Las Americas   5* </t>
  </si>
  <si>
    <t>The Level Service</t>
  </si>
  <si>
    <t>GRAND SUITE THE LEVEL DBL</t>
  </si>
  <si>
    <t>GRAND SUITE VISTA MAR THE LEVEL DBL</t>
  </si>
  <si>
    <t>* Скидка раннего бронирования для всех типов номеров</t>
  </si>
  <si>
    <t>GARDEN SUITE 2 BEDROOM THE LEVEL (за номер)</t>
  </si>
  <si>
    <t>ПРИ БРОНИРОВАНИИ ОТЕЛЯ МИНИМУМ ЗА90 ДНЕЙ ДО ЗАЕЗДА СКИДКА (указана в таблице) *cкидка раннего бронирования не даётся с доплаты за Sgl и с SPO!</t>
  </si>
  <si>
    <r>
      <t xml:space="preserve">*Скидка раннего бронирования для </t>
    </r>
    <r>
      <rPr>
        <b/>
        <sz val="10"/>
        <rFont val="Arial Cyr"/>
        <family val="0"/>
      </rPr>
      <t>GARDEN SUITE 2 BEDROOM</t>
    </r>
  </si>
  <si>
    <t>Внимание! Отель только для взрослых c 18 лет! В номере Jr Suite max 2 взр, в остальных категориях max 3 взр. ;в Garden Suite 2 bedroom max 4 взр</t>
  </si>
  <si>
    <t xml:space="preserve"> 22.12.19- 03.01.20</t>
  </si>
  <si>
    <t xml:space="preserve">   01.02.20- 31.03.20</t>
  </si>
  <si>
    <t xml:space="preserve"> 01.11.19 - 21.12.19</t>
  </si>
  <si>
    <t xml:space="preserve">   04.01.20 - 31.03.20</t>
  </si>
  <si>
    <t xml:space="preserve">   01.04.20 - 30.04.20</t>
  </si>
  <si>
    <t xml:space="preserve">Доплата  за одноместное проживание в номерах  Jr Suite Ocean View + 104 долл, во всех категориях The Level + 113 долл   </t>
  </si>
  <si>
    <t xml:space="preserve">SOL ROOM SIRENAS DBL  </t>
  </si>
  <si>
    <t>Отель для взрослых от 16 лет</t>
  </si>
  <si>
    <t>SOL ROOM SIRENAS DBL OCEAN VIEW</t>
  </si>
  <si>
    <t>SOL ROOM SUPERIOR  DBL</t>
  </si>
  <si>
    <t>SOL ROOM SUPERIOR  SGL</t>
  </si>
  <si>
    <t>SOL ROOM SGL OCEAN VIEW</t>
  </si>
  <si>
    <t>ПРИ БРОНИРОВАНИИ ОТЕЛЯ МИНИМУМ ЗА 30 ДНЕЙ ДО ЗАЕЗДА СКИДКА (указана в таблице) (для номеров Sol Room Sirenas и Superior  *cкидка раннего бронирования не даётся с доплаты за Sgl!</t>
  </si>
  <si>
    <t>01.11.19- 30.04.20</t>
  </si>
  <si>
    <t>Havanatur</t>
  </si>
  <si>
    <t>01.11.19 - 30.04.20</t>
  </si>
  <si>
    <t>Gran Caribe</t>
  </si>
  <si>
    <t>В даты 24, 25,31 декбря, с 05 по 12.04. и с 28.10 по 02.11. доплата 12 долл с человека, с ребенка 6 долл; Доплата за ужин 20 долл,ребенок 10 долл</t>
  </si>
  <si>
    <t>Максимальное размещение: Deluxe Patio - 2 взр и Jr Suite Saratoga - 2 взр+1 реб,  все типы Suite - 3 взр или 2 взр+2 реб</t>
  </si>
  <si>
    <t>ЦЕНА ЗА НОМЕР</t>
  </si>
  <si>
    <t>Цены на ночи 24.12. и 31.12. под запрос</t>
  </si>
  <si>
    <t xml:space="preserve">01.11.19 - 30.04.20 </t>
  </si>
  <si>
    <t xml:space="preserve"> Sevilla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</si>
  <si>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 и 31</t>
    </r>
    <r>
      <rPr>
        <i/>
        <sz val="11"/>
        <rFont val="Arial Cyr"/>
        <family val="0"/>
      </rPr>
      <t xml:space="preserve"> декабря по </t>
    </r>
    <r>
      <rPr>
        <b/>
        <i/>
        <sz val="11"/>
        <color indexed="10"/>
        <rFont val="Arial Cyr"/>
        <family val="0"/>
      </rPr>
      <t>38 долл</t>
    </r>
    <r>
      <rPr>
        <i/>
        <sz val="11"/>
        <rFont val="Arial Cyr"/>
        <family val="0"/>
      </rPr>
      <t xml:space="preserve">.  </t>
    </r>
  </si>
  <si>
    <t>DBL Promo Room</t>
  </si>
  <si>
    <t>SGL Promo Room</t>
  </si>
  <si>
    <t>01.11.19 - 21.12.19</t>
  </si>
  <si>
    <t>22.12.19 - 02.01.20</t>
  </si>
  <si>
    <t>03.01.20 - 31.01.20</t>
  </si>
  <si>
    <t>01.02.20 - 31.03.20</t>
  </si>
  <si>
    <t>01.04.20 - 30.04.20</t>
  </si>
  <si>
    <t>CHD + 2 взр (от 3 до 13,99 лет)</t>
  </si>
  <si>
    <t>Раннее бронирование на даты с 01.11. по 02.01.скидка 15%. Бронирование по 31.10.</t>
  </si>
  <si>
    <t>Раннее бронирование на даты с 03.01. по 30.04.скидка 18%. Бронирование по 01.12.</t>
  </si>
  <si>
    <t>22.12.19 - 03.01.20</t>
  </si>
  <si>
    <t>04.01.20 - 31.01.20</t>
  </si>
  <si>
    <t>Доплата за ужин 25 долл взрослый и 13 долл реб</t>
  </si>
  <si>
    <t xml:space="preserve">ПРИ БРОНИРОВАНИИ ОТЕЛЯ МИНИМУМ ЗА 30 ДНЕЙ ДО ЗАЕЗДА СКИДКА 10%    (cкидка не даётся с Grand Suite The Level, доплаты за Sgl и с SPO) </t>
  </si>
  <si>
    <t>ПРИ БРОНИРОВАНИИ ОТЕЛЯ МИНИМУМ ЗА 30 ДНЕЙ ДО ЗАЕЗДА СКИДКА 10%  *cкидка раннего бронирования не даётся с доплаты за Sgl и с SPO!</t>
  </si>
  <si>
    <t>ПРИ БРОНИРОВАНИИ ОТЕЛЯ МИНИМУМ ЗА 30 ДНЕЙ ДО ЗАЕЗДА СКИДКА 10%   *cкидка раннего бронирования не даётся с доплаты за Sgl и с SPO!</t>
  </si>
  <si>
    <t>Доплата за ужин 25 долл с человека, с ребенка 13 долл</t>
  </si>
  <si>
    <t>Доплата за ужин 25 долл счеловека,13 долл с ребенка</t>
  </si>
  <si>
    <t xml:space="preserve">Iberostar Selection Varadero    </t>
  </si>
  <si>
    <t>03.01.20 - 31.03.20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</si>
  <si>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31 декабря</t>
    </r>
    <r>
      <rPr>
        <i/>
        <sz val="11"/>
        <color indexed="8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 xml:space="preserve">75 </t>
    </r>
    <r>
      <rPr>
        <b/>
        <i/>
        <sz val="11"/>
        <color indexed="10"/>
        <rFont val="Arial Cyr"/>
        <family val="0"/>
      </rPr>
      <t>$</t>
    </r>
    <r>
      <rPr>
        <i/>
        <sz val="11"/>
        <color indexed="8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>55</t>
    </r>
    <r>
      <rPr>
        <b/>
        <i/>
        <sz val="11"/>
        <color indexed="10"/>
        <rFont val="Arial Cyr"/>
        <family val="0"/>
      </rPr>
      <t xml:space="preserve"> $</t>
    </r>
  </si>
  <si>
    <t>Iberostar Selection Bella Vista</t>
  </si>
  <si>
    <t xml:space="preserve">FAMILIAR PREMIUM </t>
  </si>
  <si>
    <t>В номерах STD и Jr Suite max 2 взр+2 реб, 3 взр; в номере Familiar min 4 pax, max 6 pax (4 adt+2 реб)</t>
  </si>
  <si>
    <t>третий-шестой человек</t>
  </si>
  <si>
    <t>JR SUITE Ocean Front DBL</t>
  </si>
  <si>
    <t>FAMILIAR PREMIUM (первый-второй взр)</t>
  </si>
  <si>
    <t>третий-шестой pax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</si>
  <si>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31 декабря</t>
    </r>
    <r>
      <rPr>
        <i/>
        <sz val="11"/>
        <color indexed="8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>75 $</t>
    </r>
    <r>
      <rPr>
        <i/>
        <sz val="11"/>
        <color indexed="8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 xml:space="preserve">38 $  </t>
    </r>
  </si>
  <si>
    <t xml:space="preserve">В номерах STD и STD Ocean View max 2 взр+1 реб; в номере Familiar min 4 pax, max 6 pax (4 adt+2chd); в номерах Jr Suite и Prestige max 2 взр!  </t>
  </si>
  <si>
    <t>FAMILY ROOM первый-второй pax</t>
  </si>
  <si>
    <t>FAMILY ROOM третий-шестой pax</t>
  </si>
  <si>
    <t>FAMILY ROOM OCEAN VIEW первый-второй pax</t>
  </si>
  <si>
    <t>FAMILY ROOM OCEAN VIEW третий-шестой pax</t>
  </si>
  <si>
    <t>В номере DBL FAMILIAR разрешается размещение минимально: 4 pax,  // максимально 6 pax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</si>
  <si>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31 декабря</t>
    </r>
    <r>
      <rPr>
        <i/>
        <sz val="11"/>
        <color indexed="8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>65 $</t>
    </r>
    <r>
      <rPr>
        <i/>
        <sz val="11"/>
        <color indexed="8"/>
        <rFont val="Arial Cyr"/>
        <family val="0"/>
      </rPr>
      <t>.</t>
    </r>
  </si>
  <si>
    <t>03.01.20- 31.03.20</t>
  </si>
  <si>
    <t>01.04.20- 30.04.20</t>
  </si>
  <si>
    <t>DBL Superior (отреставрированные номера)</t>
  </si>
  <si>
    <t>SGL Superior (отреставрированные номера)</t>
  </si>
  <si>
    <t xml:space="preserve"> Friends Connected (первый-второй pax  в номере)</t>
  </si>
  <si>
    <t>Friends connected  (третий-шестой pax в номере)</t>
  </si>
  <si>
    <t xml:space="preserve">     Внимание! Отель только для взрослых от 16лет!  </t>
  </si>
  <si>
    <t>В номере DBL STD разрешается размещение 3 взр, в номере Friends Connected от 4 до 6 взр (это 2 смежных номера)</t>
  </si>
  <si>
    <t xml:space="preserve">ПРИ РАННЕМ БРОНИРОВАНИИ ОТЕЛЯ ДО 30.09 НА ПЕРИОД С 01.11 ПО 21.12. СКИДКА 25% (оплата должна быть произведена до 15.10) </t>
  </si>
  <si>
    <t xml:space="preserve">ПРИ РАННЕМ БРОНИРОВАНИИ ОТЕЛЯ ДО 31.10. НА ПЕРИОД С 22.12. ПО 03.01. СКИДКА 30% (оплата должна быть произведена до 15.12) </t>
  </si>
  <si>
    <t xml:space="preserve">ПРИ РАННЕМ БРОНИРОВАНИИ ОТЕЛЯ ДО 30.11. НА ПЕРИОД С 03.01. ПО 30.04. СКИДКА 25% (оплата должна быть произведена до 15.12) 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</si>
  <si>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31 декабря</t>
    </r>
    <r>
      <rPr>
        <i/>
        <sz val="11"/>
        <color indexed="8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>60 $</t>
    </r>
    <r>
      <rPr>
        <i/>
        <sz val="11"/>
        <color indexed="8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>30</t>
    </r>
    <r>
      <rPr>
        <b/>
        <i/>
        <sz val="11"/>
        <color indexed="10"/>
        <rFont val="Arial Cyr"/>
        <family val="0"/>
      </rPr>
      <t xml:space="preserve"> $</t>
    </r>
  </si>
  <si>
    <t>Iberostar Bella Costa</t>
  </si>
  <si>
    <t xml:space="preserve">2-й CHD + 2 взр </t>
  </si>
  <si>
    <t>1-й CHD + 2 взр</t>
  </si>
  <si>
    <t>DBL Bungalow</t>
  </si>
  <si>
    <t>SGL Bungalow</t>
  </si>
  <si>
    <r>
      <rPr>
        <b/>
        <i/>
        <sz val="11"/>
        <rFont val="Arial Cyr"/>
        <family val="0"/>
      </rPr>
      <t xml:space="preserve">Доплата к цене за человека в номере </t>
    </r>
    <r>
      <rPr>
        <i/>
        <sz val="11"/>
        <color indexed="10"/>
        <rFont val="Arial Cyr"/>
        <family val="0"/>
      </rPr>
      <t>24 и 31 декабря</t>
    </r>
    <r>
      <rPr>
        <i/>
        <sz val="11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>50 долл</t>
    </r>
    <r>
      <rPr>
        <i/>
        <sz val="11"/>
        <rFont val="Arial Cyr"/>
        <family val="0"/>
      </rPr>
      <t>. Дети до 12 лет по</t>
    </r>
    <r>
      <rPr>
        <b/>
        <i/>
        <sz val="11"/>
        <color indexed="10"/>
        <rFont val="Arial Cyr"/>
        <family val="0"/>
      </rPr>
      <t xml:space="preserve"> 25 долл</t>
    </r>
  </si>
  <si>
    <t xml:space="preserve">ПРИ РАННЕМ БРОНИРОВАНИИ ОТЕЛЯ ДО 30.11 НА ПЕРИОД С 03.01. ПО 30.04 СКИДКА 25% (оплата должна быть произведена до 15.12) </t>
  </si>
  <si>
    <t xml:space="preserve">ПРИ РАННЕМ БРОНИРОВАНИИ ОТЕЛЯ ДО 30.09 НА ПЕРИОД С 01.11 ПО 21.12. СКИДКА 20% (оплата должна быть произведена до 15.10) </t>
  </si>
  <si>
    <t xml:space="preserve">ПРИ РАННЕМ БРОНИРОВАНИИ ОТЕЛЯ ДО 31.10 НА ПЕРИОД С 22.12. ПО 30.04 СКИДКА 30% (оплата должна быть произведена до 15.11) </t>
  </si>
  <si>
    <t xml:space="preserve">ПРИ РАННЕМ БРОНИРОВАНИИ ОТЕЛЯ ДО 30.09 НА ПЕРИОД С 01.11 ПО 22.12. СКИДКА 20% (оплата должна быть произведена до 15.10) </t>
  </si>
  <si>
    <t xml:space="preserve">ПРИ РАННЕМ БРОНИРОВАНИИ ОТЕЛЯ ДО 31.10 НА ПЕРИОД С 22.12. ПО 30.04 СКИДКА 20% (оплата должна быть произведена до 15.11) </t>
  </si>
  <si>
    <t xml:space="preserve">ПРИ РАННЕМ БРОНИРОВАНИИ ОТЕЛЯ ДО 30.11 НА ПЕРИОД С 03.01 ПО 30.04 СКИДКА 25% (оплата должна быть произведена до 15.12) </t>
  </si>
  <si>
    <t xml:space="preserve">ПРИ РАННЕМ БРОНИРОВАНИИ ОТЕЛЯ ДО 30.09 НА ПЕРИОД С 01.11 ПО 21.12 СКИДКА 30% (оплата должна быть произведена до 15.10) </t>
  </si>
  <si>
    <t xml:space="preserve">ПРИ РАННЕМ БРОНИРОВАНИИ ОТЕЛЯ ДО 30.11 НА ПЕРИОД С 03.01 ПО 30.04 СКИДКА 30% (оплата должна быть произведена до 15.12) </t>
  </si>
  <si>
    <t xml:space="preserve">ПРИ РАННЕМ БРОНИРОВАНИИ ОТЕЛЯ ДО 31.10 НА ПЕРИОД С 22.12 ПО 30.04 СКИДКА 15% (оплата должна быть произведена до 15.12) </t>
  </si>
  <si>
    <t>ПРИ РАННЕМ БРОНИРОВАНИИ ОТЕЛЯ ДО 30.09 НА ПЕРИОД С 01.11 ПО 21.12. СКИДКА 15% (оплата должна быть произведена до 15.10)</t>
  </si>
  <si>
    <t>Во  всех категория размещение Max 2 чел. ; В номерах Superior Max 3 чел (третий взрослый оплачивает 15% от стоимости 1/2 DBL)</t>
  </si>
  <si>
    <t>01.11.19 - 21.12.20</t>
  </si>
  <si>
    <t xml:space="preserve">DBL  Std </t>
  </si>
  <si>
    <t>SGL  Std</t>
  </si>
  <si>
    <t>DBL Junior Suite Casa Perla</t>
  </si>
  <si>
    <t xml:space="preserve">SGL Junior Suite Casa Perla </t>
  </si>
  <si>
    <t>DBL  Std (Economica) номера расположены в корпусе Las Palmas</t>
  </si>
  <si>
    <t>SGL  Std (Economica) номера расположены в корпусе Las Palmas</t>
  </si>
  <si>
    <t>03.01.20- 31.01.20</t>
  </si>
  <si>
    <t>01.02.20- 31.03.20</t>
  </si>
  <si>
    <t>03.01.20- 30.04.20</t>
  </si>
  <si>
    <t xml:space="preserve">ПРИ РАННЕМ БРОНИРОВАНИИ ОТЕЛЯ ДО 31.10 СКИДКА 20% </t>
  </si>
  <si>
    <t>Memories Trinidad del Mar</t>
  </si>
  <si>
    <t>Blue Daimond</t>
  </si>
  <si>
    <t>DBL Standard</t>
  </si>
  <si>
    <t>SGL Standard</t>
  </si>
  <si>
    <t xml:space="preserve">CHD + 2 взр </t>
  </si>
  <si>
    <t>01.11.19- 31.03.20</t>
  </si>
  <si>
    <t>Mystique Palace Trinidad</t>
  </si>
  <si>
    <t>22.12.19- 02.01.20</t>
  </si>
  <si>
    <r>
      <t xml:space="preserve">5* (новый отель </t>
    </r>
    <r>
      <rPr>
        <b/>
        <sz val="11"/>
        <color indexed="10"/>
        <rFont val="Arial Cyr"/>
        <family val="0"/>
      </rPr>
      <t>18+</t>
    </r>
    <r>
      <rPr>
        <b/>
        <sz val="11"/>
        <rFont val="Arial Cyr"/>
        <family val="0"/>
      </rPr>
      <t>)</t>
    </r>
  </si>
  <si>
    <t xml:space="preserve">DBL c террасой </t>
  </si>
  <si>
    <t xml:space="preserve">SGL c террасой </t>
  </si>
  <si>
    <t>ПРИ РАННЕМ БРОНИРОВАНИИ ОТЕЛЯ ДО 31.10 СКИДКА 5% . Доплата за ужин 25$ c человека</t>
  </si>
  <si>
    <t>22.12.19 - 31.03.20</t>
  </si>
  <si>
    <t xml:space="preserve">   03.01.20 - 31.03.20</t>
  </si>
  <si>
    <t>Доплата за ужин 25 долл с человека</t>
  </si>
  <si>
    <t>01.04.20 - 30.04.209</t>
  </si>
  <si>
    <t>11.11.19 - 22.12.19</t>
  </si>
  <si>
    <t>01.11.19 - 10.11.19</t>
  </si>
  <si>
    <r>
      <t xml:space="preserve">11.11.19 -02.01.20 </t>
    </r>
  </si>
  <si>
    <r>
      <t xml:space="preserve">03.01.20 - 30.04.20 </t>
    </r>
  </si>
  <si>
    <t>Oferta до 30.09.19</t>
  </si>
  <si>
    <r>
      <t>JR SUITE DBL,</t>
    </r>
    <r>
      <rPr>
        <b/>
        <sz val="10"/>
        <rFont val="Arial Cyr"/>
        <family val="0"/>
      </rPr>
      <t xml:space="preserve"> HB</t>
    </r>
  </si>
  <si>
    <r>
      <t xml:space="preserve">JR SUITE SGL, </t>
    </r>
    <r>
      <rPr>
        <b/>
        <sz val="10"/>
        <rFont val="Arial Cyr"/>
        <family val="0"/>
      </rPr>
      <t>HB</t>
    </r>
  </si>
  <si>
    <t>22.12.19 - 01.01.20</t>
  </si>
  <si>
    <t>02.01.20 - 31.03.20</t>
  </si>
  <si>
    <t xml:space="preserve">2 CHD + 2 взр </t>
  </si>
  <si>
    <t>01.11.19-30.11.19</t>
  </si>
  <si>
    <t>22.12.19-31.03.20</t>
  </si>
  <si>
    <t>01.12.19-21.12.19</t>
  </si>
  <si>
    <t xml:space="preserve"> 01.04.20 - 30.04.20</t>
  </si>
  <si>
    <r>
      <t>2 Bedroom (</t>
    </r>
    <r>
      <rPr>
        <b/>
        <sz val="10"/>
        <rFont val="Arial Cyr"/>
        <family val="0"/>
      </rPr>
      <t>цена за номер, max 4</t>
    </r>
    <r>
      <rPr>
        <sz val="10"/>
        <rFont val="Arial Cyr"/>
        <family val="0"/>
      </rPr>
      <t>)</t>
    </r>
  </si>
  <si>
    <r>
      <t>2 Bedroom (</t>
    </r>
    <r>
      <rPr>
        <b/>
        <sz val="9"/>
        <rFont val="Arial Cyr"/>
        <family val="0"/>
      </rPr>
      <t>цена за номер, max 5</t>
    </r>
    <r>
      <rPr>
        <sz val="9"/>
        <rFont val="Arial Cyr"/>
        <family val="0"/>
      </rPr>
      <t>)</t>
    </r>
  </si>
  <si>
    <t>01.11.19 - 21.12.18</t>
  </si>
  <si>
    <r>
      <t xml:space="preserve">22.12.19 - 02.01.20 </t>
    </r>
  </si>
  <si>
    <t>03.01.20 - 30.04.20</t>
  </si>
  <si>
    <t>Village Costa  Sur</t>
  </si>
  <si>
    <t xml:space="preserve">Elite Club Vacanze                   </t>
  </si>
  <si>
    <t>EXTRA BED  BUNGALOW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</si>
  <si>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 xml:space="preserve">24 и 31 </t>
    </r>
    <r>
      <rPr>
        <i/>
        <sz val="11"/>
        <rFont val="Arial Cyr"/>
        <family val="0"/>
      </rPr>
      <t xml:space="preserve">декабря </t>
    </r>
    <r>
      <rPr>
        <b/>
        <i/>
        <sz val="11"/>
        <color indexed="10"/>
        <rFont val="Arial Cyr"/>
        <family val="0"/>
      </rPr>
      <t xml:space="preserve">20 $. </t>
    </r>
    <r>
      <rPr>
        <i/>
        <sz val="11"/>
        <rFont val="Arial Cyr"/>
        <family val="0"/>
      </rPr>
      <t xml:space="preserve">Дети до 12 лет </t>
    </r>
    <r>
      <rPr>
        <b/>
        <i/>
        <sz val="11"/>
        <color indexed="10"/>
        <rFont val="Arial Cyr"/>
        <family val="0"/>
      </rPr>
      <t xml:space="preserve">15 $  </t>
    </r>
  </si>
  <si>
    <t>ВНИМАНИЕ!!!! 1 ребенок+1 взрослый рассчитывается, как DBL</t>
  </si>
  <si>
    <t>CHD + 2 взр</t>
  </si>
  <si>
    <t xml:space="preserve">   01.04.20- 30.04.20</t>
  </si>
  <si>
    <t>Capri-Victoria</t>
  </si>
  <si>
    <t xml:space="preserve">Gran Caribe-Capri                                   </t>
  </si>
  <si>
    <t>01.11.19 - 30.11.19</t>
  </si>
  <si>
    <t>01.04.20-30.04.20</t>
  </si>
  <si>
    <r>
      <t>Доплата за Duplex Dbl - 70 $  с чел в сутки, за номер  Jr Suite Dbl - 91 $ с чел в сутки,  за Suite Dbl - 130</t>
    </r>
    <r>
      <rPr>
        <b/>
        <i/>
        <sz val="11"/>
        <color indexed="10"/>
        <rFont val="Arial Cyr"/>
        <family val="0"/>
      </rPr>
      <t xml:space="preserve"> </t>
    </r>
    <r>
      <rPr>
        <i/>
        <sz val="11"/>
        <rFont val="Arial Cyr"/>
        <family val="0"/>
      </rPr>
      <t>$ c чел в сутки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</si>
  <si>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 xml:space="preserve">24 и 31 </t>
    </r>
    <r>
      <rPr>
        <i/>
        <sz val="11"/>
        <rFont val="Arial Cyr"/>
        <family val="0"/>
      </rPr>
      <t xml:space="preserve">декабря </t>
    </r>
    <r>
      <rPr>
        <b/>
        <i/>
        <sz val="11"/>
        <color indexed="10"/>
        <rFont val="Arial Cyr"/>
        <family val="0"/>
      </rPr>
      <t>25$.</t>
    </r>
  </si>
  <si>
    <t>SGL VILLA</t>
  </si>
  <si>
    <t>DBL VILLA Mini Suite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</si>
  <si>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25, 26 и 27 ноября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7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$.(юбилей отеля)</t>
    </r>
  </si>
  <si>
    <t>JR SUITE SGL OCEAN VIEW ROYAL SERVICE</t>
  </si>
  <si>
    <t>GARDEN VILLA ROYAL SERVICE ( за номер)</t>
  </si>
  <si>
    <t>*Скидка раннего бронирования все типы номеров</t>
  </si>
  <si>
    <t>*Скидка раннего бронирования Garden Villa</t>
  </si>
  <si>
    <t>ПРИ БРОНИРОВАНИИ ОТЕЛЯ МИНИМУМ ЗА 30 ДНЕЙ ДО ЗАЕЗДА, VILLA ЗА 90 ДНЕЙ ДО ЗАЕЗДА СКИДКА (указана в таблице) *cкидка раннего бронирования не даётся с доплаты за Sgl!</t>
  </si>
  <si>
    <t xml:space="preserve">  04.01.20- 31.01.20</t>
  </si>
  <si>
    <t>FAMILIAR VISTA MAR (за номер)</t>
  </si>
  <si>
    <t xml:space="preserve">В номере Familiar min 4 pax (2 adt+2 chd), max 5 pax (4 adt+1chd) </t>
  </si>
  <si>
    <t>ПРИ РАННЕМ БРОНИРОВАНИИ ОТЕЛЯ ДО 31.10 СКИДКА 20%</t>
  </si>
  <si>
    <t>22.12.19- 03.01.20</t>
  </si>
  <si>
    <t>04.01.20 - 31.03.20</t>
  </si>
  <si>
    <r>
      <t xml:space="preserve">22.12.19 - 03.01.20 </t>
    </r>
  </si>
  <si>
    <t xml:space="preserve"> 22.12.19 - 03.01.20</t>
  </si>
  <si>
    <t xml:space="preserve"> 22.12.19- 03.01.20 </t>
  </si>
  <si>
    <t>JR SUITE SGL THE LEVEL</t>
  </si>
  <si>
    <t>JR SUITE SGL OCEAN VIEW THE LEVEL</t>
  </si>
  <si>
    <t>VILLA ZAIDA DEL RIO THE LEVEL (за номер)</t>
  </si>
  <si>
    <t>22.12.19 02.01.20</t>
  </si>
  <si>
    <t>FAMILY Park Suite (2 номера коннект) (первый-второй pax)</t>
  </si>
  <si>
    <t>EXTRA BED (третий pax в номере)</t>
  </si>
  <si>
    <t xml:space="preserve"> 4, 5 и 6-й pax  в номере)</t>
  </si>
  <si>
    <t>В номерах Familly Park Suite (2 смежных номера) min 4 pax, max 6 pax</t>
  </si>
  <si>
    <t xml:space="preserve">ПРИ РАННЕМ БРОНИРОВАНИИ ОТЕЛЯ ДО 30.11 НА ПЕРИОД С 22.12 ПО 30.04 СКИДКА 30% (оплата должна быть произведена до 15.12) </t>
  </si>
  <si>
    <t>В даты 24, 25,31 декбря, с 05 по 12.04. и с 28.10 по 02.11. доплата 14 долл с человека, с ребенка 7 долл; Доплата за ужин 40 долл,ребенок 20 долл</t>
  </si>
  <si>
    <t>В даты 24, 25,31 декбря, с 05 по 12.04. и с 28.10 по 02.11. доплата 14 долл с человека, с ребенка 7 долл; Доплата за ужин 26 долл,ребенок 13 долл</t>
  </si>
  <si>
    <t>В даты 24, 25,31 декбря, с 05 по 12.04. и с 28.10 по 02.11. доплата 14 долл с человека, с ребенка 7 долл; Доплата за ужин 20 долл,ребенок 10 долл</t>
  </si>
  <si>
    <t>Palacio Cueto 5*</t>
  </si>
  <si>
    <t>JR SUITE DBL (в Santa Isabel и в Palacio Cueto)</t>
  </si>
  <si>
    <t>JR SUITE SGL (в Santa Isabel и в Palacio Cueto)</t>
  </si>
  <si>
    <t>Спецпредложение на заезды : с 01.11 по 30.11. скидка 20% от указанной цены, с 01.12. по 22.12. скидка 10% от указанной цены, завтраки без скидки</t>
  </si>
  <si>
    <t xml:space="preserve">DBL BEACH  </t>
  </si>
  <si>
    <t>SGL BEACH</t>
  </si>
  <si>
    <t xml:space="preserve">DBL  OCEAN VIEW </t>
  </si>
  <si>
    <t xml:space="preserve">SGL  OCEAN VIEW </t>
  </si>
  <si>
    <t>Iberostar Selection  Playa Pilar</t>
  </si>
  <si>
    <t xml:space="preserve">Iberostar </t>
  </si>
  <si>
    <t>FAMILIAR (2 смежных номера)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</si>
  <si>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 24 и 31 декабря на человека </t>
    </r>
    <r>
      <rPr>
        <b/>
        <i/>
        <sz val="11"/>
        <color indexed="10"/>
        <rFont val="Arial Cyr"/>
        <family val="0"/>
      </rPr>
      <t>58</t>
    </r>
    <r>
      <rPr>
        <b/>
        <i/>
        <sz val="11"/>
        <color indexed="10"/>
        <rFont val="Arial Cyr"/>
        <family val="0"/>
      </rPr>
      <t>$</t>
    </r>
    <r>
      <rPr>
        <i/>
        <sz val="11"/>
        <color indexed="8"/>
        <rFont val="Arial Cyr"/>
        <family val="0"/>
      </rPr>
      <t xml:space="preserve">.  Дети до 12 лет </t>
    </r>
    <r>
      <rPr>
        <b/>
        <i/>
        <sz val="11"/>
        <color indexed="10"/>
        <rFont val="Arial Cyr"/>
        <family val="0"/>
      </rPr>
      <t>29</t>
    </r>
    <r>
      <rPr>
        <b/>
        <i/>
        <sz val="11"/>
        <color indexed="10"/>
        <rFont val="Arial Cyr"/>
        <family val="0"/>
      </rPr>
      <t>$    *</t>
    </r>
    <r>
      <rPr>
        <i/>
        <sz val="11"/>
        <rFont val="Arial Cyr"/>
        <family val="0"/>
      </rPr>
      <t>В номере Superior Ocean View max 2 взр.</t>
    </r>
  </si>
  <si>
    <t>Максимальное размещение во всех типах номеров : 2 взр +2 реб/3 взр. Минимальное размещение в номере Familiar: 4 pax Максимально 6 pax</t>
  </si>
  <si>
    <t xml:space="preserve">ПРИ РАННЕМ БРОНИРОВАНИИ ОТЕЛЯ ДО 30.09 НА ПЕРИОД С 01.11 ПО 21.12 СКИДКА 25% (оплата должна быть произведена до 15.10) </t>
  </si>
  <si>
    <t xml:space="preserve">ПРИ РАННЕМ БРОНИРОВАНИИ ОТЕЛЯ ДО 30.11 НА ПЕРИОД С 22.12 ПО 30.04 СКИДКА 25% (оплата должна быть произведена до 15.12) </t>
  </si>
  <si>
    <r>
      <t xml:space="preserve">22.12.19- 02.01.20 </t>
    </r>
  </si>
  <si>
    <t xml:space="preserve">ПРИ РАННЕМ БРОНИРОВАНИИ ОТЕЛЯ ДО 30.09.19 НА ПЕРИОД ПРОЖИВАНИЯ с 01.11 по 21.12. СКИДКА 20% (оплата должна быть произведена до 15.10.19) </t>
  </si>
  <si>
    <t xml:space="preserve">ПРИ РАННЕМ БРОНИРОВАНИИ ОТЕЛЯ с 01.10. по 30.11.19 НА ПЕРИОД ПРОЖИВАНИЯ с 03.01 по 30.04. СКИДКА 10% (оплата должна быть произведена до 15.12.19) </t>
  </si>
  <si>
    <t xml:space="preserve">ПРИ РАННЕМ БРОНИРОВАНИИ ОТЕЛЯ ДО 01.11.19 НА ПЕРИОД ПРОЖИВАНИЯ с 22.12 по 30.04. СКИДКА 15% (оплата должна быть произведена до 15.12.19) </t>
  </si>
  <si>
    <t xml:space="preserve">CHD + 2 взр  </t>
  </si>
  <si>
    <t xml:space="preserve">ПРИ РАННЕМ БРОНИРОВАНИИ ОТЕЛЯ ДО 15.10.19 НА ЗАЕЗДЫ С 01.11. ПО 31.03.  СКИДКА 30% </t>
  </si>
  <si>
    <t xml:space="preserve">ПРИ РАННЕМ БРОНИРОВАНИИ ОТЕЛЯ ДО 15.03.20 НА ЗАЕЗДЫ С 01.04. ПО 30.04. СКИДКА 30% </t>
  </si>
  <si>
    <t xml:space="preserve">ПРИ РАННЕМ БРОНИРОВАНИИ ОТЕЛЯ c 16.10. ДО 06.12.19 НА ЗАЕЗДЫ С 22.12. ПО 31.03.СКИДКА 20% </t>
  </si>
  <si>
    <r>
      <t xml:space="preserve">Доплата за номер Ocean View - 25 долл за номер в сутки, за Executive Floor - 82 долл за номер в сутки. </t>
    </r>
    <r>
      <rPr>
        <b/>
        <sz val="11"/>
        <rFont val="Arial Cyr"/>
        <family val="0"/>
      </rPr>
      <t>Доплата за HB 35 долл с человека</t>
    </r>
  </si>
  <si>
    <t xml:space="preserve">ПРИ РАННЕМ БРОНИРОВАНИИ ОТЕЛЯ ДО 15.10.19 НА ЗАЕЗДЫ С 01.11. ПО 31.03.  СКИДКА 25% </t>
  </si>
  <si>
    <t xml:space="preserve">ПРИ РАННЕМ БРОНИРОВАНИИ ОТЕЛЯ ДО 15.03.20 НА ЗАЕЗДЫ С 01.04. ПО 30.04. СКИДКА 25% </t>
  </si>
  <si>
    <r>
      <t xml:space="preserve">!!! ВНИМАНИЕ: </t>
    </r>
    <r>
      <rPr>
        <i/>
        <u val="single"/>
        <sz val="11"/>
        <rFont val="Arial Cyr"/>
        <family val="0"/>
      </rPr>
      <t>обязательная</t>
    </r>
    <r>
      <rPr>
        <i/>
        <sz val="11"/>
        <rFont val="Arial Cyr"/>
        <family val="0"/>
      </rPr>
      <t xml:space="preserve"> доплата за праздничный ужин </t>
    </r>
    <r>
      <rPr>
        <i/>
        <sz val="11"/>
        <color indexed="10"/>
        <rFont val="Arial Cyr"/>
        <family val="0"/>
      </rPr>
      <t xml:space="preserve">24 декабря </t>
    </r>
    <r>
      <rPr>
        <b/>
        <i/>
        <sz val="11"/>
        <color indexed="10"/>
        <rFont val="Arial Cyr"/>
        <family val="0"/>
      </rPr>
      <t>78 $</t>
    </r>
    <r>
      <rPr>
        <i/>
        <sz val="11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 xml:space="preserve">98 $.  </t>
    </r>
    <r>
      <rPr>
        <i/>
        <sz val="11"/>
        <rFont val="Arial Cyr"/>
        <family val="0"/>
      </rPr>
      <t>Дети до 12 лет</t>
    </r>
    <r>
      <rPr>
        <b/>
        <i/>
        <sz val="11"/>
        <rFont val="Arial Cyr"/>
        <family val="0"/>
      </rPr>
      <t xml:space="preserve">  - </t>
    </r>
    <r>
      <rPr>
        <b/>
        <i/>
        <sz val="11"/>
        <color indexed="10"/>
        <rFont val="Arial Cyr"/>
        <family val="0"/>
      </rPr>
      <t xml:space="preserve"> 39 $ </t>
    </r>
    <r>
      <rPr>
        <i/>
        <sz val="11"/>
        <rFont val="Arial Cyr"/>
        <family val="0"/>
      </rPr>
      <t>и</t>
    </r>
    <r>
      <rPr>
        <b/>
        <i/>
        <sz val="11"/>
        <color indexed="10"/>
        <rFont val="Arial Cyr"/>
        <family val="0"/>
      </rPr>
      <t xml:space="preserve"> 49 $</t>
    </r>
    <r>
      <rPr>
        <b/>
        <i/>
        <sz val="11"/>
        <rFont val="Arial Cyr"/>
        <family val="0"/>
      </rPr>
      <t xml:space="preserve"> . Доплата за HB 35 долл с человека  </t>
    </r>
  </si>
  <si>
    <r>
      <t>Обязательная доплата</t>
    </r>
    <r>
      <rPr>
        <b/>
        <i/>
        <sz val="11"/>
        <color indexed="10"/>
        <rFont val="Arial Cyr"/>
        <family val="0"/>
      </rPr>
      <t xml:space="preserve"> 24.12.</t>
    </r>
    <r>
      <rPr>
        <i/>
        <sz val="11"/>
        <rFont val="Arial Cyr"/>
        <family val="0"/>
      </rPr>
      <t xml:space="preserve"> и </t>
    </r>
    <r>
      <rPr>
        <b/>
        <i/>
        <sz val="11"/>
        <color indexed="10"/>
        <rFont val="Arial Cyr"/>
        <family val="0"/>
      </rPr>
      <t>31.12</t>
    </r>
    <r>
      <rPr>
        <i/>
        <sz val="11"/>
        <rFont val="Arial Cyr"/>
        <family val="0"/>
      </rPr>
      <t xml:space="preserve">. за гала ужин </t>
    </r>
    <r>
      <rPr>
        <b/>
        <i/>
        <sz val="11"/>
        <color indexed="10"/>
        <rFont val="Arial Cyr"/>
        <family val="0"/>
      </rPr>
      <t>38</t>
    </r>
    <r>
      <rPr>
        <i/>
        <sz val="11"/>
        <rFont val="Arial Cyr"/>
        <family val="0"/>
      </rPr>
      <t xml:space="preserve"> долл с человека. Доплата за HB </t>
    </r>
    <r>
      <rPr>
        <b/>
        <i/>
        <sz val="11"/>
        <color indexed="10"/>
        <rFont val="Arial Cyr"/>
        <family val="0"/>
      </rPr>
      <t>25</t>
    </r>
    <r>
      <rPr>
        <i/>
        <sz val="11"/>
        <rFont val="Arial Cyr"/>
        <family val="0"/>
      </rPr>
      <t xml:space="preserve"> долл с чел</t>
    </r>
  </si>
  <si>
    <r>
      <t>Обязательная доплата</t>
    </r>
    <r>
      <rPr>
        <b/>
        <i/>
        <sz val="11"/>
        <color indexed="10"/>
        <rFont val="Arial Cyr"/>
        <family val="0"/>
      </rPr>
      <t xml:space="preserve"> 24.12.</t>
    </r>
    <r>
      <rPr>
        <i/>
        <sz val="11"/>
        <rFont val="Arial Cyr"/>
        <family val="0"/>
      </rPr>
      <t xml:space="preserve"> и </t>
    </r>
    <r>
      <rPr>
        <b/>
        <i/>
        <sz val="11"/>
        <color indexed="10"/>
        <rFont val="Arial Cyr"/>
        <family val="0"/>
      </rPr>
      <t>31.12</t>
    </r>
    <r>
      <rPr>
        <i/>
        <sz val="11"/>
        <rFont val="Arial Cyr"/>
        <family val="0"/>
      </rPr>
      <t xml:space="preserve">. за гала ужин </t>
    </r>
    <r>
      <rPr>
        <b/>
        <i/>
        <sz val="11"/>
        <color indexed="10"/>
        <rFont val="Arial Cyr"/>
        <family val="0"/>
      </rPr>
      <t>33</t>
    </r>
    <r>
      <rPr>
        <i/>
        <sz val="11"/>
        <rFont val="Arial Cyr"/>
        <family val="0"/>
      </rPr>
      <t xml:space="preserve"> долл с человека. Доплата за HB </t>
    </r>
    <r>
      <rPr>
        <b/>
        <i/>
        <sz val="11"/>
        <color indexed="10"/>
        <rFont val="Arial Cyr"/>
        <family val="0"/>
      </rPr>
      <t>20</t>
    </r>
    <r>
      <rPr>
        <i/>
        <sz val="11"/>
        <rFont val="Arial Cyr"/>
        <family val="0"/>
      </rPr>
      <t xml:space="preserve"> долл с чел</t>
    </r>
  </si>
  <si>
    <t xml:space="preserve">ПРИ РАННЕМ БРОНИРОВАНИИ ОТЕЛЯ ДО 15.03.20 НА ЗАЕЗДЫ С 01.04. ПО 30.04. СКИДКА 25 </t>
  </si>
  <si>
    <t>Доплата за номер Ocean View -13 долл за номер в сутки, за Superior Room - 26 долл за номер в сутки.</t>
  </si>
  <si>
    <t>22.12.19 - 02.01.19</t>
  </si>
  <si>
    <t xml:space="preserve">ПРИ РАННЕМ БРОНИРОВАНИИ ОТЕЛЯ ДО 15.10.19 НА ЗАЕЗДЫ С 01.11. ПО 31.03.  СКИДКА 20% </t>
  </si>
  <si>
    <r>
      <t xml:space="preserve">Доплата </t>
    </r>
    <r>
      <rPr>
        <b/>
        <i/>
        <sz val="11"/>
        <color indexed="10"/>
        <rFont val="Arial Cyr"/>
        <family val="0"/>
      </rPr>
      <t>24.12.</t>
    </r>
    <r>
      <rPr>
        <i/>
        <sz val="11"/>
        <rFont val="Arial Cyr"/>
        <family val="0"/>
      </rPr>
      <t xml:space="preserve"> и </t>
    </r>
    <r>
      <rPr>
        <b/>
        <sz val="11"/>
        <color indexed="10"/>
        <rFont val="Arial Cyr"/>
        <family val="0"/>
      </rPr>
      <t>31.12</t>
    </r>
    <r>
      <rPr>
        <i/>
        <sz val="11"/>
        <rFont val="Arial Cyr"/>
        <family val="0"/>
      </rPr>
      <t xml:space="preserve">. </t>
    </r>
    <r>
      <rPr>
        <b/>
        <sz val="11"/>
        <color indexed="10"/>
        <rFont val="Arial Cyr"/>
        <family val="0"/>
      </rPr>
      <t>32</t>
    </r>
    <r>
      <rPr>
        <i/>
        <sz val="11"/>
        <rFont val="Arial Cyr"/>
        <family val="0"/>
      </rPr>
      <t xml:space="preserve"> USD /pax</t>
    </r>
  </si>
  <si>
    <r>
      <t xml:space="preserve">Доплата </t>
    </r>
    <r>
      <rPr>
        <b/>
        <i/>
        <sz val="11"/>
        <color indexed="10"/>
        <rFont val="Arial Cyr"/>
        <family val="0"/>
      </rPr>
      <t>24.12.</t>
    </r>
    <r>
      <rPr>
        <i/>
        <sz val="11"/>
        <rFont val="Arial Cyr"/>
        <family val="0"/>
      </rPr>
      <t xml:space="preserve"> и </t>
    </r>
    <r>
      <rPr>
        <b/>
        <sz val="11"/>
        <color indexed="10"/>
        <rFont val="Arial Cyr"/>
        <family val="0"/>
      </rPr>
      <t>31.12</t>
    </r>
    <r>
      <rPr>
        <i/>
        <sz val="11"/>
        <rFont val="Arial Cyr"/>
        <family val="0"/>
      </rPr>
      <t xml:space="preserve">. </t>
    </r>
    <r>
      <rPr>
        <b/>
        <sz val="11"/>
        <color indexed="10"/>
        <rFont val="Arial Cyr"/>
        <family val="0"/>
      </rPr>
      <t>20</t>
    </r>
    <r>
      <rPr>
        <i/>
        <sz val="11"/>
        <rFont val="Arial Cyr"/>
        <family val="0"/>
      </rPr>
      <t xml:space="preserve"> USD /pax</t>
    </r>
  </si>
  <si>
    <t xml:space="preserve"> Club Cayo Guillermo</t>
  </si>
  <si>
    <t>Gran Cribe</t>
  </si>
  <si>
    <t xml:space="preserve">   01.11.19 - 21.12.19</t>
  </si>
  <si>
    <t xml:space="preserve">  22.12.19 - 02.01.20</t>
  </si>
  <si>
    <t xml:space="preserve">  03.01.20 - 31.01.20</t>
  </si>
  <si>
    <t xml:space="preserve">  01.02.20 - 31.03.20</t>
  </si>
  <si>
    <t>OCEAN VIEW ROOM DBL</t>
  </si>
  <si>
    <t>OCEAN VIEW ROOM SGL</t>
  </si>
  <si>
    <t xml:space="preserve">  01.04.20- 30.04.20</t>
  </si>
  <si>
    <t>SUITE PARK/PRADO VIEW DBL</t>
  </si>
  <si>
    <t>SUITE PARK/PRADO VIEW SGL</t>
  </si>
  <si>
    <t>JR SUITE PARK/PRADO VIEW DBL</t>
  </si>
  <si>
    <t>JR SUITE PARK /PRADO VIEW SGL</t>
  </si>
  <si>
    <t>STD PARK /PRADO VIEW DBL</t>
  </si>
  <si>
    <t>STD PARK /PRADOVIEW SGL</t>
  </si>
  <si>
    <t xml:space="preserve">ПРИ РАННЕМ БРОНИРОВАНИИ ОТЕЛЯ ДО 30.09.19 НА ПЕРИОД ПРОЖИВАНИЯ с 01.11 по 30.04. СКИДКА 20% (оплата должна быть произведена до 15.10.19) </t>
  </si>
  <si>
    <t xml:space="preserve">ПРИ РАННЕМ БРОНИРОВАНИИ ОТЕЛЯ ДО 01.12.19 НА ПЕРИОД ПРОЖИВАНИЯ с 03.01. по 30.04. СКИДКА 15% (оплата должна быть произведена до 15.12.19) </t>
  </si>
  <si>
    <t>SGL DELUXE</t>
  </si>
  <si>
    <t>DBL DELUXE PRADO</t>
  </si>
  <si>
    <t>SGL DELUXE  PRADO</t>
  </si>
  <si>
    <t>DBL DELUXE ATLANTIC VIEW</t>
  </si>
  <si>
    <t xml:space="preserve">SGL DELUXE ATLANTIC  VIEW </t>
  </si>
  <si>
    <t>DBL DELUXE Star Prestige PRADO VIEW</t>
  </si>
  <si>
    <t xml:space="preserve">SGL DELUXE Star Prestige Prado  VIEW  </t>
  </si>
  <si>
    <t>DBL DELUXE Star Prestige ATLANTIC VIEW</t>
  </si>
  <si>
    <t xml:space="preserve">SGL DELUXE Star Prestige ATLANTIC  VIEW  </t>
  </si>
  <si>
    <t xml:space="preserve">ПРИ РАННЕМ БРОНИРОВАНИИ ОТЕЛЯ ДО 30.09.19 НА ПЕРИОД ПРОЖИВАНИЯ с 01.11 по 30.04. СКИДКА 25% (оплата должна быть произведена до 15.10.19) </t>
  </si>
  <si>
    <t xml:space="preserve">ПРИ РАННЕМ БРОНИРОВАНИИ ОТЕЛЯ ДО 01.12.19 НА ПЕРИОД ПРОЖИВАНИЯ с 03.01. по 30.04. СКИДКА 20% (оплата должна быть произведена до 15.12.19) </t>
  </si>
  <si>
    <t>ПРИ РАННЕМ БРОНИРОВАНИИ ОТЕЛЯ ДО 31.10 СКИДКА 20% НА ПЕРРИОД  С 01.11. ПО 30.04.(оплата должна быть произведена до 15.11)</t>
  </si>
  <si>
    <t>ПРИ РАННЕМ БРОНИРОВАНИИ ОТЕЛЯ ДО 30.11 НА ПЕРИОД С 01.12.ПО 30.04. СКИДКА 15%  (оплата должна быть произведена до 15.12)</t>
  </si>
  <si>
    <t>ПРИ РАННЕМ БРОНИРОВАНИИ ОТЕЛЯ ДО 31.10 НА ПЕРИОД С 01.11. ПО 30.04. СКИДКА 25% (оплата должна быть произведена до 15.11)</t>
  </si>
  <si>
    <t>ПРИ РАННЕМ БРОНИРОВАНИИ ОТЕЛЯ ДО 30.11 НА ПЕРИОД С 01.12.19 ПО 30.04.20 СКИДКА 20%  (оплата должна быть произведена до 15.12)</t>
  </si>
  <si>
    <t xml:space="preserve">  22.12.19 - 02.01.20 </t>
  </si>
  <si>
    <t>ПРИ РАННЕМ БРОНИРОВАНИИ ОТЕЛЯ ДО 31.10 СКИДКА 25% НА ПЕРИОД с 01.11 ПО 30.04. (оплата должна быть произведена до 15.11)</t>
  </si>
  <si>
    <t>ПРИ РАННЕМ БРОНИРОВАНИИ ОТЕЛЯ ДО 30.11 НА ПЕРИОД С 01.12.19 ПО 30.04.20СКИДКА 20%  (оплата должна быть произведена до 15.12)</t>
  </si>
  <si>
    <t>НОВЫЙ!</t>
  </si>
  <si>
    <t>Iberostar Selection Holguin</t>
  </si>
  <si>
    <t>FAMILY (первый-второй pax)</t>
  </si>
  <si>
    <t>третий - шестой pax</t>
  </si>
  <si>
    <t xml:space="preserve">В номерах STD и STD Ocean View max 2 взр+2 реб, 3 взр; в Familiar min 4 pax max 6 pax; в номерах Prestige max 2 взр!  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</si>
  <si>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 24 и 31 декабря на человека </t>
    </r>
    <r>
      <rPr>
        <b/>
        <i/>
        <sz val="11"/>
        <color indexed="10"/>
        <rFont val="Arial Cyr"/>
        <family val="0"/>
      </rPr>
      <t>64</t>
    </r>
    <r>
      <rPr>
        <b/>
        <i/>
        <sz val="11"/>
        <color indexed="10"/>
        <rFont val="Arial Cyr"/>
        <family val="0"/>
      </rPr>
      <t>$</t>
    </r>
    <r>
      <rPr>
        <i/>
        <sz val="11"/>
        <color indexed="8"/>
        <rFont val="Arial Cyr"/>
        <family val="0"/>
      </rPr>
      <t xml:space="preserve">.  Дети до 12 лет </t>
    </r>
    <r>
      <rPr>
        <b/>
        <i/>
        <sz val="11"/>
        <color indexed="10"/>
        <rFont val="Arial Cyr"/>
        <family val="0"/>
      </rPr>
      <t>32</t>
    </r>
    <r>
      <rPr>
        <b/>
        <i/>
        <sz val="11"/>
        <color indexed="10"/>
        <rFont val="Arial Cyr"/>
        <family val="0"/>
      </rPr>
      <t xml:space="preserve">$   </t>
    </r>
  </si>
  <si>
    <t xml:space="preserve">ПРИ РАННЕМ БРОНИРОВАНИИ ОТЕЛЯ ДО 30.09 НА ПЕРИОД С 01.11 ПО 21.12. СКИДКА 30% (оплата должна быть произведена до 15.10) </t>
  </si>
  <si>
    <t xml:space="preserve">ПРИ РАННЕМ БРОНИРОВАНИИ ОТЕЛЯ ДО 30.11 НА ПЕРИОД С 22.12 ПО 30.04 СКИДКА 35% (оплата должна быть произведена до 15.12) </t>
  </si>
  <si>
    <t>ПРИ БРОНИРОВАНИИ НОМЕРА CLASSIC МИНИМУМ ЗА 30 ДНЕЙ ДО ЗАЕЗДА СКИДКА 10% (в период 01.11-21.12 скидка 15%!)   *cкидка раннего бронирования не даётся с доплаты за Sgl!</t>
  </si>
  <si>
    <t xml:space="preserve">ПРИ РАННЕМ БРОНИРОВАНИИ ОТЕЛЯ ДО 31.10 СКИДКА 18% </t>
  </si>
  <si>
    <t xml:space="preserve">ПРИ РАННЕМ БРОНИРОВАНИИ ОТЕЛЯ ДО 31.10 СКИДКА 15% </t>
  </si>
  <si>
    <r>
      <t xml:space="preserve">   22.12.19 - </t>
    </r>
    <r>
      <rPr>
        <b/>
        <sz val="11"/>
        <rFont val="Arial Cyr"/>
        <family val="0"/>
      </rPr>
      <t>04.01.20</t>
    </r>
  </si>
  <si>
    <t>05.01.20 - 15.01.20</t>
  </si>
  <si>
    <t>16.01.20- 31.03.20</t>
  </si>
  <si>
    <t xml:space="preserve">Blau  Varadero                                       </t>
  </si>
  <si>
    <t>SGL SUPERIOR OCEAN VIEW</t>
  </si>
  <si>
    <t>DBL SELECT  SEA VIEW</t>
  </si>
  <si>
    <r>
      <rPr>
        <i/>
        <sz val="11"/>
        <rFont val="Arial Cyr"/>
        <family val="0"/>
      </rPr>
      <t xml:space="preserve">Blau                            </t>
    </r>
    <r>
      <rPr>
        <b/>
        <sz val="11"/>
        <rFont val="Arial Cyr"/>
        <family val="0"/>
      </rPr>
      <t xml:space="preserve">    </t>
    </r>
  </si>
  <si>
    <t>Paradisus Los Cayos</t>
  </si>
  <si>
    <t>Melia</t>
  </si>
  <si>
    <t>JUNIOR SUITE  DBL</t>
  </si>
  <si>
    <t>JUNIOR SUITE  SGL</t>
  </si>
  <si>
    <t>JUNIOR SUITE  OCEAN VIEW DBL</t>
  </si>
  <si>
    <t>JUNIOR SUITE  OCEAN VIEW SGL</t>
  </si>
  <si>
    <t>THE RESERVE J SUITE  SGL</t>
  </si>
  <si>
    <t>ROYAL SERVISE J SUITE DBL</t>
  </si>
  <si>
    <t>THE RESERVE J SUITE DBL</t>
  </si>
  <si>
    <t>ROYAL SERVISE J SUITE SGL</t>
  </si>
  <si>
    <t>Зона Royal Service только для взрослых от 18 лет!!!</t>
  </si>
  <si>
    <t xml:space="preserve"> 22.12.19 - 02.01.20 </t>
  </si>
  <si>
    <t>Max размещение в номерах Superior и Superior Ocean View 3 взр+1 реб, 2 взр+2 реб; в номере Suite 3 взр, 2 взр+1 реб</t>
  </si>
  <si>
    <t xml:space="preserve">  03.01.20- 31.01.20</t>
  </si>
  <si>
    <t xml:space="preserve">   01.02.20 - 31.03.2020</t>
  </si>
  <si>
    <t xml:space="preserve"> 22.12.19- 02.01.20</t>
  </si>
  <si>
    <t>Бунгало</t>
  </si>
  <si>
    <t>DBL BGL SUPERIOR</t>
  </si>
  <si>
    <t>SGL BGL SUPERIOR</t>
  </si>
  <si>
    <t>BUNGALOW SUITE  DBL</t>
  </si>
  <si>
    <t>Max размещение в номерах Superior и Superior Ocean View 3 взр,3взр+1 реб; в номере Suite 3 взр, 2 взр+1 реб</t>
  </si>
  <si>
    <t>Max размещение в номерах Bungalow Superior 2 взр, 2 взр+2 реб; в номере Bungalow Suite 3 взр, 3 взр+1 реб</t>
  </si>
  <si>
    <t xml:space="preserve">Раннее бронирование от отеля: при бронировании отеля максимум за 60 дней до заезда, Стоимость  категории Deluxe Patio 258 USD/номер/ночь </t>
  </si>
  <si>
    <t xml:space="preserve">Раннее бронирование от отеля: при бронировании отеля максимум за 60 дней до заезда, Стоимость  категории J Suite Saratoga  440 USD/номер/ночь </t>
  </si>
  <si>
    <r>
      <t xml:space="preserve">Перелет Гавана - Сантьяго-де-Куба - Гавана (чартер) - </t>
    </r>
    <r>
      <rPr>
        <b/>
        <i/>
        <sz val="11"/>
        <color indexed="10"/>
        <rFont val="Arial Cyr"/>
        <family val="0"/>
      </rPr>
      <t>300 долл</t>
    </r>
    <r>
      <rPr>
        <b/>
        <i/>
        <sz val="11"/>
        <rFont val="Arial Cyr"/>
        <family val="0"/>
      </rPr>
      <t xml:space="preserve">.  Билет в одну сторону - </t>
    </r>
    <r>
      <rPr>
        <b/>
        <i/>
        <sz val="11"/>
        <color indexed="10"/>
        <rFont val="Arial Cyr"/>
        <family val="0"/>
      </rPr>
      <t>150 долл</t>
    </r>
  </si>
  <si>
    <r>
      <t xml:space="preserve">Перелет и трансферы Гавана-Кайо Ларго-Гавана  - </t>
    </r>
    <r>
      <rPr>
        <b/>
        <i/>
        <sz val="11"/>
        <color indexed="10"/>
        <rFont val="Arial Cyr"/>
        <family val="0"/>
      </rPr>
      <t xml:space="preserve">210 долл </t>
    </r>
    <r>
      <rPr>
        <i/>
        <sz val="11"/>
        <rFont val="Arial Cyr"/>
        <family val="2"/>
      </rPr>
      <t xml:space="preserve">                                                                                         </t>
    </r>
    <r>
      <rPr>
        <i/>
        <sz val="11"/>
        <color indexed="10"/>
        <rFont val="Arial Cyr"/>
        <family val="2"/>
      </rPr>
      <t xml:space="preserve">                 </t>
    </r>
    <r>
      <rPr>
        <i/>
        <sz val="11"/>
        <rFont val="Arial Cyr"/>
        <family val="2"/>
      </rPr>
      <t xml:space="preserve"> </t>
    </r>
  </si>
  <si>
    <r>
      <t xml:space="preserve">Перелет и трансферы Гавана-Кайо Ларго-Варадеро  - </t>
    </r>
    <r>
      <rPr>
        <b/>
        <i/>
        <sz val="11"/>
        <color indexed="10"/>
        <rFont val="Arial Cyr"/>
        <family val="0"/>
      </rPr>
      <t>260 долл</t>
    </r>
    <r>
      <rPr>
        <b/>
        <i/>
        <sz val="11"/>
        <rFont val="Arial Cyr"/>
        <family val="0"/>
      </rPr>
      <t xml:space="preserve">, Варадеро-Кайо Ларго-Варадеро  - </t>
    </r>
    <r>
      <rPr>
        <b/>
        <i/>
        <sz val="11"/>
        <color indexed="10"/>
        <rFont val="Arial Cyr"/>
        <family val="0"/>
      </rPr>
      <t xml:space="preserve">290 долл </t>
    </r>
    <r>
      <rPr>
        <i/>
        <sz val="11"/>
        <rFont val="Arial Cyr"/>
        <family val="2"/>
      </rPr>
      <t xml:space="preserve">                                                                                         </t>
    </r>
    <r>
      <rPr>
        <i/>
        <sz val="11"/>
        <color indexed="10"/>
        <rFont val="Arial Cyr"/>
        <family val="2"/>
      </rPr>
      <t xml:space="preserve">                 </t>
    </r>
    <r>
      <rPr>
        <i/>
        <sz val="11"/>
        <rFont val="Arial Cyr"/>
        <family val="2"/>
      </rPr>
      <t xml:space="preserve"> </t>
    </r>
  </si>
  <si>
    <t>Скидка за раннее бронирование 15% при бронировании до 31.10.19</t>
  </si>
  <si>
    <r>
      <t>Трансфер аэропорт Гаваны - отели Гаваны</t>
    </r>
    <r>
      <rPr>
        <i/>
        <sz val="11"/>
        <color indexed="10"/>
        <rFont val="Arial Cyr"/>
        <family val="2"/>
      </rPr>
      <t xml:space="preserve"> </t>
    </r>
    <r>
      <rPr>
        <b/>
        <sz val="11"/>
        <color indexed="12"/>
        <rFont val="Arial Cyr"/>
        <family val="0"/>
      </rPr>
      <t>Audi A6</t>
    </r>
    <r>
      <rPr>
        <i/>
        <sz val="11"/>
        <color indexed="10"/>
        <rFont val="Arial Cyr"/>
        <family val="2"/>
      </rPr>
      <t xml:space="preserve">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>BMW 523I</t>
    </r>
    <r>
      <rPr>
        <i/>
        <sz val="11"/>
        <color indexed="10"/>
        <rFont val="Arial Cyr"/>
        <family val="2"/>
      </rPr>
      <t xml:space="preserve"> - 97 долл</t>
    </r>
    <r>
      <rPr>
        <i/>
        <sz val="11"/>
        <rFont val="Arial Cyr"/>
        <family val="2"/>
      </rPr>
      <t xml:space="preserve"> (1-2 чел.) </t>
    </r>
  </si>
  <si>
    <r>
      <t>Трансфер аэропорт Варадеро - отели Варадеро</t>
    </r>
    <r>
      <rPr>
        <i/>
        <sz val="11"/>
        <color indexed="10"/>
        <rFont val="Arial Cyr"/>
        <family val="2"/>
      </rPr>
      <t xml:space="preserve"> </t>
    </r>
    <r>
      <rPr>
        <b/>
        <sz val="11"/>
        <color indexed="12"/>
        <rFont val="Arial Cyr"/>
        <family val="0"/>
      </rPr>
      <t>Audi A6</t>
    </r>
    <r>
      <rPr>
        <i/>
        <sz val="11"/>
        <color indexed="10"/>
        <rFont val="Arial Cyr"/>
        <family val="2"/>
      </rPr>
      <t xml:space="preserve">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>BMW 523I</t>
    </r>
    <r>
      <rPr>
        <i/>
        <sz val="11"/>
        <color indexed="10"/>
        <rFont val="Arial Cyr"/>
        <family val="2"/>
      </rPr>
      <t xml:space="preserve"> - 97 долл</t>
    </r>
    <r>
      <rPr>
        <i/>
        <sz val="11"/>
        <rFont val="Arial Cyr"/>
        <family val="2"/>
      </rPr>
      <t xml:space="preserve"> (1-2 чел.) </t>
    </r>
  </si>
  <si>
    <r>
      <t>Трансфер аэропорт Гаваны или отель Гаваны - отель на Варадеро</t>
    </r>
    <r>
      <rPr>
        <i/>
        <sz val="11"/>
        <color indexed="10"/>
        <rFont val="Arial Cyr"/>
        <family val="2"/>
      </rPr>
      <t xml:space="preserve"> </t>
    </r>
    <r>
      <rPr>
        <b/>
        <sz val="11"/>
        <color indexed="12"/>
        <rFont val="Arial Cyr"/>
        <family val="0"/>
      </rPr>
      <t xml:space="preserve">Audi A6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BMW 523I</t>
    </r>
    <r>
      <rPr>
        <i/>
        <sz val="11"/>
        <color indexed="10"/>
        <rFont val="Arial Cyr"/>
        <family val="2"/>
      </rPr>
      <t xml:space="preserve"> - 235 долл</t>
    </r>
    <r>
      <rPr>
        <i/>
        <sz val="11"/>
        <rFont val="Arial Cyr"/>
        <family val="2"/>
      </rPr>
      <t xml:space="preserve"> (1-2 чел.) </t>
    </r>
  </si>
  <si>
    <r>
      <t xml:space="preserve">Трансфер аэропорт Гаваны или отель Гаваны - отель на острове Санта Мария </t>
    </r>
    <r>
      <rPr>
        <b/>
        <sz val="11"/>
        <color indexed="12"/>
        <rFont val="Arial Cyr"/>
        <family val="0"/>
      </rPr>
      <t xml:space="preserve">Audi A6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BMW 523I</t>
    </r>
    <r>
      <rPr>
        <i/>
        <sz val="11"/>
        <color indexed="10"/>
        <rFont val="Arial Cyr"/>
        <family val="2"/>
      </rPr>
      <t xml:space="preserve"> - 480 долл</t>
    </r>
    <r>
      <rPr>
        <i/>
        <sz val="11"/>
        <rFont val="Arial Cyr"/>
        <family val="2"/>
      </rPr>
      <t xml:space="preserve"> (1-2 чел.) </t>
    </r>
  </si>
  <si>
    <t>DBL White Room (отреставрированные номера)</t>
  </si>
  <si>
    <t>SGL White Room (отреставрированные номера)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</si>
  <si>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 xml:space="preserve">и 31 </t>
    </r>
    <r>
      <rPr>
        <i/>
        <sz val="11"/>
        <rFont val="Arial Cyr"/>
        <family val="0"/>
      </rPr>
      <t xml:space="preserve">декабря по </t>
    </r>
    <r>
      <rPr>
        <b/>
        <i/>
        <sz val="11"/>
        <color indexed="10"/>
        <rFont val="Arial Cyr"/>
        <family val="0"/>
      </rPr>
      <t>70 долл</t>
    </r>
    <r>
      <rPr>
        <i/>
        <sz val="11"/>
        <rFont val="Arial Cyr"/>
        <family val="0"/>
      </rPr>
      <t xml:space="preserve">.  Дети от 2 до 12 лет по </t>
    </r>
    <r>
      <rPr>
        <b/>
        <i/>
        <sz val="11"/>
        <color indexed="10"/>
        <rFont val="Arial Cyr"/>
        <family val="0"/>
      </rPr>
      <t>35 долл</t>
    </r>
  </si>
  <si>
    <t>Доплата за Roc+ (клубное обслуживание и повышение категории номера 20$ c человека/ночь</t>
  </si>
  <si>
    <t xml:space="preserve">Roc                                   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</si>
  <si>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 и 31</t>
    </r>
    <r>
      <rPr>
        <i/>
        <sz val="11"/>
        <rFont val="Arial Cyr"/>
        <family val="0"/>
      </rPr>
      <t xml:space="preserve"> декабря по </t>
    </r>
    <r>
      <rPr>
        <b/>
        <i/>
        <sz val="11"/>
        <color indexed="10"/>
        <rFont val="Arial Cyr"/>
        <family val="0"/>
      </rPr>
      <t>55 долл</t>
    </r>
    <r>
      <rPr>
        <i/>
        <sz val="11"/>
        <rFont val="Arial Cyr"/>
        <family val="0"/>
      </rPr>
      <t xml:space="preserve">.   </t>
    </r>
  </si>
  <si>
    <t>Доплата за Roc+ (клубное обслуживание и повышение категории номера 15$ c человека/ночь</t>
  </si>
  <si>
    <t>01.11.19 - 31.03.20</t>
  </si>
  <si>
    <t>Доплата за ужин 25 USD, за  новогодний и рождественский ужины 45 USD</t>
  </si>
  <si>
    <t xml:space="preserve">ПРИ БРОНИРОВАНИИ ОТЕЛЯ МИНИМУМ ЗА 60 ДНЕЙ ДО ЗАЕЗДА СКИДКА 10%  </t>
  </si>
  <si>
    <t xml:space="preserve">ПРИ БРОНИРОВАНИИ ОТЕЛЯ МИНИМУМ ЗА 30 ДНЕЙ ДО ЗАЕЗДА СКИДКА 5%  </t>
  </si>
  <si>
    <t xml:space="preserve">22.12.19 - 04.01.19 </t>
  </si>
  <si>
    <t>01.11.19 - 23.12.19</t>
  </si>
  <si>
    <t>STD DBL</t>
  </si>
  <si>
    <t>SGL STD</t>
  </si>
  <si>
    <t xml:space="preserve"> Be Live</t>
  </si>
  <si>
    <t xml:space="preserve">24.12.19 - 01.01.20 </t>
  </si>
  <si>
    <t>02.01.20 - 31.01.20</t>
  </si>
  <si>
    <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 и 31</t>
    </r>
    <r>
      <rPr>
        <i/>
        <sz val="11"/>
        <rFont val="Arial Cyr"/>
        <family val="0"/>
      </rPr>
      <t xml:space="preserve"> декабря по </t>
    </r>
    <r>
      <rPr>
        <b/>
        <i/>
        <sz val="11"/>
        <color indexed="10"/>
        <rFont val="Arial Cyr"/>
        <family val="0"/>
      </rPr>
      <t>30 долл,реб.15 долл</t>
    </r>
    <r>
      <rPr>
        <i/>
        <sz val="11"/>
        <rFont val="Arial Cyr"/>
        <family val="0"/>
      </rPr>
      <t xml:space="preserve"> </t>
    </r>
  </si>
  <si>
    <t>Раннее бронирование на даты с 01.11. по 30.04.скидка 12%. Бронирование по 31.10. Предоплата 50% до 15.11.2019</t>
  </si>
  <si>
    <t>05.01.20 - 19.01.20</t>
  </si>
  <si>
    <t>20.01.20 - 31.03.20</t>
  </si>
  <si>
    <t>Раннее бронирование на даты с 01.11. по 30.04.скидка 15%. Бронирование по 31.10. Предоплата 50% до 15.11.2019</t>
  </si>
  <si>
    <t>Be Live</t>
  </si>
  <si>
    <t>Доплата за номер Superior Deluxe 7 долл/чел/ночь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</si>
  <si>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 и 31</t>
    </r>
    <r>
      <rPr>
        <i/>
        <sz val="11"/>
        <rFont val="Arial Cyr"/>
        <family val="0"/>
      </rPr>
      <t xml:space="preserve"> декабря по </t>
    </r>
    <r>
      <rPr>
        <b/>
        <i/>
        <sz val="11"/>
        <color indexed="10"/>
        <rFont val="Arial Cyr"/>
        <family val="0"/>
      </rPr>
      <t>32 долл, реб.16 долл</t>
    </r>
    <r>
      <rPr>
        <i/>
        <sz val="11"/>
        <rFont val="Arial Cyr"/>
        <family val="0"/>
      </rPr>
      <t xml:space="preserve">  </t>
    </r>
  </si>
  <si>
    <t xml:space="preserve">JR SUITE SGL </t>
  </si>
  <si>
    <t>SUITE DBL OCEAN VIEW</t>
  </si>
  <si>
    <t>SUITE SGL OCEAN VIEW</t>
  </si>
  <si>
    <r>
      <t xml:space="preserve">!!! ВНИМАНИЕ: обязательная доплата к цене за человека в номере 24 и 31 декабря </t>
    </r>
    <r>
      <rPr>
        <b/>
        <i/>
        <sz val="11"/>
        <color indexed="10"/>
        <rFont val="Arial Cyr"/>
        <family val="0"/>
      </rPr>
      <t>32$</t>
    </r>
  </si>
  <si>
    <t>DBL POOL/GOLF VIEW</t>
  </si>
  <si>
    <t>SGL POOL/GOLF VIEW</t>
  </si>
  <si>
    <t>DBL  OCEAN VIEW</t>
  </si>
  <si>
    <t>SGL  OCEAN VIEW</t>
  </si>
  <si>
    <r>
      <t xml:space="preserve">!!! ВНИМАНИЕ: обязательная доплата к цене за человека в номере 24 и 31 декабря </t>
    </r>
    <r>
      <rPr>
        <i/>
        <sz val="11"/>
        <color indexed="10"/>
        <rFont val="Arial Cyr"/>
        <family val="0"/>
      </rPr>
      <t xml:space="preserve">30 $. </t>
    </r>
    <r>
      <rPr>
        <i/>
        <sz val="11"/>
        <rFont val="Arial Cyr"/>
        <family val="0"/>
      </rPr>
      <t>Дети до 12 лет</t>
    </r>
    <r>
      <rPr>
        <i/>
        <sz val="11"/>
        <color indexed="10"/>
        <rFont val="Arial Cyr"/>
        <family val="0"/>
      </rPr>
      <t xml:space="preserve"> 15 $. </t>
    </r>
  </si>
  <si>
    <t>Copacabana</t>
  </si>
  <si>
    <t>22.12.19- 07.01.20</t>
  </si>
  <si>
    <t>08.01.20 - 30.04.20</t>
  </si>
  <si>
    <t>Раннее бронирование на даты с 01.11. по 30.04.скидка 22%. Бронирование по 31.08. Предоплата 50% до 15.11.2019</t>
  </si>
  <si>
    <t>01.11.19-30.04.20</t>
  </si>
  <si>
    <r>
      <t xml:space="preserve">Для расчета турпакета необходимо включить стоимость проживания + авиабилета + трансферов + туристический сбор                              </t>
    </r>
    <r>
      <rPr>
        <b/>
        <i/>
        <sz val="12"/>
        <color indexed="10"/>
        <rFont val="Arial Cyr"/>
        <family val="0"/>
      </rPr>
      <t>3долл</t>
    </r>
    <r>
      <rPr>
        <b/>
        <i/>
        <sz val="12"/>
        <color indexed="12"/>
        <rFont val="Arial Cyr"/>
        <family val="0"/>
      </rPr>
      <t xml:space="preserve"> с человека за весь тур + страховку 1,5 долл  в день </t>
    </r>
  </si>
  <si>
    <t>Chateau Miramar</t>
  </si>
  <si>
    <t>08.01.20 - 31.01.19</t>
  </si>
  <si>
    <t>01.02.20 - 30.04.20</t>
  </si>
  <si>
    <t>Раннее бронирование на даты с 01.11. по 30.04.скидка 20%. Бронирование по 31.08. Предоплата 50% до 15.11.2019</t>
  </si>
  <si>
    <t>01.12.19 - 21.12.19</t>
  </si>
  <si>
    <t>23.12.19 - 05.01.20</t>
  </si>
  <si>
    <t>06.01.20 - 31.03.20</t>
  </si>
  <si>
    <t>EP          BB</t>
  </si>
  <si>
    <t>EP           BB</t>
  </si>
  <si>
    <t>Sol Varadero Beach</t>
  </si>
  <si>
    <t>(ex. Sol Sirenas)</t>
  </si>
  <si>
    <t xml:space="preserve">  01.12.19 - 21.12.19</t>
  </si>
  <si>
    <t>Sol Coral откроется через 2 года</t>
  </si>
  <si>
    <r>
      <t xml:space="preserve">Перелет и трансферы Гавана - Кайо Коко и трансферы групповые от отеля до отеля OW - </t>
    </r>
    <r>
      <rPr>
        <b/>
        <i/>
        <sz val="11"/>
        <color indexed="10"/>
        <rFont val="Arial Cyr"/>
        <family val="0"/>
      </rPr>
      <t>100 долл</t>
    </r>
    <r>
      <rPr>
        <b/>
        <i/>
        <sz val="11"/>
        <rFont val="Arial Cyr"/>
        <family val="0"/>
      </rPr>
      <t xml:space="preserve">       </t>
    </r>
    <r>
      <rPr>
        <b/>
        <i/>
        <sz val="11"/>
        <color indexed="10"/>
        <rFont val="Arial Cyr"/>
        <family val="0"/>
      </rPr>
      <t xml:space="preserve">  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</t>
    </r>
  </si>
  <si>
    <r>
      <t xml:space="preserve">Перелет Ольгин-Кайо Коко и трансферы групповые от отеля до отеля OW - </t>
    </r>
    <r>
      <rPr>
        <b/>
        <i/>
        <sz val="11"/>
        <color indexed="10"/>
        <rFont val="Arial Cyr"/>
        <family val="0"/>
      </rPr>
      <t xml:space="preserve">50 долл </t>
    </r>
    <r>
      <rPr>
        <b/>
        <i/>
        <sz val="11"/>
        <rFont val="Arial Cyr"/>
        <family val="0"/>
      </rPr>
      <t xml:space="preserve"> </t>
    </r>
  </si>
  <si>
    <t>01.04.19 - 30.04.20</t>
  </si>
  <si>
    <r>
      <t xml:space="preserve"> ВНИМАНИЕ: обязательная доплата к цене за человека в номере </t>
    </r>
    <r>
      <rPr>
        <b/>
        <i/>
        <sz val="11"/>
        <color indexed="10"/>
        <rFont val="Arial Cyr"/>
        <family val="0"/>
      </rPr>
      <t xml:space="preserve">24,25 </t>
    </r>
    <r>
      <rPr>
        <b/>
        <i/>
        <sz val="11"/>
        <rFont val="Arial Cyr"/>
        <family val="0"/>
      </rPr>
      <t xml:space="preserve">и </t>
    </r>
    <r>
      <rPr>
        <b/>
        <i/>
        <sz val="11"/>
        <color indexed="10"/>
        <rFont val="Arial Cyr"/>
        <family val="0"/>
      </rPr>
      <t>31</t>
    </r>
    <r>
      <rPr>
        <b/>
        <i/>
        <sz val="11"/>
        <rFont val="Arial Cyr"/>
        <family val="0"/>
      </rPr>
      <t xml:space="preserve"> декабря  </t>
    </r>
    <r>
      <rPr>
        <b/>
        <i/>
        <sz val="11"/>
        <color indexed="10"/>
        <rFont val="Arial Cyr"/>
        <family val="0"/>
      </rPr>
      <t xml:space="preserve">15 $. </t>
    </r>
    <r>
      <rPr>
        <b/>
        <i/>
        <sz val="11"/>
        <rFont val="Arial Cyr"/>
        <family val="0"/>
      </rPr>
      <t xml:space="preserve"> </t>
    </r>
  </si>
  <si>
    <t>01.11.19- 21.12.19</t>
  </si>
  <si>
    <t xml:space="preserve">ПРИ РАННЕМ БРОНИРОВАНИИ ОТЕЛЯ ДО 30.09 НА ПЕРИОД С 01.11 ПО 02.01 СКИДКА 15% (оплата должна быть произведена до 15.10) </t>
  </si>
  <si>
    <t>ПРИ РАННЕМ БРОНИРОВАНИИ ОТЕЛЯ ДО 30.11 НА ПЕРИОД С 03.01 ПО 30.04 СКИДКА 18% (оплата должна быть произведена до 15.12)</t>
  </si>
  <si>
    <t xml:space="preserve">Внутренний перелёт Гавана - Кайо Cанта Мария + трансферы групповые от отеля до отеля - 120 долл OW  (*Havanatur)  ВРЕМЕННО ПЕРЕЛЕТЫ ОТМЕНЕНЫ!!!                                                                                                                                          </t>
  </si>
  <si>
    <t>SGL  ROOM SIRENAS SGL</t>
  </si>
  <si>
    <t xml:space="preserve">ПРИ РАННЕМ БРОНИРОВАНИИ ОТЕЛЯ ДО 31.10 НА ПЕРИОД С 22.12. ПО 30.04 СКИДКА 30% (оплата должна быть произведена до 15.12) </t>
  </si>
  <si>
    <t xml:space="preserve">ПРИ РАННЕМ БРОНИРОВАНИИ ОТЕЛЯ ДО 31.10 НА ПЕРИОД С 22.12 ПО 30.04 СКИДКА 35% (оплата должна быть произведена до 15.12) </t>
  </si>
  <si>
    <t>Melia Jagua</t>
  </si>
  <si>
    <t>Melia La Union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</si>
</sst>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[$-FC19]d\ mmmm\ yyyy\ &quot;г.&quot;"/>
    <numFmt numFmtId="195" formatCode="#,##0.00&quot;р.&quot;"/>
  </numFmts>
  <fonts count="1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10"/>
      <name val="Arial Cyr"/>
      <family val="2"/>
    </font>
    <font>
      <b/>
      <i/>
      <sz val="11"/>
      <color indexed="12"/>
      <name val="Arial Cyr"/>
      <family val="2"/>
    </font>
    <font>
      <sz val="11"/>
      <name val="Arial Cyr"/>
      <family val="0"/>
    </font>
    <font>
      <b/>
      <i/>
      <sz val="11"/>
      <color indexed="10"/>
      <name val="Arial Cyr"/>
      <family val="0"/>
    </font>
    <font>
      <i/>
      <sz val="11"/>
      <name val="Arial Cyr"/>
      <family val="2"/>
    </font>
    <font>
      <b/>
      <i/>
      <sz val="11"/>
      <name val="Arial Cyr"/>
      <family val="0"/>
    </font>
    <font>
      <i/>
      <sz val="11"/>
      <color indexed="12"/>
      <name val="Arial Cyr"/>
      <family val="0"/>
    </font>
    <font>
      <sz val="11"/>
      <color indexed="12"/>
      <name val="Arial Cyr"/>
      <family val="2"/>
    </font>
    <font>
      <i/>
      <sz val="11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Arial Cyr"/>
      <family val="2"/>
    </font>
    <font>
      <i/>
      <sz val="11"/>
      <color indexed="8"/>
      <name val="Arial Cyr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i/>
      <sz val="10"/>
      <color indexed="10"/>
      <name val="Arial Cyr"/>
      <family val="2"/>
    </font>
    <font>
      <b/>
      <sz val="11"/>
      <color indexed="12"/>
      <name val="Arial Cyr"/>
      <family val="2"/>
    </font>
    <font>
      <b/>
      <sz val="11"/>
      <color indexed="17"/>
      <name val="Arial Cyr"/>
      <family val="2"/>
    </font>
    <font>
      <b/>
      <i/>
      <sz val="9"/>
      <name val="Arial Cyr"/>
      <family val="0"/>
    </font>
    <font>
      <b/>
      <sz val="10"/>
      <color indexed="10"/>
      <name val="Arial Cyr"/>
      <family val="2"/>
    </font>
    <font>
      <sz val="10"/>
      <color indexed="8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2"/>
      <color indexed="12"/>
      <name val="Arial Cyr"/>
      <family val="2"/>
    </font>
    <font>
      <i/>
      <sz val="12"/>
      <name val="Arial Cyr"/>
      <family val="2"/>
    </font>
    <font>
      <sz val="12"/>
      <name val="Arial Cyr"/>
      <family val="2"/>
    </font>
    <font>
      <b/>
      <i/>
      <sz val="18"/>
      <color indexed="48"/>
      <name val="Arial Cyr"/>
      <family val="0"/>
    </font>
    <font>
      <b/>
      <i/>
      <sz val="11"/>
      <color indexed="48"/>
      <name val="Arial Cyr"/>
      <family val="0"/>
    </font>
    <font>
      <b/>
      <sz val="12"/>
      <color indexed="10"/>
      <name val="Arial Cyr"/>
      <family val="0"/>
    </font>
    <font>
      <b/>
      <i/>
      <sz val="16"/>
      <color indexed="12"/>
      <name val="Arial Cyr"/>
      <family val="0"/>
    </font>
    <font>
      <sz val="11"/>
      <color indexed="10"/>
      <name val="Arial Cyr"/>
      <family val="2"/>
    </font>
    <font>
      <i/>
      <sz val="11"/>
      <color indexed="48"/>
      <name val="Arial Cyr"/>
      <family val="0"/>
    </font>
    <font>
      <b/>
      <i/>
      <sz val="18"/>
      <color indexed="10"/>
      <name val="Arial Cyr"/>
      <family val="0"/>
    </font>
    <font>
      <b/>
      <sz val="12"/>
      <color indexed="12"/>
      <name val="Arial Cyr"/>
      <family val="2"/>
    </font>
    <font>
      <b/>
      <sz val="11"/>
      <color indexed="48"/>
      <name val="Arial Cyr"/>
      <family val="0"/>
    </font>
    <font>
      <b/>
      <i/>
      <sz val="12"/>
      <name val="Arial Cyr"/>
      <family val="2"/>
    </font>
    <font>
      <b/>
      <i/>
      <sz val="12"/>
      <color indexed="10"/>
      <name val="Arial Cyr"/>
      <family val="0"/>
    </font>
    <font>
      <b/>
      <i/>
      <u val="single"/>
      <sz val="12"/>
      <name val="Arial Cyr"/>
      <family val="2"/>
    </font>
    <font>
      <b/>
      <i/>
      <sz val="11"/>
      <color indexed="30"/>
      <name val="Arial Cyr"/>
      <family val="0"/>
    </font>
    <font>
      <b/>
      <sz val="12"/>
      <name val="Arial Cyr"/>
      <family val="0"/>
    </font>
    <font>
      <i/>
      <sz val="11"/>
      <color indexed="30"/>
      <name val="Arial Cyr"/>
      <family val="0"/>
    </font>
    <font>
      <sz val="9"/>
      <color indexed="8"/>
      <name val="Arial Cyr"/>
      <family val="0"/>
    </font>
    <font>
      <sz val="11"/>
      <name val="Calibri"/>
      <family val="2"/>
    </font>
    <font>
      <b/>
      <i/>
      <sz val="11"/>
      <color indexed="62"/>
      <name val="Arial Cyr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10"/>
      <name val="Arial Cyr"/>
      <family val="0"/>
    </font>
    <font>
      <b/>
      <i/>
      <sz val="22"/>
      <color indexed="18"/>
      <name val="Arial Cyr"/>
      <family val="0"/>
    </font>
    <font>
      <i/>
      <u val="single"/>
      <sz val="11"/>
      <name val="Arial Cyr"/>
      <family val="0"/>
    </font>
    <font>
      <b/>
      <sz val="12"/>
      <color indexed="8"/>
      <name val="Arial Cyr"/>
      <family val="2"/>
    </font>
    <font>
      <sz val="12"/>
      <color indexed="8"/>
      <name val="Arial Cyr"/>
      <family val="0"/>
    </font>
    <font>
      <b/>
      <sz val="1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2"/>
      <name val="Calibri"/>
      <family val="2"/>
    </font>
    <font>
      <b/>
      <sz val="14"/>
      <color indexed="12"/>
      <name val="Calibri"/>
      <family val="2"/>
    </font>
    <font>
      <b/>
      <i/>
      <sz val="16"/>
      <color indexed="10"/>
      <name val="Arial Cyr"/>
      <family val="2"/>
    </font>
    <font>
      <b/>
      <sz val="11"/>
      <color indexed="12"/>
      <name val="Calibri"/>
      <family val="2"/>
    </font>
    <font>
      <b/>
      <sz val="9"/>
      <color indexed="10"/>
      <name val="Arial Cyr"/>
      <family val="2"/>
    </font>
    <font>
      <b/>
      <u val="single"/>
      <sz val="14"/>
      <color indexed="12"/>
      <name val="Calibri"/>
      <family val="2"/>
    </font>
    <font>
      <b/>
      <i/>
      <u val="single"/>
      <sz val="14"/>
      <color indexed="12"/>
      <name val="Calibri"/>
      <family val="2"/>
    </font>
    <font>
      <b/>
      <i/>
      <sz val="14"/>
      <color indexed="12"/>
      <name val="Arial Cyr"/>
      <family val="2"/>
    </font>
    <font>
      <sz val="14"/>
      <color indexed="12"/>
      <name val="Arial Cyr"/>
      <family val="0"/>
    </font>
    <font>
      <sz val="14"/>
      <color indexed="12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Arial"/>
      <family val="2"/>
    </font>
    <font>
      <b/>
      <i/>
      <sz val="11"/>
      <color indexed="30"/>
      <name val="Arial"/>
      <family val="2"/>
    </font>
    <font>
      <sz val="10"/>
      <color indexed="12"/>
      <name val="Arial Cyr"/>
      <family val="0"/>
    </font>
    <font>
      <sz val="11"/>
      <color indexed="12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b/>
      <sz val="10"/>
      <color indexed="30"/>
      <name val="Arial Cyr"/>
      <family val="0"/>
    </font>
    <font>
      <b/>
      <sz val="11"/>
      <color indexed="30"/>
      <name val="Arial Cyr"/>
      <family val="2"/>
    </font>
    <font>
      <b/>
      <sz val="11"/>
      <color indexed="30"/>
      <name val="Calibri"/>
      <family val="2"/>
    </font>
    <font>
      <sz val="11"/>
      <color indexed="30"/>
      <name val="Arial Cyr"/>
      <family val="0"/>
    </font>
    <font>
      <sz val="11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sz val="20"/>
      <color indexed="56"/>
      <name val="Calibri"/>
      <family val="2"/>
    </font>
    <font>
      <sz val="11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Arial Cyr"/>
      <family val="0"/>
    </font>
    <font>
      <b/>
      <sz val="9"/>
      <color rgb="FFFF0000"/>
      <name val="Arial Cyr"/>
      <family val="2"/>
    </font>
    <font>
      <b/>
      <sz val="11"/>
      <color rgb="FFFF0000"/>
      <name val="Arial Cyr"/>
      <family val="2"/>
    </font>
    <font>
      <b/>
      <u val="single"/>
      <sz val="14"/>
      <color rgb="FF0000FF"/>
      <name val="Calibri"/>
      <family val="2"/>
    </font>
    <font>
      <sz val="14"/>
      <color rgb="FF0000FF"/>
      <name val="Arial Cyr"/>
      <family val="0"/>
    </font>
    <font>
      <b/>
      <i/>
      <sz val="14"/>
      <color rgb="FF0000FF"/>
      <name val="Arial Cyr"/>
      <family val="2"/>
    </font>
    <font>
      <b/>
      <i/>
      <sz val="11"/>
      <color rgb="FF0070C0"/>
      <name val="Arial Cyr"/>
      <family val="0"/>
    </font>
    <font>
      <b/>
      <i/>
      <sz val="11"/>
      <color rgb="FFFF0000"/>
      <name val="Arial Cyr"/>
      <family val="0"/>
    </font>
    <font>
      <b/>
      <sz val="10"/>
      <color rgb="FFFF0000"/>
      <name val="Arial Cyr"/>
      <family val="0"/>
    </font>
    <font>
      <b/>
      <i/>
      <sz val="11"/>
      <color rgb="FFFF0000"/>
      <name val="Arial"/>
      <family val="2"/>
    </font>
    <font>
      <i/>
      <sz val="11"/>
      <color rgb="FFFF0000"/>
      <name val="Arial Cyr"/>
      <family val="2"/>
    </font>
    <font>
      <i/>
      <sz val="11"/>
      <color rgb="FF0070C0"/>
      <name val="Arial Cyr"/>
      <family val="2"/>
    </font>
    <font>
      <b/>
      <i/>
      <sz val="11"/>
      <color rgb="FF0070C0"/>
      <name val="Arial"/>
      <family val="2"/>
    </font>
    <font>
      <b/>
      <i/>
      <sz val="11"/>
      <color rgb="FF0000FF"/>
      <name val="Arial Cyr"/>
      <family val="0"/>
    </font>
    <font>
      <b/>
      <i/>
      <sz val="12"/>
      <color rgb="FF0000FF"/>
      <name val="Arial Cyr"/>
      <family val="0"/>
    </font>
    <font>
      <sz val="11"/>
      <color rgb="FF0000FF"/>
      <name val="Arial Cyr"/>
      <family val="0"/>
    </font>
    <font>
      <b/>
      <sz val="10"/>
      <color rgb="FF0070C0"/>
      <name val="Arial Cyr"/>
      <family val="0"/>
    </font>
    <font>
      <b/>
      <sz val="11"/>
      <color rgb="FF0070C0"/>
      <name val="Arial Cyr"/>
      <family val="2"/>
    </font>
    <font>
      <sz val="11"/>
      <color rgb="FFFF0000"/>
      <name val="Arial Cyr"/>
      <family val="2"/>
    </font>
    <font>
      <sz val="11"/>
      <color rgb="FF0070C0"/>
      <name val="Arial Cyr"/>
      <family val="0"/>
    </font>
    <font>
      <b/>
      <sz val="20"/>
      <color theme="3"/>
      <name val="Calibri"/>
      <family val="2"/>
    </font>
    <font>
      <b/>
      <u val="single"/>
      <sz val="11"/>
      <color theme="10"/>
      <name val="Calibri"/>
      <family val="2"/>
    </font>
    <font>
      <b/>
      <i/>
      <u val="single"/>
      <sz val="14"/>
      <color rgb="FF0000FF"/>
      <name val="Calibri"/>
      <family val="2"/>
    </font>
    <font>
      <b/>
      <i/>
      <sz val="14"/>
      <color rgb="FF0000FF"/>
      <name val="Calibri"/>
      <family val="2"/>
    </font>
    <font>
      <sz val="14"/>
      <color rgb="FF0000FF"/>
      <name val="Calibri"/>
      <family val="2"/>
    </font>
    <font>
      <b/>
      <sz val="14"/>
      <color rgb="FF0000FF"/>
      <name val="Calibri"/>
      <family val="2"/>
    </font>
    <font>
      <sz val="11"/>
      <color rgb="FF0070C0"/>
      <name val="Calibri"/>
      <family val="2"/>
    </font>
    <font>
      <b/>
      <sz val="12"/>
      <color rgb="FFFF0000"/>
      <name val="Arial Cyr"/>
      <family val="0"/>
    </font>
    <font>
      <b/>
      <sz val="11"/>
      <color rgb="FF0000FF"/>
      <name val="Calibri"/>
      <family val="2"/>
    </font>
    <font>
      <sz val="11"/>
      <color theme="1"/>
      <name val="Arial Unicode MS"/>
      <family val="2"/>
    </font>
    <font>
      <b/>
      <sz val="11"/>
      <color rgb="FF0070C0"/>
      <name val="Calibri"/>
      <family val="2"/>
    </font>
    <font>
      <sz val="11"/>
      <color theme="1"/>
      <name val="Arial"/>
      <family val="2"/>
    </font>
    <font>
      <sz val="10"/>
      <color rgb="FF0000FF"/>
      <name val="Arial Cyr"/>
      <family val="0"/>
    </font>
    <font>
      <sz val="11"/>
      <color rgb="FF0000FF"/>
      <name val="Calibri"/>
      <family val="2"/>
    </font>
    <font>
      <sz val="11"/>
      <color theme="1"/>
      <name val="Arial Cyr"/>
      <family val="0"/>
    </font>
    <font>
      <b/>
      <sz val="11"/>
      <color rgb="FFFF0000"/>
      <name val="Calibri"/>
      <family val="2"/>
    </font>
    <font>
      <i/>
      <sz val="10"/>
      <color rgb="FFFF0000"/>
      <name val="Arial Cyr"/>
      <family val="0"/>
    </font>
    <font>
      <i/>
      <sz val="11"/>
      <color rgb="FFFF0000"/>
      <name val="Calibri"/>
      <family val="2"/>
    </font>
    <font>
      <b/>
      <i/>
      <sz val="16"/>
      <color rgb="FFFF0000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1" applyNumberFormat="0" applyAlignment="0" applyProtection="0"/>
    <xf numFmtId="0" fontId="106" fillId="27" borderId="2" applyNumberFormat="0" applyAlignment="0" applyProtection="0"/>
    <xf numFmtId="0" fontId="107" fillId="27" borderId="1" applyNumberFormat="0" applyAlignment="0" applyProtection="0"/>
    <xf numFmtId="0" fontId="10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8" borderId="7" applyNumberFormat="0" applyAlignment="0" applyProtection="0"/>
    <xf numFmtId="0" fontId="114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6" fillId="0" borderId="0" applyNumberFormat="0" applyFill="0" applyBorder="0" applyAlignment="0" applyProtection="0"/>
    <xf numFmtId="0" fontId="117" fillId="30" borderId="0" applyNumberFormat="0" applyBorder="0" applyAlignment="0" applyProtection="0"/>
    <xf numFmtId="0" fontId="11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1" fillId="32" borderId="0" applyNumberFormat="0" applyBorder="0" applyAlignment="0" applyProtection="0"/>
  </cellStyleXfs>
  <cellXfs count="1257">
    <xf numFmtId="0" fontId="0" fillId="0" borderId="0" xfId="0" applyFont="1" applyAlignment="1">
      <alignment/>
    </xf>
    <xf numFmtId="1" fontId="37" fillId="33" borderId="0" xfId="53" applyNumberFormat="1" applyFont="1" applyFill="1" applyBorder="1" applyAlignment="1" applyProtection="1">
      <alignment horizontal="center"/>
      <protection hidden="1"/>
    </xf>
    <xf numFmtId="1" fontId="5" fillId="33" borderId="10" xfId="53" applyNumberFormat="1" applyFont="1" applyFill="1" applyBorder="1" applyAlignment="1" applyProtection="1">
      <alignment horizontal="center"/>
      <protection hidden="1"/>
    </xf>
    <xf numFmtId="1" fontId="5" fillId="33" borderId="0" xfId="53" applyNumberFormat="1" applyFont="1" applyFill="1" applyBorder="1" applyAlignment="1" applyProtection="1">
      <alignment horizontal="center"/>
      <protection hidden="1"/>
    </xf>
    <xf numFmtId="1" fontId="5" fillId="33" borderId="11" xfId="53" applyNumberFormat="1" applyFont="1" applyFill="1" applyBorder="1" applyAlignment="1" applyProtection="1">
      <alignment horizontal="center"/>
      <protection hidden="1"/>
    </xf>
    <xf numFmtId="1" fontId="5" fillId="33" borderId="12" xfId="53" applyNumberFormat="1" applyFont="1" applyFill="1" applyBorder="1" applyAlignment="1" applyProtection="1">
      <alignment horizontal="center"/>
      <protection hidden="1"/>
    </xf>
    <xf numFmtId="1" fontId="5" fillId="33" borderId="13" xfId="53" applyNumberFormat="1" applyFont="1" applyFill="1" applyBorder="1" applyAlignment="1" applyProtection="1">
      <alignment horizontal="center"/>
      <protection hidden="1"/>
    </xf>
    <xf numFmtId="1" fontId="5" fillId="33" borderId="14" xfId="53" applyNumberFormat="1" applyFont="1" applyFill="1" applyBorder="1" applyAlignment="1" applyProtection="1">
      <alignment horizontal="center"/>
      <protection hidden="1"/>
    </xf>
    <xf numFmtId="1" fontId="5" fillId="33" borderId="15" xfId="53" applyNumberFormat="1" applyFont="1" applyFill="1" applyBorder="1" applyAlignment="1" applyProtection="1">
      <alignment horizontal="center"/>
      <protection hidden="1"/>
    </xf>
    <xf numFmtId="1" fontId="5" fillId="33" borderId="16" xfId="53" applyNumberFormat="1" applyFont="1" applyFill="1" applyBorder="1" applyAlignment="1" applyProtection="1">
      <alignment horizontal="center"/>
      <protection hidden="1"/>
    </xf>
    <xf numFmtId="0" fontId="12" fillId="34" borderId="17" xfId="53" applyFont="1" applyFill="1" applyBorder="1" applyAlignment="1" applyProtection="1">
      <alignment horizontal="center" vertical="center"/>
      <protection hidden="1"/>
    </xf>
    <xf numFmtId="0" fontId="12" fillId="34" borderId="17" xfId="53" applyFont="1" applyFill="1" applyBorder="1" applyAlignment="1" applyProtection="1">
      <alignment horizontal="center"/>
      <protection hidden="1"/>
    </xf>
    <xf numFmtId="0" fontId="26" fillId="33" borderId="12" xfId="53" applyFont="1" applyFill="1" applyBorder="1" applyProtection="1">
      <alignment/>
      <protection hidden="1"/>
    </xf>
    <xf numFmtId="0" fontId="26" fillId="33" borderId="11" xfId="53" applyFont="1" applyFill="1" applyBorder="1" applyProtection="1">
      <alignment/>
      <protection hidden="1"/>
    </xf>
    <xf numFmtId="0" fontId="2" fillId="33" borderId="12" xfId="53" applyFont="1" applyFill="1" applyBorder="1" applyProtection="1">
      <alignment/>
      <protection hidden="1"/>
    </xf>
    <xf numFmtId="0" fontId="2" fillId="33" borderId="13" xfId="53" applyFont="1" applyFill="1" applyBorder="1" applyProtection="1">
      <alignment/>
      <protection hidden="1"/>
    </xf>
    <xf numFmtId="0" fontId="13" fillId="33" borderId="11" xfId="53" applyFont="1" applyFill="1" applyBorder="1" applyAlignment="1" applyProtection="1">
      <alignment horizontal="center"/>
      <protection hidden="1"/>
    </xf>
    <xf numFmtId="0" fontId="13" fillId="33" borderId="0" xfId="53" applyFont="1" applyFill="1" applyBorder="1" applyAlignment="1" applyProtection="1">
      <alignment horizontal="center"/>
      <protection hidden="1"/>
    </xf>
    <xf numFmtId="0" fontId="5" fillId="33" borderId="0" xfId="53" applyFont="1" applyFill="1" applyProtection="1">
      <alignment/>
      <protection hidden="1"/>
    </xf>
    <xf numFmtId="0" fontId="4" fillId="33" borderId="0" xfId="53" applyFont="1" applyFill="1" applyAlignment="1" applyProtection="1">
      <alignment horizontal="center"/>
      <protection hidden="1"/>
    </xf>
    <xf numFmtId="0" fontId="8" fillId="33" borderId="0" xfId="53" applyFont="1" applyFill="1" applyBorder="1" applyAlignment="1" applyProtection="1">
      <alignment horizontal="left"/>
      <protection hidden="1"/>
    </xf>
    <xf numFmtId="0" fontId="28" fillId="33" borderId="10" xfId="53" applyFont="1" applyFill="1" applyBorder="1" applyAlignment="1" applyProtection="1">
      <alignment horizontal="right"/>
      <protection hidden="1"/>
    </xf>
    <xf numFmtId="0" fontId="5" fillId="33" borderId="0" xfId="53" applyFont="1" applyFill="1" applyBorder="1" applyProtection="1">
      <alignment/>
      <protection hidden="1"/>
    </xf>
    <xf numFmtId="0" fontId="5" fillId="33" borderId="11" xfId="53" applyFont="1" applyFill="1" applyBorder="1" applyProtection="1">
      <alignment/>
      <protection hidden="1"/>
    </xf>
    <xf numFmtId="0" fontId="6" fillId="33" borderId="0" xfId="53" applyFont="1" applyFill="1" applyBorder="1" applyAlignment="1" applyProtection="1">
      <alignment horizontal="left"/>
      <protection hidden="1"/>
    </xf>
    <xf numFmtId="0" fontId="17" fillId="33" borderId="0" xfId="53" applyFont="1" applyFill="1" applyBorder="1" applyAlignment="1" applyProtection="1">
      <alignment horizontal="center"/>
      <protection hidden="1"/>
    </xf>
    <xf numFmtId="0" fontId="5" fillId="33" borderId="0" xfId="53" applyFont="1" applyFill="1" applyBorder="1" applyAlignment="1" applyProtection="1">
      <alignment horizontal="center"/>
      <protection hidden="1"/>
    </xf>
    <xf numFmtId="0" fontId="5" fillId="33" borderId="0" xfId="53" applyFont="1" applyFill="1" applyBorder="1" applyAlignment="1" applyProtection="1">
      <alignment horizontal="center" vertical="center"/>
      <protection hidden="1"/>
    </xf>
    <xf numFmtId="0" fontId="2" fillId="33" borderId="11" xfId="53" applyFill="1" applyBorder="1" applyProtection="1">
      <alignment/>
      <protection hidden="1"/>
    </xf>
    <xf numFmtId="0" fontId="12" fillId="33" borderId="18" xfId="53" applyFont="1" applyFill="1" applyBorder="1" applyAlignment="1" applyProtection="1">
      <alignment horizontal="left"/>
      <protection hidden="1"/>
    </xf>
    <xf numFmtId="0" fontId="12" fillId="33" borderId="18" xfId="53" applyFont="1" applyFill="1" applyBorder="1" applyAlignment="1" applyProtection="1">
      <alignment horizontal="center"/>
      <protection hidden="1"/>
    </xf>
    <xf numFmtId="0" fontId="2" fillId="33" borderId="11" xfId="53" applyFont="1" applyFill="1" applyBorder="1" applyProtection="1">
      <alignment/>
      <protection hidden="1"/>
    </xf>
    <xf numFmtId="0" fontId="7" fillId="33" borderId="0" xfId="53" applyFont="1" applyFill="1" applyBorder="1" applyAlignment="1" applyProtection="1">
      <alignment horizontal="left"/>
      <protection hidden="1"/>
    </xf>
    <xf numFmtId="0" fontId="7" fillId="33" borderId="0" xfId="53" applyFont="1" applyFill="1" applyBorder="1" applyAlignment="1" applyProtection="1">
      <alignment horizontal="center"/>
      <protection hidden="1"/>
    </xf>
    <xf numFmtId="0" fontId="6" fillId="33" borderId="10" xfId="53" applyFont="1" applyFill="1" applyBorder="1" applyAlignment="1" applyProtection="1">
      <alignment horizontal="left"/>
      <protection hidden="1"/>
    </xf>
    <xf numFmtId="0" fontId="6" fillId="33" borderId="10" xfId="53" applyFont="1" applyFill="1" applyBorder="1" applyAlignment="1" applyProtection="1">
      <alignment horizontal="center"/>
      <protection hidden="1"/>
    </xf>
    <xf numFmtId="0" fontId="12" fillId="33" borderId="19" xfId="53" applyFont="1" applyFill="1" applyBorder="1" applyProtection="1">
      <alignment/>
      <protection hidden="1"/>
    </xf>
    <xf numFmtId="0" fontId="12" fillId="33" borderId="19" xfId="53" applyFont="1" applyFill="1" applyBorder="1" applyAlignment="1" applyProtection="1">
      <alignment horizontal="center"/>
      <protection hidden="1"/>
    </xf>
    <xf numFmtId="0" fontId="2" fillId="33" borderId="12" xfId="53" applyFont="1" applyFill="1" applyBorder="1" applyAlignment="1" applyProtection="1">
      <alignment horizontal="left"/>
      <protection hidden="1"/>
    </xf>
    <xf numFmtId="0" fontId="2" fillId="33" borderId="12" xfId="53" applyFill="1" applyBorder="1" applyProtection="1">
      <alignment/>
      <protection hidden="1"/>
    </xf>
    <xf numFmtId="0" fontId="2" fillId="33" borderId="13" xfId="53" applyFill="1" applyBorder="1" applyProtection="1">
      <alignment/>
      <protection hidden="1"/>
    </xf>
    <xf numFmtId="0" fontId="6" fillId="33" borderId="0" xfId="53" applyFont="1" applyFill="1" applyBorder="1" applyAlignment="1" applyProtection="1">
      <alignment horizontal="center"/>
      <protection hidden="1"/>
    </xf>
    <xf numFmtId="0" fontId="2" fillId="33" borderId="16" xfId="53" applyFont="1" applyFill="1" applyBorder="1" applyProtection="1">
      <alignment/>
      <protection hidden="1"/>
    </xf>
    <xf numFmtId="0" fontId="5" fillId="33" borderId="10" xfId="53" applyFont="1" applyFill="1" applyBorder="1" applyProtection="1">
      <alignment/>
      <protection hidden="1"/>
    </xf>
    <xf numFmtId="1" fontId="16" fillId="33" borderId="10" xfId="53" applyNumberFormat="1" applyFont="1" applyFill="1" applyBorder="1" applyAlignment="1" applyProtection="1">
      <alignment horizontal="center"/>
      <protection hidden="1"/>
    </xf>
    <xf numFmtId="0" fontId="26" fillId="33" borderId="13" xfId="53" applyFont="1" applyFill="1" applyBorder="1" applyProtection="1">
      <alignment/>
      <protection hidden="1"/>
    </xf>
    <xf numFmtId="0" fontId="5" fillId="33" borderId="0" xfId="53" applyFont="1" applyFill="1" applyBorder="1" applyProtection="1">
      <alignment/>
      <protection hidden="1"/>
    </xf>
    <xf numFmtId="0" fontId="26" fillId="33" borderId="0" xfId="53" applyFont="1" applyFill="1" applyBorder="1" applyProtection="1">
      <alignment/>
      <protection hidden="1"/>
    </xf>
    <xf numFmtId="1" fontId="16" fillId="33" borderId="0" xfId="53" applyNumberFormat="1" applyFont="1" applyFill="1" applyBorder="1" applyAlignment="1" applyProtection="1">
      <alignment horizontal="center"/>
      <protection hidden="1"/>
    </xf>
    <xf numFmtId="0" fontId="5" fillId="33" borderId="14" xfId="53" applyFont="1" applyFill="1" applyBorder="1" applyProtection="1">
      <alignment/>
      <protection hidden="1"/>
    </xf>
    <xf numFmtId="0" fontId="8" fillId="33" borderId="10" xfId="53" applyFont="1" applyFill="1" applyBorder="1" applyAlignment="1" applyProtection="1">
      <alignment horizontal="left"/>
      <protection hidden="1"/>
    </xf>
    <xf numFmtId="0" fontId="12" fillId="33" borderId="12" xfId="53" applyFont="1" applyFill="1" applyBorder="1" applyAlignment="1" applyProtection="1">
      <alignment horizontal="center"/>
      <protection hidden="1"/>
    </xf>
    <xf numFmtId="0" fontId="12" fillId="34" borderId="12" xfId="53" applyFont="1" applyFill="1" applyBorder="1" applyAlignment="1" applyProtection="1">
      <alignment horizontal="center" vertical="center"/>
      <protection hidden="1"/>
    </xf>
    <xf numFmtId="0" fontId="12" fillId="33" borderId="16" xfId="53" applyFont="1" applyFill="1" applyBorder="1" applyProtection="1">
      <alignment/>
      <protection hidden="1"/>
    </xf>
    <xf numFmtId="0" fontId="2" fillId="33" borderId="0" xfId="53" applyFont="1" applyFill="1" applyBorder="1" applyProtection="1">
      <alignment/>
      <protection hidden="1"/>
    </xf>
    <xf numFmtId="0" fontId="5" fillId="33" borderId="10" xfId="53" applyFont="1" applyFill="1" applyBorder="1" applyProtection="1">
      <alignment/>
      <protection hidden="1"/>
    </xf>
    <xf numFmtId="0" fontId="2" fillId="33" borderId="10" xfId="53" applyFont="1" applyFill="1" applyBorder="1" applyProtection="1">
      <alignment/>
      <protection hidden="1"/>
    </xf>
    <xf numFmtId="0" fontId="17" fillId="33" borderId="0" xfId="53" applyFont="1" applyFill="1" applyBorder="1" applyAlignment="1" applyProtection="1">
      <alignment horizontal="left"/>
      <protection hidden="1"/>
    </xf>
    <xf numFmtId="0" fontId="12" fillId="34" borderId="20" xfId="53" applyFont="1" applyFill="1" applyBorder="1" applyAlignment="1" applyProtection="1">
      <alignment horizontal="center" vertical="center"/>
      <protection hidden="1"/>
    </xf>
    <xf numFmtId="1" fontId="5" fillId="33" borderId="0" xfId="53" applyNumberFormat="1" applyFont="1" applyFill="1" applyBorder="1" applyAlignment="1" applyProtection="1">
      <alignment horizontal="center" vertical="center"/>
      <protection hidden="1"/>
    </xf>
    <xf numFmtId="0" fontId="17" fillId="33" borderId="0" xfId="53" applyFont="1" applyFill="1" applyBorder="1" applyAlignment="1" applyProtection="1">
      <alignment horizontal="left"/>
      <protection hidden="1"/>
    </xf>
    <xf numFmtId="0" fontId="7" fillId="33" borderId="10" xfId="53" applyFont="1" applyFill="1" applyBorder="1" applyAlignment="1" applyProtection="1">
      <alignment/>
      <protection hidden="1"/>
    </xf>
    <xf numFmtId="0" fontId="7" fillId="33" borderId="0" xfId="53" applyFont="1" applyFill="1" applyBorder="1" applyAlignment="1" applyProtection="1">
      <alignment/>
      <protection hidden="1"/>
    </xf>
    <xf numFmtId="0" fontId="17" fillId="33" borderId="21" xfId="53" applyFont="1" applyFill="1" applyBorder="1" applyProtection="1">
      <alignment/>
      <protection hidden="1"/>
    </xf>
    <xf numFmtId="0" fontId="27" fillId="34" borderId="20" xfId="53" applyFont="1" applyFill="1" applyBorder="1" applyAlignment="1" applyProtection="1">
      <alignment horizontal="center" vertical="center"/>
      <protection hidden="1"/>
    </xf>
    <xf numFmtId="0" fontId="5" fillId="33" borderId="0" xfId="53" applyFont="1" applyFill="1" applyAlignment="1" applyProtection="1">
      <alignment horizontal="center" vertical="center"/>
      <protection hidden="1"/>
    </xf>
    <xf numFmtId="0" fontId="12" fillId="33" borderId="19" xfId="53" applyFont="1" applyFill="1" applyBorder="1" applyAlignment="1" applyProtection="1">
      <alignment horizontal="left"/>
      <protection hidden="1"/>
    </xf>
    <xf numFmtId="0" fontId="5" fillId="33" borderId="11" xfId="53" applyFont="1" applyFill="1" applyBorder="1" applyAlignment="1" applyProtection="1">
      <alignment horizontal="center"/>
      <protection hidden="1"/>
    </xf>
    <xf numFmtId="0" fontId="2" fillId="33" borderId="22" xfId="53" applyFont="1" applyFill="1" applyBorder="1" applyProtection="1">
      <alignment/>
      <protection hidden="1"/>
    </xf>
    <xf numFmtId="0" fontId="5" fillId="33" borderId="0" xfId="53" applyFont="1" applyFill="1" applyBorder="1" applyAlignment="1" applyProtection="1">
      <alignment horizontal="center"/>
      <protection hidden="1"/>
    </xf>
    <xf numFmtId="0" fontId="7" fillId="33" borderId="10" xfId="53" applyFont="1" applyFill="1" applyBorder="1" applyAlignment="1" applyProtection="1">
      <alignment horizontal="left"/>
      <protection hidden="1"/>
    </xf>
    <xf numFmtId="0" fontId="12" fillId="33" borderId="19" xfId="53" applyFont="1" applyFill="1" applyBorder="1" applyAlignment="1" applyProtection="1">
      <alignment horizontal="center"/>
      <protection hidden="1"/>
    </xf>
    <xf numFmtId="0" fontId="13" fillId="33" borderId="19" xfId="53" applyFont="1" applyFill="1" applyBorder="1" applyAlignment="1" applyProtection="1">
      <alignment horizontal="center"/>
      <protection hidden="1"/>
    </xf>
    <xf numFmtId="0" fontId="5" fillId="33" borderId="10" xfId="53" applyFont="1" applyFill="1" applyBorder="1" applyAlignment="1" applyProtection="1">
      <alignment horizontal="left"/>
      <protection hidden="1"/>
    </xf>
    <xf numFmtId="0" fontId="2" fillId="33" borderId="12" xfId="53" applyFill="1" applyBorder="1" applyAlignment="1" applyProtection="1">
      <alignment horizontal="left"/>
      <protection hidden="1"/>
    </xf>
    <xf numFmtId="0" fontId="2" fillId="33" borderId="10" xfId="53" applyFont="1" applyFill="1" applyBorder="1" applyAlignment="1" applyProtection="1">
      <alignment horizontal="left"/>
      <protection hidden="1"/>
    </xf>
    <xf numFmtId="0" fontId="17" fillId="33" borderId="0" xfId="53" applyFont="1" applyFill="1" applyBorder="1" applyAlignment="1" applyProtection="1">
      <alignment/>
      <protection hidden="1"/>
    </xf>
    <xf numFmtId="0" fontId="11" fillId="33" borderId="10" xfId="53" applyFont="1" applyFill="1" applyBorder="1" applyAlignment="1" applyProtection="1">
      <alignment/>
      <protection hidden="1"/>
    </xf>
    <xf numFmtId="0" fontId="12" fillId="34" borderId="20" xfId="53" applyFont="1" applyFill="1" applyBorder="1" applyAlignment="1" applyProtection="1">
      <alignment horizontal="center" vertical="center"/>
      <protection hidden="1"/>
    </xf>
    <xf numFmtId="0" fontId="7" fillId="33" borderId="10" xfId="53" applyFont="1" applyFill="1" applyBorder="1" applyProtection="1">
      <alignment/>
      <protection hidden="1"/>
    </xf>
    <xf numFmtId="0" fontId="19" fillId="33" borderId="0" xfId="53" applyFont="1" applyFill="1" applyBorder="1" applyProtection="1">
      <alignment/>
      <protection hidden="1"/>
    </xf>
    <xf numFmtId="1" fontId="5" fillId="33" borderId="0" xfId="53" applyNumberFormat="1" applyFont="1" applyFill="1" applyBorder="1" applyAlignment="1" applyProtection="1">
      <alignment horizontal="center"/>
      <protection hidden="1"/>
    </xf>
    <xf numFmtId="0" fontId="7" fillId="33" borderId="0" xfId="53" applyFont="1" applyFill="1" applyBorder="1" applyProtection="1">
      <alignment/>
      <protection hidden="1"/>
    </xf>
    <xf numFmtId="0" fontId="2" fillId="33" borderId="0" xfId="53" applyFont="1" applyFill="1" applyBorder="1" applyAlignment="1" applyProtection="1">
      <alignment horizontal="left"/>
      <protection hidden="1"/>
    </xf>
    <xf numFmtId="0" fontId="2" fillId="33" borderId="15" xfId="53" applyFont="1" applyFill="1" applyBorder="1" applyProtection="1">
      <alignment/>
      <protection hidden="1"/>
    </xf>
    <xf numFmtId="0" fontId="12" fillId="33" borderId="11" xfId="53" applyFont="1" applyFill="1" applyBorder="1" applyAlignment="1" applyProtection="1">
      <alignment horizontal="left"/>
      <protection hidden="1"/>
    </xf>
    <xf numFmtId="0" fontId="7" fillId="33" borderId="23" xfId="53" applyFont="1" applyFill="1" applyBorder="1" applyProtection="1">
      <alignment/>
      <protection hidden="1"/>
    </xf>
    <xf numFmtId="0" fontId="7" fillId="33" borderId="21" xfId="53" applyFont="1" applyFill="1" applyBorder="1" applyProtection="1">
      <alignment/>
      <protection hidden="1"/>
    </xf>
    <xf numFmtId="0" fontId="18" fillId="33" borderId="11" xfId="53" applyFont="1" applyFill="1" applyBorder="1" applyAlignment="1" applyProtection="1">
      <alignment horizontal="center"/>
      <protection hidden="1"/>
    </xf>
    <xf numFmtId="0" fontId="12" fillId="33" borderId="19" xfId="53" applyFont="1" applyFill="1" applyBorder="1" applyAlignment="1" applyProtection="1">
      <alignment horizontal="left"/>
      <protection hidden="1"/>
    </xf>
    <xf numFmtId="0" fontId="12" fillId="33" borderId="15" xfId="53" applyFont="1" applyFill="1" applyBorder="1" applyAlignment="1" applyProtection="1">
      <alignment horizontal="left"/>
      <protection hidden="1"/>
    </xf>
    <xf numFmtId="0" fontId="5" fillId="33" borderId="0" xfId="53" applyFont="1" applyFill="1" applyProtection="1">
      <alignment/>
      <protection hidden="1"/>
    </xf>
    <xf numFmtId="0" fontId="12" fillId="33" borderId="0" xfId="53" applyFont="1" applyFill="1" applyBorder="1" applyAlignment="1" applyProtection="1">
      <alignment horizontal="center"/>
      <protection hidden="1"/>
    </xf>
    <xf numFmtId="0" fontId="7" fillId="33" borderId="0" xfId="53" applyFont="1" applyFill="1" applyBorder="1" applyAlignment="1" applyProtection="1">
      <alignment/>
      <protection hidden="1"/>
    </xf>
    <xf numFmtId="0" fontId="7" fillId="33" borderId="10" xfId="53" applyFont="1" applyFill="1" applyBorder="1" applyAlignment="1" applyProtection="1">
      <alignment/>
      <protection hidden="1"/>
    </xf>
    <xf numFmtId="0" fontId="17" fillId="0" borderId="10" xfId="53" applyFont="1" applyBorder="1" applyProtection="1">
      <alignment/>
      <protection hidden="1"/>
    </xf>
    <xf numFmtId="0" fontId="12" fillId="33" borderId="0" xfId="53" applyFont="1" applyFill="1" applyBorder="1" applyProtection="1">
      <alignment/>
      <protection hidden="1"/>
    </xf>
    <xf numFmtId="0" fontId="13" fillId="0" borderId="10" xfId="53" applyFont="1" applyBorder="1" applyAlignment="1" applyProtection="1">
      <alignment vertical="center"/>
      <protection hidden="1"/>
    </xf>
    <xf numFmtId="0" fontId="13" fillId="33" borderId="10" xfId="53" applyFont="1" applyFill="1" applyBorder="1" applyAlignment="1" applyProtection="1">
      <alignment vertical="center"/>
      <protection hidden="1"/>
    </xf>
    <xf numFmtId="0" fontId="3" fillId="33" borderId="12" xfId="53" applyFont="1" applyFill="1" applyBorder="1" applyAlignment="1" applyProtection="1">
      <alignment horizontal="center"/>
      <protection hidden="1"/>
    </xf>
    <xf numFmtId="1" fontId="16" fillId="33" borderId="10" xfId="53" applyNumberFormat="1" applyFont="1" applyFill="1" applyBorder="1" applyAlignment="1" applyProtection="1">
      <alignment horizontal="center"/>
      <protection hidden="1"/>
    </xf>
    <xf numFmtId="0" fontId="2" fillId="33" borderId="0" xfId="53" applyFont="1" applyFill="1" applyBorder="1" applyAlignment="1" applyProtection="1">
      <alignment horizontal="center"/>
      <protection hidden="1"/>
    </xf>
    <xf numFmtId="0" fontId="13" fillId="34" borderId="24" xfId="53" applyFont="1" applyFill="1" applyBorder="1" applyAlignment="1" applyProtection="1">
      <alignment horizontal="center"/>
      <protection hidden="1"/>
    </xf>
    <xf numFmtId="0" fontId="11" fillId="33" borderId="0" xfId="53" applyFont="1" applyFill="1" applyBorder="1" applyAlignment="1" applyProtection="1">
      <alignment horizontal="left"/>
      <protection hidden="1"/>
    </xf>
    <xf numFmtId="0" fontId="5" fillId="33" borderId="0" xfId="53" applyFont="1" applyFill="1" applyBorder="1" applyAlignment="1" applyProtection="1">
      <alignment/>
      <protection hidden="1"/>
    </xf>
    <xf numFmtId="0" fontId="17" fillId="33" borderId="23" xfId="53" applyFont="1" applyFill="1" applyBorder="1" applyAlignment="1" applyProtection="1">
      <alignment horizontal="center"/>
      <protection hidden="1"/>
    </xf>
    <xf numFmtId="0" fontId="17" fillId="33" borderId="10" xfId="53" applyFont="1" applyFill="1" applyBorder="1" applyAlignment="1" applyProtection="1">
      <alignment horizontal="center"/>
      <protection hidden="1"/>
    </xf>
    <xf numFmtId="0" fontId="17" fillId="33" borderId="10" xfId="53" applyFont="1" applyFill="1" applyBorder="1" applyAlignment="1" applyProtection="1">
      <alignment horizontal="left"/>
      <protection hidden="1"/>
    </xf>
    <xf numFmtId="0" fontId="12" fillId="33" borderId="18" xfId="53" applyFont="1" applyFill="1" applyBorder="1" applyProtection="1">
      <alignment/>
      <protection hidden="1"/>
    </xf>
    <xf numFmtId="0" fontId="5" fillId="33" borderId="0" xfId="53" applyNumberFormat="1" applyFont="1" applyFill="1" applyBorder="1" applyAlignment="1" applyProtection="1">
      <alignment horizontal="center"/>
      <protection hidden="1"/>
    </xf>
    <xf numFmtId="1" fontId="7" fillId="33" borderId="0" xfId="53" applyNumberFormat="1" applyFont="1" applyFill="1" applyBorder="1" applyAlignment="1" applyProtection="1">
      <alignment horizontal="center" vertical="center" wrapText="1"/>
      <protection hidden="1"/>
    </xf>
    <xf numFmtId="1" fontId="8" fillId="33" borderId="0" xfId="53" applyNumberFormat="1" applyFont="1" applyFill="1" applyBorder="1" applyAlignment="1" applyProtection="1">
      <alignment horizontal="left" vertical="center" wrapText="1"/>
      <protection hidden="1"/>
    </xf>
    <xf numFmtId="1" fontId="29" fillId="33" borderId="0" xfId="53" applyNumberFormat="1" applyFont="1" applyFill="1" applyBorder="1" applyAlignment="1" applyProtection="1">
      <alignment horizontal="center" vertical="center" wrapText="1"/>
      <protection hidden="1"/>
    </xf>
    <xf numFmtId="0" fontId="30" fillId="33" borderId="10" xfId="53" applyFont="1" applyFill="1" applyBorder="1" applyAlignment="1" applyProtection="1">
      <alignment horizontal="center"/>
      <protection hidden="1"/>
    </xf>
    <xf numFmtId="1" fontId="7" fillId="33" borderId="0" xfId="53" applyNumberFormat="1" applyFont="1" applyFill="1" applyBorder="1" applyAlignment="1" applyProtection="1">
      <alignment horizontal="center"/>
      <protection hidden="1"/>
    </xf>
    <xf numFmtId="0" fontId="7" fillId="33" borderId="13" xfId="53" applyFont="1" applyFill="1" applyBorder="1" applyProtection="1">
      <alignment/>
      <protection hidden="1"/>
    </xf>
    <xf numFmtId="0" fontId="12" fillId="33" borderId="12" xfId="53" applyFont="1" applyFill="1" applyBorder="1" applyProtection="1">
      <alignment/>
      <protection hidden="1"/>
    </xf>
    <xf numFmtId="0" fontId="7" fillId="33" borderId="0" xfId="53" applyFont="1" applyFill="1" applyBorder="1" applyAlignment="1" applyProtection="1">
      <alignment horizontal="left"/>
      <protection hidden="1"/>
    </xf>
    <xf numFmtId="1" fontId="8" fillId="33" borderId="0" xfId="53" applyNumberFormat="1" applyFont="1" applyFill="1" applyBorder="1" applyAlignment="1" applyProtection="1">
      <alignment horizontal="left"/>
      <protection hidden="1"/>
    </xf>
    <xf numFmtId="0" fontId="30" fillId="33" borderId="0" xfId="53" applyFont="1" applyFill="1" applyBorder="1" applyAlignment="1" applyProtection="1">
      <alignment/>
      <protection hidden="1"/>
    </xf>
    <xf numFmtId="0" fontId="4" fillId="33" borderId="10" xfId="53" applyFont="1" applyFill="1" applyBorder="1" applyAlignment="1" applyProtection="1">
      <alignment horizontal="center"/>
      <protection hidden="1"/>
    </xf>
    <xf numFmtId="0" fontId="4" fillId="33" borderId="0" xfId="53" applyFont="1" applyFill="1" applyBorder="1" applyAlignment="1" applyProtection="1">
      <alignment horizontal="center"/>
      <protection hidden="1"/>
    </xf>
    <xf numFmtId="0" fontId="5" fillId="33" borderId="0" xfId="53" applyFont="1" applyFill="1" applyBorder="1" applyAlignment="1" applyProtection="1">
      <alignment/>
      <protection hidden="1"/>
    </xf>
    <xf numFmtId="0" fontId="7" fillId="33" borderId="10" xfId="53" applyFont="1" applyFill="1" applyBorder="1" applyAlignment="1" applyProtection="1">
      <alignment horizontal="left"/>
      <protection hidden="1"/>
    </xf>
    <xf numFmtId="0" fontId="8" fillId="33" borderId="0" xfId="53" applyFont="1" applyFill="1" applyBorder="1" applyAlignment="1" applyProtection="1">
      <alignment horizontal="center"/>
      <protection hidden="1"/>
    </xf>
    <xf numFmtId="0" fontId="26" fillId="33" borderId="14" xfId="53" applyFont="1" applyFill="1" applyBorder="1" applyProtection="1">
      <alignment/>
      <protection hidden="1"/>
    </xf>
    <xf numFmtId="1" fontId="8" fillId="33" borderId="0" xfId="53" applyNumberFormat="1" applyFont="1" applyFill="1" applyBorder="1" applyAlignment="1" applyProtection="1">
      <alignment wrapText="1"/>
      <protection hidden="1"/>
    </xf>
    <xf numFmtId="1" fontId="7" fillId="33" borderId="0" xfId="53" applyNumberFormat="1" applyFont="1" applyFill="1" applyBorder="1" applyAlignment="1" applyProtection="1">
      <alignment horizontal="center" wrapText="1"/>
      <protection hidden="1"/>
    </xf>
    <xf numFmtId="0" fontId="6" fillId="33" borderId="23" xfId="53" applyFont="1" applyFill="1" applyBorder="1" applyAlignment="1" applyProtection="1">
      <alignment/>
      <protection hidden="1"/>
    </xf>
    <xf numFmtId="0" fontId="6" fillId="0" borderId="10" xfId="53" applyFont="1" applyBorder="1" applyAlignment="1" applyProtection="1">
      <alignment/>
      <protection hidden="1"/>
    </xf>
    <xf numFmtId="0" fontId="6" fillId="33" borderId="10" xfId="53" applyFont="1" applyFill="1" applyBorder="1" applyAlignment="1" applyProtection="1">
      <alignment/>
      <protection hidden="1"/>
    </xf>
    <xf numFmtId="0" fontId="2" fillId="33" borderId="0" xfId="53" applyFill="1" applyBorder="1" applyAlignment="1" applyProtection="1">
      <alignment/>
      <protection hidden="1"/>
    </xf>
    <xf numFmtId="0" fontId="2" fillId="33" borderId="11" xfId="53" applyFont="1" applyFill="1" applyBorder="1" applyProtection="1">
      <alignment/>
      <protection hidden="1"/>
    </xf>
    <xf numFmtId="0" fontId="2" fillId="33" borderId="12" xfId="53" applyFont="1" applyFill="1" applyBorder="1" applyProtection="1">
      <alignment/>
      <protection hidden="1"/>
    </xf>
    <xf numFmtId="0" fontId="7" fillId="33" borderId="0" xfId="53" applyFont="1" applyFill="1" applyAlignment="1" applyProtection="1">
      <alignment horizontal="center"/>
      <protection hidden="1"/>
    </xf>
    <xf numFmtId="0" fontId="8" fillId="33" borderId="0" xfId="53" applyFont="1" applyFill="1" applyAlignment="1" applyProtection="1">
      <alignment horizontal="left"/>
      <protection hidden="1"/>
    </xf>
    <xf numFmtId="0" fontId="7" fillId="33" borderId="0" xfId="53" applyFont="1" applyFill="1" applyAlignment="1" applyProtection="1">
      <alignment horizontal="left"/>
      <protection hidden="1"/>
    </xf>
    <xf numFmtId="0" fontId="29" fillId="33" borderId="0" xfId="53" applyFont="1" applyFill="1" applyAlignment="1" applyProtection="1">
      <alignment horizontal="left"/>
      <protection hidden="1"/>
    </xf>
    <xf numFmtId="0" fontId="2" fillId="33" borderId="11" xfId="53" applyFont="1" applyFill="1" applyBorder="1" applyAlignment="1" applyProtection="1">
      <alignment horizontal="left"/>
      <protection hidden="1"/>
    </xf>
    <xf numFmtId="0" fontId="12" fillId="33" borderId="18" xfId="53" applyFont="1" applyFill="1" applyBorder="1" applyAlignment="1" applyProtection="1">
      <alignment horizontal="left"/>
      <protection hidden="1"/>
    </xf>
    <xf numFmtId="0" fontId="2" fillId="33" borderId="0" xfId="53" applyFill="1" applyBorder="1" applyProtection="1">
      <alignment/>
      <protection hidden="1"/>
    </xf>
    <xf numFmtId="0" fontId="2" fillId="33" borderId="10" xfId="53" applyFill="1" applyBorder="1" applyProtection="1">
      <alignment/>
      <protection hidden="1"/>
    </xf>
    <xf numFmtId="0" fontId="26" fillId="33" borderId="16" xfId="53" applyFont="1" applyFill="1" applyBorder="1" applyProtection="1">
      <alignment/>
      <protection hidden="1"/>
    </xf>
    <xf numFmtId="0" fontId="11" fillId="33" borderId="0" xfId="53" applyFont="1" applyFill="1" applyBorder="1" applyAlignment="1" applyProtection="1">
      <alignment horizontal="left"/>
      <protection hidden="1"/>
    </xf>
    <xf numFmtId="0" fontId="21" fillId="33" borderId="14" xfId="53" applyFont="1" applyFill="1" applyBorder="1" applyAlignment="1" applyProtection="1">
      <alignment/>
      <protection hidden="1"/>
    </xf>
    <xf numFmtId="0" fontId="7" fillId="33" borderId="10" xfId="53" applyFont="1" applyFill="1" applyBorder="1" applyProtection="1">
      <alignment/>
      <protection hidden="1"/>
    </xf>
    <xf numFmtId="0" fontId="9" fillId="33" borderId="10" xfId="53" applyFont="1" applyFill="1" applyBorder="1" applyAlignment="1" applyProtection="1">
      <alignment/>
      <protection hidden="1"/>
    </xf>
    <xf numFmtId="0" fontId="4" fillId="33" borderId="10" xfId="53" applyFont="1" applyFill="1" applyBorder="1" applyAlignment="1" applyProtection="1">
      <alignment horizontal="center"/>
      <protection hidden="1"/>
    </xf>
    <xf numFmtId="0" fontId="26" fillId="33" borderId="15" xfId="53" applyFont="1" applyFill="1" applyBorder="1" applyProtection="1">
      <alignment/>
      <protection hidden="1"/>
    </xf>
    <xf numFmtId="0" fontId="26" fillId="33" borderId="10" xfId="53" applyFont="1" applyFill="1" applyBorder="1" applyProtection="1">
      <alignment/>
      <protection hidden="1"/>
    </xf>
    <xf numFmtId="0" fontId="28" fillId="33" borderId="0" xfId="53" applyFont="1" applyFill="1" applyAlignment="1" applyProtection="1">
      <alignment horizontal="left" wrapText="1"/>
      <protection hidden="1"/>
    </xf>
    <xf numFmtId="0" fontId="2" fillId="33" borderId="0" xfId="53" applyFont="1" applyFill="1" applyBorder="1" applyAlignment="1" applyProtection="1">
      <alignment horizontal="center" vertical="center"/>
      <protection hidden="1"/>
    </xf>
    <xf numFmtId="0" fontId="30" fillId="33" borderId="25" xfId="53" applyFont="1" applyFill="1" applyBorder="1" applyAlignment="1" applyProtection="1">
      <alignment horizontal="center"/>
      <protection hidden="1"/>
    </xf>
    <xf numFmtId="0" fontId="7" fillId="33" borderId="26" xfId="53" applyFont="1" applyFill="1" applyBorder="1" applyAlignment="1" applyProtection="1">
      <alignment horizontal="left"/>
      <protection hidden="1"/>
    </xf>
    <xf numFmtId="0" fontId="8" fillId="33" borderId="0" xfId="53" applyFont="1" applyFill="1" applyBorder="1" applyProtection="1">
      <alignment/>
      <protection hidden="1"/>
    </xf>
    <xf numFmtId="0" fontId="7" fillId="33" borderId="11" xfId="53" applyFont="1" applyFill="1" applyBorder="1" applyAlignment="1" applyProtection="1">
      <alignment horizontal="left"/>
      <protection hidden="1"/>
    </xf>
    <xf numFmtId="0" fontId="12" fillId="33" borderId="0" xfId="53" applyFont="1" applyFill="1" applyBorder="1" applyAlignment="1" applyProtection="1">
      <alignment horizontal="center"/>
      <protection hidden="1"/>
    </xf>
    <xf numFmtId="0" fontId="7" fillId="33" borderId="25" xfId="53" applyFont="1" applyFill="1" applyBorder="1" applyAlignment="1" applyProtection="1">
      <alignment horizontal="left"/>
      <protection hidden="1"/>
    </xf>
    <xf numFmtId="0" fontId="7" fillId="33" borderId="23" xfId="53" applyFont="1" applyFill="1" applyBorder="1" applyAlignment="1" applyProtection="1">
      <alignment horizontal="left"/>
      <protection hidden="1"/>
    </xf>
    <xf numFmtId="0" fontId="7" fillId="33" borderId="27" xfId="53" applyFont="1" applyFill="1" applyBorder="1" applyAlignment="1" applyProtection="1">
      <alignment/>
      <protection hidden="1"/>
    </xf>
    <xf numFmtId="1" fontId="5" fillId="33" borderId="25" xfId="53" applyNumberFormat="1" applyFont="1" applyFill="1" applyBorder="1" applyAlignment="1" applyProtection="1">
      <alignment horizontal="center"/>
      <protection hidden="1"/>
    </xf>
    <xf numFmtId="0" fontId="12" fillId="33" borderId="18" xfId="53" applyFont="1" applyFill="1" applyBorder="1" applyAlignment="1" applyProtection="1">
      <alignment horizontal="center"/>
      <protection hidden="1"/>
    </xf>
    <xf numFmtId="0" fontId="12" fillId="33" borderId="11" xfId="53" applyFont="1" applyFill="1" applyBorder="1" applyAlignment="1" applyProtection="1">
      <alignment horizontal="left"/>
      <protection hidden="1"/>
    </xf>
    <xf numFmtId="0" fontId="17" fillId="33" borderId="13" xfId="53" applyFont="1" applyFill="1" applyBorder="1" applyProtection="1">
      <alignment/>
      <protection hidden="1"/>
    </xf>
    <xf numFmtId="0" fontId="16" fillId="33" borderId="13" xfId="53" applyFont="1" applyFill="1" applyBorder="1" applyProtection="1">
      <alignment/>
      <protection hidden="1"/>
    </xf>
    <xf numFmtId="0" fontId="13" fillId="33" borderId="18" xfId="53" applyFont="1" applyFill="1" applyBorder="1" applyAlignment="1" applyProtection="1">
      <alignment horizontal="center"/>
      <protection hidden="1"/>
    </xf>
    <xf numFmtId="0" fontId="13" fillId="33" borderId="11" xfId="53" applyFont="1" applyFill="1" applyBorder="1" applyProtection="1">
      <alignment/>
      <protection hidden="1"/>
    </xf>
    <xf numFmtId="0" fontId="13" fillId="33" borderId="14" xfId="53" applyFont="1" applyFill="1" applyBorder="1" applyProtection="1">
      <alignment/>
      <protection hidden="1"/>
    </xf>
    <xf numFmtId="0" fontId="6" fillId="33" borderId="25" xfId="53" applyFont="1" applyFill="1" applyBorder="1" applyAlignment="1" applyProtection="1">
      <alignment horizontal="left"/>
      <protection hidden="1"/>
    </xf>
    <xf numFmtId="0" fontId="17" fillId="33" borderId="27" xfId="53" applyFont="1" applyFill="1" applyBorder="1" applyAlignment="1" applyProtection="1">
      <alignment/>
      <protection hidden="1"/>
    </xf>
    <xf numFmtId="0" fontId="45" fillId="33" borderId="0" xfId="53" applyFont="1" applyFill="1" applyBorder="1" applyAlignment="1" applyProtection="1">
      <alignment horizontal="left"/>
      <protection hidden="1"/>
    </xf>
    <xf numFmtId="0" fontId="12" fillId="33" borderId="12" xfId="53" applyFont="1" applyFill="1" applyBorder="1" applyAlignment="1" applyProtection="1">
      <alignment horizontal="left"/>
      <protection hidden="1"/>
    </xf>
    <xf numFmtId="0" fontId="12" fillId="33" borderId="0" xfId="53" applyFont="1" applyFill="1" applyBorder="1" applyAlignment="1" applyProtection="1">
      <alignment horizontal="left"/>
      <protection hidden="1"/>
    </xf>
    <xf numFmtId="0" fontId="12" fillId="33" borderId="16" xfId="53" applyFont="1" applyFill="1" applyBorder="1" applyAlignment="1" applyProtection="1">
      <alignment horizontal="left"/>
      <protection hidden="1"/>
    </xf>
    <xf numFmtId="0" fontId="28" fillId="33" borderId="0" xfId="53" applyFont="1" applyFill="1" applyBorder="1" applyProtection="1">
      <alignment/>
      <protection hidden="1"/>
    </xf>
    <xf numFmtId="0" fontId="2" fillId="33" borderId="15" xfId="53" applyFill="1" applyBorder="1" applyProtection="1">
      <alignment/>
      <protection hidden="1"/>
    </xf>
    <xf numFmtId="0" fontId="3" fillId="33" borderId="19" xfId="53" applyFont="1" applyFill="1" applyBorder="1" applyAlignment="1" applyProtection="1">
      <alignment horizontal="center"/>
      <protection hidden="1"/>
    </xf>
    <xf numFmtId="0" fontId="12" fillId="33" borderId="11" xfId="53" applyFont="1" applyFill="1" applyBorder="1" applyAlignment="1" applyProtection="1">
      <alignment horizontal="center"/>
      <protection hidden="1"/>
    </xf>
    <xf numFmtId="0" fontId="2" fillId="33" borderId="14" xfId="53" applyFont="1" applyFill="1" applyBorder="1" applyProtection="1">
      <alignment/>
      <protection hidden="1"/>
    </xf>
    <xf numFmtId="0" fontId="2" fillId="33" borderId="11" xfId="53" applyFill="1" applyBorder="1" applyAlignment="1" applyProtection="1">
      <alignment horizontal="left"/>
      <protection hidden="1"/>
    </xf>
    <xf numFmtId="0" fontId="12" fillId="33" borderId="22" xfId="53" applyFont="1" applyFill="1" applyBorder="1" applyAlignment="1" applyProtection="1">
      <alignment horizontal="center"/>
      <protection hidden="1"/>
    </xf>
    <xf numFmtId="0" fontId="17" fillId="33" borderId="23" xfId="53" applyFont="1" applyFill="1" applyBorder="1" applyProtection="1">
      <alignment/>
      <protection hidden="1"/>
    </xf>
    <xf numFmtId="0" fontId="18" fillId="33" borderId="0" xfId="53" applyFont="1" applyFill="1" applyBorder="1" applyAlignment="1" applyProtection="1">
      <alignment horizontal="center"/>
      <protection hidden="1"/>
    </xf>
    <xf numFmtId="0" fontId="12" fillId="33" borderId="0" xfId="53" applyFont="1" applyFill="1" applyBorder="1" applyAlignment="1" applyProtection="1">
      <alignment horizontal="center" vertical="center"/>
      <protection hidden="1"/>
    </xf>
    <xf numFmtId="0" fontId="12" fillId="33" borderId="11" xfId="53" applyFont="1" applyFill="1" applyBorder="1" applyAlignment="1" applyProtection="1">
      <alignment horizontal="center" vertical="center"/>
      <protection hidden="1"/>
    </xf>
    <xf numFmtId="0" fontId="30" fillId="33" borderId="0" xfId="53" applyFont="1" applyFill="1" applyBorder="1" applyAlignment="1" applyProtection="1">
      <alignment horizontal="center"/>
      <protection hidden="1"/>
    </xf>
    <xf numFmtId="0" fontId="11" fillId="33" borderId="28" xfId="53" applyFont="1" applyFill="1" applyBorder="1" applyAlignment="1" applyProtection="1">
      <alignment horizontal="left"/>
      <protection hidden="1"/>
    </xf>
    <xf numFmtId="0" fontId="11" fillId="0" borderId="0" xfId="53" applyFont="1" applyBorder="1" applyAlignment="1" applyProtection="1">
      <alignment horizontal="left"/>
      <protection hidden="1"/>
    </xf>
    <xf numFmtId="0" fontId="28" fillId="33" borderId="0" xfId="53" applyFont="1" applyFill="1" applyBorder="1" applyAlignment="1" applyProtection="1">
      <alignment horizontal="left" wrapText="1"/>
      <protection hidden="1"/>
    </xf>
    <xf numFmtId="0" fontId="2" fillId="34" borderId="12" xfId="53" applyFont="1" applyFill="1" applyBorder="1" applyAlignment="1" applyProtection="1">
      <alignment horizontal="center" vertical="center"/>
      <protection hidden="1"/>
    </xf>
    <xf numFmtId="0" fontId="6" fillId="33" borderId="26" xfId="53" applyFont="1" applyFill="1" applyBorder="1" applyAlignment="1" applyProtection="1">
      <alignment horizontal="left"/>
      <protection hidden="1"/>
    </xf>
    <xf numFmtId="0" fontId="12" fillId="33" borderId="15" xfId="53" applyFont="1" applyFill="1" applyBorder="1" applyProtection="1">
      <alignment/>
      <protection hidden="1"/>
    </xf>
    <xf numFmtId="0" fontId="10" fillId="33" borderId="0" xfId="53" applyFont="1" applyFill="1" applyBorder="1" applyProtection="1">
      <alignment/>
      <protection hidden="1"/>
    </xf>
    <xf numFmtId="0" fontId="14" fillId="33" borderId="19" xfId="53" applyFont="1" applyFill="1" applyBorder="1" applyProtection="1">
      <alignment/>
      <protection hidden="1"/>
    </xf>
    <xf numFmtId="0" fontId="14" fillId="33" borderId="19" xfId="53" applyFont="1" applyFill="1" applyBorder="1" applyAlignment="1" applyProtection="1">
      <alignment horizontal="center"/>
      <protection hidden="1"/>
    </xf>
    <xf numFmtId="0" fontId="15" fillId="33" borderId="19" xfId="53" applyFont="1" applyFill="1" applyBorder="1" applyAlignment="1" applyProtection="1">
      <alignment horizontal="center"/>
      <protection hidden="1"/>
    </xf>
    <xf numFmtId="0" fontId="12" fillId="33" borderId="18" xfId="53" applyFont="1" applyFill="1" applyBorder="1" applyAlignment="1" applyProtection="1">
      <alignment horizontal="left" wrapText="1"/>
      <protection hidden="1"/>
    </xf>
    <xf numFmtId="0" fontId="14" fillId="33" borderId="15" xfId="53" applyFont="1" applyFill="1" applyBorder="1" applyProtection="1">
      <alignment/>
      <protection hidden="1"/>
    </xf>
    <xf numFmtId="0" fontId="14" fillId="33" borderId="11" xfId="53" applyFont="1" applyFill="1" applyBorder="1" applyAlignment="1" applyProtection="1">
      <alignment horizontal="center"/>
      <protection hidden="1"/>
    </xf>
    <xf numFmtId="0" fontId="16" fillId="33" borderId="11" xfId="53" applyFont="1" applyFill="1" applyBorder="1" applyProtection="1">
      <alignment/>
      <protection hidden="1"/>
    </xf>
    <xf numFmtId="0" fontId="5" fillId="33" borderId="11" xfId="53" applyFont="1" applyFill="1" applyBorder="1" applyProtection="1">
      <alignment/>
      <protection hidden="1"/>
    </xf>
    <xf numFmtId="0" fontId="14" fillId="33" borderId="11" xfId="53" applyFont="1" applyFill="1" applyBorder="1" applyAlignment="1" applyProtection="1">
      <alignment horizontal="left" vertical="center"/>
      <protection hidden="1"/>
    </xf>
    <xf numFmtId="0" fontId="14" fillId="33" borderId="11" xfId="53" applyFont="1" applyFill="1" applyBorder="1" applyAlignment="1" applyProtection="1">
      <alignment horizontal="center" vertical="center"/>
      <protection hidden="1"/>
    </xf>
    <xf numFmtId="0" fontId="12" fillId="33" borderId="0" xfId="53" applyFont="1" applyFill="1" applyBorder="1" applyAlignment="1" applyProtection="1">
      <alignment horizontal="left"/>
      <protection hidden="1"/>
    </xf>
    <xf numFmtId="0" fontId="12" fillId="33" borderId="15" xfId="53" applyFont="1" applyFill="1" applyBorder="1" applyAlignment="1" applyProtection="1">
      <alignment horizontal="left"/>
      <protection hidden="1"/>
    </xf>
    <xf numFmtId="0" fontId="20" fillId="33" borderId="16" xfId="53" applyFont="1" applyFill="1" applyBorder="1" applyProtection="1">
      <alignment/>
      <protection hidden="1"/>
    </xf>
    <xf numFmtId="0" fontId="20" fillId="33" borderId="12" xfId="53" applyFont="1" applyFill="1" applyBorder="1" applyProtection="1">
      <alignment/>
      <protection hidden="1"/>
    </xf>
    <xf numFmtId="0" fontId="5" fillId="33" borderId="12" xfId="53" applyFont="1" applyFill="1" applyBorder="1" applyProtection="1">
      <alignment/>
      <protection hidden="1"/>
    </xf>
    <xf numFmtId="0" fontId="12" fillId="33" borderId="11" xfId="53" applyFont="1" applyFill="1" applyBorder="1" applyProtection="1">
      <alignment/>
      <protection hidden="1"/>
    </xf>
    <xf numFmtId="0" fontId="3" fillId="33" borderId="11" xfId="53" applyFont="1" applyFill="1" applyBorder="1" applyAlignment="1" applyProtection="1">
      <alignment horizontal="center"/>
      <protection hidden="1"/>
    </xf>
    <xf numFmtId="0" fontId="12" fillId="33" borderId="29" xfId="53" applyFont="1" applyFill="1" applyBorder="1" applyProtection="1">
      <alignment/>
      <protection hidden="1"/>
    </xf>
    <xf numFmtId="0" fontId="12" fillId="33" borderId="30" xfId="53" applyFont="1" applyFill="1" applyBorder="1" applyAlignment="1" applyProtection="1">
      <alignment horizontal="left"/>
      <protection hidden="1"/>
    </xf>
    <xf numFmtId="0" fontId="5" fillId="33" borderId="0" xfId="53" applyFont="1" applyFill="1" applyBorder="1" applyAlignment="1" applyProtection="1">
      <alignment horizontal="center" vertical="center"/>
      <protection hidden="1"/>
    </xf>
    <xf numFmtId="0" fontId="12" fillId="33" borderId="11" xfId="53" applyFont="1" applyFill="1" applyBorder="1" applyAlignment="1" applyProtection="1">
      <alignment horizontal="center"/>
      <protection hidden="1"/>
    </xf>
    <xf numFmtId="0" fontId="14" fillId="33" borderId="18" xfId="53" applyFont="1" applyFill="1" applyBorder="1" applyProtection="1">
      <alignment/>
      <protection hidden="1"/>
    </xf>
    <xf numFmtId="0" fontId="14" fillId="33" borderId="18" xfId="53" applyFont="1" applyFill="1" applyBorder="1" applyAlignment="1" applyProtection="1">
      <alignment horizontal="center"/>
      <protection hidden="1"/>
    </xf>
    <xf numFmtId="0" fontId="35" fillId="33" borderId="18" xfId="53" applyFont="1" applyFill="1" applyBorder="1" applyAlignment="1" applyProtection="1">
      <alignment horizontal="center"/>
      <protection hidden="1"/>
    </xf>
    <xf numFmtId="0" fontId="6" fillId="33" borderId="31" xfId="53" applyFont="1" applyFill="1" applyBorder="1" applyAlignment="1" applyProtection="1">
      <alignment horizontal="left"/>
      <protection hidden="1"/>
    </xf>
    <xf numFmtId="0" fontId="6" fillId="33" borderId="28" xfId="53" applyFont="1" applyFill="1" applyBorder="1" applyAlignment="1" applyProtection="1">
      <alignment horizontal="left"/>
      <protection hidden="1"/>
    </xf>
    <xf numFmtId="0" fontId="19" fillId="33" borderId="11" xfId="53" applyFont="1" applyFill="1" applyBorder="1" applyAlignment="1" applyProtection="1">
      <alignment horizontal="left"/>
      <protection hidden="1"/>
    </xf>
    <xf numFmtId="0" fontId="2" fillId="33" borderId="20" xfId="53" applyFont="1" applyFill="1" applyBorder="1" applyProtection="1">
      <alignment/>
      <protection hidden="1"/>
    </xf>
    <xf numFmtId="0" fontId="12" fillId="33" borderId="32" xfId="53" applyFont="1" applyFill="1" applyBorder="1" applyAlignment="1" applyProtection="1">
      <alignment horizontal="left" vertical="top" wrapText="1"/>
      <protection hidden="1"/>
    </xf>
    <xf numFmtId="0" fontId="5" fillId="33" borderId="16" xfId="53" applyFont="1" applyFill="1" applyBorder="1" applyProtection="1">
      <alignment/>
      <protection hidden="1"/>
    </xf>
    <xf numFmtId="0" fontId="12" fillId="33" borderId="0" xfId="53" applyFont="1" applyFill="1" applyBorder="1" applyAlignment="1" applyProtection="1">
      <alignment horizontal="center" vertical="top" wrapText="1"/>
      <protection hidden="1"/>
    </xf>
    <xf numFmtId="0" fontId="3" fillId="33" borderId="0" xfId="53" applyFont="1" applyFill="1" applyBorder="1" applyAlignment="1" applyProtection="1">
      <alignment horizontal="center" vertical="top" wrapText="1"/>
      <protection hidden="1"/>
    </xf>
    <xf numFmtId="0" fontId="5" fillId="33" borderId="20" xfId="53" applyFont="1" applyFill="1" applyBorder="1" applyProtection="1">
      <alignment/>
      <protection hidden="1"/>
    </xf>
    <xf numFmtId="0" fontId="4" fillId="33" borderId="0" xfId="53" applyFont="1" applyFill="1" applyBorder="1" applyAlignment="1" applyProtection="1">
      <alignment/>
      <protection hidden="1"/>
    </xf>
    <xf numFmtId="0" fontId="7" fillId="33" borderId="21" xfId="53" applyFont="1" applyFill="1" applyBorder="1" applyAlignment="1" applyProtection="1">
      <alignment horizontal="left"/>
      <protection hidden="1"/>
    </xf>
    <xf numFmtId="0" fontId="2" fillId="33" borderId="25" xfId="53" applyFill="1" applyBorder="1" applyProtection="1">
      <alignment/>
      <protection hidden="1"/>
    </xf>
    <xf numFmtId="0" fontId="2" fillId="33" borderId="31" xfId="53" applyFont="1" applyFill="1" applyBorder="1" applyProtection="1">
      <alignment/>
      <protection hidden="1"/>
    </xf>
    <xf numFmtId="0" fontId="3" fillId="33" borderId="11" xfId="53" applyFont="1" applyFill="1" applyBorder="1" applyAlignment="1" applyProtection="1">
      <alignment horizontal="center"/>
      <protection hidden="1"/>
    </xf>
    <xf numFmtId="0" fontId="2" fillId="33" borderId="16" xfId="53" applyFill="1" applyBorder="1" applyProtection="1">
      <alignment/>
      <protection hidden="1"/>
    </xf>
    <xf numFmtId="0" fontId="2" fillId="33" borderId="32" xfId="53" applyFill="1" applyBorder="1" applyAlignment="1" applyProtection="1">
      <alignment horizontal="left"/>
      <protection hidden="1"/>
    </xf>
    <xf numFmtId="0" fontId="2" fillId="33" borderId="0" xfId="53" applyFill="1" applyBorder="1" applyAlignment="1" applyProtection="1">
      <alignment horizontal="left"/>
      <protection hidden="1"/>
    </xf>
    <xf numFmtId="0" fontId="2" fillId="33" borderId="16" xfId="53" applyFill="1" applyBorder="1" applyAlignment="1" applyProtection="1">
      <alignment horizontal="left"/>
      <protection hidden="1"/>
    </xf>
    <xf numFmtId="0" fontId="45" fillId="33" borderId="11" xfId="53" applyFont="1" applyFill="1" applyBorder="1" applyAlignment="1" applyProtection="1">
      <alignment horizontal="right"/>
      <protection hidden="1"/>
    </xf>
    <xf numFmtId="0" fontId="7" fillId="33" borderId="14" xfId="53" applyFont="1" applyFill="1" applyBorder="1" applyAlignment="1" applyProtection="1">
      <alignment horizontal="left"/>
      <protection hidden="1"/>
    </xf>
    <xf numFmtId="0" fontId="6" fillId="33" borderId="0" xfId="53" applyFont="1" applyFill="1" applyBorder="1" applyAlignment="1" applyProtection="1">
      <alignment/>
      <protection hidden="1"/>
    </xf>
    <xf numFmtId="0" fontId="32" fillId="33" borderId="14" xfId="53" applyFont="1" applyFill="1" applyBorder="1" applyProtection="1">
      <alignment/>
      <protection hidden="1"/>
    </xf>
    <xf numFmtId="0" fontId="7" fillId="33" borderId="26" xfId="53" applyFont="1" applyFill="1" applyBorder="1" applyAlignment="1" applyProtection="1">
      <alignment/>
      <protection hidden="1"/>
    </xf>
    <xf numFmtId="0" fontId="7" fillId="33" borderId="25" xfId="53" applyFont="1" applyFill="1" applyBorder="1" applyAlignment="1" applyProtection="1">
      <alignment/>
      <protection hidden="1"/>
    </xf>
    <xf numFmtId="0" fontId="7" fillId="33" borderId="0" xfId="53" applyFont="1" applyFill="1" applyBorder="1" applyProtection="1">
      <alignment/>
      <protection hidden="1"/>
    </xf>
    <xf numFmtId="0" fontId="9" fillId="33" borderId="0" xfId="53" applyFont="1" applyFill="1" applyBorder="1" applyAlignment="1" applyProtection="1">
      <alignment/>
      <protection hidden="1"/>
    </xf>
    <xf numFmtId="0" fontId="14" fillId="33" borderId="33" xfId="53" applyFont="1" applyFill="1" applyBorder="1" applyProtection="1">
      <alignment/>
      <protection hidden="1"/>
    </xf>
    <xf numFmtId="0" fontId="14" fillId="33" borderId="33" xfId="53" applyFont="1" applyFill="1" applyBorder="1" applyAlignment="1" applyProtection="1">
      <alignment horizontal="center"/>
      <protection hidden="1"/>
    </xf>
    <xf numFmtId="0" fontId="6" fillId="33" borderId="34" xfId="53" applyFont="1" applyFill="1" applyBorder="1" applyAlignment="1" applyProtection="1">
      <alignment/>
      <protection hidden="1"/>
    </xf>
    <xf numFmtId="0" fontId="45" fillId="33" borderId="10" xfId="53" applyFont="1" applyFill="1" applyBorder="1" applyAlignment="1" applyProtection="1">
      <alignment horizontal="left"/>
      <protection hidden="1"/>
    </xf>
    <xf numFmtId="0" fontId="14" fillId="33" borderId="0" xfId="53" applyFont="1" applyFill="1" applyBorder="1" applyProtection="1">
      <alignment/>
      <protection hidden="1"/>
    </xf>
    <xf numFmtId="0" fontId="12" fillId="33" borderId="15" xfId="53" applyFont="1" applyFill="1" applyBorder="1" applyAlignment="1" applyProtection="1">
      <alignment wrapText="1"/>
      <protection hidden="1"/>
    </xf>
    <xf numFmtId="0" fontId="2" fillId="33" borderId="15" xfId="53" applyFont="1" applyFill="1" applyBorder="1" applyAlignment="1" applyProtection="1">
      <alignment wrapText="1"/>
      <protection hidden="1"/>
    </xf>
    <xf numFmtId="0" fontId="12" fillId="33" borderId="11" xfId="53" applyFont="1" applyFill="1" applyBorder="1" applyAlignment="1" applyProtection="1">
      <alignment horizontal="center" wrapText="1"/>
      <protection hidden="1"/>
    </xf>
    <xf numFmtId="0" fontId="2" fillId="33" borderId="11" xfId="53" applyFont="1" applyFill="1" applyBorder="1" applyAlignment="1" applyProtection="1">
      <alignment wrapText="1"/>
      <protection hidden="1"/>
    </xf>
    <xf numFmtId="0" fontId="25" fillId="33" borderId="11" xfId="53" applyFont="1" applyFill="1" applyBorder="1" applyAlignment="1" applyProtection="1">
      <alignment horizontal="center" wrapText="1"/>
      <protection hidden="1"/>
    </xf>
    <xf numFmtId="0" fontId="2" fillId="33" borderId="11" xfId="53" applyFont="1" applyFill="1" applyBorder="1" applyAlignment="1" applyProtection="1">
      <alignment horizontal="left" wrapText="1"/>
      <protection hidden="1"/>
    </xf>
    <xf numFmtId="0" fontId="26" fillId="33" borderId="11" xfId="53" applyFont="1" applyFill="1" applyBorder="1" applyAlignment="1" applyProtection="1">
      <alignment wrapText="1"/>
      <protection hidden="1"/>
    </xf>
    <xf numFmtId="0" fontId="12" fillId="34" borderId="35" xfId="53" applyNumberFormat="1" applyFont="1" applyFill="1" applyBorder="1" applyAlignment="1" applyProtection="1">
      <alignment vertical="center"/>
      <protection hidden="1"/>
    </xf>
    <xf numFmtId="0" fontId="12" fillId="34" borderId="36" xfId="53" applyNumberFormat="1" applyFont="1" applyFill="1" applyBorder="1" applyAlignment="1" applyProtection="1">
      <alignment vertical="center"/>
      <protection hidden="1"/>
    </xf>
    <xf numFmtId="0" fontId="12" fillId="34" borderId="35" xfId="53" applyFont="1" applyFill="1" applyBorder="1" applyAlignment="1" applyProtection="1">
      <alignment vertical="center"/>
      <protection hidden="1"/>
    </xf>
    <xf numFmtId="0" fontId="12" fillId="34" borderId="36" xfId="53" applyFont="1" applyFill="1" applyBorder="1" applyAlignment="1" applyProtection="1">
      <alignment vertical="center"/>
      <protection hidden="1"/>
    </xf>
    <xf numFmtId="0" fontId="50" fillId="33" borderId="10" xfId="53" applyFont="1" applyFill="1" applyBorder="1" applyAlignment="1" applyProtection="1">
      <alignment/>
      <protection hidden="1"/>
    </xf>
    <xf numFmtId="1" fontId="5" fillId="33" borderId="0" xfId="0" applyNumberFormat="1" applyFont="1" applyFill="1" applyBorder="1" applyAlignment="1" applyProtection="1">
      <alignment horizontal="center"/>
      <protection hidden="1"/>
    </xf>
    <xf numFmtId="0" fontId="45" fillId="33" borderId="0" xfId="53" applyFont="1" applyFill="1" applyBorder="1" applyAlignment="1" applyProtection="1">
      <alignment horizontal="left"/>
      <protection hidden="1"/>
    </xf>
    <xf numFmtId="1" fontId="16" fillId="33" borderId="0" xfId="53" applyNumberFormat="1" applyFont="1" applyFill="1" applyBorder="1" applyAlignment="1" applyProtection="1">
      <alignment horizontal="center"/>
      <protection hidden="1"/>
    </xf>
    <xf numFmtId="0" fontId="12" fillId="33" borderId="0" xfId="53" applyFont="1" applyFill="1" applyBorder="1" applyAlignment="1" applyProtection="1">
      <alignment horizontal="left" vertical="center"/>
      <protection hidden="1"/>
    </xf>
    <xf numFmtId="1" fontId="12" fillId="33" borderId="0" xfId="53" applyNumberFormat="1" applyFont="1" applyFill="1" applyBorder="1" applyAlignment="1" applyProtection="1">
      <alignment horizontal="left"/>
      <protection hidden="1"/>
    </xf>
    <xf numFmtId="1" fontId="5" fillId="33" borderId="0" xfId="53" applyNumberFormat="1" applyFont="1" applyFill="1" applyBorder="1" applyAlignment="1" applyProtection="1">
      <alignment/>
      <protection hidden="1"/>
    </xf>
    <xf numFmtId="0" fontId="6" fillId="0" borderId="0" xfId="53" applyFont="1" applyBorder="1" applyAlignment="1" applyProtection="1">
      <alignment horizontal="left"/>
      <protection hidden="1"/>
    </xf>
    <xf numFmtId="0" fontId="28" fillId="33" borderId="10" xfId="53" applyFont="1" applyFill="1" applyBorder="1" applyProtection="1">
      <alignment/>
      <protection hidden="1"/>
    </xf>
    <xf numFmtId="0" fontId="5" fillId="33" borderId="12" xfId="53" applyFont="1" applyFill="1" applyBorder="1" applyAlignment="1" applyProtection="1">
      <alignment horizontal="center"/>
      <protection hidden="1"/>
    </xf>
    <xf numFmtId="0" fontId="5" fillId="33" borderId="22" xfId="53" applyFont="1" applyFill="1" applyBorder="1" applyProtection="1">
      <alignment/>
      <protection hidden="1"/>
    </xf>
    <xf numFmtId="0" fontId="17" fillId="33" borderId="12" xfId="53" applyFont="1" applyFill="1" applyBorder="1" applyAlignment="1" applyProtection="1">
      <alignment horizontal="left"/>
      <protection hidden="1"/>
    </xf>
    <xf numFmtId="0" fontId="17" fillId="33" borderId="16" xfId="53" applyFont="1" applyFill="1" applyBorder="1" applyAlignment="1" applyProtection="1">
      <alignment horizontal="left"/>
      <protection hidden="1"/>
    </xf>
    <xf numFmtId="0" fontId="45" fillId="33" borderId="10" xfId="53" applyFont="1" applyFill="1" applyBorder="1" applyAlignment="1" applyProtection="1">
      <alignment horizontal="left"/>
      <protection hidden="1"/>
    </xf>
    <xf numFmtId="0" fontId="6" fillId="33" borderId="11" xfId="53" applyFont="1" applyFill="1" applyBorder="1" applyAlignment="1" applyProtection="1">
      <alignment horizontal="left"/>
      <protection hidden="1"/>
    </xf>
    <xf numFmtId="0" fontId="6" fillId="33" borderId="11" xfId="53" applyFont="1" applyFill="1" applyBorder="1" applyAlignment="1" applyProtection="1">
      <alignment horizontal="center"/>
      <protection hidden="1"/>
    </xf>
    <xf numFmtId="0" fontId="20" fillId="33" borderId="13" xfId="53" applyFont="1" applyFill="1" applyBorder="1" applyProtection="1">
      <alignment/>
      <protection hidden="1"/>
    </xf>
    <xf numFmtId="0" fontId="8" fillId="33" borderId="37" xfId="53" applyFont="1" applyFill="1" applyBorder="1" applyAlignment="1" applyProtection="1">
      <alignment horizontal="left"/>
      <protection hidden="1"/>
    </xf>
    <xf numFmtId="0" fontId="7" fillId="33" borderId="37" xfId="53" applyFont="1" applyFill="1" applyBorder="1" applyAlignment="1" applyProtection="1">
      <alignment/>
      <protection hidden="1"/>
    </xf>
    <xf numFmtId="0" fontId="30" fillId="33" borderId="10" xfId="53" applyFont="1" applyFill="1" applyBorder="1" applyAlignment="1" applyProtection="1">
      <alignment horizontal="center"/>
      <protection hidden="1"/>
    </xf>
    <xf numFmtId="0" fontId="5" fillId="33" borderId="10" xfId="53" applyFont="1" applyFill="1" applyBorder="1" applyAlignment="1" applyProtection="1">
      <alignment/>
      <protection hidden="1"/>
    </xf>
    <xf numFmtId="1" fontId="12" fillId="33" borderId="11" xfId="53" applyNumberFormat="1" applyFont="1" applyFill="1" applyBorder="1" applyAlignment="1" applyProtection="1">
      <alignment horizontal="left"/>
      <protection hidden="1"/>
    </xf>
    <xf numFmtId="0" fontId="12" fillId="33" borderId="0" xfId="53" applyFont="1" applyFill="1" applyBorder="1" applyAlignment="1" applyProtection="1">
      <alignment/>
      <protection hidden="1"/>
    </xf>
    <xf numFmtId="0" fontId="5" fillId="33" borderId="0" xfId="53" applyFont="1" applyFill="1" applyAlignment="1" applyProtection="1">
      <alignment/>
      <protection hidden="1"/>
    </xf>
    <xf numFmtId="0" fontId="50" fillId="33" borderId="0" xfId="53" applyFont="1" applyFill="1" applyBorder="1" applyAlignment="1" applyProtection="1">
      <alignment/>
      <protection hidden="1"/>
    </xf>
    <xf numFmtId="0" fontId="5" fillId="33" borderId="11" xfId="53" applyFont="1" applyFill="1" applyBorder="1" applyAlignment="1" applyProtection="1">
      <alignment/>
      <protection hidden="1"/>
    </xf>
    <xf numFmtId="0" fontId="5" fillId="33" borderId="0" xfId="53" applyFont="1" applyFill="1" applyAlignment="1" applyProtection="1">
      <alignment/>
      <protection hidden="1"/>
    </xf>
    <xf numFmtId="0" fontId="10" fillId="33" borderId="0" xfId="53" applyFont="1" applyFill="1" applyBorder="1" applyAlignment="1" applyProtection="1">
      <alignment/>
      <protection hidden="1"/>
    </xf>
    <xf numFmtId="0" fontId="2" fillId="33" borderId="0" xfId="53" applyFont="1" applyFill="1" applyBorder="1" applyAlignment="1" applyProtection="1">
      <alignment/>
      <protection hidden="1"/>
    </xf>
    <xf numFmtId="0" fontId="4" fillId="33" borderId="0" xfId="53" applyFont="1" applyFill="1" applyAlignment="1" applyProtection="1">
      <alignment/>
      <protection hidden="1"/>
    </xf>
    <xf numFmtId="1" fontId="5" fillId="33" borderId="11" xfId="53" applyNumberFormat="1" applyFont="1" applyFill="1" applyBorder="1" applyAlignment="1" applyProtection="1">
      <alignment/>
      <protection hidden="1"/>
    </xf>
    <xf numFmtId="0" fontId="12" fillId="33" borderId="11" xfId="53" applyFont="1" applyFill="1" applyBorder="1" applyAlignment="1" applyProtection="1">
      <alignment/>
      <protection hidden="1"/>
    </xf>
    <xf numFmtId="1" fontId="16" fillId="33" borderId="0" xfId="53" applyNumberFormat="1" applyFont="1" applyFill="1" applyBorder="1" applyAlignment="1" applyProtection="1">
      <alignment/>
      <protection hidden="1"/>
    </xf>
    <xf numFmtId="0" fontId="12" fillId="33" borderId="0" xfId="53" applyFont="1" applyFill="1" applyBorder="1" applyAlignment="1" applyProtection="1">
      <alignment/>
      <protection hidden="1"/>
    </xf>
    <xf numFmtId="0" fontId="8" fillId="33" borderId="0" xfId="53" applyFont="1" applyFill="1" applyBorder="1" applyAlignment="1" applyProtection="1">
      <alignment/>
      <protection hidden="1"/>
    </xf>
    <xf numFmtId="1" fontId="12" fillId="33" borderId="0" xfId="53" applyNumberFormat="1" applyFont="1" applyFill="1" applyBorder="1" applyAlignment="1" applyProtection="1">
      <alignment/>
      <protection hidden="1"/>
    </xf>
    <xf numFmtId="0" fontId="13" fillId="33" borderId="0" xfId="53" applyFont="1" applyFill="1" applyBorder="1" applyAlignment="1" applyProtection="1">
      <alignment/>
      <protection hidden="1"/>
    </xf>
    <xf numFmtId="1" fontId="5" fillId="33" borderId="0" xfId="0" applyNumberFormat="1" applyFont="1" applyFill="1" applyBorder="1" applyAlignment="1" applyProtection="1">
      <alignment/>
      <protection hidden="1"/>
    </xf>
    <xf numFmtId="0" fontId="2" fillId="33" borderId="0" xfId="53" applyFont="1" applyFill="1" applyBorder="1" applyAlignment="1" applyProtection="1">
      <alignment/>
      <protection hidden="1"/>
    </xf>
    <xf numFmtId="0" fontId="2" fillId="33" borderId="11" xfId="53" applyFont="1" applyFill="1" applyBorder="1" applyAlignment="1" applyProtection="1">
      <alignment/>
      <protection hidden="1"/>
    </xf>
    <xf numFmtId="0" fontId="8" fillId="33" borderId="0" xfId="53" applyFont="1" applyFill="1" applyBorder="1" applyAlignment="1" applyProtection="1">
      <alignment/>
      <protection hidden="1"/>
    </xf>
    <xf numFmtId="0" fontId="8" fillId="33" borderId="11" xfId="53" applyFont="1" applyFill="1" applyBorder="1" applyAlignment="1" applyProtection="1">
      <alignment/>
      <protection hidden="1"/>
    </xf>
    <xf numFmtId="0" fontId="5" fillId="35" borderId="0" xfId="53" applyFont="1" applyFill="1" applyBorder="1" applyAlignment="1" applyProtection="1">
      <alignment/>
      <protection hidden="1"/>
    </xf>
    <xf numFmtId="0" fontId="5" fillId="35" borderId="0" xfId="53" applyFont="1" applyFill="1" applyBorder="1" applyAlignment="1" applyProtection="1">
      <alignment/>
      <protection hidden="1"/>
    </xf>
    <xf numFmtId="0" fontId="5" fillId="35" borderId="0" xfId="53" applyFont="1" applyFill="1" applyAlignment="1" applyProtection="1">
      <alignment/>
      <protection hidden="1"/>
    </xf>
    <xf numFmtId="0" fontId="12" fillId="33" borderId="23" xfId="53" applyFont="1" applyFill="1" applyBorder="1" applyProtection="1">
      <alignment/>
      <protection hidden="1"/>
    </xf>
    <xf numFmtId="0" fontId="5" fillId="35" borderId="0" xfId="53" applyFont="1" applyFill="1" applyBorder="1" applyProtection="1">
      <alignment/>
      <protection hidden="1"/>
    </xf>
    <xf numFmtId="1" fontId="5" fillId="35" borderId="11" xfId="53" applyNumberFormat="1" applyFont="1" applyFill="1" applyBorder="1" applyAlignment="1" applyProtection="1">
      <alignment/>
      <protection hidden="1"/>
    </xf>
    <xf numFmtId="1" fontId="5" fillId="35" borderId="0" xfId="53" applyNumberFormat="1" applyFont="1" applyFill="1" applyBorder="1" applyAlignment="1" applyProtection="1">
      <alignment/>
      <protection hidden="1"/>
    </xf>
    <xf numFmtId="0" fontId="12" fillId="35" borderId="0" xfId="53" applyFont="1" applyFill="1" applyBorder="1" applyAlignment="1" applyProtection="1">
      <alignment horizontal="left"/>
      <protection hidden="1"/>
    </xf>
    <xf numFmtId="0" fontId="13" fillId="35" borderId="0" xfId="53" applyFont="1" applyFill="1" applyBorder="1" applyAlignment="1" applyProtection="1">
      <alignment horizontal="center"/>
      <protection hidden="1"/>
    </xf>
    <xf numFmtId="0" fontId="13" fillId="35" borderId="0" xfId="53" applyFont="1" applyFill="1" applyBorder="1" applyAlignment="1" applyProtection="1">
      <alignment/>
      <protection hidden="1"/>
    </xf>
    <xf numFmtId="0" fontId="12" fillId="35" borderId="11" xfId="53" applyFont="1" applyFill="1" applyBorder="1" applyAlignment="1" applyProtection="1">
      <alignment horizontal="left"/>
      <protection hidden="1"/>
    </xf>
    <xf numFmtId="0" fontId="13" fillId="35" borderId="11" xfId="53" applyFont="1" applyFill="1" applyBorder="1" applyAlignment="1" applyProtection="1">
      <alignment horizontal="center"/>
      <protection hidden="1"/>
    </xf>
    <xf numFmtId="0" fontId="11" fillId="33" borderId="10" xfId="53" applyFont="1" applyFill="1" applyBorder="1" applyAlignment="1" applyProtection="1">
      <alignment horizontal="left"/>
      <protection hidden="1"/>
    </xf>
    <xf numFmtId="0" fontId="12" fillId="34" borderId="27" xfId="53" applyFont="1" applyFill="1" applyBorder="1" applyAlignment="1" applyProtection="1">
      <alignment vertical="center"/>
      <protection hidden="1"/>
    </xf>
    <xf numFmtId="0" fontId="6" fillId="35" borderId="0" xfId="53" applyFont="1" applyFill="1" applyBorder="1" applyAlignment="1" applyProtection="1">
      <alignment/>
      <protection hidden="1"/>
    </xf>
    <xf numFmtId="0" fontId="3" fillId="33" borderId="38" xfId="53" applyFont="1" applyFill="1" applyBorder="1" applyProtection="1">
      <alignment/>
      <protection hidden="1"/>
    </xf>
    <xf numFmtId="0" fontId="9" fillId="33" borderId="13" xfId="53" applyFont="1" applyFill="1" applyBorder="1" applyProtection="1">
      <alignment/>
      <protection hidden="1"/>
    </xf>
    <xf numFmtId="0" fontId="6" fillId="35" borderId="34" xfId="53" applyFont="1" applyFill="1" applyBorder="1" applyAlignment="1" applyProtection="1">
      <alignment horizontal="left"/>
      <protection hidden="1"/>
    </xf>
    <xf numFmtId="0" fontId="12" fillId="35" borderId="0" xfId="53" applyFont="1" applyFill="1" applyBorder="1" applyAlignment="1" applyProtection="1">
      <alignment/>
      <protection hidden="1"/>
    </xf>
    <xf numFmtId="0" fontId="12" fillId="35" borderId="11" xfId="53" applyFont="1" applyFill="1" applyBorder="1" applyAlignment="1" applyProtection="1">
      <alignment horizontal="left" vertical="center"/>
      <protection hidden="1"/>
    </xf>
    <xf numFmtId="0" fontId="5" fillId="33" borderId="0" xfId="53" applyFont="1" applyFill="1" applyBorder="1" applyAlignment="1" applyProtection="1">
      <alignment horizontal="left"/>
      <protection hidden="1"/>
    </xf>
    <xf numFmtId="0" fontId="47" fillId="33" borderId="23" xfId="53" applyFont="1" applyFill="1" applyBorder="1" applyAlignment="1" applyProtection="1">
      <alignment horizontal="left"/>
      <protection hidden="1"/>
    </xf>
    <xf numFmtId="0" fontId="7" fillId="33" borderId="0" xfId="54" applyFont="1" applyFill="1" applyBorder="1" applyProtection="1">
      <alignment/>
      <protection hidden="1"/>
    </xf>
    <xf numFmtId="0" fontId="52" fillId="33" borderId="12" xfId="53" applyFont="1" applyFill="1" applyBorder="1" applyAlignment="1" applyProtection="1">
      <alignment horizontal="left"/>
      <protection hidden="1"/>
    </xf>
    <xf numFmtId="0" fontId="53" fillId="33" borderId="12" xfId="53" applyFont="1" applyFill="1" applyBorder="1" applyProtection="1">
      <alignment/>
      <protection hidden="1"/>
    </xf>
    <xf numFmtId="0" fontId="52" fillId="33" borderId="12" xfId="53" applyFont="1" applyFill="1" applyBorder="1" applyProtection="1">
      <alignment/>
      <protection hidden="1"/>
    </xf>
    <xf numFmtId="0" fontId="7" fillId="33" borderId="0" xfId="54" applyFont="1" applyFill="1" applyBorder="1" applyAlignment="1" applyProtection="1">
      <alignment horizontal="left"/>
      <protection hidden="1"/>
    </xf>
    <xf numFmtId="0" fontId="2" fillId="33" borderId="14" xfId="53" applyFont="1" applyFill="1" applyBorder="1" applyAlignment="1" applyProtection="1">
      <alignment horizontal="left"/>
      <protection hidden="1"/>
    </xf>
    <xf numFmtId="0" fontId="11" fillId="35" borderId="10" xfId="53" applyFont="1" applyFill="1" applyBorder="1" applyAlignment="1" applyProtection="1">
      <alignment horizontal="left"/>
      <protection hidden="1"/>
    </xf>
    <xf numFmtId="1" fontId="16" fillId="35" borderId="0" xfId="53" applyNumberFormat="1" applyFont="1" applyFill="1" applyBorder="1" applyAlignment="1" applyProtection="1">
      <alignment horizontal="center"/>
      <protection hidden="1"/>
    </xf>
    <xf numFmtId="0" fontId="7" fillId="35" borderId="0" xfId="53" applyFont="1" applyFill="1" applyBorder="1" applyAlignment="1" applyProtection="1">
      <alignment horizontal="left"/>
      <protection hidden="1"/>
    </xf>
    <xf numFmtId="0" fontId="11" fillId="35" borderId="0" xfId="53" applyFont="1" applyFill="1" applyBorder="1" applyAlignment="1" applyProtection="1">
      <alignment horizontal="left"/>
      <protection hidden="1"/>
    </xf>
    <xf numFmtId="1" fontId="16" fillId="35" borderId="0" xfId="53" applyNumberFormat="1" applyFont="1" applyFill="1" applyBorder="1" applyAlignment="1" applyProtection="1">
      <alignment horizontal="center"/>
      <protection hidden="1"/>
    </xf>
    <xf numFmtId="0" fontId="12" fillId="33" borderId="18" xfId="53" applyFont="1" applyFill="1" applyBorder="1" applyProtection="1">
      <alignment/>
      <protection hidden="1"/>
    </xf>
    <xf numFmtId="0" fontId="5" fillId="33" borderId="11" xfId="53" applyFont="1" applyFill="1" applyBorder="1" applyAlignment="1" applyProtection="1">
      <alignment horizontal="center" vertical="center"/>
      <protection hidden="1"/>
    </xf>
    <xf numFmtId="0" fontId="6" fillId="35" borderId="38" xfId="53" applyFont="1" applyFill="1" applyBorder="1" applyAlignment="1" applyProtection="1">
      <alignment horizontal="left"/>
      <protection hidden="1"/>
    </xf>
    <xf numFmtId="0" fontId="9" fillId="33" borderId="21" xfId="53" applyFont="1" applyFill="1" applyBorder="1" applyProtection="1">
      <alignment/>
      <protection hidden="1"/>
    </xf>
    <xf numFmtId="0" fontId="26" fillId="33" borderId="12" xfId="53" applyFont="1" applyFill="1" applyBorder="1" applyAlignment="1" applyProtection="1">
      <alignment horizontal="left"/>
      <protection hidden="1"/>
    </xf>
    <xf numFmtId="0" fontId="5" fillId="33" borderId="10" xfId="53" applyFont="1" applyFill="1" applyBorder="1" applyAlignment="1" applyProtection="1">
      <alignment/>
      <protection hidden="1"/>
    </xf>
    <xf numFmtId="0" fontId="7" fillId="33" borderId="28" xfId="53" applyFont="1" applyFill="1" applyBorder="1" applyAlignment="1" applyProtection="1">
      <alignment horizontal="left"/>
      <protection hidden="1"/>
    </xf>
    <xf numFmtId="0" fontId="4" fillId="33" borderId="0" xfId="53" applyFont="1" applyFill="1" applyBorder="1" applyAlignment="1" applyProtection="1">
      <alignment horizontal="center"/>
      <protection hidden="1"/>
    </xf>
    <xf numFmtId="1" fontId="5" fillId="36" borderId="0" xfId="53" applyNumberFormat="1" applyFont="1" applyFill="1" applyBorder="1" applyAlignment="1" applyProtection="1">
      <alignment horizontal="center"/>
      <protection hidden="1"/>
    </xf>
    <xf numFmtId="0" fontId="5" fillId="36" borderId="0" xfId="53" applyFont="1" applyFill="1" applyAlignment="1" applyProtection="1">
      <alignment/>
      <protection hidden="1"/>
    </xf>
    <xf numFmtId="0" fontId="5" fillId="36" borderId="0" xfId="53" applyFont="1" applyFill="1" applyProtection="1">
      <alignment/>
      <protection hidden="1"/>
    </xf>
    <xf numFmtId="1" fontId="8" fillId="36" borderId="0" xfId="53" applyNumberFormat="1" applyFont="1" applyFill="1" applyBorder="1" applyAlignment="1" applyProtection="1">
      <alignment horizontal="left"/>
      <protection hidden="1"/>
    </xf>
    <xf numFmtId="1" fontId="8" fillId="36" borderId="0" xfId="53" applyNumberFormat="1" applyFont="1" applyFill="1" applyBorder="1" applyAlignment="1" applyProtection="1">
      <alignment wrapText="1"/>
      <protection hidden="1"/>
    </xf>
    <xf numFmtId="0" fontId="7" fillId="33" borderId="10" xfId="54" applyFont="1" applyFill="1" applyBorder="1" applyAlignment="1" applyProtection="1">
      <alignment horizontal="left"/>
      <protection hidden="1"/>
    </xf>
    <xf numFmtId="0" fontId="122" fillId="33" borderId="18" xfId="53" applyFont="1" applyFill="1" applyBorder="1" applyAlignment="1" applyProtection="1">
      <alignment horizontal="center"/>
      <protection hidden="1"/>
    </xf>
    <xf numFmtId="0" fontId="16" fillId="33" borderId="0" xfId="53" applyFont="1" applyFill="1" applyBorder="1" applyAlignment="1" applyProtection="1">
      <alignment horizontal="center"/>
      <protection hidden="1"/>
    </xf>
    <xf numFmtId="0" fontId="45" fillId="33" borderId="28" xfId="53" applyFont="1" applyFill="1" applyBorder="1" applyAlignment="1" applyProtection="1">
      <alignment horizontal="left"/>
      <protection hidden="1"/>
    </xf>
    <xf numFmtId="0" fontId="5" fillId="35" borderId="11" xfId="53" applyFont="1" applyFill="1" applyBorder="1" applyProtection="1">
      <alignment/>
      <protection hidden="1"/>
    </xf>
    <xf numFmtId="0" fontId="12" fillId="33" borderId="22" xfId="53" applyFont="1" applyFill="1" applyBorder="1" applyProtection="1">
      <alignment/>
      <protection hidden="1"/>
    </xf>
    <xf numFmtId="0" fontId="5" fillId="33" borderId="25" xfId="53" applyFont="1" applyFill="1" applyBorder="1" applyAlignment="1" applyProtection="1">
      <alignment/>
      <protection hidden="1"/>
    </xf>
    <xf numFmtId="0" fontId="26" fillId="33" borderId="14" xfId="53" applyFont="1" applyFill="1" applyBorder="1" applyAlignment="1" applyProtection="1">
      <alignment wrapText="1"/>
      <protection hidden="1"/>
    </xf>
    <xf numFmtId="0" fontId="2" fillId="33" borderId="26" xfId="53" applyFont="1" applyFill="1" applyBorder="1" applyProtection="1">
      <alignment/>
      <protection hidden="1"/>
    </xf>
    <xf numFmtId="0" fontId="2" fillId="33" borderId="20" xfId="53" applyFill="1" applyBorder="1" applyProtection="1">
      <alignment/>
      <protection hidden="1"/>
    </xf>
    <xf numFmtId="0" fontId="6" fillId="33" borderId="0" xfId="53" applyFont="1" applyFill="1" applyBorder="1" applyAlignment="1" applyProtection="1">
      <alignment horizontal="left"/>
      <protection hidden="1"/>
    </xf>
    <xf numFmtId="192" fontId="5" fillId="33" borderId="12" xfId="53" applyNumberFormat="1" applyFont="1" applyFill="1" applyBorder="1" applyAlignment="1" applyProtection="1">
      <alignment horizontal="center"/>
      <protection hidden="1"/>
    </xf>
    <xf numFmtId="192" fontId="5" fillId="33" borderId="13" xfId="53" applyNumberFormat="1" applyFont="1" applyFill="1" applyBorder="1" applyAlignment="1" applyProtection="1">
      <alignment horizontal="center"/>
      <protection hidden="1"/>
    </xf>
    <xf numFmtId="0" fontId="5" fillId="35" borderId="0" xfId="53" applyFont="1" applyFill="1" applyBorder="1" applyAlignment="1" applyProtection="1">
      <alignment horizontal="center" vertical="center"/>
      <protection hidden="1"/>
    </xf>
    <xf numFmtId="0" fontId="5" fillId="35" borderId="0" xfId="53" applyFont="1" applyFill="1" applyBorder="1" applyAlignment="1" applyProtection="1">
      <alignment horizontal="center" vertical="center"/>
      <protection hidden="1"/>
    </xf>
    <xf numFmtId="0" fontId="11" fillId="35" borderId="0" xfId="53" applyFont="1" applyFill="1" applyBorder="1" applyAlignment="1" applyProtection="1">
      <alignment horizontal="left"/>
      <protection hidden="1"/>
    </xf>
    <xf numFmtId="192" fontId="5" fillId="35" borderId="12" xfId="53" applyNumberFormat="1" applyFont="1" applyFill="1" applyBorder="1" applyAlignment="1" applyProtection="1">
      <alignment horizontal="center"/>
      <protection hidden="1"/>
    </xf>
    <xf numFmtId="192" fontId="5" fillId="35" borderId="13" xfId="53" applyNumberFormat="1" applyFont="1" applyFill="1" applyBorder="1" applyAlignment="1" applyProtection="1">
      <alignment horizontal="center"/>
      <protection hidden="1"/>
    </xf>
    <xf numFmtId="0" fontId="5" fillId="33" borderId="11" xfId="53" applyFont="1" applyFill="1" applyBorder="1" applyAlignment="1" applyProtection="1">
      <alignment/>
      <protection hidden="1"/>
    </xf>
    <xf numFmtId="1" fontId="5" fillId="35" borderId="0" xfId="0" applyNumberFormat="1" applyFont="1" applyFill="1" applyBorder="1" applyAlignment="1" applyProtection="1">
      <alignment horizontal="center"/>
      <protection hidden="1"/>
    </xf>
    <xf numFmtId="0" fontId="5" fillId="33" borderId="10" xfId="53" applyNumberFormat="1" applyFont="1" applyFill="1" applyBorder="1" applyAlignment="1" applyProtection="1">
      <alignment horizontal="center"/>
      <protection hidden="1"/>
    </xf>
    <xf numFmtId="0" fontId="12" fillId="35" borderId="0" xfId="53" applyFont="1" applyFill="1" applyBorder="1" applyAlignment="1" applyProtection="1">
      <alignment horizontal="left"/>
      <protection hidden="1"/>
    </xf>
    <xf numFmtId="0" fontId="2" fillId="33" borderId="13" xfId="53" applyFont="1" applyFill="1" applyBorder="1" applyProtection="1">
      <alignment/>
      <protection hidden="1"/>
    </xf>
    <xf numFmtId="0" fontId="26" fillId="35" borderId="11" xfId="53" applyFont="1" applyFill="1" applyBorder="1" applyProtection="1">
      <alignment/>
      <protection hidden="1"/>
    </xf>
    <xf numFmtId="0" fontId="26" fillId="33" borderId="20" xfId="53" applyFont="1" applyFill="1" applyBorder="1" applyProtection="1">
      <alignment/>
      <protection hidden="1"/>
    </xf>
    <xf numFmtId="0" fontId="12" fillId="33" borderId="12" xfId="53" applyFont="1" applyFill="1" applyBorder="1" applyAlignment="1" applyProtection="1">
      <alignment horizontal="left" wrapText="1"/>
      <protection hidden="1"/>
    </xf>
    <xf numFmtId="0" fontId="7" fillId="33" borderId="13" xfId="53" applyFont="1" applyFill="1" applyBorder="1" applyAlignment="1" applyProtection="1">
      <alignment horizontal="left"/>
      <protection hidden="1"/>
    </xf>
    <xf numFmtId="0" fontId="123" fillId="33" borderId="0" xfId="53" applyFont="1" applyFill="1" applyBorder="1" applyAlignment="1" applyProtection="1">
      <alignment wrapText="1"/>
      <protection hidden="1"/>
    </xf>
    <xf numFmtId="0" fontId="26" fillId="35" borderId="16" xfId="53" applyFont="1" applyFill="1" applyBorder="1" applyProtection="1">
      <alignment/>
      <protection hidden="1"/>
    </xf>
    <xf numFmtId="0" fontId="0" fillId="33" borderId="12" xfId="53" applyFont="1" applyFill="1" applyBorder="1" applyProtection="1">
      <alignment/>
      <protection hidden="1"/>
    </xf>
    <xf numFmtId="192" fontId="5" fillId="35" borderId="20" xfId="53" applyNumberFormat="1" applyFont="1" applyFill="1" applyBorder="1" applyAlignment="1" applyProtection="1">
      <alignment horizontal="center"/>
      <protection hidden="1"/>
    </xf>
    <xf numFmtId="0" fontId="124" fillId="33" borderId="19" xfId="53" applyFont="1" applyFill="1" applyBorder="1" applyAlignment="1" applyProtection="1">
      <alignment horizontal="center"/>
      <protection hidden="1"/>
    </xf>
    <xf numFmtId="1" fontId="16" fillId="33" borderId="11" xfId="53" applyNumberFormat="1" applyFont="1" applyFill="1" applyBorder="1" applyAlignment="1" applyProtection="1">
      <alignment/>
      <protection hidden="1"/>
    </xf>
    <xf numFmtId="0" fontId="6" fillId="0" borderId="11" xfId="53" applyFont="1" applyBorder="1" applyAlignment="1" applyProtection="1">
      <alignment horizontal="left"/>
      <protection hidden="1"/>
    </xf>
    <xf numFmtId="0" fontId="14" fillId="33" borderId="0" xfId="53" applyFont="1" applyFill="1" applyBorder="1" applyAlignment="1" applyProtection="1">
      <alignment horizontal="center"/>
      <protection hidden="1"/>
    </xf>
    <xf numFmtId="0" fontId="14" fillId="33" borderId="12" xfId="53" applyFont="1" applyFill="1" applyBorder="1" applyAlignment="1" applyProtection="1">
      <alignment horizontal="center"/>
      <protection hidden="1"/>
    </xf>
    <xf numFmtId="0" fontId="32" fillId="33" borderId="13" xfId="53" applyFont="1" applyFill="1" applyBorder="1" applyProtection="1">
      <alignment/>
      <protection hidden="1"/>
    </xf>
    <xf numFmtId="0" fontId="14" fillId="33" borderId="16" xfId="53" applyFont="1" applyFill="1" applyBorder="1" applyProtection="1">
      <alignment/>
      <protection hidden="1"/>
    </xf>
    <xf numFmtId="0" fontId="7" fillId="0" borderId="10" xfId="53" applyFont="1" applyBorder="1" applyProtection="1">
      <alignment/>
      <protection hidden="1"/>
    </xf>
    <xf numFmtId="0" fontId="7" fillId="35" borderId="10" xfId="53" applyFont="1" applyFill="1" applyBorder="1" applyProtection="1">
      <alignment/>
      <protection hidden="1"/>
    </xf>
    <xf numFmtId="0" fontId="7" fillId="33" borderId="11" xfId="53" applyFont="1" applyFill="1" applyBorder="1" applyProtection="1">
      <alignment/>
      <protection hidden="1"/>
    </xf>
    <xf numFmtId="0" fontId="2" fillId="35" borderId="16" xfId="53" applyFont="1" applyFill="1" applyBorder="1" applyProtection="1">
      <alignment/>
      <protection hidden="1"/>
    </xf>
    <xf numFmtId="0" fontId="2" fillId="35" borderId="12" xfId="53" applyFont="1" applyFill="1" applyBorder="1" applyProtection="1">
      <alignment/>
      <protection hidden="1"/>
    </xf>
    <xf numFmtId="0" fontId="2" fillId="35" borderId="20" xfId="53" applyFont="1" applyFill="1" applyBorder="1" applyProtection="1">
      <alignment/>
      <protection hidden="1"/>
    </xf>
    <xf numFmtId="0" fontId="2" fillId="35" borderId="11" xfId="53" applyFont="1" applyFill="1" applyBorder="1" applyProtection="1">
      <alignment/>
      <protection hidden="1"/>
    </xf>
    <xf numFmtId="0" fontId="2" fillId="35" borderId="14" xfId="53" applyFont="1" applyFill="1" applyBorder="1" applyProtection="1">
      <alignment/>
      <protection hidden="1"/>
    </xf>
    <xf numFmtId="0" fontId="16" fillId="33" borderId="15" xfId="53" applyFont="1" applyFill="1" applyBorder="1" applyAlignment="1" applyProtection="1">
      <alignment horizontal="left"/>
      <protection hidden="1"/>
    </xf>
    <xf numFmtId="0" fontId="5" fillId="33" borderId="27" xfId="53" applyFont="1" applyFill="1" applyBorder="1" applyAlignment="1" applyProtection="1">
      <alignment/>
      <protection hidden="1"/>
    </xf>
    <xf numFmtId="0" fontId="122" fillId="33" borderId="0" xfId="53" applyFont="1" applyFill="1" applyBorder="1" applyAlignment="1" applyProtection="1">
      <alignment horizontal="center"/>
      <protection hidden="1"/>
    </xf>
    <xf numFmtId="0" fontId="5" fillId="33" borderId="23" xfId="53" applyFont="1" applyFill="1" applyBorder="1" applyProtection="1">
      <alignment/>
      <protection hidden="1"/>
    </xf>
    <xf numFmtId="0" fontId="12" fillId="35" borderId="11" xfId="53" applyFont="1" applyFill="1" applyBorder="1" applyAlignment="1" applyProtection="1">
      <alignment vertical="center"/>
      <protection hidden="1"/>
    </xf>
    <xf numFmtId="0" fontId="12" fillId="35" borderId="0" xfId="53" applyFont="1" applyFill="1" applyBorder="1" applyAlignment="1" applyProtection="1">
      <alignment vertical="center"/>
      <protection hidden="1"/>
    </xf>
    <xf numFmtId="0" fontId="20" fillId="33" borderId="11" xfId="53" applyFont="1" applyFill="1" applyBorder="1" applyProtection="1">
      <alignment/>
      <protection hidden="1"/>
    </xf>
    <xf numFmtId="0" fontId="7" fillId="33" borderId="28" xfId="53" applyFont="1" applyFill="1" applyBorder="1" applyAlignment="1" applyProtection="1">
      <alignment horizontal="center"/>
      <protection hidden="1"/>
    </xf>
    <xf numFmtId="0" fontId="32" fillId="33" borderId="0" xfId="53" applyFont="1" applyFill="1" applyBorder="1" applyProtection="1">
      <alignment/>
      <protection hidden="1"/>
    </xf>
    <xf numFmtId="0" fontId="30" fillId="33" borderId="0" xfId="53" applyFont="1" applyFill="1" applyBorder="1" applyAlignment="1" applyProtection="1">
      <alignment horizontal="center"/>
      <protection hidden="1"/>
    </xf>
    <xf numFmtId="0" fontId="13" fillId="33" borderId="23" xfId="53" applyFont="1" applyFill="1" applyBorder="1" applyAlignment="1" applyProtection="1">
      <alignment horizontal="center"/>
      <protection hidden="1"/>
    </xf>
    <xf numFmtId="0" fontId="30" fillId="33" borderId="0" xfId="53" applyFont="1" applyFill="1" applyAlignment="1" applyProtection="1">
      <alignment horizontal="center" vertical="center"/>
      <protection hidden="1"/>
    </xf>
    <xf numFmtId="0" fontId="2" fillId="33" borderId="26" xfId="53" applyFill="1" applyBorder="1" applyProtection="1">
      <alignment/>
      <protection hidden="1"/>
    </xf>
    <xf numFmtId="0" fontId="3" fillId="33" borderId="0" xfId="53" applyFont="1" applyFill="1" applyBorder="1" applyAlignment="1" applyProtection="1">
      <alignment horizontal="center"/>
      <protection hidden="1"/>
    </xf>
    <xf numFmtId="9" fontId="12" fillId="35" borderId="13" xfId="53" applyNumberFormat="1" applyFont="1" applyFill="1" applyBorder="1" applyAlignment="1" applyProtection="1">
      <alignment horizontal="center"/>
      <protection hidden="1"/>
    </xf>
    <xf numFmtId="0" fontId="30" fillId="33" borderId="10" xfId="53" applyFont="1" applyFill="1" applyBorder="1" applyAlignment="1" applyProtection="1">
      <alignment horizontal="center" vertical="center"/>
      <protection hidden="1"/>
    </xf>
    <xf numFmtId="9" fontId="5" fillId="35" borderId="0" xfId="53" applyNumberFormat="1" applyFont="1" applyFill="1" applyBorder="1" applyAlignment="1" applyProtection="1">
      <alignment horizontal="center"/>
      <protection hidden="1"/>
    </xf>
    <xf numFmtId="0" fontId="5" fillId="33" borderId="19" xfId="53" applyFont="1" applyFill="1" applyBorder="1" applyAlignment="1" applyProtection="1">
      <alignment horizontal="center"/>
      <protection hidden="1"/>
    </xf>
    <xf numFmtId="0" fontId="6" fillId="35" borderId="10" xfId="53" applyFont="1" applyFill="1" applyBorder="1" applyAlignment="1" applyProtection="1">
      <alignment/>
      <protection hidden="1"/>
    </xf>
    <xf numFmtId="0" fontId="6" fillId="33" borderId="10" xfId="53" applyFont="1" applyFill="1" applyBorder="1" applyAlignment="1" applyProtection="1">
      <alignment horizontal="left"/>
      <protection hidden="1"/>
    </xf>
    <xf numFmtId="0" fontId="2" fillId="33" borderId="14" xfId="53" applyFill="1" applyBorder="1" applyProtection="1">
      <alignment/>
      <protection hidden="1"/>
    </xf>
    <xf numFmtId="0" fontId="5" fillId="33" borderId="23" xfId="53" applyFont="1" applyFill="1" applyBorder="1" applyProtection="1">
      <alignment/>
      <protection hidden="1"/>
    </xf>
    <xf numFmtId="0" fontId="17" fillId="33" borderId="10" xfId="53" applyFont="1" applyFill="1" applyBorder="1" applyAlignment="1" applyProtection="1">
      <alignment horizontal="left"/>
      <protection hidden="1"/>
    </xf>
    <xf numFmtId="0" fontId="2" fillId="33" borderId="26" xfId="53" applyFont="1" applyFill="1" applyBorder="1" applyAlignment="1" applyProtection="1">
      <alignment horizontal="left"/>
      <protection hidden="1"/>
    </xf>
    <xf numFmtId="0" fontId="7" fillId="33" borderId="28" xfId="54" applyFont="1" applyFill="1" applyBorder="1" applyAlignment="1" applyProtection="1">
      <alignment horizontal="left"/>
      <protection hidden="1"/>
    </xf>
    <xf numFmtId="0" fontId="5" fillId="33" borderId="18" xfId="53" applyFont="1" applyFill="1" applyBorder="1" applyAlignment="1" applyProtection="1">
      <alignment horizontal="center"/>
      <protection hidden="1"/>
    </xf>
    <xf numFmtId="0" fontId="12" fillId="33" borderId="21" xfId="53" applyFont="1" applyFill="1" applyBorder="1" applyAlignment="1" applyProtection="1">
      <alignment horizontal="center"/>
      <protection hidden="1"/>
    </xf>
    <xf numFmtId="0" fontId="2" fillId="33" borderId="28" xfId="53" applyFont="1" applyFill="1" applyBorder="1" applyProtection="1">
      <alignment/>
      <protection hidden="1"/>
    </xf>
    <xf numFmtId="1" fontId="5" fillId="35" borderId="28" xfId="53" applyNumberFormat="1" applyFont="1" applyFill="1" applyBorder="1" applyAlignment="1" applyProtection="1">
      <alignment horizontal="center"/>
      <protection hidden="1"/>
    </xf>
    <xf numFmtId="0" fontId="7" fillId="35" borderId="0" xfId="53" applyFont="1" applyFill="1" applyBorder="1" applyAlignment="1" applyProtection="1">
      <alignment/>
      <protection hidden="1"/>
    </xf>
    <xf numFmtId="1" fontId="5" fillId="35" borderId="12" xfId="53" applyNumberFormat="1" applyFont="1" applyFill="1" applyBorder="1" applyAlignment="1" applyProtection="1">
      <alignment horizontal="center"/>
      <protection hidden="1"/>
    </xf>
    <xf numFmtId="0" fontId="125" fillId="33" borderId="0" xfId="53" applyFont="1" applyFill="1" applyBorder="1" applyAlignment="1" applyProtection="1">
      <alignment horizontal="left" wrapText="1"/>
      <protection hidden="1"/>
    </xf>
    <xf numFmtId="0" fontId="126" fillId="33" borderId="0" xfId="53" applyFont="1" applyFill="1" applyProtection="1">
      <alignment/>
      <protection hidden="1"/>
    </xf>
    <xf numFmtId="0" fontId="127" fillId="33" borderId="0" xfId="53" applyFont="1" applyFill="1" applyAlignment="1" applyProtection="1">
      <alignment horizontal="center"/>
      <protection hidden="1"/>
    </xf>
    <xf numFmtId="0" fontId="12" fillId="37" borderId="17" xfId="53" applyFont="1" applyFill="1" applyBorder="1" applyAlignment="1" applyProtection="1">
      <alignment horizontal="center" vertical="center"/>
      <protection hidden="1"/>
    </xf>
    <xf numFmtId="0" fontId="12" fillId="37" borderId="17" xfId="53" applyFont="1" applyFill="1" applyBorder="1" applyAlignment="1" applyProtection="1">
      <alignment horizontal="center"/>
      <protection hidden="1"/>
    </xf>
    <xf numFmtId="0" fontId="12" fillId="37" borderId="35" xfId="53" applyNumberFormat="1" applyFont="1" applyFill="1" applyBorder="1" applyAlignment="1" applyProtection="1">
      <alignment vertical="center"/>
      <protection hidden="1"/>
    </xf>
    <xf numFmtId="0" fontId="12" fillId="37" borderId="36" xfId="53" applyNumberFormat="1" applyFont="1" applyFill="1" applyBorder="1" applyAlignment="1" applyProtection="1">
      <alignment vertical="center"/>
      <protection hidden="1"/>
    </xf>
    <xf numFmtId="0" fontId="12" fillId="37" borderId="35" xfId="53" applyFont="1" applyFill="1" applyBorder="1" applyAlignment="1" applyProtection="1">
      <alignment vertical="center"/>
      <protection hidden="1"/>
    </xf>
    <xf numFmtId="0" fontId="12" fillId="37" borderId="36" xfId="53" applyFont="1" applyFill="1" applyBorder="1" applyAlignment="1" applyProtection="1">
      <alignment vertical="center"/>
      <protection hidden="1"/>
    </xf>
    <xf numFmtId="0" fontId="12" fillId="37" borderId="27" xfId="53" applyFont="1" applyFill="1" applyBorder="1" applyAlignment="1" applyProtection="1">
      <alignment vertical="center"/>
      <protection hidden="1"/>
    </xf>
    <xf numFmtId="0" fontId="12" fillId="37" borderId="39" xfId="53" applyFont="1" applyFill="1" applyBorder="1" applyAlignment="1" applyProtection="1">
      <alignment horizontal="center" vertical="center"/>
      <protection hidden="1"/>
    </xf>
    <xf numFmtId="0" fontId="12" fillId="37" borderId="39" xfId="53" applyFont="1" applyFill="1" applyBorder="1" applyAlignment="1" applyProtection="1">
      <alignment horizontal="center"/>
      <protection hidden="1"/>
    </xf>
    <xf numFmtId="0" fontId="12" fillId="37" borderId="35" xfId="54" applyNumberFormat="1" applyFont="1" applyFill="1" applyBorder="1" applyAlignment="1" applyProtection="1">
      <alignment vertical="center"/>
      <protection hidden="1"/>
    </xf>
    <xf numFmtId="0" fontId="12" fillId="37" borderId="36" xfId="54" applyNumberFormat="1" applyFont="1" applyFill="1" applyBorder="1" applyAlignment="1" applyProtection="1">
      <alignment vertical="center"/>
      <protection hidden="1"/>
    </xf>
    <xf numFmtId="0" fontId="12" fillId="37" borderId="35" xfId="54" applyFont="1" applyFill="1" applyBorder="1" applyAlignment="1" applyProtection="1">
      <alignment vertical="center"/>
      <protection hidden="1"/>
    </xf>
    <xf numFmtId="0" fontId="12" fillId="37" borderId="36" xfId="54" applyFont="1" applyFill="1" applyBorder="1" applyAlignment="1" applyProtection="1">
      <alignment vertical="center"/>
      <protection hidden="1"/>
    </xf>
    <xf numFmtId="0" fontId="12" fillId="37" borderId="27" xfId="54" applyFont="1" applyFill="1" applyBorder="1" applyAlignment="1" applyProtection="1">
      <alignment vertical="center"/>
      <protection hidden="1"/>
    </xf>
    <xf numFmtId="0" fontId="14" fillId="37" borderId="35" xfId="53" applyFont="1" applyFill="1" applyBorder="1" applyAlignment="1" applyProtection="1">
      <alignment horizontal="left" vertical="center"/>
      <protection hidden="1"/>
    </xf>
    <xf numFmtId="0" fontId="46" fillId="37" borderId="35" xfId="53" applyFont="1" applyFill="1" applyBorder="1" applyAlignment="1" applyProtection="1">
      <alignment horizontal="center"/>
      <protection hidden="1"/>
    </xf>
    <xf numFmtId="0" fontId="13" fillId="37" borderId="20" xfId="53" applyFont="1" applyFill="1" applyBorder="1" applyAlignment="1" applyProtection="1">
      <alignment horizontal="center"/>
      <protection hidden="1"/>
    </xf>
    <xf numFmtId="0" fontId="128" fillId="33" borderId="10" xfId="53" applyFont="1" applyFill="1" applyBorder="1" applyAlignment="1" applyProtection="1">
      <alignment horizontal="left"/>
      <protection hidden="1"/>
    </xf>
    <xf numFmtId="0" fontId="12" fillId="37" borderId="12" xfId="53" applyFont="1" applyFill="1" applyBorder="1" applyAlignment="1" applyProtection="1">
      <alignment horizontal="left"/>
      <protection hidden="1"/>
    </xf>
    <xf numFmtId="0" fontId="12" fillId="37" borderId="20" xfId="53" applyFont="1" applyFill="1" applyBorder="1" applyAlignment="1" applyProtection="1">
      <alignment horizontal="left"/>
      <protection hidden="1"/>
    </xf>
    <xf numFmtId="0" fontId="13" fillId="37" borderId="24" xfId="53" applyFont="1" applyFill="1" applyBorder="1" applyAlignment="1" applyProtection="1">
      <alignment horizontal="center"/>
      <protection hidden="1"/>
    </xf>
    <xf numFmtId="0" fontId="13" fillId="37" borderId="38" xfId="53" applyFont="1" applyFill="1" applyBorder="1" applyAlignment="1" applyProtection="1">
      <alignment horizontal="center"/>
      <protection hidden="1"/>
    </xf>
    <xf numFmtId="0" fontId="124" fillId="33" borderId="19" xfId="53" applyFont="1" applyFill="1" applyBorder="1" applyAlignment="1" applyProtection="1">
      <alignment horizontal="center"/>
      <protection hidden="1"/>
    </xf>
    <xf numFmtId="0" fontId="129" fillId="33" borderId="10" xfId="53" applyFont="1" applyFill="1" applyBorder="1" applyProtection="1">
      <alignment/>
      <protection hidden="1"/>
    </xf>
    <xf numFmtId="0" fontId="130" fillId="33" borderId="10" xfId="53" applyFont="1" applyFill="1" applyBorder="1" applyProtection="1">
      <alignment/>
      <protection hidden="1"/>
    </xf>
    <xf numFmtId="1" fontId="124" fillId="33" borderId="10" xfId="53" applyNumberFormat="1" applyFont="1" applyFill="1" applyBorder="1" applyAlignment="1" applyProtection="1">
      <alignment horizontal="center"/>
      <protection hidden="1"/>
    </xf>
    <xf numFmtId="0" fontId="7" fillId="37" borderId="17" xfId="53" applyFont="1" applyFill="1" applyBorder="1" applyAlignment="1" applyProtection="1">
      <alignment horizontal="center" vertical="center"/>
      <protection hidden="1"/>
    </xf>
    <xf numFmtId="192" fontId="5" fillId="0" borderId="11" xfId="53" applyNumberFormat="1" applyFont="1" applyFill="1" applyBorder="1" applyAlignment="1" applyProtection="1">
      <alignment horizontal="center"/>
      <protection hidden="1"/>
    </xf>
    <xf numFmtId="192" fontId="5" fillId="0" borderId="15" xfId="53" applyNumberFormat="1" applyFont="1" applyFill="1" applyBorder="1" applyAlignment="1" applyProtection="1">
      <alignment horizontal="center"/>
      <protection hidden="1"/>
    </xf>
    <xf numFmtId="1" fontId="131" fillId="35" borderId="0" xfId="53" applyNumberFormat="1" applyFont="1" applyFill="1" applyBorder="1" applyAlignment="1" applyProtection="1">
      <alignment horizontal="center"/>
      <protection hidden="1"/>
    </xf>
    <xf numFmtId="0" fontId="131" fillId="33" borderId="0" xfId="53" applyFont="1" applyFill="1" applyBorder="1" applyProtection="1">
      <alignment/>
      <protection hidden="1"/>
    </xf>
    <xf numFmtId="0" fontId="128" fillId="33" borderId="0" xfId="53" applyFont="1" applyFill="1" applyBorder="1" applyAlignment="1" applyProtection="1">
      <alignment horizontal="left"/>
      <protection hidden="1"/>
    </xf>
    <xf numFmtId="0" fontId="12" fillId="37" borderId="31" xfId="53" applyFont="1" applyFill="1" applyBorder="1" applyAlignment="1" applyProtection="1">
      <alignment horizontal="center"/>
      <protection hidden="1"/>
    </xf>
    <xf numFmtId="192" fontId="5" fillId="0" borderId="14" xfId="53" applyNumberFormat="1" applyFont="1" applyFill="1" applyBorder="1" applyAlignment="1" applyProtection="1">
      <alignment horizontal="center"/>
      <protection hidden="1"/>
    </xf>
    <xf numFmtId="192" fontId="5" fillId="0" borderId="13" xfId="53" applyNumberFormat="1" applyFont="1" applyFill="1" applyBorder="1" applyAlignment="1" applyProtection="1">
      <alignment horizontal="center"/>
      <protection hidden="1"/>
    </xf>
    <xf numFmtId="0" fontId="3" fillId="37" borderId="20" xfId="53" applyFont="1" applyFill="1" applyBorder="1" applyAlignment="1" applyProtection="1">
      <alignment horizontal="center" vertical="center"/>
      <protection hidden="1"/>
    </xf>
    <xf numFmtId="0" fontId="27" fillId="37" borderId="20" xfId="53" applyFont="1" applyFill="1" applyBorder="1" applyAlignment="1" applyProtection="1">
      <alignment horizontal="center" vertical="center"/>
      <protection hidden="1"/>
    </xf>
    <xf numFmtId="192" fontId="5" fillId="35" borderId="15" xfId="53" applyNumberFormat="1" applyFont="1" applyFill="1" applyBorder="1" applyAlignment="1" applyProtection="1">
      <alignment/>
      <protection hidden="1"/>
    </xf>
    <xf numFmtId="192" fontId="5" fillId="35" borderId="11" xfId="53" applyNumberFormat="1" applyFont="1" applyFill="1" applyBorder="1" applyAlignment="1" applyProtection="1">
      <alignment/>
      <protection hidden="1"/>
    </xf>
    <xf numFmtId="192" fontId="5" fillId="35" borderId="22" xfId="53" applyNumberFormat="1" applyFont="1" applyFill="1" applyBorder="1" applyAlignment="1" applyProtection="1">
      <alignment/>
      <protection hidden="1"/>
    </xf>
    <xf numFmtId="192" fontId="5" fillId="35" borderId="26" xfId="53" applyNumberFormat="1" applyFont="1" applyFill="1" applyBorder="1" applyAlignment="1" applyProtection="1">
      <alignment/>
      <protection hidden="1"/>
    </xf>
    <xf numFmtId="192" fontId="5" fillId="35" borderId="40" xfId="53" applyNumberFormat="1" applyFont="1" applyFill="1" applyBorder="1" applyAlignment="1" applyProtection="1">
      <alignment/>
      <protection hidden="1"/>
    </xf>
    <xf numFmtId="192" fontId="5" fillId="35" borderId="41" xfId="53" applyNumberFormat="1" applyFont="1" applyFill="1" applyBorder="1" applyAlignment="1" applyProtection="1">
      <alignment/>
      <protection hidden="1"/>
    </xf>
    <xf numFmtId="0" fontId="12" fillId="37" borderId="38" xfId="53" applyFont="1" applyFill="1" applyBorder="1" applyAlignment="1" applyProtection="1">
      <alignment vertical="center"/>
      <protection hidden="1"/>
    </xf>
    <xf numFmtId="0" fontId="12" fillId="37" borderId="42" xfId="53" applyFont="1" applyFill="1" applyBorder="1" applyAlignment="1" applyProtection="1">
      <alignment vertical="center"/>
      <protection hidden="1"/>
    </xf>
    <xf numFmtId="0" fontId="35" fillId="33" borderId="0" xfId="53" applyFont="1" applyFill="1" applyBorder="1" applyAlignment="1" applyProtection="1">
      <alignment horizontal="center"/>
      <protection hidden="1"/>
    </xf>
    <xf numFmtId="0" fontId="27" fillId="37" borderId="24" xfId="53" applyFont="1" applyFill="1" applyBorder="1" applyAlignment="1" applyProtection="1">
      <alignment horizontal="center" vertical="center"/>
      <protection hidden="1"/>
    </xf>
    <xf numFmtId="0" fontId="14" fillId="33" borderId="12" xfId="53" applyFont="1" applyFill="1" applyBorder="1" applyProtection="1">
      <alignment/>
      <protection hidden="1"/>
    </xf>
    <xf numFmtId="0" fontId="17" fillId="33" borderId="20" xfId="53" applyFont="1" applyFill="1" applyBorder="1" applyProtection="1">
      <alignment/>
      <protection hidden="1"/>
    </xf>
    <xf numFmtId="0" fontId="12" fillId="37" borderId="43" xfId="53" applyFont="1" applyFill="1" applyBorder="1" applyAlignment="1" applyProtection="1">
      <alignment horizontal="center" vertical="center"/>
      <protection hidden="1"/>
    </xf>
    <xf numFmtId="0" fontId="7" fillId="33" borderId="12" xfId="53" applyFont="1" applyFill="1" applyBorder="1" applyProtection="1">
      <alignment/>
      <protection hidden="1"/>
    </xf>
    <xf numFmtId="0" fontId="5" fillId="33" borderId="34" xfId="53" applyFont="1" applyFill="1" applyBorder="1" applyAlignment="1" applyProtection="1">
      <alignment horizontal="left" vertical="center"/>
      <protection hidden="1"/>
    </xf>
    <xf numFmtId="0" fontId="7" fillId="35" borderId="34" xfId="53" applyFont="1" applyFill="1" applyBorder="1" applyAlignment="1" applyProtection="1">
      <alignment/>
      <protection hidden="1"/>
    </xf>
    <xf numFmtId="0" fontId="6" fillId="35" borderId="34" xfId="53" applyFont="1" applyFill="1" applyBorder="1" applyAlignment="1" applyProtection="1">
      <alignment/>
      <protection hidden="1"/>
    </xf>
    <xf numFmtId="0" fontId="7" fillId="33" borderId="38" xfId="53" applyFont="1" applyFill="1" applyBorder="1" applyAlignment="1" applyProtection="1">
      <alignment/>
      <protection hidden="1"/>
    </xf>
    <xf numFmtId="0" fontId="13" fillId="37" borderId="26" xfId="53" applyFont="1" applyFill="1" applyBorder="1" applyAlignment="1" applyProtection="1">
      <alignment horizontal="center" vertical="center"/>
      <protection hidden="1"/>
    </xf>
    <xf numFmtId="0" fontId="13" fillId="37" borderId="20" xfId="53" applyFont="1" applyFill="1" applyBorder="1" applyAlignment="1" applyProtection="1">
      <alignment horizontal="center" vertical="center"/>
      <protection hidden="1"/>
    </xf>
    <xf numFmtId="0" fontId="2" fillId="37" borderId="20" xfId="53" applyFont="1" applyFill="1" applyBorder="1" applyAlignment="1" applyProtection="1">
      <alignment horizontal="center" vertical="center"/>
      <protection hidden="1"/>
    </xf>
    <xf numFmtId="0" fontId="2" fillId="37" borderId="40" xfId="53" applyFont="1" applyFill="1" applyBorder="1" applyAlignment="1" applyProtection="1">
      <alignment horizontal="center" vertical="center"/>
      <protection hidden="1"/>
    </xf>
    <xf numFmtId="0" fontId="3" fillId="37" borderId="20" xfId="53" applyFont="1" applyFill="1" applyBorder="1" applyAlignment="1" applyProtection="1">
      <alignment horizontal="center" vertical="center"/>
      <protection hidden="1"/>
    </xf>
    <xf numFmtId="0" fontId="3" fillId="37" borderId="24" xfId="53" applyFont="1" applyFill="1" applyBorder="1" applyAlignment="1" applyProtection="1">
      <alignment horizontal="center" vertical="center"/>
      <protection hidden="1"/>
    </xf>
    <xf numFmtId="0" fontId="12" fillId="33" borderId="26" xfId="53" applyFont="1" applyFill="1" applyBorder="1" applyAlignment="1" applyProtection="1">
      <alignment horizontal="center"/>
      <protection hidden="1"/>
    </xf>
    <xf numFmtId="1" fontId="12" fillId="37" borderId="26" xfId="53" applyNumberFormat="1" applyFont="1" applyFill="1" applyBorder="1" applyAlignment="1" applyProtection="1">
      <alignment horizontal="center"/>
      <protection hidden="1"/>
    </xf>
    <xf numFmtId="1" fontId="12" fillId="37" borderId="40" xfId="53" applyNumberFormat="1" applyFont="1" applyFill="1" applyBorder="1" applyAlignment="1" applyProtection="1">
      <alignment horizontal="center"/>
      <protection hidden="1"/>
    </xf>
    <xf numFmtId="0" fontId="13" fillId="37" borderId="24" xfId="53" applyFont="1" applyFill="1" applyBorder="1" applyAlignment="1" applyProtection="1">
      <alignment horizontal="center"/>
      <protection hidden="1"/>
    </xf>
    <xf numFmtId="0" fontId="13" fillId="37" borderId="32" xfId="53" applyFont="1" applyFill="1" applyBorder="1" applyAlignment="1" applyProtection="1">
      <alignment horizontal="center"/>
      <protection hidden="1"/>
    </xf>
    <xf numFmtId="0" fontId="13" fillId="37" borderId="34" xfId="53" applyFont="1" applyFill="1" applyBorder="1" applyAlignment="1" applyProtection="1">
      <alignment horizontal="center"/>
      <protection hidden="1"/>
    </xf>
    <xf numFmtId="0" fontId="13" fillId="37" borderId="16" xfId="53" applyFont="1" applyFill="1" applyBorder="1" applyAlignment="1" applyProtection="1">
      <alignment horizontal="center"/>
      <protection hidden="1"/>
    </xf>
    <xf numFmtId="0" fontId="35" fillId="37" borderId="20" xfId="53" applyFont="1" applyFill="1" applyBorder="1" applyAlignment="1" applyProtection="1">
      <alignment horizontal="center" vertical="center"/>
      <protection hidden="1"/>
    </xf>
    <xf numFmtId="0" fontId="7" fillId="37" borderId="20" xfId="53" applyFont="1" applyFill="1" applyBorder="1" applyAlignment="1" applyProtection="1">
      <alignment horizontal="center" vertical="center"/>
      <protection hidden="1"/>
    </xf>
    <xf numFmtId="0" fontId="5" fillId="37" borderId="0" xfId="53" applyFont="1" applyFill="1" applyAlignment="1" applyProtection="1">
      <alignment/>
      <protection hidden="1"/>
    </xf>
    <xf numFmtId="0" fontId="5" fillId="37" borderId="0" xfId="53" applyFont="1" applyFill="1" applyProtection="1">
      <alignment/>
      <protection hidden="1"/>
    </xf>
    <xf numFmtId="0" fontId="124" fillId="37" borderId="20" xfId="53" applyFont="1" applyFill="1" applyBorder="1" applyAlignment="1" applyProtection="1">
      <alignment horizontal="center" vertical="center"/>
      <protection hidden="1"/>
    </xf>
    <xf numFmtId="0" fontId="24" fillId="37" borderId="12" xfId="53" applyFont="1" applyFill="1" applyBorder="1" applyAlignment="1" applyProtection="1">
      <alignment/>
      <protection hidden="1"/>
    </xf>
    <xf numFmtId="0" fontId="12" fillId="37" borderId="35" xfId="53" applyFont="1" applyFill="1" applyBorder="1" applyAlignment="1" applyProtection="1">
      <alignment/>
      <protection hidden="1"/>
    </xf>
    <xf numFmtId="0" fontId="12" fillId="37" borderId="27" xfId="53" applyFont="1" applyFill="1" applyBorder="1" applyAlignment="1" applyProtection="1">
      <alignment/>
      <protection hidden="1"/>
    </xf>
    <xf numFmtId="0" fontId="18" fillId="37" borderId="20" xfId="53" applyFont="1" applyFill="1" applyBorder="1" applyAlignment="1" applyProtection="1">
      <alignment horizontal="left"/>
      <protection hidden="1"/>
    </xf>
    <xf numFmtId="0" fontId="12" fillId="33" borderId="0" xfId="53" applyFont="1" applyFill="1" applyProtection="1">
      <alignment/>
      <protection hidden="1"/>
    </xf>
    <xf numFmtId="0" fontId="7" fillId="37" borderId="12" xfId="53" applyFont="1" applyFill="1" applyBorder="1" applyAlignment="1" applyProtection="1">
      <alignment horizontal="center"/>
      <protection hidden="1"/>
    </xf>
    <xf numFmtId="0" fontId="7" fillId="37" borderId="20" xfId="53" applyFont="1" applyFill="1" applyBorder="1" applyAlignment="1" applyProtection="1">
      <alignment horizontal="center"/>
      <protection hidden="1"/>
    </xf>
    <xf numFmtId="0" fontId="13" fillId="37" borderId="34" xfId="53" applyFont="1" applyFill="1" applyBorder="1" applyAlignment="1" applyProtection="1">
      <alignment horizontal="center"/>
      <protection hidden="1"/>
    </xf>
    <xf numFmtId="0" fontId="13" fillId="37" borderId="42" xfId="53" applyFont="1" applyFill="1" applyBorder="1" applyAlignment="1" applyProtection="1">
      <alignment horizontal="center"/>
      <protection hidden="1"/>
    </xf>
    <xf numFmtId="0" fontId="3" fillId="37" borderId="20" xfId="53" applyFont="1" applyFill="1" applyBorder="1" applyAlignment="1" applyProtection="1">
      <alignment horizontal="center" vertical="center"/>
      <protection hidden="1"/>
    </xf>
    <xf numFmtId="0" fontId="130" fillId="37" borderId="24" xfId="53" applyFont="1" applyFill="1" applyBorder="1" applyAlignment="1" applyProtection="1">
      <alignment horizontal="center"/>
      <protection hidden="1"/>
    </xf>
    <xf numFmtId="192" fontId="5" fillId="38" borderId="11" xfId="53" applyNumberFormat="1" applyFont="1" applyFill="1" applyBorder="1" applyAlignment="1" applyProtection="1">
      <alignment horizontal="center"/>
      <protection hidden="1"/>
    </xf>
    <xf numFmtId="192" fontId="5" fillId="38" borderId="12" xfId="53" applyNumberFormat="1" applyFont="1" applyFill="1" applyBorder="1" applyAlignment="1" applyProtection="1">
      <alignment horizontal="center"/>
      <protection hidden="1"/>
    </xf>
    <xf numFmtId="1" fontId="5" fillId="38" borderId="11" xfId="53" applyNumberFormat="1" applyFont="1" applyFill="1" applyBorder="1" applyAlignment="1" applyProtection="1">
      <alignment horizontal="center"/>
      <protection hidden="1"/>
    </xf>
    <xf numFmtId="192" fontId="5" fillId="38" borderId="13" xfId="53" applyNumberFormat="1" applyFont="1" applyFill="1" applyBorder="1" applyAlignment="1" applyProtection="1">
      <alignment horizontal="center"/>
      <protection hidden="1"/>
    </xf>
    <xf numFmtId="192" fontId="5" fillId="38" borderId="14" xfId="53" applyNumberFormat="1" applyFont="1" applyFill="1" applyBorder="1" applyAlignment="1" applyProtection="1">
      <alignment horizontal="center"/>
      <protection hidden="1"/>
    </xf>
    <xf numFmtId="192" fontId="5" fillId="38" borderId="26" xfId="53" applyNumberFormat="1" applyFont="1" applyFill="1" applyBorder="1" applyAlignment="1" applyProtection="1">
      <alignment horizontal="center"/>
      <protection hidden="1"/>
    </xf>
    <xf numFmtId="192" fontId="5" fillId="38" borderId="20" xfId="53" applyNumberFormat="1" applyFont="1" applyFill="1" applyBorder="1" applyAlignment="1" applyProtection="1">
      <alignment horizontal="center"/>
      <protection hidden="1"/>
    </xf>
    <xf numFmtId="0" fontId="3" fillId="37" borderId="20" xfId="53" applyFont="1" applyFill="1" applyBorder="1" applyAlignment="1" applyProtection="1">
      <alignment horizontal="center"/>
      <protection hidden="1"/>
    </xf>
    <xf numFmtId="0" fontId="23" fillId="37" borderId="12" xfId="53" applyFont="1" applyFill="1" applyBorder="1" applyAlignment="1" applyProtection="1">
      <alignment horizontal="center" vertical="center"/>
      <protection hidden="1"/>
    </xf>
    <xf numFmtId="0" fontId="7" fillId="37" borderId="12" xfId="53" applyFont="1" applyFill="1" applyBorder="1" applyAlignment="1" applyProtection="1">
      <alignment horizontal="center"/>
      <protection hidden="1"/>
    </xf>
    <xf numFmtId="0" fontId="7" fillId="37" borderId="20" xfId="53" applyFont="1" applyFill="1" applyBorder="1" applyAlignment="1" applyProtection="1">
      <alignment horizontal="center"/>
      <protection hidden="1"/>
    </xf>
    <xf numFmtId="0" fontId="12" fillId="37" borderId="26" xfId="53" applyFont="1" applyFill="1" applyBorder="1" applyAlignment="1" applyProtection="1">
      <alignment horizontal="center" wrapText="1"/>
      <protection hidden="1"/>
    </xf>
    <xf numFmtId="0" fontId="12" fillId="37" borderId="40" xfId="53" applyFont="1" applyFill="1" applyBorder="1" applyAlignment="1" applyProtection="1">
      <alignment horizontal="center" wrapText="1"/>
      <protection hidden="1"/>
    </xf>
    <xf numFmtId="0" fontId="12" fillId="37" borderId="26" xfId="53" applyFont="1" applyFill="1" applyBorder="1" applyAlignment="1" applyProtection="1">
      <alignment/>
      <protection hidden="1"/>
    </xf>
    <xf numFmtId="0" fontId="2" fillId="37" borderId="18" xfId="53" applyFill="1" applyBorder="1" applyAlignment="1" applyProtection="1">
      <alignment horizontal="center" vertical="center"/>
      <protection hidden="1"/>
    </xf>
    <xf numFmtId="0" fontId="13" fillId="37" borderId="40" xfId="53" applyFont="1" applyFill="1" applyBorder="1" applyAlignment="1" applyProtection="1">
      <alignment horizontal="center"/>
      <protection hidden="1"/>
    </xf>
    <xf numFmtId="0" fontId="2" fillId="33" borderId="20" xfId="53" applyFont="1" applyFill="1" applyBorder="1" applyAlignment="1" applyProtection="1">
      <alignment horizontal="left"/>
      <protection hidden="1"/>
    </xf>
    <xf numFmtId="0" fontId="3" fillId="37" borderId="24" xfId="53" applyFont="1" applyFill="1" applyBorder="1" applyAlignment="1" applyProtection="1">
      <alignment horizontal="center" vertical="center"/>
      <protection hidden="1"/>
    </xf>
    <xf numFmtId="0" fontId="12" fillId="37" borderId="26" xfId="54" applyNumberFormat="1" applyFont="1" applyFill="1" applyBorder="1" applyAlignment="1" applyProtection="1">
      <alignment vertical="center"/>
      <protection hidden="1"/>
    </xf>
    <xf numFmtId="0" fontId="3" fillId="33" borderId="19" xfId="53" applyFont="1" applyFill="1" applyBorder="1" applyAlignment="1" applyProtection="1">
      <alignment horizontal="left"/>
      <protection hidden="1"/>
    </xf>
    <xf numFmtId="0" fontId="2" fillId="37" borderId="24" xfId="53" applyFont="1" applyFill="1" applyBorder="1" applyAlignment="1" applyProtection="1">
      <alignment horizontal="center" vertical="center"/>
      <protection hidden="1"/>
    </xf>
    <xf numFmtId="0" fontId="2" fillId="37" borderId="12" xfId="53" applyFont="1" applyFill="1" applyBorder="1" applyAlignment="1" applyProtection="1">
      <alignment horizontal="center" vertical="center"/>
      <protection hidden="1"/>
    </xf>
    <xf numFmtId="0" fontId="12" fillId="37" borderId="11" xfId="53" applyFont="1" applyFill="1" applyBorder="1" applyAlignment="1" applyProtection="1">
      <alignment horizontal="center" vertical="center"/>
      <protection hidden="1"/>
    </xf>
    <xf numFmtId="0" fontId="13" fillId="37" borderId="20" xfId="53" applyFont="1" applyFill="1" applyBorder="1" applyAlignment="1" applyProtection="1">
      <alignment horizontal="center" vertical="center"/>
      <protection hidden="1"/>
    </xf>
    <xf numFmtId="0" fontId="27" fillId="37" borderId="12" xfId="53" applyFont="1" applyFill="1" applyBorder="1" applyAlignment="1" applyProtection="1">
      <alignment horizontal="center" vertical="center"/>
      <protection hidden="1"/>
    </xf>
    <xf numFmtId="0" fontId="17" fillId="33" borderId="34" xfId="53" applyFont="1" applyFill="1" applyBorder="1" applyAlignment="1" applyProtection="1">
      <alignment horizontal="left"/>
      <protection hidden="1"/>
    </xf>
    <xf numFmtId="0" fontId="5" fillId="33" borderId="34" xfId="53" applyFont="1" applyFill="1" applyBorder="1" applyAlignment="1" applyProtection="1">
      <alignment/>
      <protection hidden="1"/>
    </xf>
    <xf numFmtId="0" fontId="5" fillId="33" borderId="34" xfId="53" applyFont="1" applyFill="1" applyBorder="1" applyAlignment="1" applyProtection="1">
      <alignment/>
      <protection hidden="1"/>
    </xf>
    <xf numFmtId="0" fontId="5" fillId="33" borderId="42" xfId="53" applyFont="1" applyFill="1" applyBorder="1" applyAlignment="1" applyProtection="1">
      <alignment/>
      <protection hidden="1"/>
    </xf>
    <xf numFmtId="0" fontId="7" fillId="37" borderId="16" xfId="53" applyFont="1" applyFill="1" applyBorder="1" applyAlignment="1" applyProtection="1">
      <alignment horizontal="center"/>
      <protection hidden="1"/>
    </xf>
    <xf numFmtId="0" fontId="3" fillId="37" borderId="17" xfId="53" applyFont="1" applyFill="1" applyBorder="1" applyAlignment="1" applyProtection="1">
      <alignment horizontal="center" vertical="center"/>
      <protection hidden="1"/>
    </xf>
    <xf numFmtId="0" fontId="7" fillId="33" borderId="43" xfId="53" applyFont="1" applyFill="1" applyBorder="1" applyProtection="1">
      <alignment/>
      <protection hidden="1"/>
    </xf>
    <xf numFmtId="0" fontId="131" fillId="33" borderId="0" xfId="53" applyFont="1" applyFill="1" applyBorder="1" applyAlignment="1" applyProtection="1">
      <alignment/>
      <protection hidden="1"/>
    </xf>
    <xf numFmtId="0" fontId="7" fillId="37" borderId="24" xfId="53" applyFont="1" applyFill="1" applyBorder="1" applyAlignment="1" applyProtection="1">
      <alignment horizontal="center" vertical="center"/>
      <protection hidden="1"/>
    </xf>
    <xf numFmtId="0" fontId="12" fillId="33" borderId="44" xfId="53" applyFont="1" applyFill="1" applyBorder="1" applyAlignment="1" applyProtection="1">
      <alignment horizontal="center"/>
      <protection hidden="1"/>
    </xf>
    <xf numFmtId="0" fontId="2" fillId="33" borderId="45" xfId="53" applyFont="1" applyFill="1" applyBorder="1" applyProtection="1">
      <alignment/>
      <protection hidden="1"/>
    </xf>
    <xf numFmtId="192" fontId="5" fillId="35" borderId="46" xfId="53" applyNumberFormat="1" applyFont="1" applyFill="1" applyBorder="1" applyAlignment="1" applyProtection="1">
      <alignment horizontal="center"/>
      <protection hidden="1"/>
    </xf>
    <xf numFmtId="192" fontId="5" fillId="33" borderId="45" xfId="53" applyNumberFormat="1" applyFont="1" applyFill="1" applyBorder="1" applyAlignment="1" applyProtection="1">
      <alignment horizontal="center"/>
      <protection hidden="1"/>
    </xf>
    <xf numFmtId="0" fontId="124" fillId="33" borderId="18" xfId="53" applyFont="1" applyFill="1" applyBorder="1" applyProtection="1">
      <alignment/>
      <protection hidden="1"/>
    </xf>
    <xf numFmtId="0" fontId="124" fillId="33" borderId="18" xfId="53" applyFont="1" applyFill="1" applyBorder="1" applyAlignment="1" applyProtection="1">
      <alignment horizontal="center"/>
      <protection hidden="1"/>
    </xf>
    <xf numFmtId="0" fontId="132" fillId="33" borderId="21" xfId="53" applyFont="1" applyFill="1" applyBorder="1" applyProtection="1">
      <alignment/>
      <protection hidden="1"/>
    </xf>
    <xf numFmtId="0" fontId="57" fillId="33" borderId="18" xfId="54" applyFont="1" applyFill="1" applyBorder="1" applyProtection="1">
      <alignment/>
      <protection hidden="1"/>
    </xf>
    <xf numFmtId="0" fontId="58" fillId="33" borderId="12" xfId="53" applyFont="1" applyFill="1" applyBorder="1" applyProtection="1">
      <alignment/>
      <protection hidden="1"/>
    </xf>
    <xf numFmtId="0" fontId="57" fillId="33" borderId="18" xfId="54" applyFont="1" applyFill="1" applyBorder="1" applyAlignment="1" applyProtection="1">
      <alignment horizontal="center"/>
      <protection hidden="1"/>
    </xf>
    <xf numFmtId="0" fontId="32" fillId="35" borderId="12" xfId="53" applyFont="1" applyFill="1" applyBorder="1" applyProtection="1">
      <alignment/>
      <protection hidden="1"/>
    </xf>
    <xf numFmtId="0" fontId="58" fillId="33" borderId="20" xfId="53" applyFont="1" applyFill="1" applyBorder="1" applyProtection="1">
      <alignment/>
      <protection hidden="1"/>
    </xf>
    <xf numFmtId="0" fontId="35" fillId="33" borderId="18" xfId="54" applyFont="1" applyFill="1" applyBorder="1" applyAlignment="1" applyProtection="1">
      <alignment horizontal="center"/>
      <protection hidden="1"/>
    </xf>
    <xf numFmtId="0" fontId="35" fillId="35" borderId="18" xfId="54" applyFont="1" applyFill="1" applyBorder="1" applyAlignment="1" applyProtection="1">
      <alignment horizontal="center"/>
      <protection hidden="1"/>
    </xf>
    <xf numFmtId="0" fontId="32" fillId="35" borderId="20" xfId="53" applyFont="1" applyFill="1" applyBorder="1" applyProtection="1">
      <alignment/>
      <protection hidden="1"/>
    </xf>
    <xf numFmtId="0" fontId="133" fillId="33" borderId="0" xfId="53" applyFont="1" applyFill="1" applyBorder="1" applyAlignment="1" applyProtection="1">
      <alignment/>
      <protection hidden="1"/>
    </xf>
    <xf numFmtId="0" fontId="134" fillId="33" borderId="0" xfId="53" applyFont="1" applyFill="1" applyBorder="1" applyAlignment="1" applyProtection="1">
      <alignment horizontal="left"/>
      <protection hidden="1"/>
    </xf>
    <xf numFmtId="0" fontId="12" fillId="37" borderId="38" xfId="54" applyNumberFormat="1" applyFont="1" applyFill="1" applyBorder="1" applyAlignment="1" applyProtection="1">
      <alignment vertical="center"/>
      <protection hidden="1"/>
    </xf>
    <xf numFmtId="0" fontId="12" fillId="37" borderId="42" xfId="54" applyNumberFormat="1" applyFont="1" applyFill="1" applyBorder="1" applyAlignment="1" applyProtection="1">
      <alignment vertical="center"/>
      <protection hidden="1"/>
    </xf>
    <xf numFmtId="0" fontId="12" fillId="37" borderId="38" xfId="54" applyFont="1" applyFill="1" applyBorder="1" applyAlignment="1" applyProtection="1">
      <alignment vertical="center"/>
      <protection hidden="1"/>
    </xf>
    <xf numFmtId="0" fontId="12" fillId="37" borderId="42" xfId="54" applyFont="1" applyFill="1" applyBorder="1" applyAlignment="1" applyProtection="1">
      <alignment vertical="center"/>
      <protection hidden="1"/>
    </xf>
    <xf numFmtId="0" fontId="30" fillId="33" borderId="10" xfId="53" applyFont="1" applyFill="1" applyBorder="1" applyAlignment="1" applyProtection="1">
      <alignment horizontal="left"/>
      <protection hidden="1"/>
    </xf>
    <xf numFmtId="0" fontId="5" fillId="33" borderId="0" xfId="53" applyFont="1" applyFill="1" applyAlignment="1" applyProtection="1">
      <alignment horizontal="left"/>
      <protection hidden="1"/>
    </xf>
    <xf numFmtId="0" fontId="135" fillId="33" borderId="0" xfId="53" applyFont="1" applyFill="1" applyBorder="1" applyAlignment="1" applyProtection="1">
      <alignment horizontal="left"/>
      <protection hidden="1"/>
    </xf>
    <xf numFmtId="0" fontId="135" fillId="35" borderId="0" xfId="53" applyFont="1" applyFill="1" applyBorder="1" applyAlignment="1" applyProtection="1">
      <alignment horizontal="left"/>
      <protection hidden="1"/>
    </xf>
    <xf numFmtId="0" fontId="136" fillId="33" borderId="0" xfId="53" applyFont="1" applyFill="1" applyBorder="1" applyAlignment="1" applyProtection="1">
      <alignment horizontal="center"/>
      <protection hidden="1"/>
    </xf>
    <xf numFmtId="0" fontId="137" fillId="33" borderId="0" xfId="53" applyFont="1" applyFill="1" applyBorder="1" applyAlignment="1" applyProtection="1">
      <alignment/>
      <protection hidden="1"/>
    </xf>
    <xf numFmtId="0" fontId="137" fillId="33" borderId="0" xfId="53" applyFont="1" applyFill="1" applyAlignment="1" applyProtection="1">
      <alignment/>
      <protection hidden="1"/>
    </xf>
    <xf numFmtId="0" fontId="137" fillId="33" borderId="0" xfId="53" applyFont="1" applyFill="1" applyProtection="1">
      <alignment/>
      <protection hidden="1"/>
    </xf>
    <xf numFmtId="0" fontId="12" fillId="37" borderId="17" xfId="53" applyFont="1" applyFill="1" applyBorder="1" applyAlignment="1" applyProtection="1">
      <alignment horizontal="center" vertical="center"/>
      <protection hidden="1"/>
    </xf>
    <xf numFmtId="0" fontId="23" fillId="37" borderId="17" xfId="53" applyFont="1" applyFill="1" applyBorder="1" applyAlignment="1" applyProtection="1">
      <alignment horizontal="left" vertical="center"/>
      <protection hidden="1"/>
    </xf>
    <xf numFmtId="0" fontId="23" fillId="37" borderId="12" xfId="53" applyFont="1" applyFill="1" applyBorder="1" applyAlignment="1" applyProtection="1">
      <alignment horizontal="left" vertical="center"/>
      <protection hidden="1"/>
    </xf>
    <xf numFmtId="0" fontId="12" fillId="34" borderId="24" xfId="53" applyFont="1" applyFill="1" applyBorder="1" applyAlignment="1" applyProtection="1">
      <alignment horizontal="center" vertical="center"/>
      <protection hidden="1"/>
    </xf>
    <xf numFmtId="0" fontId="54" fillId="37" borderId="15" xfId="53" applyFont="1" applyFill="1" applyBorder="1" applyAlignment="1" applyProtection="1">
      <alignment horizontal="center" vertical="center"/>
      <protection hidden="1"/>
    </xf>
    <xf numFmtId="0" fontId="129" fillId="33" borderId="0" xfId="53" applyFont="1" applyFill="1" applyBorder="1" applyProtection="1">
      <alignment/>
      <protection hidden="1"/>
    </xf>
    <xf numFmtId="0" fontId="130" fillId="33" borderId="0" xfId="53" applyFont="1" applyFill="1" applyBorder="1" applyProtection="1">
      <alignment/>
      <protection hidden="1"/>
    </xf>
    <xf numFmtId="1" fontId="124" fillId="33" borderId="0" xfId="53" applyNumberFormat="1" applyFont="1" applyFill="1" applyBorder="1" applyAlignment="1" applyProtection="1">
      <alignment horizontal="center"/>
      <protection hidden="1"/>
    </xf>
    <xf numFmtId="1" fontId="124" fillId="35" borderId="0" xfId="53" applyNumberFormat="1" applyFont="1" applyFill="1" applyBorder="1" applyAlignment="1" applyProtection="1">
      <alignment horizontal="center"/>
      <protection hidden="1"/>
    </xf>
    <xf numFmtId="0" fontId="124" fillId="33" borderId="0" xfId="53" applyFont="1" applyFill="1" applyBorder="1" applyAlignment="1" applyProtection="1">
      <alignment/>
      <protection hidden="1"/>
    </xf>
    <xf numFmtId="0" fontId="124" fillId="33" borderId="0" xfId="53" applyFont="1" applyFill="1" applyBorder="1" applyAlignment="1" applyProtection="1">
      <alignment horizontal="center"/>
      <protection hidden="1"/>
    </xf>
    <xf numFmtId="0" fontId="124" fillId="33" borderId="0" xfId="53" applyFont="1" applyFill="1" applyProtection="1">
      <alignment/>
      <protection hidden="1"/>
    </xf>
    <xf numFmtId="0" fontId="7" fillId="37" borderId="12" xfId="53" applyFont="1" applyFill="1" applyBorder="1" applyAlignment="1" applyProtection="1">
      <alignment horizontal="center" vertical="center"/>
      <protection hidden="1"/>
    </xf>
    <xf numFmtId="0" fontId="8" fillId="33" borderId="10" xfId="53" applyFont="1" applyFill="1" applyBorder="1" applyAlignment="1" applyProtection="1">
      <alignment/>
      <protection hidden="1"/>
    </xf>
    <xf numFmtId="0" fontId="12" fillId="33" borderId="0" xfId="53" applyFont="1" applyFill="1" applyBorder="1" applyProtection="1">
      <alignment/>
      <protection hidden="1"/>
    </xf>
    <xf numFmtId="192" fontId="132" fillId="35" borderId="0" xfId="53" applyNumberFormat="1" applyFont="1" applyFill="1" applyBorder="1" applyAlignment="1" applyProtection="1">
      <alignment horizontal="center"/>
      <protection hidden="1"/>
    </xf>
    <xf numFmtId="192" fontId="132" fillId="33" borderId="0" xfId="53" applyNumberFormat="1" applyFont="1" applyFill="1" applyBorder="1" applyAlignment="1" applyProtection="1">
      <alignment horizontal="center"/>
      <protection hidden="1"/>
    </xf>
    <xf numFmtId="0" fontId="129" fillId="0" borderId="0" xfId="53" applyFont="1" applyFill="1" applyBorder="1" applyAlignment="1" applyProtection="1">
      <alignment horizontal="center"/>
      <protection hidden="1"/>
    </xf>
    <xf numFmtId="0" fontId="132" fillId="33" borderId="0" xfId="53" applyFont="1" applyFill="1" applyAlignment="1" applyProtection="1">
      <alignment/>
      <protection hidden="1"/>
    </xf>
    <xf numFmtId="1" fontId="132" fillId="33" borderId="0" xfId="53" applyNumberFormat="1" applyFont="1" applyFill="1" applyBorder="1" applyAlignment="1" applyProtection="1">
      <alignment horizontal="center"/>
      <protection hidden="1"/>
    </xf>
    <xf numFmtId="0" fontId="132" fillId="33" borderId="0" xfId="53" applyFont="1" applyFill="1" applyBorder="1" applyAlignment="1" applyProtection="1">
      <alignment/>
      <protection hidden="1"/>
    </xf>
    <xf numFmtId="0" fontId="12" fillId="37" borderId="47" xfId="53" applyFont="1" applyFill="1" applyBorder="1" applyAlignment="1" applyProtection="1">
      <alignment horizontal="center" vertical="center"/>
      <protection hidden="1"/>
    </xf>
    <xf numFmtId="192" fontId="5" fillId="35" borderId="16" xfId="53" applyNumberFormat="1" applyFont="1" applyFill="1" applyBorder="1" applyAlignment="1" applyProtection="1">
      <alignment horizontal="center"/>
      <protection hidden="1"/>
    </xf>
    <xf numFmtId="0" fontId="12" fillId="33" borderId="43" xfId="53" applyFont="1" applyFill="1" applyBorder="1" applyProtection="1">
      <alignment/>
      <protection hidden="1"/>
    </xf>
    <xf numFmtId="0" fontId="12" fillId="37" borderId="48" xfId="53" applyFont="1" applyFill="1" applyBorder="1" applyAlignment="1" applyProtection="1">
      <alignment horizontal="center" vertical="center"/>
      <protection hidden="1"/>
    </xf>
    <xf numFmtId="0" fontId="7" fillId="37" borderId="35" xfId="53" applyFont="1" applyFill="1" applyBorder="1" applyAlignment="1" applyProtection="1">
      <alignment horizontal="center" vertical="center"/>
      <protection hidden="1"/>
    </xf>
    <xf numFmtId="0" fontId="128" fillId="33" borderId="0" xfId="53" applyFont="1" applyFill="1" applyBorder="1" applyProtection="1">
      <alignment/>
      <protection hidden="1"/>
    </xf>
    <xf numFmtId="0" fontId="138" fillId="33" borderId="0" xfId="53" applyFont="1" applyFill="1" applyBorder="1" applyProtection="1">
      <alignment/>
      <protection hidden="1"/>
    </xf>
    <xf numFmtId="192" fontId="139" fillId="35" borderId="0" xfId="53" applyNumberFormat="1" applyFont="1" applyFill="1" applyBorder="1" applyAlignment="1" applyProtection="1">
      <alignment horizontal="center"/>
      <protection hidden="1"/>
    </xf>
    <xf numFmtId="0" fontId="139" fillId="33" borderId="0" xfId="53" applyFont="1" applyFill="1" applyBorder="1" applyProtection="1">
      <alignment/>
      <protection hidden="1"/>
    </xf>
    <xf numFmtId="0" fontId="23" fillId="37" borderId="20" xfId="53" applyFont="1" applyFill="1" applyBorder="1" applyAlignment="1" applyProtection="1">
      <alignment horizontal="center" vertical="center"/>
      <protection hidden="1"/>
    </xf>
    <xf numFmtId="1" fontId="5" fillId="33" borderId="26" xfId="53" applyNumberFormat="1" applyFont="1" applyFill="1" applyBorder="1" applyAlignment="1" applyProtection="1">
      <alignment horizontal="center"/>
      <protection hidden="1"/>
    </xf>
    <xf numFmtId="0" fontId="28" fillId="33" borderId="20" xfId="53" applyFont="1" applyFill="1" applyBorder="1" applyAlignment="1" applyProtection="1">
      <alignment horizontal="left" wrapText="1"/>
      <protection hidden="1"/>
    </xf>
    <xf numFmtId="1" fontId="5" fillId="33" borderId="20" xfId="53" applyNumberFormat="1" applyFont="1" applyFill="1" applyBorder="1" applyAlignment="1" applyProtection="1">
      <alignment horizontal="center"/>
      <protection hidden="1"/>
    </xf>
    <xf numFmtId="0" fontId="7" fillId="37" borderId="16" xfId="53" applyFont="1" applyFill="1" applyBorder="1" applyAlignment="1" applyProtection="1">
      <alignment horizontal="center"/>
      <protection hidden="1"/>
    </xf>
    <xf numFmtId="0" fontId="12" fillId="34" borderId="38" xfId="53" applyFont="1" applyFill="1" applyBorder="1" applyAlignment="1" applyProtection="1">
      <alignment vertical="center"/>
      <protection hidden="1"/>
    </xf>
    <xf numFmtId="0" fontId="12" fillId="34" borderId="42" xfId="53" applyFont="1" applyFill="1" applyBorder="1" applyAlignment="1" applyProtection="1">
      <alignment vertical="center"/>
      <protection hidden="1"/>
    </xf>
    <xf numFmtId="0" fontId="5" fillId="33" borderId="12" xfId="53" applyFont="1" applyFill="1" applyBorder="1" applyAlignment="1" applyProtection="1">
      <alignment/>
      <protection hidden="1"/>
    </xf>
    <xf numFmtId="0" fontId="5" fillId="33" borderId="20" xfId="53" applyFont="1" applyFill="1" applyBorder="1" applyAlignment="1" applyProtection="1">
      <alignment/>
      <protection hidden="1"/>
    </xf>
    <xf numFmtId="0" fontId="12" fillId="37" borderId="40" xfId="53" applyFont="1" applyFill="1" applyBorder="1" applyAlignment="1" applyProtection="1">
      <alignment/>
      <protection hidden="1"/>
    </xf>
    <xf numFmtId="0" fontId="12" fillId="37" borderId="38" xfId="53" applyFont="1" applyFill="1" applyBorder="1" applyAlignment="1" applyProtection="1">
      <alignment/>
      <protection hidden="1"/>
    </xf>
    <xf numFmtId="0" fontId="12" fillId="37" borderId="42" xfId="53" applyFont="1" applyFill="1" applyBorder="1" applyAlignment="1" applyProtection="1">
      <alignment/>
      <protection hidden="1"/>
    </xf>
    <xf numFmtId="1" fontId="5" fillId="35" borderId="20" xfId="53" applyNumberFormat="1" applyFont="1" applyFill="1" applyBorder="1" applyAlignment="1" applyProtection="1">
      <alignment horizontal="center"/>
      <protection hidden="1"/>
    </xf>
    <xf numFmtId="0" fontId="22" fillId="37" borderId="40" xfId="53" applyFont="1" applyFill="1" applyBorder="1" applyAlignment="1" applyProtection="1">
      <alignment horizontal="left"/>
      <protection hidden="1"/>
    </xf>
    <xf numFmtId="0" fontId="7" fillId="35" borderId="0" xfId="53" applyFont="1" applyFill="1" applyBorder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7" fillId="33" borderId="20" xfId="53" applyFont="1" applyFill="1" applyBorder="1" applyProtection="1">
      <alignment/>
      <protection hidden="1"/>
    </xf>
    <xf numFmtId="0" fontId="7" fillId="33" borderId="19" xfId="53" applyFont="1" applyFill="1" applyBorder="1" applyProtection="1">
      <alignment/>
      <protection hidden="1"/>
    </xf>
    <xf numFmtId="0" fontId="7" fillId="33" borderId="26" xfId="53" applyFont="1" applyFill="1" applyBorder="1" applyProtection="1">
      <alignment/>
      <protection hidden="1"/>
    </xf>
    <xf numFmtId="0" fontId="14" fillId="37" borderId="16" xfId="53" applyFont="1" applyFill="1" applyBorder="1" applyAlignment="1" applyProtection="1">
      <alignment horizontal="left"/>
      <protection hidden="1"/>
    </xf>
    <xf numFmtId="0" fontId="14" fillId="33" borderId="11" xfId="53" applyFont="1" applyFill="1" applyBorder="1" applyProtection="1">
      <alignment/>
      <protection hidden="1"/>
    </xf>
    <xf numFmtId="0" fontId="8" fillId="33" borderId="11" xfId="53" applyFont="1" applyFill="1" applyBorder="1" applyAlignment="1" applyProtection="1">
      <alignment horizontal="left"/>
      <protection hidden="1"/>
    </xf>
    <xf numFmtId="0" fontId="12" fillId="33" borderId="26" xfId="53" applyFont="1" applyFill="1" applyBorder="1" applyAlignment="1" applyProtection="1">
      <alignment horizontal="left"/>
      <protection hidden="1"/>
    </xf>
    <xf numFmtId="0" fontId="26" fillId="33" borderId="26" xfId="53" applyFont="1" applyFill="1" applyBorder="1" applyProtection="1">
      <alignment/>
      <protection hidden="1"/>
    </xf>
    <xf numFmtId="1" fontId="37" fillId="39" borderId="0" xfId="53" applyNumberFormat="1" applyFont="1" applyFill="1" applyBorder="1" applyAlignment="1" applyProtection="1">
      <alignment horizontal="center"/>
      <protection hidden="1"/>
    </xf>
    <xf numFmtId="0" fontId="5" fillId="39" borderId="0" xfId="53" applyFont="1" applyFill="1" applyAlignment="1" applyProtection="1">
      <alignment/>
      <protection hidden="1"/>
    </xf>
    <xf numFmtId="0" fontId="5" fillId="39" borderId="0" xfId="53" applyFont="1" applyFill="1" applyProtection="1">
      <alignment/>
      <protection hidden="1"/>
    </xf>
    <xf numFmtId="0" fontId="13" fillId="35" borderId="24" xfId="53" applyFont="1" applyFill="1" applyBorder="1" applyAlignment="1" applyProtection="1">
      <alignment horizontal="center"/>
      <protection hidden="1"/>
    </xf>
    <xf numFmtId="1" fontId="5" fillId="35" borderId="26" xfId="53" applyNumberFormat="1" applyFont="1" applyFill="1" applyBorder="1" applyAlignment="1" applyProtection="1">
      <alignment/>
      <protection hidden="1"/>
    </xf>
    <xf numFmtId="0" fontId="5" fillId="33" borderId="26" xfId="53" applyFont="1" applyFill="1" applyBorder="1" applyAlignment="1" applyProtection="1">
      <alignment/>
      <protection hidden="1"/>
    </xf>
    <xf numFmtId="0" fontId="12" fillId="35" borderId="25" xfId="53" applyFont="1" applyFill="1" applyBorder="1" applyAlignment="1" applyProtection="1">
      <alignment/>
      <protection hidden="1"/>
    </xf>
    <xf numFmtId="0" fontId="13" fillId="35" borderId="22" xfId="53" applyFont="1" applyFill="1" applyBorder="1" applyAlignment="1" applyProtection="1">
      <alignment horizontal="center"/>
      <protection hidden="1"/>
    </xf>
    <xf numFmtId="0" fontId="10" fillId="35" borderId="0" xfId="53" applyFont="1" applyFill="1" applyBorder="1" applyAlignment="1" applyProtection="1">
      <alignment/>
      <protection hidden="1"/>
    </xf>
    <xf numFmtId="0" fontId="28" fillId="35" borderId="0" xfId="53" applyFont="1" applyFill="1" applyBorder="1" applyAlignment="1" applyProtection="1">
      <alignment horizontal="left" wrapText="1"/>
      <protection hidden="1"/>
    </xf>
    <xf numFmtId="192" fontId="140" fillId="35" borderId="11" xfId="53" applyNumberFormat="1" applyFont="1" applyFill="1" applyBorder="1" applyAlignment="1" applyProtection="1">
      <alignment horizontal="center"/>
      <protection hidden="1"/>
    </xf>
    <xf numFmtId="0" fontId="130" fillId="35" borderId="11" xfId="53" applyFont="1" applyFill="1" applyBorder="1" applyAlignment="1" applyProtection="1">
      <alignment horizontal="center"/>
      <protection hidden="1"/>
    </xf>
    <xf numFmtId="0" fontId="130" fillId="35" borderId="0" xfId="53" applyFont="1" applyFill="1" applyBorder="1" applyAlignment="1" applyProtection="1">
      <alignment horizontal="center"/>
      <protection hidden="1"/>
    </xf>
    <xf numFmtId="192" fontId="140" fillId="35" borderId="0" xfId="53" applyNumberFormat="1" applyFont="1" applyFill="1" applyBorder="1" applyAlignment="1" applyProtection="1">
      <alignment horizontal="center"/>
      <protection hidden="1"/>
    </xf>
    <xf numFmtId="1" fontId="140" fillId="35" borderId="11" xfId="53" applyNumberFormat="1" applyFont="1" applyFill="1" applyBorder="1" applyAlignment="1" applyProtection="1">
      <alignment horizontal="center"/>
      <protection hidden="1"/>
    </xf>
    <xf numFmtId="1" fontId="140" fillId="35" borderId="0" xfId="53" applyNumberFormat="1" applyFont="1" applyFill="1" applyBorder="1" applyAlignment="1" applyProtection="1">
      <alignment horizontal="center"/>
      <protection hidden="1"/>
    </xf>
    <xf numFmtId="0" fontId="128" fillId="35" borderId="0" xfId="53" applyFont="1" applyFill="1" applyBorder="1" applyAlignment="1" applyProtection="1">
      <alignment horizontal="left"/>
      <protection hidden="1"/>
    </xf>
    <xf numFmtId="0" fontId="126" fillId="35" borderId="0" xfId="53" applyFont="1" applyFill="1" applyAlignment="1" applyProtection="1">
      <alignment/>
      <protection hidden="1"/>
    </xf>
    <xf numFmtId="0" fontId="141" fillId="35" borderId="0" xfId="53" applyFont="1" applyFill="1" applyAlignment="1" applyProtection="1">
      <alignment/>
      <protection hidden="1"/>
    </xf>
    <xf numFmtId="192" fontId="5" fillId="35" borderId="11" xfId="53" applyNumberFormat="1" applyFont="1" applyFill="1" applyBorder="1" applyAlignment="1" applyProtection="1">
      <alignment horizontal="center"/>
      <protection hidden="1"/>
    </xf>
    <xf numFmtId="192" fontId="5" fillId="35" borderId="22" xfId="53" applyNumberFormat="1" applyFont="1" applyFill="1" applyBorder="1" applyAlignment="1" applyProtection="1">
      <alignment horizontal="center"/>
      <protection hidden="1"/>
    </xf>
    <xf numFmtId="192" fontId="5" fillId="35" borderId="15" xfId="53" applyNumberFormat="1" applyFont="1" applyFill="1" applyBorder="1" applyAlignment="1" applyProtection="1">
      <alignment horizontal="center"/>
      <protection hidden="1"/>
    </xf>
    <xf numFmtId="9" fontId="12" fillId="35" borderId="14" xfId="53" applyNumberFormat="1" applyFont="1" applyFill="1" applyBorder="1" applyAlignment="1" applyProtection="1">
      <alignment horizontal="center"/>
      <protection hidden="1"/>
    </xf>
    <xf numFmtId="192" fontId="5" fillId="35" borderId="14" xfId="53" applyNumberFormat="1" applyFont="1" applyFill="1" applyBorder="1" applyAlignment="1" applyProtection="1">
      <alignment horizontal="center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12" fillId="37" borderId="38" xfId="53" applyFont="1" applyFill="1" applyBorder="1" applyAlignment="1" applyProtection="1">
      <alignment horizontal="center"/>
      <protection hidden="1"/>
    </xf>
    <xf numFmtId="0" fontId="12" fillId="37" borderId="42" xfId="53" applyFont="1" applyFill="1" applyBorder="1" applyAlignment="1" applyProtection="1">
      <alignment horizontal="center"/>
      <protection hidden="1"/>
    </xf>
    <xf numFmtId="192" fontId="5" fillId="35" borderId="0" xfId="53" applyNumberFormat="1" applyFont="1" applyFill="1" applyBorder="1" applyAlignment="1" applyProtection="1">
      <alignment horizontal="center"/>
      <protection hidden="1"/>
    </xf>
    <xf numFmtId="0" fontId="12" fillId="37" borderId="38" xfId="53" applyFont="1" applyFill="1" applyBorder="1" applyAlignment="1" applyProtection="1">
      <alignment horizontal="center" vertical="center"/>
      <protection hidden="1"/>
    </xf>
    <xf numFmtId="192" fontId="5" fillId="35" borderId="26" xfId="53" applyNumberFormat="1" applyFont="1" applyFill="1" applyBorder="1" applyAlignment="1" applyProtection="1">
      <alignment horizontal="center"/>
      <protection hidden="1"/>
    </xf>
    <xf numFmtId="9" fontId="12" fillId="35" borderId="26" xfId="53" applyNumberFormat="1" applyFont="1" applyFill="1" applyBorder="1" applyAlignment="1" applyProtection="1">
      <alignment horizontal="center"/>
      <protection hidden="1"/>
    </xf>
    <xf numFmtId="0" fontId="12" fillId="37" borderId="24" xfId="53" applyFont="1" applyFill="1" applyBorder="1" applyAlignment="1" applyProtection="1">
      <alignment horizontal="center" vertical="center"/>
      <protection hidden="1"/>
    </xf>
    <xf numFmtId="0" fontId="6" fillId="35" borderId="0" xfId="53" applyFont="1" applyFill="1" applyBorder="1" applyAlignment="1" applyProtection="1">
      <alignment horizontal="left"/>
      <protection hidden="1"/>
    </xf>
    <xf numFmtId="1" fontId="5" fillId="35" borderId="10" xfId="53" applyNumberFormat="1" applyFont="1" applyFill="1" applyBorder="1" applyAlignment="1" applyProtection="1">
      <alignment horizontal="center"/>
      <protection hidden="1"/>
    </xf>
    <xf numFmtId="0" fontId="12" fillId="37" borderId="35" xfId="53" applyFont="1" applyFill="1" applyBorder="1" applyAlignment="1" applyProtection="1">
      <alignment horizontal="center" vertical="center"/>
      <protection hidden="1"/>
    </xf>
    <xf numFmtId="0" fontId="12" fillId="37" borderId="36" xfId="53" applyFont="1" applyFill="1" applyBorder="1" applyAlignment="1" applyProtection="1">
      <alignment horizontal="center" vertical="center"/>
      <protection hidden="1"/>
    </xf>
    <xf numFmtId="192" fontId="5" fillId="35" borderId="10" xfId="53" applyNumberFormat="1" applyFont="1" applyFill="1" applyBorder="1" applyAlignment="1" applyProtection="1">
      <alignment horizontal="center"/>
      <protection hidden="1"/>
    </xf>
    <xf numFmtId="0" fontId="6" fillId="35" borderId="10" xfId="53" applyFont="1" applyFill="1" applyBorder="1" applyAlignment="1" applyProtection="1">
      <alignment horizontal="left"/>
      <protection hidden="1"/>
    </xf>
    <xf numFmtId="1" fontId="5" fillId="35" borderId="10" xfId="0" applyNumberFormat="1" applyFont="1" applyFill="1" applyBorder="1" applyAlignment="1" applyProtection="1">
      <alignment horizontal="center"/>
      <protection hidden="1"/>
    </xf>
    <xf numFmtId="1" fontId="5" fillId="35" borderId="14" xfId="53" applyNumberFormat="1" applyFont="1" applyFill="1" applyBorder="1" applyAlignment="1" applyProtection="1">
      <alignment horizontal="center"/>
      <protection hidden="1"/>
    </xf>
    <xf numFmtId="0" fontId="12" fillId="35" borderId="0" xfId="53" applyFont="1" applyFill="1" applyBorder="1" applyAlignment="1" applyProtection="1">
      <alignment horizontal="left" vertical="center"/>
      <protection hidden="1"/>
    </xf>
    <xf numFmtId="0" fontId="8" fillId="35" borderId="0" xfId="53" applyFont="1" applyFill="1" applyBorder="1" applyAlignment="1" applyProtection="1">
      <alignment horizontal="left"/>
      <protection hidden="1"/>
    </xf>
    <xf numFmtId="0" fontId="12" fillId="37" borderId="12" xfId="53" applyFont="1" applyFill="1" applyBorder="1" applyAlignment="1" applyProtection="1">
      <alignment horizontal="center" vertical="center"/>
      <protection hidden="1"/>
    </xf>
    <xf numFmtId="0" fontId="12" fillId="37" borderId="20" xfId="53" applyFont="1" applyFill="1" applyBorder="1" applyAlignment="1" applyProtection="1">
      <alignment horizontal="center" vertical="center"/>
      <protection hidden="1"/>
    </xf>
    <xf numFmtId="0" fontId="12" fillId="37" borderId="20" xfId="53" applyFont="1" applyFill="1" applyBorder="1" applyAlignment="1" applyProtection="1">
      <alignment horizontal="center"/>
      <protection hidden="1"/>
    </xf>
    <xf numFmtId="9" fontId="12" fillId="35" borderId="11" xfId="53" applyNumberFormat="1" applyFont="1" applyFill="1" applyBorder="1" applyAlignment="1" applyProtection="1">
      <alignment horizontal="center"/>
      <protection hidden="1"/>
    </xf>
    <xf numFmtId="9" fontId="12" fillId="35" borderId="0" xfId="53" applyNumberFormat="1" applyFont="1" applyFill="1" applyBorder="1" applyAlignment="1" applyProtection="1">
      <alignment horizontal="center"/>
      <protection hidden="1"/>
    </xf>
    <xf numFmtId="0" fontId="7" fillId="35" borderId="0" xfId="53" applyFont="1" applyFill="1" applyBorder="1" applyAlignment="1" applyProtection="1">
      <alignment horizontal="left"/>
      <protection hidden="1"/>
    </xf>
    <xf numFmtId="0" fontId="108" fillId="35" borderId="0" xfId="42" applyFill="1" applyBorder="1" applyAlignment="1" applyProtection="1">
      <alignment horizontal="left" wrapText="1" indent="3"/>
      <protection hidden="1"/>
    </xf>
    <xf numFmtId="0" fontId="12" fillId="35" borderId="0" xfId="53" applyFont="1" applyFill="1" applyBorder="1" applyAlignment="1" applyProtection="1">
      <alignment horizontal="center" vertical="center"/>
      <protection hidden="1"/>
    </xf>
    <xf numFmtId="0" fontId="12" fillId="35" borderId="0" xfId="53" applyFont="1" applyFill="1" applyBorder="1" applyAlignment="1" applyProtection="1">
      <alignment/>
      <protection hidden="1"/>
    </xf>
    <xf numFmtId="0" fontId="12" fillId="35" borderId="11" xfId="53" applyFont="1" applyFill="1" applyBorder="1" applyAlignment="1" applyProtection="1">
      <alignment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6" fillId="35" borderId="11" xfId="53" applyFont="1" applyFill="1" applyBorder="1" applyAlignment="1" applyProtection="1">
      <alignment horizontal="left"/>
      <protection hidden="1"/>
    </xf>
    <xf numFmtId="0" fontId="12" fillId="37" borderId="18" xfId="53" applyFont="1" applyFill="1" applyBorder="1" applyAlignment="1" applyProtection="1">
      <alignment horizontal="center" vertical="center"/>
      <protection hidden="1"/>
    </xf>
    <xf numFmtId="0" fontId="12" fillId="37" borderId="18" xfId="53" applyFont="1" applyFill="1" applyBorder="1" applyAlignment="1" applyProtection="1">
      <alignment horizontal="center" vertical="center"/>
      <protection hidden="1"/>
    </xf>
    <xf numFmtId="0" fontId="12" fillId="37" borderId="49" xfId="53" applyFont="1" applyFill="1" applyBorder="1" applyAlignment="1" applyProtection="1">
      <alignment horizontal="center" vertical="center"/>
      <protection hidden="1"/>
    </xf>
    <xf numFmtId="0" fontId="12" fillId="37" borderId="16" xfId="53" applyFont="1" applyFill="1" applyBorder="1" applyAlignment="1" applyProtection="1">
      <alignment horizontal="center"/>
      <protection hidden="1"/>
    </xf>
    <xf numFmtId="0" fontId="12" fillId="37" borderId="16" xfId="53" applyFont="1" applyFill="1" applyBorder="1" applyAlignment="1" applyProtection="1">
      <alignment horizontal="center" vertical="center"/>
      <protection hidden="1"/>
    </xf>
    <xf numFmtId="0" fontId="2" fillId="37" borderId="20" xfId="53" applyFill="1" applyBorder="1" applyAlignment="1" applyProtection="1">
      <alignment horizontal="center" vertical="center"/>
      <protection hidden="1"/>
    </xf>
    <xf numFmtId="0" fontId="12" fillId="37" borderId="12" xfId="53" applyFont="1" applyFill="1" applyBorder="1" applyAlignment="1" applyProtection="1">
      <alignment horizontal="center"/>
      <protection hidden="1"/>
    </xf>
    <xf numFmtId="0" fontId="12" fillId="37" borderId="26" xfId="53" applyFont="1" applyFill="1" applyBorder="1" applyAlignment="1" applyProtection="1">
      <alignment horizontal="center"/>
      <protection hidden="1"/>
    </xf>
    <xf numFmtId="0" fontId="12" fillId="37" borderId="50" xfId="53" applyFont="1" applyFill="1" applyBorder="1" applyAlignment="1" applyProtection="1">
      <alignment horizontal="center" vertical="center"/>
      <protection hidden="1"/>
    </xf>
    <xf numFmtId="0" fontId="129" fillId="33" borderId="10" xfId="53" applyFont="1" applyFill="1" applyBorder="1" applyAlignment="1" applyProtection="1">
      <alignment horizontal="left"/>
      <protection hidden="1"/>
    </xf>
    <xf numFmtId="0" fontId="7" fillId="35" borderId="0" xfId="53" applyFont="1" applyFill="1" applyBorder="1" applyAlignment="1" applyProtection="1">
      <alignment/>
      <protection hidden="1"/>
    </xf>
    <xf numFmtId="0" fontId="12" fillId="37" borderId="26" xfId="53" applyFont="1" applyFill="1" applyBorder="1" applyAlignment="1" applyProtection="1">
      <alignment horizontal="center" vertical="center"/>
      <protection hidden="1"/>
    </xf>
    <xf numFmtId="0" fontId="12" fillId="37" borderId="40" xfId="53" applyFont="1" applyFill="1" applyBorder="1" applyAlignment="1" applyProtection="1">
      <alignment horizontal="center" vertical="center"/>
      <protection hidden="1"/>
    </xf>
    <xf numFmtId="0" fontId="12" fillId="37" borderId="24" xfId="53" applyFont="1" applyFill="1" applyBorder="1" applyAlignment="1" applyProtection="1">
      <alignment horizontal="center" vertical="center"/>
      <protection hidden="1"/>
    </xf>
    <xf numFmtId="0" fontId="2" fillId="35" borderId="11" xfId="53" applyFont="1" applyFill="1" applyBorder="1" applyAlignment="1" applyProtection="1">
      <alignment horizontal="center"/>
      <protection hidden="1"/>
    </xf>
    <xf numFmtId="0" fontId="6" fillId="35" borderId="31" xfId="53" applyFont="1" applyFill="1" applyBorder="1" applyAlignment="1" applyProtection="1">
      <alignment horizontal="left"/>
      <protection hidden="1"/>
    </xf>
    <xf numFmtId="0" fontId="12" fillId="37" borderId="12" xfId="53" applyFont="1" applyFill="1" applyBorder="1" applyAlignment="1" applyProtection="1">
      <alignment horizontal="center" vertical="center"/>
      <protection hidden="1"/>
    </xf>
    <xf numFmtId="0" fontId="12" fillId="37" borderId="20" xfId="53" applyFont="1" applyFill="1" applyBorder="1" applyAlignment="1" applyProtection="1">
      <alignment horizontal="center" vertical="center"/>
      <protection hidden="1"/>
    </xf>
    <xf numFmtId="0" fontId="12" fillId="37" borderId="49" xfId="53" applyFont="1" applyFill="1" applyBorder="1" applyAlignment="1" applyProtection="1">
      <alignment horizontal="center" vertical="center"/>
      <protection hidden="1"/>
    </xf>
    <xf numFmtId="0" fontId="124" fillId="35" borderId="0" xfId="53" applyFont="1" applyFill="1" applyBorder="1" applyAlignment="1" applyProtection="1">
      <alignment horizontal="center"/>
      <protection hidden="1"/>
    </xf>
    <xf numFmtId="192" fontId="5" fillId="35" borderId="15" xfId="53" applyNumberFormat="1" applyFont="1" applyFill="1" applyBorder="1" applyAlignment="1" applyProtection="1">
      <alignment horizontal="center"/>
      <protection hidden="1"/>
    </xf>
    <xf numFmtId="192" fontId="5" fillId="35" borderId="41" xfId="53" applyNumberFormat="1" applyFont="1" applyFill="1" applyBorder="1" applyAlignment="1" applyProtection="1">
      <alignment horizontal="center"/>
      <protection hidden="1"/>
    </xf>
    <xf numFmtId="192" fontId="5" fillId="35" borderId="26" xfId="53" applyNumberFormat="1" applyFont="1" applyFill="1" applyBorder="1" applyAlignment="1" applyProtection="1">
      <alignment horizontal="center"/>
      <protection hidden="1"/>
    </xf>
    <xf numFmtId="192" fontId="5" fillId="35" borderId="40" xfId="53" applyNumberFormat="1" applyFont="1" applyFill="1" applyBorder="1" applyAlignment="1" applyProtection="1">
      <alignment horizontal="center"/>
      <protection hidden="1"/>
    </xf>
    <xf numFmtId="192" fontId="5" fillId="35" borderId="11" xfId="53" applyNumberFormat="1" applyFont="1" applyFill="1" applyBorder="1" applyAlignment="1" applyProtection="1">
      <alignment horizontal="center"/>
      <protection hidden="1"/>
    </xf>
    <xf numFmtId="192" fontId="5" fillId="35" borderId="22" xfId="53" applyNumberFormat="1" applyFont="1" applyFill="1" applyBorder="1" applyAlignment="1" applyProtection="1">
      <alignment horizontal="center"/>
      <protection hidden="1"/>
    </xf>
    <xf numFmtId="0" fontId="12" fillId="0" borderId="11" xfId="53" applyFont="1" applyFill="1" applyBorder="1" applyAlignment="1" applyProtection="1">
      <alignment horizontal="center"/>
      <protection hidden="1"/>
    </xf>
    <xf numFmtId="0" fontId="12" fillId="0" borderId="0" xfId="53" applyFont="1" applyFill="1" applyBorder="1" applyAlignment="1" applyProtection="1">
      <alignment horizontal="center"/>
      <protection hidden="1"/>
    </xf>
    <xf numFmtId="9" fontId="12" fillId="35" borderId="14" xfId="53" applyNumberFormat="1" applyFont="1" applyFill="1" applyBorder="1" applyAlignment="1" applyProtection="1">
      <alignment horizontal="center"/>
      <protection hidden="1"/>
    </xf>
    <xf numFmtId="9" fontId="12" fillId="35" borderId="51" xfId="53" applyNumberFormat="1" applyFont="1" applyFill="1" applyBorder="1" applyAlignment="1" applyProtection="1">
      <alignment horizontal="center"/>
      <protection hidden="1"/>
    </xf>
    <xf numFmtId="0" fontId="17" fillId="33" borderId="27" xfId="53" applyFont="1" applyFill="1" applyBorder="1" applyAlignment="1" applyProtection="1">
      <alignment horizontal="left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22" xfId="53" applyNumberFormat="1" applyFont="1" applyFill="1" applyBorder="1" applyAlignment="1" applyProtection="1">
      <alignment horizontal="center"/>
      <protection hidden="1"/>
    </xf>
    <xf numFmtId="1" fontId="5" fillId="35" borderId="15" xfId="53" applyNumberFormat="1" applyFont="1" applyFill="1" applyBorder="1" applyAlignment="1" applyProtection="1">
      <alignment horizontal="center"/>
      <protection hidden="1"/>
    </xf>
    <xf numFmtId="1" fontId="5" fillId="35" borderId="41" xfId="53" applyNumberFormat="1" applyFont="1" applyFill="1" applyBorder="1" applyAlignment="1" applyProtection="1">
      <alignment horizontal="center"/>
      <protection hidden="1"/>
    </xf>
    <xf numFmtId="1" fontId="5" fillId="35" borderId="14" xfId="53" applyNumberFormat="1" applyFont="1" applyFill="1" applyBorder="1" applyAlignment="1" applyProtection="1">
      <alignment horizontal="center"/>
      <protection hidden="1"/>
    </xf>
    <xf numFmtId="1" fontId="5" fillId="35" borderId="51" xfId="53" applyNumberFormat="1" applyFont="1" applyFill="1" applyBorder="1" applyAlignment="1" applyProtection="1">
      <alignment horizontal="center"/>
      <protection hidden="1"/>
    </xf>
    <xf numFmtId="192" fontId="5" fillId="35" borderId="14" xfId="53" applyNumberFormat="1" applyFont="1" applyFill="1" applyBorder="1" applyAlignment="1" applyProtection="1">
      <alignment horizontal="center"/>
      <protection hidden="1"/>
    </xf>
    <xf numFmtId="192" fontId="5" fillId="35" borderId="51" xfId="53" applyNumberFormat="1" applyFont="1" applyFill="1" applyBorder="1" applyAlignment="1" applyProtection="1">
      <alignment horizontal="center"/>
      <protection hidden="1"/>
    </xf>
    <xf numFmtId="0" fontId="12" fillId="37" borderId="38" xfId="53" applyFont="1" applyFill="1" applyBorder="1" applyAlignment="1" applyProtection="1">
      <alignment horizontal="center" vertical="center"/>
      <protection hidden="1"/>
    </xf>
    <xf numFmtId="0" fontId="12" fillId="37" borderId="42" xfId="53" applyFont="1" applyFill="1" applyBorder="1" applyAlignment="1" applyProtection="1">
      <alignment horizontal="center" vertical="center"/>
      <protection hidden="1"/>
    </xf>
    <xf numFmtId="0" fontId="5" fillId="35" borderId="26" xfId="53" applyNumberFormat="1" applyFont="1" applyFill="1" applyBorder="1" applyAlignment="1" applyProtection="1">
      <alignment horizontal="center"/>
      <protection hidden="1"/>
    </xf>
    <xf numFmtId="0" fontId="5" fillId="35" borderId="40" xfId="53" applyNumberFormat="1" applyFont="1" applyFill="1" applyBorder="1" applyAlignment="1" applyProtection="1">
      <alignment horizontal="center"/>
      <protection hidden="1"/>
    </xf>
    <xf numFmtId="0" fontId="12" fillId="37" borderId="35" xfId="53" applyFont="1" applyFill="1" applyBorder="1" applyAlignment="1" applyProtection="1">
      <alignment horizontal="center" vertical="center"/>
      <protection hidden="1"/>
    </xf>
    <xf numFmtId="0" fontId="12" fillId="37" borderId="36" xfId="53" applyFont="1" applyFill="1" applyBorder="1" applyAlignment="1" applyProtection="1">
      <alignment horizontal="center" vertical="center"/>
      <protection hidden="1"/>
    </xf>
    <xf numFmtId="0" fontId="6" fillId="35" borderId="11" xfId="53" applyFont="1" applyFill="1" applyBorder="1" applyAlignment="1" applyProtection="1">
      <alignment horizontal="left"/>
      <protection hidden="1"/>
    </xf>
    <xf numFmtId="0" fontId="6" fillId="33" borderId="0" xfId="53" applyFont="1" applyFill="1" applyBorder="1" applyAlignment="1" applyProtection="1">
      <alignment horizontal="left"/>
      <protection hidden="1"/>
    </xf>
    <xf numFmtId="0" fontId="12" fillId="37" borderId="35" xfId="53" applyFont="1" applyFill="1" applyBorder="1" applyAlignment="1" applyProtection="1">
      <alignment horizontal="center" vertical="center"/>
      <protection hidden="1"/>
    </xf>
    <xf numFmtId="0" fontId="12" fillId="37" borderId="36" xfId="53" applyFont="1" applyFill="1" applyBorder="1" applyAlignment="1" applyProtection="1">
      <alignment horizontal="center" vertical="center"/>
      <protection hidden="1"/>
    </xf>
    <xf numFmtId="0" fontId="12" fillId="37" borderId="38" xfId="53" applyFont="1" applyFill="1" applyBorder="1" applyAlignment="1" applyProtection="1">
      <alignment horizontal="center" vertical="center"/>
      <protection hidden="1"/>
    </xf>
    <xf numFmtId="0" fontId="12" fillId="37" borderId="42" xfId="53" applyFont="1" applyFill="1" applyBorder="1" applyAlignment="1" applyProtection="1">
      <alignment horizontal="center" vertical="center"/>
      <protection hidden="1"/>
    </xf>
    <xf numFmtId="192" fontId="5" fillId="35" borderId="31" xfId="53" applyNumberFormat="1" applyFont="1" applyFill="1" applyBorder="1" applyAlignment="1" applyProtection="1">
      <alignment horizontal="center"/>
      <protection hidden="1"/>
    </xf>
    <xf numFmtId="192" fontId="5" fillId="35" borderId="52" xfId="53" applyNumberFormat="1" applyFont="1" applyFill="1" applyBorder="1" applyAlignment="1" applyProtection="1">
      <alignment horizontal="center"/>
      <protection hidden="1"/>
    </xf>
    <xf numFmtId="192" fontId="5" fillId="35" borderId="11" xfId="0" applyNumberFormat="1" applyFont="1" applyFill="1" applyBorder="1" applyAlignment="1" applyProtection="1">
      <alignment horizontal="center"/>
      <protection hidden="1"/>
    </xf>
    <xf numFmtId="192" fontId="5" fillId="35" borderId="22" xfId="0" applyNumberFormat="1" applyFont="1" applyFill="1" applyBorder="1" applyAlignment="1" applyProtection="1">
      <alignment horizontal="center"/>
      <protection hidden="1"/>
    </xf>
    <xf numFmtId="0" fontId="7" fillId="33" borderId="35" xfId="53" applyFont="1" applyFill="1" applyBorder="1" applyAlignment="1" applyProtection="1">
      <alignment/>
      <protection hidden="1"/>
    </xf>
    <xf numFmtId="0" fontId="7" fillId="33" borderId="27" xfId="53" applyFont="1" applyFill="1" applyBorder="1" applyAlignment="1" applyProtection="1">
      <alignment/>
      <protection hidden="1"/>
    </xf>
    <xf numFmtId="0" fontId="7" fillId="33" borderId="25" xfId="53" applyFont="1" applyFill="1" applyBorder="1" applyAlignment="1" applyProtection="1">
      <alignment/>
      <protection hidden="1"/>
    </xf>
    <xf numFmtId="0" fontId="7" fillId="33" borderId="40" xfId="53" applyFont="1" applyFill="1" applyBorder="1" applyAlignment="1" applyProtection="1">
      <alignment/>
      <protection hidden="1"/>
    </xf>
    <xf numFmtId="0" fontId="12" fillId="37" borderId="18" xfId="53" applyFont="1" applyFill="1" applyBorder="1" applyAlignment="1" applyProtection="1">
      <alignment horizontal="center" vertical="center"/>
      <protection hidden="1"/>
    </xf>
    <xf numFmtId="0" fontId="12" fillId="37" borderId="49" xfId="53" applyFont="1" applyFill="1" applyBorder="1" applyAlignment="1" applyProtection="1">
      <alignment horizontal="center" vertical="center"/>
      <protection hidden="1"/>
    </xf>
    <xf numFmtId="0" fontId="30" fillId="33" borderId="0" xfId="53" applyFont="1" applyFill="1" applyBorder="1" applyAlignment="1" applyProtection="1">
      <alignment horizontal="center"/>
      <protection hidden="1"/>
    </xf>
    <xf numFmtId="0" fontId="7" fillId="33" borderId="26" xfId="53" applyFont="1" applyFill="1" applyBorder="1" applyAlignment="1" applyProtection="1">
      <alignment horizontal="left"/>
      <protection hidden="1"/>
    </xf>
    <xf numFmtId="0" fontId="7" fillId="33" borderId="25" xfId="53" applyFont="1" applyFill="1" applyBorder="1" applyAlignment="1" applyProtection="1">
      <alignment horizontal="left"/>
      <protection hidden="1"/>
    </xf>
    <xf numFmtId="192" fontId="5" fillId="35" borderId="0" xfId="53" applyNumberFormat="1" applyFont="1" applyFill="1" applyBorder="1" applyAlignment="1" applyProtection="1">
      <alignment horizontal="center"/>
      <protection hidden="1"/>
    </xf>
    <xf numFmtId="0" fontId="6" fillId="35" borderId="0" xfId="53" applyFont="1" applyFill="1" applyBorder="1" applyAlignment="1" applyProtection="1">
      <alignment horizontal="left"/>
      <protection hidden="1"/>
    </xf>
    <xf numFmtId="0" fontId="7" fillId="33" borderId="10" xfId="53" applyFont="1" applyFill="1" applyBorder="1" applyAlignment="1" applyProtection="1">
      <alignment horizontal="left"/>
      <protection hidden="1"/>
    </xf>
    <xf numFmtId="0" fontId="12" fillId="34" borderId="35" xfId="53" applyFont="1" applyFill="1" applyBorder="1" applyAlignment="1" applyProtection="1">
      <alignment horizontal="center" vertical="center"/>
      <protection hidden="1"/>
    </xf>
    <xf numFmtId="0" fontId="12" fillId="34" borderId="36" xfId="53" applyFont="1" applyFill="1" applyBorder="1" applyAlignment="1" applyProtection="1">
      <alignment horizontal="center" vertical="center"/>
      <protection hidden="1"/>
    </xf>
    <xf numFmtId="0" fontId="7" fillId="35" borderId="0" xfId="53" applyFont="1" applyFill="1" applyBorder="1" applyAlignment="1" applyProtection="1">
      <alignment horizontal="left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12" fillId="37" borderId="35" xfId="53" applyFont="1" applyFill="1" applyBorder="1" applyAlignment="1" applyProtection="1">
      <alignment horizontal="center"/>
      <protection hidden="1"/>
    </xf>
    <xf numFmtId="0" fontId="12" fillId="37" borderId="36" xfId="53" applyFont="1" applyFill="1" applyBorder="1" applyAlignment="1" applyProtection="1">
      <alignment horizontal="center"/>
      <protection hidden="1"/>
    </xf>
    <xf numFmtId="0" fontId="12" fillId="37" borderId="35" xfId="53" applyFont="1" applyFill="1" applyBorder="1" applyAlignment="1" applyProtection="1">
      <alignment horizontal="center" wrapText="1"/>
      <protection hidden="1"/>
    </xf>
    <xf numFmtId="0" fontId="12" fillId="37" borderId="36" xfId="53" applyFont="1" applyFill="1" applyBorder="1" applyAlignment="1" applyProtection="1">
      <alignment horizontal="center" wrapText="1"/>
      <protection hidden="1"/>
    </xf>
    <xf numFmtId="0" fontId="12" fillId="34" borderId="35" xfId="53" applyFont="1" applyFill="1" applyBorder="1" applyAlignment="1" applyProtection="1">
      <alignment horizontal="center" vertical="center"/>
      <protection hidden="1"/>
    </xf>
    <xf numFmtId="0" fontId="12" fillId="34" borderId="36" xfId="53" applyFont="1" applyFill="1" applyBorder="1" applyAlignment="1" applyProtection="1">
      <alignment horizontal="center" vertical="center"/>
      <protection hidden="1"/>
    </xf>
    <xf numFmtId="0" fontId="12" fillId="37" borderId="38" xfId="53" applyFont="1" applyFill="1" applyBorder="1" applyAlignment="1" applyProtection="1">
      <alignment horizontal="center"/>
      <protection hidden="1"/>
    </xf>
    <xf numFmtId="0" fontId="12" fillId="37" borderId="42" xfId="53" applyFont="1" applyFill="1" applyBorder="1" applyAlignment="1" applyProtection="1">
      <alignment horizontal="center"/>
      <protection hidden="1"/>
    </xf>
    <xf numFmtId="9" fontId="12" fillId="35" borderId="53" xfId="53" applyNumberFormat="1" applyFont="1" applyFill="1" applyBorder="1" applyAlignment="1" applyProtection="1">
      <alignment horizontal="center"/>
      <protection hidden="1"/>
    </xf>
    <xf numFmtId="9" fontId="12" fillId="35" borderId="54" xfId="53" applyNumberFormat="1" applyFont="1" applyFill="1" applyBorder="1" applyAlignment="1" applyProtection="1">
      <alignment horizontal="center"/>
      <protection hidden="1"/>
    </xf>
    <xf numFmtId="192" fontId="5" fillId="35" borderId="32" xfId="53" applyNumberFormat="1" applyFont="1" applyFill="1" applyBorder="1" applyAlignment="1" applyProtection="1">
      <alignment horizontal="center"/>
      <protection hidden="1"/>
    </xf>
    <xf numFmtId="192" fontId="5" fillId="0" borderId="26" xfId="53" applyNumberFormat="1" applyFont="1" applyFill="1" applyBorder="1" applyAlignment="1" applyProtection="1">
      <alignment horizontal="center"/>
      <protection hidden="1"/>
    </xf>
    <xf numFmtId="192" fontId="5" fillId="0" borderId="40" xfId="53" applyNumberFormat="1" applyFont="1" applyFill="1" applyBorder="1" applyAlignment="1" applyProtection="1">
      <alignment horizontal="center"/>
      <protection hidden="1"/>
    </xf>
    <xf numFmtId="9" fontId="12" fillId="35" borderId="11" xfId="53" applyNumberFormat="1" applyFont="1" applyFill="1" applyBorder="1" applyAlignment="1" applyProtection="1">
      <alignment horizontal="center"/>
      <protection hidden="1"/>
    </xf>
    <xf numFmtId="9" fontId="12" fillId="35" borderId="22" xfId="53" applyNumberFormat="1" applyFont="1" applyFill="1" applyBorder="1" applyAlignment="1" applyProtection="1">
      <alignment horizontal="center"/>
      <protection hidden="1"/>
    </xf>
    <xf numFmtId="1" fontId="12" fillId="37" borderId="35" xfId="53" applyNumberFormat="1" applyFont="1" applyFill="1" applyBorder="1" applyAlignment="1" applyProtection="1">
      <alignment horizontal="center"/>
      <protection hidden="1"/>
    </xf>
    <xf numFmtId="1" fontId="12" fillId="37" borderId="36" xfId="53" applyNumberFormat="1" applyFont="1" applyFill="1" applyBorder="1" applyAlignment="1" applyProtection="1">
      <alignment horizontal="center"/>
      <protection hidden="1"/>
    </xf>
    <xf numFmtId="0" fontId="5" fillId="35" borderId="11" xfId="53" applyNumberFormat="1" applyFont="1" applyFill="1" applyBorder="1" applyAlignment="1" applyProtection="1">
      <alignment horizontal="center"/>
      <protection hidden="1"/>
    </xf>
    <xf numFmtId="0" fontId="5" fillId="35" borderId="22" xfId="53" applyNumberFormat="1" applyFont="1" applyFill="1" applyBorder="1" applyAlignment="1" applyProtection="1">
      <alignment horizontal="center"/>
      <protection hidden="1"/>
    </xf>
    <xf numFmtId="192" fontId="5" fillId="35" borderId="11" xfId="53" applyNumberFormat="1" applyFont="1" applyFill="1" applyBorder="1" applyAlignment="1" applyProtection="1">
      <alignment horizontal="center" vertical="top"/>
      <protection hidden="1"/>
    </xf>
    <xf numFmtId="192" fontId="5" fillId="35" borderId="22" xfId="53" applyNumberFormat="1" applyFont="1" applyFill="1" applyBorder="1" applyAlignment="1" applyProtection="1">
      <alignment horizontal="center" vertical="top"/>
      <protection hidden="1"/>
    </xf>
    <xf numFmtId="0" fontId="12" fillId="37" borderId="38" xfId="53" applyFont="1" applyFill="1" applyBorder="1" applyAlignment="1" applyProtection="1">
      <alignment horizontal="center" vertical="center" wrapText="1"/>
      <protection hidden="1"/>
    </xf>
    <xf numFmtId="0" fontId="12" fillId="37" borderId="42" xfId="53" applyFont="1" applyFill="1" applyBorder="1" applyAlignment="1" applyProtection="1">
      <alignment horizontal="center" vertical="center" wrapText="1"/>
      <protection hidden="1"/>
    </xf>
    <xf numFmtId="0" fontId="12" fillId="37" borderId="16" xfId="53" applyFont="1" applyFill="1" applyBorder="1" applyAlignment="1" applyProtection="1">
      <alignment horizontal="center" vertical="center"/>
      <protection hidden="1"/>
    </xf>
    <xf numFmtId="0" fontId="12" fillId="37" borderId="12" xfId="53" applyFont="1" applyFill="1" applyBorder="1" applyAlignment="1" applyProtection="1">
      <alignment horizontal="center" vertical="center"/>
      <protection hidden="1"/>
    </xf>
    <xf numFmtId="0" fontId="12" fillId="37" borderId="20" xfId="53" applyFont="1" applyFill="1" applyBorder="1" applyAlignment="1" applyProtection="1">
      <alignment horizontal="center" vertical="center"/>
      <protection hidden="1"/>
    </xf>
    <xf numFmtId="0" fontId="12" fillId="37" borderId="35" xfId="53" applyFont="1" applyFill="1" applyBorder="1" applyAlignment="1" applyProtection="1">
      <alignment horizontal="left" vertical="center"/>
      <protection hidden="1"/>
    </xf>
    <xf numFmtId="0" fontId="12" fillId="37" borderId="36" xfId="53" applyFont="1" applyFill="1" applyBorder="1" applyAlignment="1" applyProtection="1">
      <alignment horizontal="left" vertical="center"/>
      <protection hidden="1"/>
    </xf>
    <xf numFmtId="0" fontId="12" fillId="37" borderId="16" xfId="53" applyFont="1" applyFill="1" applyBorder="1" applyAlignment="1" applyProtection="1">
      <alignment horizontal="center" vertical="center"/>
      <protection hidden="1"/>
    </xf>
    <xf numFmtId="0" fontId="12" fillId="37" borderId="20" xfId="53" applyFont="1" applyFill="1" applyBorder="1" applyAlignment="1" applyProtection="1">
      <alignment horizontal="center" vertical="center"/>
      <protection hidden="1"/>
    </xf>
    <xf numFmtId="1" fontId="12" fillId="37" borderId="38" xfId="53" applyNumberFormat="1" applyFont="1" applyFill="1" applyBorder="1" applyAlignment="1" applyProtection="1">
      <alignment horizontal="center"/>
      <protection hidden="1"/>
    </xf>
    <xf numFmtId="1" fontId="12" fillId="37" borderId="42" xfId="53" applyNumberFormat="1" applyFont="1" applyFill="1" applyBorder="1" applyAlignment="1" applyProtection="1">
      <alignment horizontal="center"/>
      <protection hidden="1"/>
    </xf>
    <xf numFmtId="0" fontId="12" fillId="35" borderId="0" xfId="53" applyFont="1" applyFill="1" applyBorder="1" applyAlignment="1" applyProtection="1">
      <alignment horizontal="center" wrapText="1"/>
      <protection hidden="1"/>
    </xf>
    <xf numFmtId="0" fontId="7" fillId="37" borderId="28" xfId="53" applyFont="1" applyFill="1" applyBorder="1" applyAlignment="1" applyProtection="1">
      <alignment horizontal="left"/>
      <protection hidden="1"/>
    </xf>
    <xf numFmtId="0" fontId="7" fillId="37" borderId="0" xfId="53" applyFont="1" applyFill="1" applyBorder="1" applyAlignment="1" applyProtection="1">
      <alignment horizontal="left"/>
      <protection hidden="1"/>
    </xf>
    <xf numFmtId="0" fontId="12" fillId="37" borderId="18" xfId="53" applyFont="1" applyFill="1" applyBorder="1" applyAlignment="1" applyProtection="1">
      <alignment horizontal="center" vertical="center"/>
      <protection hidden="1"/>
    </xf>
    <xf numFmtId="0" fontId="12" fillId="37" borderId="49" xfId="53" applyFont="1" applyFill="1" applyBorder="1" applyAlignment="1" applyProtection="1">
      <alignment horizontal="center" vertical="center"/>
      <protection hidden="1"/>
    </xf>
    <xf numFmtId="0" fontId="12" fillId="37" borderId="55" xfId="53" applyFont="1" applyFill="1" applyBorder="1" applyAlignment="1" applyProtection="1">
      <alignment horizontal="center" vertical="center"/>
      <protection hidden="1"/>
    </xf>
    <xf numFmtId="0" fontId="8" fillId="37" borderId="56" xfId="53" applyFont="1" applyFill="1" applyBorder="1" applyAlignment="1" applyProtection="1">
      <alignment horizontal="center" vertical="center"/>
      <protection hidden="1"/>
    </xf>
    <xf numFmtId="0" fontId="30" fillId="33" borderId="0" xfId="53" applyFont="1" applyFill="1" applyAlignment="1" applyProtection="1">
      <alignment horizontal="center"/>
      <protection hidden="1"/>
    </xf>
    <xf numFmtId="0" fontId="7" fillId="35" borderId="28" xfId="53" applyFont="1" applyFill="1" applyBorder="1" applyAlignment="1" applyProtection="1">
      <alignment horizontal="left"/>
      <protection hidden="1"/>
    </xf>
    <xf numFmtId="0" fontId="12" fillId="34" borderId="26" xfId="53" applyFont="1" applyFill="1" applyBorder="1" applyAlignment="1" applyProtection="1">
      <alignment horizontal="center" vertical="center" wrapText="1"/>
      <protection hidden="1"/>
    </xf>
    <xf numFmtId="0" fontId="12" fillId="34" borderId="40" xfId="53" applyFont="1" applyFill="1" applyBorder="1" applyAlignment="1" applyProtection="1">
      <alignment horizontal="center" vertical="center" wrapText="1"/>
      <protection hidden="1"/>
    </xf>
    <xf numFmtId="192" fontId="5" fillId="0" borderId="11" xfId="53" applyNumberFormat="1" applyFont="1" applyFill="1" applyBorder="1" applyAlignment="1" applyProtection="1">
      <alignment horizontal="center"/>
      <protection hidden="1"/>
    </xf>
    <xf numFmtId="192" fontId="5" fillId="0" borderId="22" xfId="53" applyNumberFormat="1" applyFont="1" applyFill="1" applyBorder="1" applyAlignment="1" applyProtection="1">
      <alignment horizontal="center"/>
      <protection hidden="1"/>
    </xf>
    <xf numFmtId="1" fontId="5" fillId="35" borderId="14" xfId="0" applyNumberFormat="1" applyFont="1" applyFill="1" applyBorder="1" applyAlignment="1" applyProtection="1">
      <alignment horizontal="center"/>
      <protection hidden="1"/>
    </xf>
    <xf numFmtId="1" fontId="5" fillId="35" borderId="10" xfId="0" applyNumberFormat="1" applyFont="1" applyFill="1" applyBorder="1" applyAlignment="1" applyProtection="1">
      <alignment horizontal="center"/>
      <protection hidden="1"/>
    </xf>
    <xf numFmtId="0" fontId="12" fillId="37" borderId="35" xfId="53" applyFont="1" applyFill="1" applyBorder="1" applyAlignment="1" applyProtection="1">
      <alignment horizontal="center"/>
      <protection hidden="1"/>
    </xf>
    <xf numFmtId="0" fontId="12" fillId="37" borderId="27" xfId="53" applyFont="1" applyFill="1" applyBorder="1" applyAlignment="1" applyProtection="1">
      <alignment horizontal="center"/>
      <protection hidden="1"/>
    </xf>
    <xf numFmtId="0" fontId="12" fillId="37" borderId="26" xfId="53" applyFont="1" applyFill="1" applyBorder="1" applyAlignment="1" applyProtection="1">
      <alignment horizontal="center" vertical="center" wrapText="1"/>
      <protection hidden="1"/>
    </xf>
    <xf numFmtId="0" fontId="12" fillId="37" borderId="40" xfId="53" applyFont="1" applyFill="1" applyBorder="1" applyAlignment="1" applyProtection="1">
      <alignment horizontal="center" vertical="center" wrapText="1"/>
      <protection hidden="1"/>
    </xf>
    <xf numFmtId="0" fontId="12" fillId="34" borderId="38" xfId="53" applyFont="1" applyFill="1" applyBorder="1" applyAlignment="1" applyProtection="1">
      <alignment horizontal="center" vertical="center"/>
      <protection hidden="1"/>
    </xf>
    <xf numFmtId="0" fontId="12" fillId="34" borderId="42" xfId="53" applyFont="1" applyFill="1" applyBorder="1" applyAlignment="1" applyProtection="1">
      <alignment horizontal="center" vertical="center"/>
      <protection hidden="1"/>
    </xf>
    <xf numFmtId="0" fontId="26" fillId="37" borderId="16" xfId="53" applyFont="1" applyFill="1" applyBorder="1" applyAlignment="1" applyProtection="1">
      <alignment horizontal="center"/>
      <protection hidden="1"/>
    </xf>
    <xf numFmtId="0" fontId="26" fillId="37" borderId="12" xfId="53" applyFont="1" applyFill="1" applyBorder="1" applyAlignment="1" applyProtection="1">
      <alignment horizontal="center"/>
      <protection hidden="1"/>
    </xf>
    <xf numFmtId="0" fontId="26" fillId="37" borderId="20" xfId="53" applyFont="1" applyFill="1" applyBorder="1" applyAlignment="1" applyProtection="1">
      <alignment horizontal="center"/>
      <protection hidden="1"/>
    </xf>
    <xf numFmtId="1" fontId="5" fillId="33" borderId="51" xfId="0" applyNumberFormat="1" applyFont="1" applyFill="1" applyBorder="1" applyAlignment="1" applyProtection="1">
      <alignment horizontal="center"/>
      <protection hidden="1"/>
    </xf>
    <xf numFmtId="0" fontId="12" fillId="37" borderId="28" xfId="53" applyFont="1" applyFill="1" applyBorder="1" applyAlignment="1" applyProtection="1">
      <alignment horizontal="center" vertical="center"/>
      <protection hidden="1"/>
    </xf>
    <xf numFmtId="0" fontId="12" fillId="37" borderId="25" xfId="53" applyFont="1" applyFill="1" applyBorder="1" applyAlignment="1" applyProtection="1">
      <alignment horizontal="center" vertical="center"/>
      <protection hidden="1"/>
    </xf>
    <xf numFmtId="0" fontId="12" fillId="37" borderId="47" xfId="53" applyFont="1" applyFill="1" applyBorder="1" applyAlignment="1" applyProtection="1">
      <alignment horizontal="center" vertical="center"/>
      <protection hidden="1"/>
    </xf>
    <xf numFmtId="0" fontId="26" fillId="37" borderId="39" xfId="53" applyFont="1" applyFill="1" applyBorder="1" applyAlignment="1" applyProtection="1">
      <alignment horizontal="center"/>
      <protection hidden="1"/>
    </xf>
    <xf numFmtId="0" fontId="12" fillId="37" borderId="35" xfId="53" applyFont="1" applyFill="1" applyBorder="1" applyAlignment="1" applyProtection="1">
      <alignment horizontal="center" vertical="center" wrapText="1"/>
      <protection hidden="1"/>
    </xf>
    <xf numFmtId="0" fontId="12" fillId="37" borderId="36" xfId="53" applyFont="1" applyFill="1" applyBorder="1" applyAlignment="1" applyProtection="1">
      <alignment horizontal="center" vertical="center" wrapText="1"/>
      <protection hidden="1"/>
    </xf>
    <xf numFmtId="1" fontId="3" fillId="35" borderId="11" xfId="53" applyNumberFormat="1" applyFont="1" applyFill="1" applyBorder="1" applyAlignment="1" applyProtection="1">
      <alignment horizontal="center" vertical="center"/>
      <protection hidden="1"/>
    </xf>
    <xf numFmtId="1" fontId="3" fillId="35" borderId="0" xfId="53" applyNumberFormat="1" applyFont="1" applyFill="1" applyBorder="1" applyAlignment="1" applyProtection="1">
      <alignment horizontal="center" vertical="center"/>
      <protection hidden="1"/>
    </xf>
    <xf numFmtId="0" fontId="17" fillId="33" borderId="0" xfId="53" applyFont="1" applyFill="1" applyBorder="1" applyAlignment="1" applyProtection="1">
      <alignment horizontal="left"/>
      <protection hidden="1"/>
    </xf>
    <xf numFmtId="0" fontId="6" fillId="35" borderId="31" xfId="53" applyFont="1" applyFill="1" applyBorder="1" applyAlignment="1" applyProtection="1">
      <alignment horizontal="left"/>
      <protection hidden="1"/>
    </xf>
    <xf numFmtId="0" fontId="6" fillId="35" borderId="28" xfId="53" applyFont="1" applyFill="1" applyBorder="1" applyAlignment="1" applyProtection="1">
      <alignment horizontal="left"/>
      <protection hidden="1"/>
    </xf>
    <xf numFmtId="0" fontId="12" fillId="35" borderId="11" xfId="53" applyFont="1" applyFill="1" applyBorder="1" applyAlignment="1" applyProtection="1">
      <alignment horizontal="center" vertical="center"/>
      <protection hidden="1"/>
    </xf>
    <xf numFmtId="0" fontId="12" fillId="35" borderId="0" xfId="53" applyFont="1" applyFill="1" applyBorder="1" applyAlignment="1" applyProtection="1">
      <alignment horizontal="center" vertical="center"/>
      <protection hidden="1"/>
    </xf>
    <xf numFmtId="192" fontId="5" fillId="35" borderId="10" xfId="53" applyNumberFormat="1" applyFont="1" applyFill="1" applyBorder="1" applyAlignment="1" applyProtection="1">
      <alignment horizontal="center"/>
      <protection hidden="1"/>
    </xf>
    <xf numFmtId="0" fontId="26" fillId="34" borderId="39" xfId="53" applyFont="1" applyFill="1" applyBorder="1" applyAlignment="1" applyProtection="1">
      <alignment horizontal="center"/>
      <protection hidden="1"/>
    </xf>
    <xf numFmtId="0" fontId="26" fillId="34" borderId="20" xfId="53" applyFont="1" applyFill="1" applyBorder="1" applyAlignment="1" applyProtection="1">
      <alignment horizontal="center"/>
      <protection hidden="1"/>
    </xf>
    <xf numFmtId="0" fontId="12" fillId="34" borderId="24" xfId="53" applyFont="1" applyFill="1" applyBorder="1" applyAlignment="1" applyProtection="1">
      <alignment horizontal="center" vertical="center"/>
      <protection hidden="1"/>
    </xf>
    <xf numFmtId="0" fontId="2" fillId="37" borderId="49" xfId="53" applyFill="1" applyBorder="1" applyAlignment="1" applyProtection="1">
      <alignment horizontal="center" vertical="center"/>
      <protection hidden="1"/>
    </xf>
    <xf numFmtId="0" fontId="12" fillId="35" borderId="0" xfId="53" applyFont="1" applyFill="1" applyBorder="1" applyAlignment="1" applyProtection="1">
      <alignment horizontal="center"/>
      <protection hidden="1"/>
    </xf>
    <xf numFmtId="0" fontId="12" fillId="35" borderId="38" xfId="53" applyFont="1" applyFill="1" applyBorder="1" applyAlignment="1" applyProtection="1">
      <alignment horizontal="center" vertical="center"/>
      <protection hidden="1"/>
    </xf>
    <xf numFmtId="0" fontId="12" fillId="35" borderId="42" xfId="53" applyFont="1" applyFill="1" applyBorder="1" applyAlignment="1" applyProtection="1">
      <alignment horizontal="center" vertical="center"/>
      <protection hidden="1"/>
    </xf>
    <xf numFmtId="9" fontId="12" fillId="35" borderId="26" xfId="53" applyNumberFormat="1" applyFont="1" applyFill="1" applyBorder="1" applyAlignment="1" applyProtection="1">
      <alignment horizontal="center"/>
      <protection hidden="1"/>
    </xf>
    <xf numFmtId="9" fontId="12" fillId="35" borderId="40" xfId="53" applyNumberFormat="1" applyFont="1" applyFill="1" applyBorder="1" applyAlignment="1" applyProtection="1">
      <alignment horizontal="center"/>
      <protection hidden="1"/>
    </xf>
    <xf numFmtId="0" fontId="30" fillId="33" borderId="0" xfId="53" applyFont="1" applyFill="1" applyAlignment="1" applyProtection="1">
      <alignment horizontal="center" vertical="center"/>
      <protection hidden="1"/>
    </xf>
    <xf numFmtId="1" fontId="12" fillId="33" borderId="11" xfId="53" applyNumberFormat="1" applyFont="1" applyFill="1" applyBorder="1" applyAlignment="1" applyProtection="1">
      <alignment horizontal="center" vertical="center"/>
      <protection hidden="1"/>
    </xf>
    <xf numFmtId="1" fontId="12" fillId="33" borderId="0" xfId="53" applyNumberFormat="1" applyFont="1" applyFill="1" applyBorder="1" applyAlignment="1" applyProtection="1">
      <alignment horizontal="center" vertical="center"/>
      <protection hidden="1"/>
    </xf>
    <xf numFmtId="1" fontId="12" fillId="37" borderId="35" xfId="53" applyNumberFormat="1" applyFont="1" applyFill="1" applyBorder="1" applyAlignment="1" applyProtection="1">
      <alignment horizontal="center" vertical="center"/>
      <protection hidden="1"/>
    </xf>
    <xf numFmtId="1" fontId="12" fillId="37" borderId="36" xfId="53" applyNumberFormat="1" applyFont="1" applyFill="1" applyBorder="1" applyAlignment="1" applyProtection="1">
      <alignment horizontal="center" vertical="center"/>
      <protection hidden="1"/>
    </xf>
    <xf numFmtId="0" fontId="6" fillId="33" borderId="11" xfId="53" applyFont="1" applyFill="1" applyBorder="1" applyAlignment="1" applyProtection="1">
      <alignment horizontal="left"/>
      <protection hidden="1"/>
    </xf>
    <xf numFmtId="0" fontId="12" fillId="37" borderId="38" xfId="53" applyFont="1" applyFill="1" applyBorder="1" applyAlignment="1" applyProtection="1">
      <alignment vertical="center"/>
      <protection hidden="1"/>
    </xf>
    <xf numFmtId="0" fontId="12" fillId="37" borderId="42" xfId="53" applyFont="1" applyFill="1" applyBorder="1" applyAlignment="1" applyProtection="1">
      <alignment vertical="center"/>
      <protection hidden="1"/>
    </xf>
    <xf numFmtId="1" fontId="12" fillId="37" borderId="38" xfId="53" applyNumberFormat="1" applyFont="1" applyFill="1" applyBorder="1" applyAlignment="1" applyProtection="1">
      <alignment horizontal="center" vertical="center"/>
      <protection hidden="1"/>
    </xf>
    <xf numFmtId="1" fontId="12" fillId="37" borderId="42" xfId="53" applyNumberFormat="1" applyFont="1" applyFill="1" applyBorder="1" applyAlignment="1" applyProtection="1">
      <alignment horizontal="center" vertical="center"/>
      <protection hidden="1"/>
    </xf>
    <xf numFmtId="0" fontId="12" fillId="35" borderId="0" xfId="53" applyFont="1" applyFill="1" applyBorder="1" applyAlignment="1" applyProtection="1">
      <alignment horizontal="center" vertical="center"/>
      <protection hidden="1"/>
    </xf>
    <xf numFmtId="0" fontId="12" fillId="34" borderId="26" xfId="53" applyFont="1" applyFill="1" applyBorder="1" applyAlignment="1" applyProtection="1">
      <alignment horizontal="center" vertical="center"/>
      <protection hidden="1"/>
    </xf>
    <xf numFmtId="0" fontId="12" fillId="34" borderId="40" xfId="53" applyFont="1" applyFill="1" applyBorder="1" applyAlignment="1" applyProtection="1">
      <alignment horizontal="center" vertical="center"/>
      <protection hidden="1"/>
    </xf>
    <xf numFmtId="0" fontId="8" fillId="35" borderId="0" xfId="53" applyFont="1" applyFill="1" applyBorder="1" applyAlignment="1" applyProtection="1">
      <alignment horizontal="left"/>
      <protection hidden="1"/>
    </xf>
    <xf numFmtId="0" fontId="30" fillId="33" borderId="0" xfId="53" applyFont="1" applyFill="1" applyBorder="1" applyAlignment="1" applyProtection="1">
      <alignment horizontal="left"/>
      <protection hidden="1"/>
    </xf>
    <xf numFmtId="0" fontId="2" fillId="0" borderId="0" xfId="53" applyProtection="1">
      <alignment/>
      <protection hidden="1"/>
    </xf>
    <xf numFmtId="0" fontId="7" fillId="33" borderId="32" xfId="53" applyFont="1" applyFill="1" applyBorder="1" applyAlignment="1" applyProtection="1">
      <alignment horizontal="center"/>
      <protection hidden="1"/>
    </xf>
    <xf numFmtId="0" fontId="11" fillId="0" borderId="10" xfId="53" applyFont="1" applyFill="1" applyBorder="1" applyAlignment="1" applyProtection="1">
      <alignment horizontal="left"/>
      <protection hidden="1"/>
    </xf>
    <xf numFmtId="0" fontId="11" fillId="0" borderId="0" xfId="53" applyFont="1" applyFill="1" applyBorder="1" applyAlignment="1" applyProtection="1">
      <alignment horizontal="left"/>
      <protection hidden="1"/>
    </xf>
    <xf numFmtId="0" fontId="2" fillId="35" borderId="11" xfId="53" applyFont="1" applyFill="1" applyBorder="1" applyAlignment="1" applyProtection="1">
      <alignment horizontal="center"/>
      <protection hidden="1"/>
    </xf>
    <xf numFmtId="0" fontId="2" fillId="35" borderId="0" xfId="53" applyFont="1" applyFill="1" applyBorder="1" applyAlignment="1" applyProtection="1">
      <alignment horizontal="center"/>
      <protection hidden="1"/>
    </xf>
    <xf numFmtId="1" fontId="12" fillId="35" borderId="11" xfId="53" applyNumberFormat="1" applyFont="1" applyFill="1" applyBorder="1" applyAlignment="1" applyProtection="1">
      <alignment horizontal="center"/>
      <protection hidden="1"/>
    </xf>
    <xf numFmtId="1" fontId="12" fillId="35" borderId="0" xfId="53" applyNumberFormat="1" applyFont="1" applyFill="1" applyBorder="1" applyAlignment="1" applyProtection="1">
      <alignment horizontal="center"/>
      <protection hidden="1"/>
    </xf>
    <xf numFmtId="0" fontId="12" fillId="37" borderId="36" xfId="53" applyFont="1" applyFill="1" applyBorder="1" applyAlignment="1" applyProtection="1">
      <alignment horizontal="center"/>
      <protection hidden="1"/>
    </xf>
    <xf numFmtId="0" fontId="12" fillId="37" borderId="24" xfId="53" applyFont="1" applyFill="1" applyBorder="1" applyAlignment="1" applyProtection="1">
      <alignment horizontal="center" vertical="center"/>
      <protection hidden="1"/>
    </xf>
    <xf numFmtId="192" fontId="5" fillId="35" borderId="28" xfId="53" applyNumberFormat="1" applyFont="1" applyFill="1" applyBorder="1" applyAlignment="1" applyProtection="1">
      <alignment horizontal="center"/>
      <protection hidden="1"/>
    </xf>
    <xf numFmtId="0" fontId="28" fillId="33" borderId="10" xfId="53" applyFont="1" applyFill="1" applyBorder="1" applyAlignment="1" applyProtection="1">
      <alignment horizontal="center" vertical="center"/>
      <protection hidden="1"/>
    </xf>
    <xf numFmtId="0" fontId="129" fillId="35" borderId="0" xfId="53" applyFont="1" applyFill="1" applyBorder="1" applyAlignment="1" applyProtection="1">
      <alignment horizontal="left"/>
      <protection hidden="1"/>
    </xf>
    <xf numFmtId="192" fontId="5" fillId="35" borderId="15" xfId="53" applyNumberFormat="1" applyFont="1" applyFill="1" applyBorder="1" applyAlignment="1" applyProtection="1">
      <alignment horizontal="center" vertical="top"/>
      <protection hidden="1"/>
    </xf>
    <xf numFmtId="192" fontId="5" fillId="35" borderId="32" xfId="53" applyNumberFormat="1" applyFont="1" applyFill="1" applyBorder="1" applyAlignment="1" applyProtection="1">
      <alignment horizontal="center" vertical="top"/>
      <protection hidden="1"/>
    </xf>
    <xf numFmtId="0" fontId="12" fillId="37" borderId="26" xfId="53" applyFont="1" applyFill="1" applyBorder="1" applyAlignment="1" applyProtection="1">
      <alignment horizontal="center" vertical="center"/>
      <protection hidden="1"/>
    </xf>
    <xf numFmtId="0" fontId="12" fillId="37" borderId="40" xfId="53" applyFont="1" applyFill="1" applyBorder="1" applyAlignment="1" applyProtection="1">
      <alignment horizontal="center" vertical="center"/>
      <protection hidden="1"/>
    </xf>
    <xf numFmtId="1" fontId="5" fillId="35" borderId="11" xfId="53" applyNumberFormat="1" applyFont="1" applyFill="1" applyBorder="1" applyAlignment="1" applyProtection="1">
      <alignment horizontal="center" vertical="top"/>
      <protection hidden="1"/>
    </xf>
    <xf numFmtId="1" fontId="5" fillId="35" borderId="22" xfId="53" applyNumberFormat="1" applyFont="1" applyFill="1" applyBorder="1" applyAlignment="1" applyProtection="1">
      <alignment horizontal="center" vertical="top"/>
      <protection hidden="1"/>
    </xf>
    <xf numFmtId="0" fontId="6" fillId="0" borderId="0" xfId="53" applyFont="1" applyBorder="1" applyAlignment="1" applyProtection="1">
      <alignment horizontal="left"/>
      <protection hidden="1"/>
    </xf>
    <xf numFmtId="0" fontId="28" fillId="33" borderId="10" xfId="53" applyFont="1" applyFill="1" applyBorder="1" applyAlignment="1" applyProtection="1">
      <alignment horizontal="center"/>
      <protection hidden="1"/>
    </xf>
    <xf numFmtId="0" fontId="17" fillId="33" borderId="25" xfId="53" applyFont="1" applyFill="1" applyBorder="1" applyAlignment="1" applyProtection="1">
      <alignment horizontal="left"/>
      <protection hidden="1"/>
    </xf>
    <xf numFmtId="9" fontId="12" fillId="35" borderId="15" xfId="53" applyNumberFormat="1" applyFont="1" applyFill="1" applyBorder="1" applyAlignment="1" applyProtection="1">
      <alignment horizontal="center"/>
      <protection hidden="1"/>
    </xf>
    <xf numFmtId="9" fontId="12" fillId="35" borderId="41" xfId="53" applyNumberFormat="1" applyFont="1" applyFill="1" applyBorder="1" applyAlignment="1" applyProtection="1">
      <alignment horizontal="center"/>
      <protection hidden="1"/>
    </xf>
    <xf numFmtId="192" fontId="5" fillId="0" borderId="15" xfId="53" applyNumberFormat="1" applyFont="1" applyFill="1" applyBorder="1" applyAlignment="1" applyProtection="1">
      <alignment horizontal="center"/>
      <protection hidden="1"/>
    </xf>
    <xf numFmtId="192" fontId="5" fillId="0" borderId="41" xfId="53" applyNumberFormat="1" applyFont="1" applyFill="1" applyBorder="1" applyAlignment="1" applyProtection="1">
      <alignment horizontal="center"/>
      <protection hidden="1"/>
    </xf>
    <xf numFmtId="0" fontId="50" fillId="33" borderId="14" xfId="53" applyFont="1" applyFill="1" applyBorder="1" applyAlignment="1" applyProtection="1">
      <alignment horizontal="left"/>
      <protection hidden="1"/>
    </xf>
    <xf numFmtId="0" fontId="50" fillId="33" borderId="10" xfId="53" applyFont="1" applyFill="1" applyBorder="1" applyAlignment="1" applyProtection="1">
      <alignment horizontal="left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22" xfId="53" applyNumberFormat="1" applyFont="1" applyFill="1" applyBorder="1" applyAlignment="1" applyProtection="1">
      <alignment horizontal="center"/>
      <protection hidden="1"/>
    </xf>
    <xf numFmtId="0" fontId="12" fillId="34" borderId="35" xfId="53" applyFont="1" applyFill="1" applyBorder="1" applyAlignment="1" applyProtection="1">
      <alignment horizontal="center" vertical="center" wrapText="1"/>
      <protection hidden="1"/>
    </xf>
    <xf numFmtId="0" fontId="12" fillId="34" borderId="36" xfId="53" applyFont="1" applyFill="1" applyBorder="1" applyAlignment="1" applyProtection="1">
      <alignment horizontal="center" vertical="center" wrapText="1"/>
      <protection hidden="1"/>
    </xf>
    <xf numFmtId="0" fontId="7" fillId="33" borderId="35" xfId="53" applyFont="1" applyFill="1" applyBorder="1" applyAlignment="1" applyProtection="1">
      <alignment horizontal="left"/>
      <protection hidden="1"/>
    </xf>
    <xf numFmtId="0" fontId="7" fillId="33" borderId="27" xfId="53" applyFont="1" applyFill="1" applyBorder="1" applyAlignment="1" applyProtection="1">
      <alignment horizontal="left"/>
      <protection hidden="1"/>
    </xf>
    <xf numFmtId="0" fontId="7" fillId="33" borderId="25" xfId="53" applyFont="1" applyFill="1" applyBorder="1" applyAlignment="1" applyProtection="1">
      <alignment horizontal="left"/>
      <protection hidden="1"/>
    </xf>
    <xf numFmtId="0" fontId="7" fillId="33" borderId="40" xfId="53" applyFont="1" applyFill="1" applyBorder="1" applyAlignment="1" applyProtection="1">
      <alignment horizontal="left"/>
      <protection hidden="1"/>
    </xf>
    <xf numFmtId="0" fontId="7" fillId="35" borderId="0" xfId="53" applyFont="1" applyFill="1" applyBorder="1" applyAlignment="1" applyProtection="1">
      <alignment/>
      <protection hidden="1"/>
    </xf>
    <xf numFmtId="0" fontId="17" fillId="33" borderId="28" xfId="53" applyFont="1" applyFill="1" applyBorder="1" applyAlignment="1" applyProtection="1">
      <alignment horizontal="center"/>
      <protection hidden="1"/>
    </xf>
    <xf numFmtId="0" fontId="12" fillId="34" borderId="26" xfId="53" applyFont="1" applyFill="1" applyBorder="1" applyAlignment="1" applyProtection="1">
      <alignment horizontal="center" vertical="center"/>
      <protection hidden="1"/>
    </xf>
    <xf numFmtId="0" fontId="12" fillId="34" borderId="40" xfId="53" applyFont="1" applyFill="1" applyBorder="1" applyAlignment="1" applyProtection="1">
      <alignment horizontal="center" vertical="center"/>
      <protection hidden="1"/>
    </xf>
    <xf numFmtId="192" fontId="5" fillId="35" borderId="25" xfId="53" applyNumberFormat="1" applyFont="1" applyFill="1" applyBorder="1" applyAlignment="1" applyProtection="1">
      <alignment horizontal="center"/>
      <protection hidden="1"/>
    </xf>
    <xf numFmtId="0" fontId="8" fillId="33" borderId="10" xfId="53" applyFont="1" applyFill="1" applyBorder="1" applyAlignment="1" applyProtection="1">
      <alignment horizontal="center"/>
      <protection hidden="1"/>
    </xf>
    <xf numFmtId="192" fontId="32" fillId="35" borderId="15" xfId="54" applyNumberFormat="1" applyFont="1" applyFill="1" applyBorder="1" applyAlignment="1" applyProtection="1">
      <alignment horizontal="center"/>
      <protection hidden="1"/>
    </xf>
    <xf numFmtId="192" fontId="32" fillId="35" borderId="41" xfId="54" applyNumberFormat="1" applyFont="1" applyFill="1" applyBorder="1" applyAlignment="1" applyProtection="1">
      <alignment horizontal="center"/>
      <protection hidden="1"/>
    </xf>
    <xf numFmtId="192" fontId="32" fillId="35" borderId="11" xfId="54" applyNumberFormat="1" applyFont="1" applyFill="1" applyBorder="1" applyAlignment="1" applyProtection="1">
      <alignment horizontal="center"/>
      <protection hidden="1"/>
    </xf>
    <xf numFmtId="192" fontId="32" fillId="35" borderId="22" xfId="54" applyNumberFormat="1" applyFont="1" applyFill="1" applyBorder="1" applyAlignment="1" applyProtection="1">
      <alignment horizontal="center"/>
      <protection hidden="1"/>
    </xf>
    <xf numFmtId="0" fontId="129" fillId="33" borderId="10" xfId="53" applyFont="1" applyFill="1" applyBorder="1" applyAlignment="1" applyProtection="1">
      <alignment horizontal="left"/>
      <protection hidden="1"/>
    </xf>
    <xf numFmtId="0" fontId="17" fillId="33" borderId="10" xfId="53" applyFont="1" applyFill="1" applyBorder="1" applyAlignment="1" applyProtection="1">
      <alignment horizontal="left"/>
      <protection hidden="1"/>
    </xf>
    <xf numFmtId="0" fontId="12" fillId="34" borderId="28" xfId="53" applyFont="1" applyFill="1" applyBorder="1" applyAlignment="1" applyProtection="1">
      <alignment horizontal="center" vertical="center"/>
      <protection hidden="1"/>
    </xf>
    <xf numFmtId="0" fontId="12" fillId="34" borderId="25" xfId="53" applyFont="1" applyFill="1" applyBorder="1" applyAlignment="1" applyProtection="1">
      <alignment horizontal="center" vertical="center"/>
      <protection hidden="1"/>
    </xf>
    <xf numFmtId="0" fontId="12" fillId="37" borderId="19" xfId="53" applyFont="1" applyFill="1" applyBorder="1" applyAlignment="1" applyProtection="1">
      <alignment horizontal="center" vertical="center"/>
      <protection hidden="1"/>
    </xf>
    <xf numFmtId="0" fontId="2" fillId="37" borderId="43" xfId="53" applyFill="1" applyBorder="1" applyAlignment="1" applyProtection="1">
      <alignment horizontal="center" vertical="center"/>
      <protection hidden="1"/>
    </xf>
    <xf numFmtId="0" fontId="30" fillId="33" borderId="0" xfId="53" applyFont="1" applyFill="1" applyBorder="1" applyAlignment="1" applyProtection="1">
      <alignment horizontal="center"/>
      <protection hidden="1"/>
    </xf>
    <xf numFmtId="0" fontId="6" fillId="35" borderId="25" xfId="53" applyFont="1" applyFill="1" applyBorder="1" applyAlignment="1" applyProtection="1">
      <alignment horizontal="left"/>
      <protection hidden="1"/>
    </xf>
    <xf numFmtId="0" fontId="17" fillId="33" borderId="10" xfId="53" applyFont="1" applyFill="1" applyBorder="1" applyAlignment="1" applyProtection="1">
      <alignment horizontal="center"/>
      <protection hidden="1"/>
    </xf>
    <xf numFmtId="0" fontId="12" fillId="37" borderId="11" xfId="53" applyFont="1" applyFill="1" applyBorder="1" applyAlignment="1" applyProtection="1">
      <alignment horizontal="center" vertical="center"/>
      <protection hidden="1"/>
    </xf>
    <xf numFmtId="0" fontId="12" fillId="37" borderId="22" xfId="53" applyFont="1" applyFill="1" applyBorder="1" applyAlignment="1" applyProtection="1">
      <alignment horizontal="center" vertical="center"/>
      <protection hidden="1"/>
    </xf>
    <xf numFmtId="0" fontId="8" fillId="33" borderId="28" xfId="0" applyFont="1" applyFill="1" applyBorder="1" applyAlignment="1" applyProtection="1">
      <alignment wrapText="1"/>
      <protection hidden="1"/>
    </xf>
    <xf numFmtId="0" fontId="8" fillId="33" borderId="0" xfId="0" applyFont="1" applyFill="1" applyBorder="1" applyAlignment="1" applyProtection="1">
      <alignment wrapText="1"/>
      <protection hidden="1"/>
    </xf>
    <xf numFmtId="0" fontId="30" fillId="33" borderId="0" xfId="53" applyFont="1" applyFill="1" applyBorder="1" applyAlignment="1" applyProtection="1">
      <alignment horizontal="center"/>
      <protection hidden="1"/>
    </xf>
    <xf numFmtId="0" fontId="12" fillId="37" borderId="50" xfId="53" applyFont="1" applyFill="1" applyBorder="1" applyAlignment="1" applyProtection="1">
      <alignment horizontal="center" vertical="center"/>
      <protection hidden="1"/>
    </xf>
    <xf numFmtId="0" fontId="2" fillId="37" borderId="57" xfId="53" applyFill="1" applyBorder="1" applyAlignment="1" applyProtection="1">
      <alignment horizontal="center" vertical="center"/>
      <protection hidden="1"/>
    </xf>
    <xf numFmtId="0" fontId="12" fillId="37" borderId="26" xfId="53" applyFont="1" applyFill="1" applyBorder="1" applyAlignment="1" applyProtection="1">
      <alignment horizontal="center"/>
      <protection hidden="1"/>
    </xf>
    <xf numFmtId="0" fontId="12" fillId="37" borderId="40" xfId="53" applyFont="1" applyFill="1" applyBorder="1" applyAlignment="1" applyProtection="1">
      <alignment horizontal="center"/>
      <protection hidden="1"/>
    </xf>
    <xf numFmtId="0" fontId="124" fillId="35" borderId="11" xfId="53" applyFont="1" applyFill="1" applyBorder="1" applyAlignment="1" applyProtection="1">
      <alignment horizontal="center"/>
      <protection hidden="1"/>
    </xf>
    <xf numFmtId="0" fontId="12" fillId="35" borderId="11" xfId="53" applyFont="1" applyFill="1" applyBorder="1" applyAlignment="1" applyProtection="1">
      <alignment horizontal="center"/>
      <protection hidden="1"/>
    </xf>
    <xf numFmtId="0" fontId="12" fillId="35" borderId="0" xfId="53" applyFont="1" applyFill="1" applyBorder="1" applyAlignment="1" applyProtection="1">
      <alignment horizontal="center"/>
      <protection hidden="1"/>
    </xf>
    <xf numFmtId="0" fontId="12" fillId="34" borderId="38" xfId="53" applyFont="1" applyFill="1" applyBorder="1" applyAlignment="1" applyProtection="1">
      <alignment horizontal="center" vertical="center"/>
      <protection hidden="1"/>
    </xf>
    <xf numFmtId="0" fontId="12" fillId="34" borderId="42" xfId="53" applyFont="1" applyFill="1" applyBorder="1" applyAlignment="1" applyProtection="1">
      <alignment horizontal="center" vertical="center"/>
      <protection hidden="1"/>
    </xf>
    <xf numFmtId="1" fontId="5" fillId="35" borderId="51" xfId="0" applyNumberFormat="1" applyFont="1" applyFill="1" applyBorder="1" applyAlignment="1" applyProtection="1">
      <alignment horizontal="center"/>
      <protection hidden="1"/>
    </xf>
    <xf numFmtId="0" fontId="12" fillId="37" borderId="15" xfId="53" applyFont="1" applyFill="1" applyBorder="1" applyAlignment="1" applyProtection="1">
      <alignment horizontal="center"/>
      <protection hidden="1"/>
    </xf>
    <xf numFmtId="0" fontId="12" fillId="37" borderId="20" xfId="53" applyFont="1" applyFill="1" applyBorder="1" applyAlignment="1" applyProtection="1">
      <alignment horizontal="center"/>
      <protection hidden="1"/>
    </xf>
    <xf numFmtId="0" fontId="12" fillId="37" borderId="38" xfId="53" applyFont="1" applyFill="1" applyBorder="1" applyAlignment="1" applyProtection="1">
      <alignment horizontal="center"/>
      <protection hidden="1"/>
    </xf>
    <xf numFmtId="0" fontId="12" fillId="37" borderId="42" xfId="53" applyFont="1" applyFill="1" applyBorder="1" applyAlignment="1" applyProtection="1">
      <alignment horizontal="center"/>
      <protection hidden="1"/>
    </xf>
    <xf numFmtId="0" fontId="12" fillId="34" borderId="38" xfId="53" applyFont="1" applyFill="1" applyBorder="1" applyAlignment="1" applyProtection="1">
      <alignment horizontal="center" vertical="center" wrapText="1"/>
      <protection hidden="1"/>
    </xf>
    <xf numFmtId="0" fontId="12" fillId="34" borderId="42" xfId="53" applyFont="1" applyFill="1" applyBorder="1" applyAlignment="1" applyProtection="1">
      <alignment horizontal="center" vertical="center" wrapText="1"/>
      <protection hidden="1"/>
    </xf>
    <xf numFmtId="0" fontId="8" fillId="33" borderId="28" xfId="53" applyFont="1" applyFill="1" applyBorder="1" applyAlignment="1" applyProtection="1">
      <alignment horizontal="left"/>
      <protection hidden="1"/>
    </xf>
    <xf numFmtId="0" fontId="2" fillId="37" borderId="20" xfId="53" applyFill="1" applyBorder="1" applyAlignment="1" applyProtection="1">
      <alignment horizontal="center" vertical="center"/>
      <protection hidden="1"/>
    </xf>
    <xf numFmtId="0" fontId="12" fillId="35" borderId="11" xfId="53" applyFont="1" applyFill="1" applyBorder="1" applyAlignment="1" applyProtection="1">
      <alignment horizontal="center" wrapText="1"/>
      <protection hidden="1"/>
    </xf>
    <xf numFmtId="0" fontId="12" fillId="37" borderId="12" xfId="53" applyFont="1" applyFill="1" applyBorder="1" applyAlignment="1" applyProtection="1">
      <alignment horizontal="center"/>
      <protection hidden="1"/>
    </xf>
    <xf numFmtId="0" fontId="12" fillId="37" borderId="16" xfId="53" applyFont="1" applyFill="1" applyBorder="1" applyAlignment="1" applyProtection="1">
      <alignment horizontal="center"/>
      <protection hidden="1"/>
    </xf>
    <xf numFmtId="0" fontId="12" fillId="37" borderId="56" xfId="53" applyFont="1" applyFill="1" applyBorder="1" applyAlignment="1" applyProtection="1">
      <alignment horizontal="center" vertical="center"/>
      <protection hidden="1"/>
    </xf>
    <xf numFmtId="0" fontId="12" fillId="37" borderId="26" xfId="53" applyFont="1" applyFill="1" applyBorder="1" applyAlignment="1" applyProtection="1">
      <alignment horizontal="center" vertical="center"/>
      <protection hidden="1"/>
    </xf>
    <xf numFmtId="0" fontId="12" fillId="37" borderId="40" xfId="53" applyFont="1" applyFill="1" applyBorder="1" applyAlignment="1" applyProtection="1">
      <alignment horizontal="center" vertical="center"/>
      <protection hidden="1"/>
    </xf>
    <xf numFmtId="0" fontId="12" fillId="37" borderId="12" xfId="53" applyFont="1" applyFill="1" applyBorder="1" applyAlignment="1" applyProtection="1">
      <alignment horizontal="center" vertical="center"/>
      <protection hidden="1"/>
    </xf>
    <xf numFmtId="0" fontId="6" fillId="0" borderId="35" xfId="53" applyFont="1" applyBorder="1" applyAlignment="1" applyProtection="1">
      <alignment horizontal="left"/>
      <protection hidden="1"/>
    </xf>
    <xf numFmtId="0" fontId="6" fillId="0" borderId="25" xfId="53" applyFont="1" applyBorder="1" applyAlignment="1" applyProtection="1">
      <alignment horizontal="left"/>
      <protection hidden="1"/>
    </xf>
    <xf numFmtId="0" fontId="6" fillId="0" borderId="40" xfId="53" applyFont="1" applyBorder="1" applyAlignment="1" applyProtection="1">
      <alignment horizontal="left"/>
      <protection hidden="1"/>
    </xf>
    <xf numFmtId="0" fontId="6" fillId="33" borderId="26" xfId="53" applyFont="1" applyFill="1" applyBorder="1" applyAlignment="1" applyProtection="1">
      <alignment horizontal="left"/>
      <protection hidden="1"/>
    </xf>
    <xf numFmtId="0" fontId="6" fillId="33" borderId="25" xfId="53" applyFont="1" applyFill="1" applyBorder="1" applyAlignment="1" applyProtection="1">
      <alignment horizontal="left"/>
      <protection hidden="1"/>
    </xf>
    <xf numFmtId="0" fontId="6" fillId="33" borderId="40" xfId="53" applyFont="1" applyFill="1" applyBorder="1" applyAlignment="1" applyProtection="1">
      <alignment horizontal="left"/>
      <protection hidden="1"/>
    </xf>
    <xf numFmtId="0" fontId="130" fillId="37" borderId="39" xfId="53" applyFont="1" applyFill="1" applyBorder="1" applyAlignment="1" applyProtection="1">
      <alignment horizontal="center"/>
      <protection hidden="1"/>
    </xf>
    <xf numFmtId="0" fontId="2" fillId="37" borderId="26" xfId="53" applyFont="1" applyFill="1" applyBorder="1" applyAlignment="1" applyProtection="1">
      <alignment horizontal="center"/>
      <protection hidden="1"/>
    </xf>
    <xf numFmtId="0" fontId="12" fillId="37" borderId="39" xfId="53" applyFont="1" applyFill="1" applyBorder="1" applyAlignment="1" applyProtection="1">
      <alignment horizontal="center" vertical="center"/>
      <protection hidden="1"/>
    </xf>
    <xf numFmtId="192" fontId="5" fillId="35" borderId="14" xfId="0" applyNumberFormat="1" applyFont="1" applyFill="1" applyBorder="1" applyAlignment="1" applyProtection="1">
      <alignment horizontal="center"/>
      <protection hidden="1"/>
    </xf>
    <xf numFmtId="192" fontId="5" fillId="35" borderId="51" xfId="0" applyNumberFormat="1" applyFont="1" applyFill="1" applyBorder="1" applyAlignment="1" applyProtection="1">
      <alignment horizontal="center"/>
      <protection hidden="1"/>
    </xf>
    <xf numFmtId="10" fontId="12" fillId="0" borderId="11" xfId="53" applyNumberFormat="1" applyFont="1" applyFill="1" applyBorder="1" applyAlignment="1" applyProtection="1">
      <alignment horizontal="center"/>
      <protection hidden="1"/>
    </xf>
    <xf numFmtId="10" fontId="12" fillId="0" borderId="22" xfId="53" applyNumberFormat="1" applyFont="1" applyFill="1" applyBorder="1" applyAlignment="1" applyProtection="1">
      <alignment horizontal="center"/>
      <protection hidden="1"/>
    </xf>
    <xf numFmtId="192" fontId="5" fillId="35" borderId="11" xfId="53" applyNumberFormat="1" applyFont="1" applyFill="1" applyBorder="1" applyAlignment="1" applyProtection="1">
      <alignment horizontal="center" wrapText="1"/>
      <protection hidden="1"/>
    </xf>
    <xf numFmtId="0" fontId="6" fillId="33" borderId="10" xfId="53" applyFont="1" applyFill="1" applyBorder="1" applyAlignment="1" applyProtection="1">
      <alignment horizontal="center"/>
      <protection hidden="1"/>
    </xf>
    <xf numFmtId="192" fontId="32" fillId="35" borderId="26" xfId="54" applyNumberFormat="1" applyFont="1" applyFill="1" applyBorder="1" applyAlignment="1" applyProtection="1">
      <alignment horizontal="center"/>
      <protection hidden="1"/>
    </xf>
    <xf numFmtId="192" fontId="32" fillId="35" borderId="40" xfId="54" applyNumberFormat="1" applyFont="1" applyFill="1" applyBorder="1" applyAlignment="1" applyProtection="1">
      <alignment horizontal="center"/>
      <protection hidden="1"/>
    </xf>
    <xf numFmtId="0" fontId="12" fillId="35" borderId="0" xfId="53" applyFont="1" applyFill="1" applyBorder="1" applyAlignment="1" applyProtection="1">
      <alignment/>
      <protection hidden="1"/>
    </xf>
    <xf numFmtId="0" fontId="12" fillId="35" borderId="11" xfId="53" applyFont="1" applyFill="1" applyBorder="1" applyAlignment="1" applyProtection="1">
      <alignment/>
      <protection hidden="1"/>
    </xf>
    <xf numFmtId="0" fontId="12" fillId="35" borderId="0" xfId="53" applyFont="1" applyFill="1" applyBorder="1" applyAlignment="1" applyProtection="1">
      <alignment horizontal="left" vertical="center"/>
      <protection hidden="1"/>
    </xf>
    <xf numFmtId="0" fontId="12" fillId="35" borderId="11" xfId="53" applyFont="1" applyFill="1" applyBorder="1" applyAlignment="1" applyProtection="1">
      <alignment horizontal="center" vertical="center"/>
      <protection hidden="1"/>
    </xf>
    <xf numFmtId="192" fontId="32" fillId="35" borderId="0" xfId="54" applyNumberFormat="1" applyFont="1" applyFill="1" applyBorder="1" applyAlignment="1" applyProtection="1">
      <alignment horizontal="center"/>
      <protection hidden="1"/>
    </xf>
    <xf numFmtId="0" fontId="142" fillId="33" borderId="3" xfId="45" applyFont="1" applyFill="1" applyAlignment="1" applyProtection="1">
      <alignment wrapText="1"/>
      <protection hidden="1"/>
    </xf>
    <xf numFmtId="0" fontId="108" fillId="35" borderId="0" xfId="42" applyFill="1" applyBorder="1" applyAlignment="1" applyProtection="1">
      <alignment horizontal="left" wrapText="1" indent="3"/>
      <protection hidden="1"/>
    </xf>
    <xf numFmtId="9" fontId="12" fillId="0" borderId="11" xfId="53" applyNumberFormat="1" applyFont="1" applyFill="1" applyBorder="1" applyAlignment="1" applyProtection="1">
      <alignment horizontal="center"/>
      <protection hidden="1"/>
    </xf>
    <xf numFmtId="0" fontId="12" fillId="0" borderId="22" xfId="53" applyNumberFormat="1" applyFont="1" applyFill="1" applyBorder="1" applyAlignment="1" applyProtection="1">
      <alignment horizontal="center"/>
      <protection hidden="1"/>
    </xf>
    <xf numFmtId="1" fontId="5" fillId="35" borderId="10" xfId="53" applyNumberFormat="1" applyFont="1" applyFill="1" applyBorder="1" applyAlignment="1" applyProtection="1">
      <alignment horizontal="center"/>
      <protection hidden="1"/>
    </xf>
    <xf numFmtId="0" fontId="4" fillId="33" borderId="0" xfId="53" applyFont="1" applyFill="1" applyBorder="1" applyAlignment="1" applyProtection="1">
      <alignment horizontal="center"/>
      <protection hidden="1"/>
    </xf>
    <xf numFmtId="1" fontId="5" fillId="0" borderId="0" xfId="53" applyNumberFormat="1" applyFont="1" applyFill="1" applyBorder="1" applyAlignment="1" applyProtection="1">
      <alignment horizontal="center"/>
      <protection hidden="1"/>
    </xf>
    <xf numFmtId="0" fontId="12" fillId="37" borderId="38" xfId="53" applyFont="1" applyFill="1" applyBorder="1" applyAlignment="1" applyProtection="1">
      <alignment/>
      <protection hidden="1"/>
    </xf>
    <xf numFmtId="0" fontId="12" fillId="37" borderId="42" xfId="53" applyFont="1" applyFill="1" applyBorder="1" applyAlignment="1" applyProtection="1">
      <alignment/>
      <protection hidden="1"/>
    </xf>
    <xf numFmtId="0" fontId="12" fillId="35" borderId="11" xfId="53" applyFont="1" applyFill="1" applyBorder="1" applyAlignment="1" applyProtection="1">
      <alignment horizontal="center"/>
      <protection hidden="1"/>
    </xf>
    <xf numFmtId="0" fontId="12" fillId="37" borderId="34" xfId="53" applyFont="1" applyFill="1" applyBorder="1" applyAlignment="1" applyProtection="1">
      <alignment horizontal="center"/>
      <protection hidden="1"/>
    </xf>
    <xf numFmtId="9" fontId="12" fillId="35" borderId="0" xfId="53" applyNumberFormat="1" applyFont="1" applyFill="1" applyBorder="1" applyAlignment="1" applyProtection="1">
      <alignment horizontal="center"/>
      <protection hidden="1"/>
    </xf>
    <xf numFmtId="0" fontId="12" fillId="35" borderId="27" xfId="53" applyFont="1" applyFill="1" applyBorder="1" applyAlignment="1" applyProtection="1">
      <alignment/>
      <protection hidden="1"/>
    </xf>
    <xf numFmtId="0" fontId="12" fillId="35" borderId="36" xfId="53" applyFont="1" applyFill="1" applyBorder="1" applyAlignment="1" applyProtection="1">
      <alignment/>
      <protection hidden="1"/>
    </xf>
    <xf numFmtId="0" fontId="17" fillId="35" borderId="11" xfId="53" applyFont="1" applyFill="1" applyBorder="1" applyAlignment="1" applyProtection="1">
      <alignment/>
      <protection hidden="1"/>
    </xf>
    <xf numFmtId="0" fontId="12" fillId="37" borderId="27" xfId="53" applyFont="1" applyFill="1" applyBorder="1" applyAlignment="1" applyProtection="1">
      <alignment horizontal="center" vertical="center"/>
      <protection hidden="1"/>
    </xf>
    <xf numFmtId="1" fontId="12" fillId="37" borderId="27" xfId="53" applyNumberFormat="1" applyFont="1" applyFill="1" applyBorder="1" applyAlignment="1" applyProtection="1">
      <alignment horizontal="center"/>
      <protection hidden="1"/>
    </xf>
    <xf numFmtId="1" fontId="3" fillId="35" borderId="11" xfId="53" applyNumberFormat="1" applyFont="1" applyFill="1" applyBorder="1" applyAlignment="1" applyProtection="1">
      <alignment horizontal="center"/>
      <protection hidden="1"/>
    </xf>
    <xf numFmtId="1" fontId="3" fillId="35" borderId="0" xfId="53" applyNumberFormat="1" applyFont="1" applyFill="1" applyBorder="1" applyAlignment="1" applyProtection="1">
      <alignment horizontal="center"/>
      <protection hidden="1"/>
    </xf>
    <xf numFmtId="0" fontId="12" fillId="37" borderId="38" xfId="53" applyFont="1" applyFill="1" applyBorder="1" applyAlignment="1" applyProtection="1">
      <alignment horizontal="left" vertical="center"/>
      <protection hidden="1"/>
    </xf>
    <xf numFmtId="0" fontId="12" fillId="37" borderId="42" xfId="53" applyFont="1" applyFill="1" applyBorder="1" applyAlignment="1" applyProtection="1">
      <alignment horizontal="left" vertical="center"/>
      <protection hidden="1"/>
    </xf>
    <xf numFmtId="0" fontId="6" fillId="33" borderId="0" xfId="53" applyFont="1" applyFill="1" applyBorder="1" applyAlignment="1" applyProtection="1">
      <alignment horizontal="center"/>
      <protection hidden="1"/>
    </xf>
    <xf numFmtId="0" fontId="30" fillId="33" borderId="10" xfId="53" applyFont="1" applyFill="1" applyBorder="1" applyAlignment="1" applyProtection="1">
      <alignment horizontal="left"/>
      <protection hidden="1"/>
    </xf>
    <xf numFmtId="0" fontId="30" fillId="33" borderId="0" xfId="53" applyFont="1" applyFill="1" applyAlignment="1" applyProtection="1">
      <alignment horizontal="center"/>
      <protection hidden="1"/>
    </xf>
    <xf numFmtId="0" fontId="6" fillId="35" borderId="10" xfId="53" applyFont="1" applyFill="1" applyBorder="1" applyAlignment="1" applyProtection="1">
      <alignment horizontal="left"/>
      <protection hidden="1"/>
    </xf>
    <xf numFmtId="0" fontId="12" fillId="37" borderId="24" xfId="53" applyFont="1" applyFill="1" applyBorder="1" applyAlignment="1" applyProtection="1">
      <alignment horizontal="center" vertical="center"/>
      <protection hidden="1"/>
    </xf>
    <xf numFmtId="1" fontId="16" fillId="33" borderId="10" xfId="53" applyNumberFormat="1" applyFont="1" applyFill="1" applyBorder="1" applyAlignment="1" applyProtection="1">
      <alignment horizontal="center"/>
      <protection hidden="1"/>
    </xf>
    <xf numFmtId="0" fontId="12" fillId="37" borderId="24" xfId="53" applyFont="1" applyFill="1" applyBorder="1" applyAlignment="1" applyProtection="1">
      <alignment horizontal="center" vertical="center" wrapText="1"/>
      <protection hidden="1"/>
    </xf>
    <xf numFmtId="1" fontId="8" fillId="33" borderId="0" xfId="53" applyNumberFormat="1" applyFont="1" applyFill="1" applyBorder="1" applyAlignment="1" applyProtection="1">
      <alignment horizontal="left"/>
      <protection hidden="1"/>
    </xf>
    <xf numFmtId="0" fontId="36" fillId="33" borderId="0" xfId="53" applyFont="1" applyFill="1" applyBorder="1" applyAlignment="1" applyProtection="1">
      <alignment horizontal="center"/>
      <protection hidden="1"/>
    </xf>
    <xf numFmtId="0" fontId="143" fillId="40" borderId="0" xfId="42" applyFont="1" applyFill="1" applyAlignment="1" applyProtection="1">
      <alignment horizontal="center" vertical="center" wrapText="1"/>
      <protection hidden="1"/>
    </xf>
    <xf numFmtId="0" fontId="59" fillId="40" borderId="0" xfId="0" applyFont="1" applyFill="1" applyAlignment="1" applyProtection="1">
      <alignment vertical="center"/>
      <protection hidden="1"/>
    </xf>
    <xf numFmtId="0" fontId="6" fillId="41" borderId="0" xfId="53" applyFont="1" applyFill="1" applyAlignment="1" applyProtection="1">
      <alignment horizontal="left"/>
      <protection hidden="1"/>
    </xf>
    <xf numFmtId="0" fontId="0" fillId="41" borderId="0" xfId="0" applyFill="1" applyAlignment="1" applyProtection="1">
      <alignment/>
      <protection hidden="1"/>
    </xf>
    <xf numFmtId="0" fontId="2" fillId="33" borderId="0" xfId="53" applyFill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3" fillId="37" borderId="0" xfId="0" applyFont="1" applyFill="1" applyAlignment="1" applyProtection="1">
      <alignment horizontal="center" wrapText="1"/>
      <protection hidden="1"/>
    </xf>
    <xf numFmtId="0" fontId="33" fillId="37" borderId="0" xfId="0" applyFont="1" applyFill="1" applyAlignment="1" applyProtection="1">
      <alignment horizontal="left" wrapText="1"/>
      <protection hidden="1"/>
    </xf>
    <xf numFmtId="0" fontId="4" fillId="37" borderId="0" xfId="0" applyFont="1" applyFill="1" applyAlignment="1" applyProtection="1">
      <alignment horizontal="center"/>
      <protection hidden="1"/>
    </xf>
    <xf numFmtId="0" fontId="4" fillId="37" borderId="0" xfId="0" applyFont="1" applyFill="1" applyBorder="1" applyAlignment="1" applyProtection="1">
      <alignment horizontal="center"/>
      <protection hidden="1"/>
    </xf>
    <xf numFmtId="0" fontId="5" fillId="37" borderId="0" xfId="0" applyFont="1" applyFill="1" applyAlignment="1" applyProtection="1">
      <alignment horizontal="left" vertical="top"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9" fillId="42" borderId="0" xfId="0" applyFont="1" applyFill="1" applyAlignment="1" applyProtection="1">
      <alignment wrapText="1"/>
      <protection hidden="1"/>
    </xf>
    <xf numFmtId="0" fontId="39" fillId="35" borderId="0" xfId="0" applyFont="1" applyFill="1" applyAlignment="1" applyProtection="1">
      <alignment wrapText="1"/>
      <protection hidden="1"/>
    </xf>
    <xf numFmtId="0" fontId="33" fillId="33" borderId="0" xfId="0" applyFont="1" applyFill="1" applyAlignment="1" applyProtection="1">
      <alignment horizontal="left" wrapText="1"/>
      <protection hidden="1"/>
    </xf>
    <xf numFmtId="0" fontId="4" fillId="33" borderId="0" xfId="0" applyFont="1" applyFill="1" applyAlignment="1" applyProtection="1">
      <alignment horizontal="center"/>
      <protection hidden="1"/>
    </xf>
    <xf numFmtId="0" fontId="4" fillId="35" borderId="0" xfId="0" applyFont="1" applyFill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5" borderId="0" xfId="0" applyFont="1" applyFill="1" applyAlignment="1" applyProtection="1">
      <alignment horizontal="left" vertical="top"/>
      <protection hidden="1"/>
    </xf>
    <xf numFmtId="0" fontId="142" fillId="0" borderId="3" xfId="45" applyFont="1" applyAlignment="1" applyProtection="1">
      <alignment wrapText="1"/>
      <protection hidden="1"/>
    </xf>
    <xf numFmtId="0" fontId="108" fillId="35" borderId="0" xfId="42" applyFill="1" applyBorder="1" applyAlignment="1" applyProtection="1">
      <alignment horizontal="left" indent="3"/>
      <protection hidden="1"/>
    </xf>
    <xf numFmtId="0" fontId="144" fillId="33" borderId="0" xfId="0" applyFont="1" applyFill="1" applyAlignment="1" applyProtection="1">
      <alignment horizontal="left" wrapText="1"/>
      <protection hidden="1"/>
    </xf>
    <xf numFmtId="0" fontId="144" fillId="33" borderId="0" xfId="0" applyFont="1" applyFill="1" applyAlignment="1" applyProtection="1">
      <alignment horizontal="center"/>
      <protection hidden="1"/>
    </xf>
    <xf numFmtId="0" fontId="145" fillId="35" borderId="0" xfId="0" applyFont="1" applyFill="1" applyAlignment="1" applyProtection="1">
      <alignment horizontal="center"/>
      <protection hidden="1"/>
    </xf>
    <xf numFmtId="0" fontId="127" fillId="33" borderId="0" xfId="0" applyFont="1" applyFill="1" applyBorder="1" applyAlignment="1" applyProtection="1">
      <alignment horizontal="center"/>
      <protection hidden="1"/>
    </xf>
    <xf numFmtId="0" fontId="126" fillId="35" borderId="0" xfId="0" applyFont="1" applyFill="1" applyAlignment="1" applyProtection="1">
      <alignment horizontal="left" vertical="top"/>
      <protection hidden="1"/>
    </xf>
    <xf numFmtId="0" fontId="146" fillId="33" borderId="0" xfId="0" applyFont="1" applyFill="1" applyAlignment="1" applyProtection="1">
      <alignment/>
      <protection hidden="1"/>
    </xf>
    <xf numFmtId="0" fontId="146" fillId="0" borderId="0" xfId="0" applyFont="1" applyAlignment="1" applyProtection="1">
      <alignment/>
      <protection hidden="1"/>
    </xf>
    <xf numFmtId="0" fontId="146" fillId="0" borderId="0" xfId="0" applyFont="1" applyBorder="1" applyAlignment="1" applyProtection="1">
      <alignment/>
      <protection hidden="1"/>
    </xf>
    <xf numFmtId="0" fontId="108" fillId="0" borderId="0" xfId="42" applyAlignment="1" applyProtection="1">
      <alignment horizontal="left" wrapText="1" indent="3"/>
      <protection hidden="1"/>
    </xf>
    <xf numFmtId="0" fontId="108" fillId="0" borderId="0" xfId="42" applyAlignment="1" applyProtection="1">
      <alignment horizontal="left" indent="3"/>
      <protection hidden="1"/>
    </xf>
    <xf numFmtId="0" fontId="147" fillId="35" borderId="0" xfId="0" applyFont="1" applyFill="1" applyAlignment="1" applyProtection="1">
      <alignment horizontal="left" indent="3"/>
      <protection hidden="1"/>
    </xf>
    <xf numFmtId="0" fontId="127" fillId="33" borderId="0" xfId="0" applyFont="1" applyFill="1" applyBorder="1" applyAlignment="1" applyProtection="1">
      <alignment horizontal="left" indent="3"/>
      <protection hidden="1"/>
    </xf>
    <xf numFmtId="0" fontId="145" fillId="33" borderId="0" xfId="0" applyFont="1" applyFill="1" applyAlignment="1" applyProtection="1">
      <alignment horizontal="left" wrapText="1"/>
      <protection hidden="1"/>
    </xf>
    <xf numFmtId="0" fontId="145" fillId="33" borderId="0" xfId="0" applyFont="1" applyFill="1" applyAlignment="1" applyProtection="1">
      <alignment horizontal="center"/>
      <protection hidden="1"/>
    </xf>
    <xf numFmtId="0" fontId="39" fillId="37" borderId="0" xfId="0" applyFont="1" applyFill="1" applyAlignment="1" applyProtection="1">
      <alignment horizontal="left" wrapText="1"/>
      <protection hidden="1"/>
    </xf>
    <xf numFmtId="0" fontId="128" fillId="37" borderId="0" xfId="53" applyFont="1" applyFill="1" applyAlignment="1" applyProtection="1">
      <alignment horizontal="left"/>
      <protection hidden="1"/>
    </xf>
    <xf numFmtId="0" fontId="148" fillId="37" borderId="0" xfId="0" applyFont="1" applyFill="1" applyAlignment="1" applyProtection="1">
      <alignment/>
      <protection hidden="1"/>
    </xf>
    <xf numFmtId="0" fontId="148" fillId="35" borderId="0" xfId="0" applyFont="1" applyFill="1" applyAlignment="1" applyProtection="1">
      <alignment/>
      <protection hidden="1"/>
    </xf>
    <xf numFmtId="0" fontId="27" fillId="33" borderId="18" xfId="0" applyFont="1" applyFill="1" applyBorder="1" applyAlignment="1" applyProtection="1">
      <alignment horizontal="center"/>
      <protection hidden="1"/>
    </xf>
    <xf numFmtId="0" fontId="27" fillId="33" borderId="18" xfId="0" applyFont="1" applyFill="1" applyBorder="1" applyAlignment="1" applyProtection="1">
      <alignment horizontal="center"/>
      <protection hidden="1"/>
    </xf>
    <xf numFmtId="0" fontId="27" fillId="33" borderId="18" xfId="0" applyFont="1" applyFill="1" applyBorder="1" applyAlignment="1" applyProtection="1">
      <alignment horizontal="left"/>
      <protection hidden="1"/>
    </xf>
    <xf numFmtId="0" fontId="27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122" fillId="33" borderId="19" xfId="53" applyFont="1" applyFill="1" applyBorder="1" applyAlignment="1" applyProtection="1">
      <alignment horizontal="center"/>
      <protection hidden="1"/>
    </xf>
    <xf numFmtId="0" fontId="122" fillId="33" borderId="18" xfId="0" applyFont="1" applyFill="1" applyBorder="1" applyAlignment="1" applyProtection="1">
      <alignment horizontal="center"/>
      <protection hidden="1"/>
    </xf>
    <xf numFmtId="0" fontId="13" fillId="37" borderId="19" xfId="53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122" fillId="33" borderId="0" xfId="0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13" fillId="33" borderId="19" xfId="0" applyFont="1" applyFill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25" fillId="33" borderId="18" xfId="0" applyFont="1" applyFill="1" applyBorder="1" applyAlignment="1" applyProtection="1">
      <alignment horizontal="center"/>
      <protection hidden="1"/>
    </xf>
    <xf numFmtId="0" fontId="25" fillId="33" borderId="11" xfId="0" applyFont="1" applyFill="1" applyBorder="1" applyAlignment="1" applyProtection="1">
      <alignment horizontal="center"/>
      <protection hidden="1"/>
    </xf>
    <xf numFmtId="0" fontId="25" fillId="33" borderId="0" xfId="0" applyFont="1" applyFill="1" applyBorder="1" applyAlignment="1" applyProtection="1">
      <alignment horizontal="center"/>
      <protection hidden="1"/>
    </xf>
    <xf numFmtId="0" fontId="130" fillId="33" borderId="18" xfId="0" applyFont="1" applyFill="1" applyBorder="1" applyAlignment="1" applyProtection="1">
      <alignment horizontal="center"/>
      <protection hidden="1"/>
    </xf>
    <xf numFmtId="0" fontId="0" fillId="35" borderId="22" xfId="0" applyFill="1" applyBorder="1" applyAlignment="1" applyProtection="1">
      <alignment horizontal="center"/>
      <protection hidden="1"/>
    </xf>
    <xf numFmtId="0" fontId="122" fillId="33" borderId="0" xfId="53" applyFont="1" applyFill="1" applyBorder="1" applyAlignment="1" applyProtection="1">
      <alignment horizontal="center"/>
      <protection hidden="1"/>
    </xf>
    <xf numFmtId="0" fontId="27" fillId="33" borderId="22" xfId="0" applyFont="1" applyFill="1" applyBorder="1" applyAlignment="1" applyProtection="1">
      <alignment horizontal="center"/>
      <protection hidden="1"/>
    </xf>
    <xf numFmtId="0" fontId="22" fillId="33" borderId="11" xfId="53" applyFont="1" applyFill="1" applyBorder="1" applyAlignment="1" applyProtection="1">
      <alignment horizontal="center"/>
      <protection hidden="1"/>
    </xf>
    <xf numFmtId="0" fontId="6" fillId="33" borderId="28" xfId="53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149" fillId="33" borderId="18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51" fillId="33" borderId="11" xfId="0" applyFont="1" applyFill="1" applyBorder="1" applyAlignment="1" applyProtection="1">
      <alignment horizontal="center" vertical="center"/>
      <protection hidden="1"/>
    </xf>
    <xf numFmtId="0" fontId="51" fillId="33" borderId="22" xfId="0" applyFont="1" applyFill="1" applyBorder="1" applyAlignment="1" applyProtection="1">
      <alignment horizontal="center" vertical="center"/>
      <protection hidden="1"/>
    </xf>
    <xf numFmtId="0" fontId="40" fillId="33" borderId="18" xfId="0" applyFont="1" applyFill="1" applyBorder="1" applyAlignment="1" applyProtection="1">
      <alignment horizontal="center"/>
      <protection hidden="1"/>
    </xf>
    <xf numFmtId="0" fontId="8" fillId="33" borderId="38" xfId="53" applyFont="1" applyFill="1" applyBorder="1" applyAlignment="1" applyProtection="1">
      <alignment horizontal="left"/>
      <protection hidden="1"/>
    </xf>
    <xf numFmtId="0" fontId="8" fillId="33" borderId="34" xfId="53" applyFont="1" applyFill="1" applyBorder="1" applyAlignment="1" applyProtection="1">
      <alignment horizontal="left"/>
      <protection hidden="1"/>
    </xf>
    <xf numFmtId="0" fontId="0" fillId="0" borderId="34" xfId="0" applyBorder="1" applyAlignment="1" applyProtection="1">
      <alignment horizontal="left"/>
      <protection hidden="1"/>
    </xf>
    <xf numFmtId="0" fontId="8" fillId="33" borderId="32" xfId="53" applyFont="1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NumberFormat="1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27" fillId="33" borderId="12" xfId="0" applyFont="1" applyFill="1" applyBorder="1" applyAlignment="1" applyProtection="1">
      <alignment horizontal="center"/>
      <protection hidden="1"/>
    </xf>
    <xf numFmtId="0" fontId="150" fillId="35" borderId="0" xfId="0" applyFont="1" applyFill="1" applyAlignment="1" applyProtection="1">
      <alignment horizontal="center"/>
      <protection hidden="1"/>
    </xf>
    <xf numFmtId="1" fontId="0" fillId="35" borderId="22" xfId="0" applyNumberFormat="1" applyFill="1" applyBorder="1" applyAlignment="1" applyProtection="1">
      <alignment horizontal="center"/>
      <protection hidden="1"/>
    </xf>
    <xf numFmtId="0" fontId="0" fillId="33" borderId="34" xfId="0" applyFill="1" applyBorder="1" applyAlignment="1" applyProtection="1">
      <alignment horizontal="left"/>
      <protection hidden="1"/>
    </xf>
    <xf numFmtId="0" fontId="25" fillId="33" borderId="19" xfId="53" applyFont="1" applyFill="1" applyBorder="1" applyAlignment="1" applyProtection="1">
      <alignment horizontal="center"/>
      <protection hidden="1"/>
    </xf>
    <xf numFmtId="0" fontId="27" fillId="33" borderId="19" xfId="0" applyFont="1" applyFill="1" applyBorder="1" applyAlignment="1" applyProtection="1">
      <alignment horizontal="center"/>
      <protection hidden="1"/>
    </xf>
    <xf numFmtId="0" fontId="25" fillId="33" borderId="0" xfId="53" applyFont="1" applyFill="1" applyBorder="1" applyAlignment="1" applyProtection="1">
      <alignment horizontal="center"/>
      <protection hidden="1"/>
    </xf>
    <xf numFmtId="0" fontId="12" fillId="33" borderId="15" xfId="0" applyFont="1" applyFill="1" applyBorder="1" applyAlignment="1" applyProtection="1">
      <alignment horizontal="left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0" fontId="18" fillId="33" borderId="26" xfId="0" applyFont="1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94" fillId="35" borderId="0" xfId="0" applyFont="1" applyFill="1" applyAlignment="1" applyProtection="1">
      <alignment horizontal="center"/>
      <protection hidden="1"/>
    </xf>
    <xf numFmtId="0" fontId="27" fillId="35" borderId="18" xfId="0" applyFont="1" applyFill="1" applyBorder="1" applyAlignment="1" applyProtection="1">
      <alignment horizontal="center"/>
      <protection hidden="1"/>
    </xf>
    <xf numFmtId="0" fontId="151" fillId="0" borderId="11" xfId="0" applyFont="1" applyBorder="1" applyAlignment="1" applyProtection="1">
      <alignment horizontal="center"/>
      <protection hidden="1"/>
    </xf>
    <xf numFmtId="0" fontId="151" fillId="0" borderId="22" xfId="0" applyFont="1" applyBorder="1" applyAlignment="1" applyProtection="1">
      <alignment horizontal="center"/>
      <protection hidden="1"/>
    </xf>
    <xf numFmtId="0" fontId="0" fillId="35" borderId="25" xfId="0" applyFill="1" applyBorder="1" applyAlignment="1" applyProtection="1">
      <alignment/>
      <protection hidden="1"/>
    </xf>
    <xf numFmtId="0" fontId="0" fillId="35" borderId="40" xfId="0" applyFill="1" applyBorder="1" applyAlignment="1" applyProtection="1">
      <alignment/>
      <protection hidden="1"/>
    </xf>
    <xf numFmtId="0" fontId="112" fillId="33" borderId="10" xfId="0" applyFont="1" applyFill="1" applyBorder="1" applyAlignment="1" applyProtection="1">
      <alignment/>
      <protection hidden="1"/>
    </xf>
    <xf numFmtId="0" fontId="112" fillId="33" borderId="0" xfId="0" applyFont="1" applyFill="1" applyAlignment="1" applyProtection="1">
      <alignment/>
      <protection hidden="1"/>
    </xf>
    <xf numFmtId="0" fontId="112" fillId="0" borderId="0" xfId="0" applyFont="1" applyAlignment="1" applyProtection="1">
      <alignment/>
      <protection hidden="1"/>
    </xf>
    <xf numFmtId="0" fontId="152" fillId="33" borderId="0" xfId="0" applyFont="1" applyFill="1" applyAlignment="1" applyProtection="1">
      <alignment/>
      <protection hidden="1"/>
    </xf>
    <xf numFmtId="0" fontId="152" fillId="0" borderId="0" xfId="0" applyFont="1" applyAlignment="1" applyProtection="1">
      <alignment/>
      <protection hidden="1"/>
    </xf>
    <xf numFmtId="0" fontId="134" fillId="0" borderId="0" xfId="0" applyFont="1" applyAlignment="1" applyProtection="1">
      <alignment/>
      <protection hidden="1"/>
    </xf>
    <xf numFmtId="0" fontId="131" fillId="33" borderId="0" xfId="0" applyFont="1" applyFill="1" applyAlignment="1" applyProtection="1">
      <alignment/>
      <protection hidden="1"/>
    </xf>
    <xf numFmtId="0" fontId="131" fillId="0" borderId="0" xfId="0" applyFont="1" applyAlignment="1" applyProtection="1">
      <alignment/>
      <protection hidden="1"/>
    </xf>
    <xf numFmtId="0" fontId="22" fillId="33" borderId="19" xfId="53" applyFont="1" applyFill="1" applyBorder="1" applyAlignment="1" applyProtection="1">
      <alignment horizontal="center"/>
      <protection hidden="1"/>
    </xf>
    <xf numFmtId="192" fontId="0" fillId="35" borderId="22" xfId="0" applyNumberFormat="1" applyFill="1" applyBorder="1" applyAlignment="1" applyProtection="1">
      <alignment horizontal="center"/>
      <protection hidden="1"/>
    </xf>
    <xf numFmtId="0" fontId="2" fillId="37" borderId="0" xfId="53" applyFill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8" fillId="43" borderId="0" xfId="53" applyFont="1" applyFill="1" applyAlignment="1" applyProtection="1">
      <alignment horizontal="left"/>
      <protection hidden="1"/>
    </xf>
    <xf numFmtId="0" fontId="49" fillId="33" borderId="0" xfId="0" applyFont="1" applyFill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2" fillId="33" borderId="0" xfId="53" applyFont="1" applyFill="1" applyProtection="1">
      <alignment/>
      <protection hidden="1"/>
    </xf>
    <xf numFmtId="0" fontId="13" fillId="37" borderId="24" xfId="0" applyFont="1" applyFill="1" applyBorder="1" applyAlignment="1" applyProtection="1">
      <alignment horizontal="center"/>
      <protection hidden="1"/>
    </xf>
    <xf numFmtId="0" fontId="13" fillId="37" borderId="38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2" fillId="33" borderId="0" xfId="53" applyFill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26" fillId="33" borderId="12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6" fillId="33" borderId="11" xfId="0" applyFont="1" applyFill="1" applyBorder="1" applyAlignment="1" applyProtection="1">
      <alignment/>
      <protection hidden="1"/>
    </xf>
    <xf numFmtId="0" fontId="26" fillId="33" borderId="14" xfId="0" applyFont="1" applyFill="1" applyBorder="1" applyAlignment="1" applyProtection="1">
      <alignment/>
      <protection hidden="1"/>
    </xf>
    <xf numFmtId="1" fontId="8" fillId="43" borderId="0" xfId="0" applyNumberFormat="1" applyFont="1" applyFill="1" applyBorder="1" applyAlignment="1" applyProtection="1">
      <alignment horizontal="left" vertical="center"/>
      <protection hidden="1"/>
    </xf>
    <xf numFmtId="1" fontId="37" fillId="33" borderId="11" xfId="53" applyNumberFormat="1" applyFont="1" applyFill="1" applyBorder="1" applyAlignment="1" applyProtection="1">
      <alignment horizontal="center"/>
      <protection hidden="1"/>
    </xf>
    <xf numFmtId="0" fontId="153" fillId="0" borderId="11" xfId="0" applyFont="1" applyBorder="1" applyAlignment="1" applyProtection="1">
      <alignment horizontal="center"/>
      <protection hidden="1"/>
    </xf>
    <xf numFmtId="0" fontId="153" fillId="0" borderId="22" xfId="0" applyFont="1" applyBorder="1" applyAlignment="1" applyProtection="1">
      <alignment horizontal="center"/>
      <protection hidden="1"/>
    </xf>
    <xf numFmtId="1" fontId="8" fillId="43" borderId="0" xfId="0" applyNumberFormat="1" applyFont="1" applyFill="1" applyBorder="1" applyAlignment="1" applyProtection="1">
      <alignment horizontal="left" wrapText="1"/>
      <protection hidden="1"/>
    </xf>
    <xf numFmtId="1" fontId="8" fillId="36" borderId="0" xfId="0" applyNumberFormat="1" applyFont="1" applyFill="1" applyBorder="1" applyAlignment="1" applyProtection="1">
      <alignment horizontal="left"/>
      <protection hidden="1"/>
    </xf>
    <xf numFmtId="0" fontId="25" fillId="33" borderId="12" xfId="53" applyFont="1" applyFill="1" applyBorder="1" applyAlignment="1" applyProtection="1">
      <alignment horizontal="center"/>
      <protection hidden="1"/>
    </xf>
    <xf numFmtId="0" fontId="43" fillId="33" borderId="12" xfId="0" applyFont="1" applyFill="1" applyBorder="1" applyAlignment="1" applyProtection="1">
      <alignment horizontal="center"/>
      <protection hidden="1"/>
    </xf>
    <xf numFmtId="0" fontId="0" fillId="35" borderId="40" xfId="0" applyFill="1" applyBorder="1" applyAlignment="1" applyProtection="1">
      <alignment horizontal="center"/>
      <protection hidden="1"/>
    </xf>
    <xf numFmtId="0" fontId="0" fillId="0" borderId="40" xfId="0" applyFill="1" applyBorder="1" applyAlignment="1" applyProtection="1">
      <alignment horizontal="center"/>
      <protection hidden="1"/>
    </xf>
    <xf numFmtId="0" fontId="7" fillId="33" borderId="20" xfId="53" applyFont="1" applyFill="1" applyBorder="1" applyAlignment="1" applyProtection="1">
      <alignment horizontal="left"/>
      <protection hidden="1"/>
    </xf>
    <xf numFmtId="0" fontId="7" fillId="33" borderId="24" xfId="53" applyFont="1" applyFill="1" applyBorder="1" applyAlignment="1" applyProtection="1">
      <alignment horizontal="left"/>
      <protection hidden="1"/>
    </xf>
    <xf numFmtId="0" fontId="154" fillId="33" borderId="0" xfId="53" applyFont="1" applyFill="1" applyProtection="1">
      <alignment/>
      <protection hidden="1"/>
    </xf>
    <xf numFmtId="0" fontId="155" fillId="33" borderId="0" xfId="0" applyFont="1" applyFill="1" applyAlignment="1" applyProtection="1">
      <alignment/>
      <protection hidden="1"/>
    </xf>
    <xf numFmtId="0" fontId="155" fillId="0" borderId="0" xfId="0" applyFont="1" applyAlignment="1" applyProtection="1">
      <alignment/>
      <protection hidden="1"/>
    </xf>
    <xf numFmtId="0" fontId="2" fillId="33" borderId="0" xfId="53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center"/>
      <protection hidden="1"/>
    </xf>
    <xf numFmtId="1" fontId="37" fillId="33" borderId="11" xfId="53" applyNumberFormat="1" applyFont="1" applyFill="1" applyBorder="1" applyAlignment="1" applyProtection="1">
      <alignment/>
      <protection hidden="1"/>
    </xf>
    <xf numFmtId="1" fontId="37" fillId="33" borderId="0" xfId="53" applyNumberFormat="1" applyFont="1" applyFill="1" applyBorder="1" applyAlignment="1" applyProtection="1">
      <alignment/>
      <protection hidden="1"/>
    </xf>
    <xf numFmtId="0" fontId="7" fillId="33" borderId="12" xfId="53" applyFont="1" applyFill="1" applyBorder="1" applyAlignment="1" applyProtection="1">
      <alignment horizontal="left"/>
      <protection hidden="1"/>
    </xf>
    <xf numFmtId="0" fontId="43" fillId="33" borderId="19" xfId="0" applyFont="1" applyFill="1" applyBorder="1" applyAlignment="1" applyProtection="1">
      <alignment horizontal="center"/>
      <protection hidden="1"/>
    </xf>
    <xf numFmtId="0" fontId="132" fillId="33" borderId="0" xfId="53" applyFont="1" applyFill="1" applyBorder="1" applyAlignment="1" applyProtection="1">
      <alignment horizontal="left"/>
      <protection hidden="1"/>
    </xf>
    <xf numFmtId="1" fontId="8" fillId="35" borderId="0" xfId="0" applyNumberFormat="1" applyFont="1" applyFill="1" applyBorder="1" applyAlignment="1" applyProtection="1">
      <alignment horizontal="left" wrapText="1"/>
      <protection hidden="1"/>
    </xf>
    <xf numFmtId="0" fontId="5" fillId="35" borderId="0" xfId="53" applyFont="1" applyFill="1" applyProtection="1">
      <alignment/>
      <protection hidden="1"/>
    </xf>
    <xf numFmtId="0" fontId="5" fillId="36" borderId="0" xfId="53" applyFont="1" applyFill="1" applyBorder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" fontId="8" fillId="39" borderId="0" xfId="0" applyNumberFormat="1" applyFont="1" applyFill="1" applyBorder="1" applyAlignment="1" applyProtection="1">
      <alignment horizontal="left"/>
      <protection hidden="1"/>
    </xf>
    <xf numFmtId="0" fontId="2" fillId="39" borderId="0" xfId="53" applyFill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1" fontId="8" fillId="33" borderId="0" xfId="0" applyNumberFormat="1" applyFont="1" applyFill="1" applyBorder="1" applyAlignment="1" applyProtection="1">
      <alignment horizontal="left"/>
      <protection hidden="1"/>
    </xf>
    <xf numFmtId="0" fontId="0" fillId="0" borderId="28" xfId="0" applyBorder="1" applyAlignment="1" applyProtection="1">
      <alignment/>
      <protection hidden="1"/>
    </xf>
    <xf numFmtId="0" fontId="0" fillId="35" borderId="51" xfId="0" applyFill="1" applyBorder="1" applyAlignment="1" applyProtection="1">
      <alignment horizontal="center"/>
      <protection hidden="1"/>
    </xf>
    <xf numFmtId="0" fontId="27" fillId="33" borderId="18" xfId="0" applyFont="1" applyFill="1" applyBorder="1" applyAlignment="1" applyProtection="1">
      <alignment horizontal="center" wrapText="1"/>
      <protection hidden="1"/>
    </xf>
    <xf numFmtId="0" fontId="2" fillId="35" borderId="0" xfId="53" applyFill="1" applyBorder="1" applyProtection="1">
      <alignment/>
      <protection hidden="1"/>
    </xf>
    <xf numFmtId="0" fontId="2" fillId="35" borderId="10" xfId="53" applyFill="1" applyBorder="1" applyProtection="1">
      <alignment/>
      <protection hidden="1"/>
    </xf>
    <xf numFmtId="0" fontId="49" fillId="0" borderId="28" xfId="0" applyFont="1" applyBorder="1" applyAlignment="1" applyProtection="1">
      <alignment/>
      <protection hidden="1"/>
    </xf>
    <xf numFmtId="0" fontId="12" fillId="33" borderId="30" xfId="53" applyFont="1" applyFill="1" applyBorder="1" applyProtection="1">
      <alignment/>
      <protection hidden="1"/>
    </xf>
    <xf numFmtId="0" fontId="48" fillId="33" borderId="0" xfId="53" applyFont="1" applyFill="1" applyBorder="1" applyProtection="1">
      <alignment/>
      <protection hidden="1"/>
    </xf>
    <xf numFmtId="0" fontId="156" fillId="35" borderId="0" xfId="0" applyFont="1" applyFill="1" applyBorder="1" applyAlignment="1" applyProtection="1">
      <alignment horizontal="center"/>
      <protection hidden="1"/>
    </xf>
    <xf numFmtId="0" fontId="123" fillId="33" borderId="10" xfId="53" applyFont="1" applyFill="1" applyBorder="1" applyProtection="1">
      <alignment/>
      <protection hidden="1"/>
    </xf>
    <xf numFmtId="0" fontId="124" fillId="35" borderId="0" xfId="0" applyFont="1" applyFill="1" applyBorder="1" applyAlignment="1" applyProtection="1">
      <alignment horizontal="center"/>
      <protection hidden="1"/>
    </xf>
    <xf numFmtId="0" fontId="130" fillId="33" borderId="0" xfId="53" applyFont="1" applyFill="1" applyProtection="1">
      <alignment/>
      <protection hidden="1"/>
    </xf>
    <xf numFmtId="0" fontId="157" fillId="33" borderId="0" xfId="0" applyFont="1" applyFill="1" applyAlignment="1" applyProtection="1">
      <alignment/>
      <protection hidden="1"/>
    </xf>
    <xf numFmtId="0" fontId="157" fillId="0" borderId="0" xfId="0" applyFont="1" applyAlignment="1" applyProtection="1">
      <alignment/>
      <protection hidden="1"/>
    </xf>
    <xf numFmtId="0" fontId="8" fillId="43" borderId="0" xfId="53" applyFont="1" applyFill="1" applyBorder="1" applyAlignment="1" applyProtection="1">
      <alignment horizontal="left"/>
      <protection hidden="1"/>
    </xf>
    <xf numFmtId="0" fontId="32" fillId="33" borderId="23" xfId="53" applyFont="1" applyFill="1" applyBorder="1" applyAlignment="1" applyProtection="1">
      <alignment horizontal="left"/>
      <protection hidden="1"/>
    </xf>
    <xf numFmtId="0" fontId="6" fillId="33" borderId="11" xfId="53" applyFont="1" applyFill="1" applyBorder="1" applyAlignment="1" applyProtection="1">
      <alignment horizontal="left"/>
      <protection hidden="1"/>
    </xf>
    <xf numFmtId="0" fontId="6" fillId="33" borderId="0" xfId="53" applyFont="1" applyFill="1" applyBorder="1" applyAlignment="1" applyProtection="1">
      <alignment horizontal="left"/>
      <protection hidden="1"/>
    </xf>
    <xf numFmtId="0" fontId="8" fillId="43" borderId="0" xfId="53" applyFont="1" applyFill="1" applyBorder="1" applyAlignment="1" applyProtection="1">
      <alignment horizontal="left"/>
      <protection hidden="1"/>
    </xf>
    <xf numFmtId="0" fontId="0" fillId="35" borderId="41" xfId="0" applyFill="1" applyBorder="1" applyAlignment="1" applyProtection="1">
      <alignment horizontal="center"/>
      <protection hidden="1"/>
    </xf>
    <xf numFmtId="0" fontId="46" fillId="37" borderId="24" xfId="0" applyFont="1" applyFill="1" applyBorder="1" applyAlignment="1" applyProtection="1">
      <alignment horizontal="center" vertical="center"/>
      <protection hidden="1"/>
    </xf>
    <xf numFmtId="0" fontId="40" fillId="37" borderId="24" xfId="0" applyFont="1" applyFill="1" applyBorder="1" applyAlignment="1" applyProtection="1">
      <alignment horizontal="center" vertical="center"/>
      <protection hidden="1"/>
    </xf>
    <xf numFmtId="0" fontId="46" fillId="37" borderId="24" xfId="0" applyFont="1" applyFill="1" applyBorder="1" applyAlignment="1" applyProtection="1">
      <alignment horizontal="center" vertical="center"/>
      <protection hidden="1"/>
    </xf>
    <xf numFmtId="0" fontId="46" fillId="37" borderId="38" xfId="0" applyFont="1" applyFill="1" applyBorder="1" applyAlignment="1" applyProtection="1">
      <alignment horizontal="center" vertical="center"/>
      <protection hidden="1"/>
    </xf>
    <xf numFmtId="0" fontId="46" fillId="37" borderId="42" xfId="0" applyFont="1" applyFill="1" applyBorder="1" applyAlignment="1" applyProtection="1">
      <alignment horizontal="center" vertical="center"/>
      <protection hidden="1"/>
    </xf>
    <xf numFmtId="0" fontId="149" fillId="33" borderId="19" xfId="53" applyFont="1" applyFill="1" applyBorder="1" applyAlignment="1" applyProtection="1">
      <alignment horizontal="center"/>
      <protection hidden="1"/>
    </xf>
    <xf numFmtId="0" fontId="42" fillId="35" borderId="0" xfId="53" applyFont="1" applyFill="1" applyBorder="1" applyAlignment="1" applyProtection="1">
      <alignment horizontal="left"/>
      <protection hidden="1"/>
    </xf>
    <xf numFmtId="0" fontId="32" fillId="0" borderId="0" xfId="0" applyFont="1" applyAlignment="1" applyProtection="1">
      <alignment horizontal="left"/>
      <protection hidden="1"/>
    </xf>
    <xf numFmtId="0" fontId="31" fillId="35" borderId="0" xfId="53" applyFont="1" applyFill="1" applyBorder="1" applyAlignment="1" applyProtection="1">
      <alignment horizontal="left"/>
      <protection hidden="1"/>
    </xf>
    <xf numFmtId="0" fontId="32" fillId="0" borderId="0" xfId="0" applyFont="1" applyAlignment="1" applyProtection="1">
      <alignment horizontal="left"/>
      <protection hidden="1"/>
    </xf>
    <xf numFmtId="0" fontId="42" fillId="35" borderId="0" xfId="53" applyFont="1" applyFill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5" fillId="35" borderId="0" xfId="0" applyFont="1" applyFill="1" applyBorder="1" applyAlignment="1" applyProtection="1">
      <alignment/>
      <protection hidden="1"/>
    </xf>
    <xf numFmtId="0" fontId="8" fillId="43" borderId="0" xfId="53" applyFont="1" applyFill="1" applyBorder="1" applyAlignment="1" applyProtection="1">
      <alignment horizontal="left" wrapText="1"/>
      <protection hidden="1"/>
    </xf>
    <xf numFmtId="0" fontId="30" fillId="33" borderId="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 applyProtection="1">
      <alignment horizontal="center" vertical="center"/>
      <protection hidden="1"/>
    </xf>
    <xf numFmtId="0" fontId="49" fillId="35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27" fillId="33" borderId="11" xfId="0" applyFont="1" applyFill="1" applyBorder="1" applyAlignment="1" applyProtection="1">
      <alignment horizontal="center"/>
      <protection hidden="1"/>
    </xf>
    <xf numFmtId="0" fontId="2" fillId="35" borderId="0" xfId="53" applyFill="1" applyBorder="1" applyAlignment="1" applyProtection="1">
      <alignment/>
      <protection hidden="1"/>
    </xf>
    <xf numFmtId="0" fontId="158" fillId="33" borderId="0" xfId="53" applyFont="1" applyFill="1" applyBorder="1" applyProtection="1">
      <alignment/>
      <protection hidden="1"/>
    </xf>
    <xf numFmtId="0" fontId="159" fillId="33" borderId="0" xfId="0" applyFont="1" applyFill="1" applyBorder="1" applyAlignment="1" applyProtection="1">
      <alignment/>
      <protection hidden="1"/>
    </xf>
    <xf numFmtId="0" fontId="159" fillId="0" borderId="0" xfId="0" applyFont="1" applyBorder="1" applyAlignment="1" applyProtection="1">
      <alignment/>
      <protection hidden="1"/>
    </xf>
    <xf numFmtId="0" fontId="159" fillId="33" borderId="0" xfId="0" applyFont="1" applyFill="1" applyAlignment="1" applyProtection="1">
      <alignment/>
      <protection hidden="1"/>
    </xf>
    <xf numFmtId="0" fontId="159" fillId="0" borderId="0" xfId="0" applyFont="1" applyAlignment="1" applyProtection="1">
      <alignment/>
      <protection hidden="1"/>
    </xf>
    <xf numFmtId="0" fontId="13" fillId="33" borderId="0" xfId="53" applyFont="1" applyFill="1" applyProtection="1">
      <alignment/>
      <protection hidden="1"/>
    </xf>
    <xf numFmtId="0" fontId="112" fillId="0" borderId="10" xfId="0" applyFont="1" applyBorder="1" applyAlignment="1" applyProtection="1">
      <alignment/>
      <protection hidden="1"/>
    </xf>
    <xf numFmtId="0" fontId="12" fillId="33" borderId="19" xfId="0" applyFont="1" applyFill="1" applyBorder="1" applyAlignment="1" applyProtection="1">
      <alignment/>
      <protection hidden="1"/>
    </xf>
    <xf numFmtId="0" fontId="12" fillId="33" borderId="19" xfId="0" applyFont="1" applyFill="1" applyBorder="1" applyAlignment="1" applyProtection="1">
      <alignment horizontal="left"/>
      <protection hidden="1"/>
    </xf>
    <xf numFmtId="0" fontId="5" fillId="35" borderId="0" xfId="0" applyFont="1" applyFill="1" applyAlignment="1" applyProtection="1">
      <alignment/>
      <protection hidden="1"/>
    </xf>
    <xf numFmtId="0" fontId="12" fillId="33" borderId="19" xfId="0" applyFont="1" applyFill="1" applyBorder="1" applyAlignment="1" applyProtection="1">
      <alignment horizontal="center"/>
      <protection hidden="1"/>
    </xf>
    <xf numFmtId="0" fontId="112" fillId="35" borderId="0" xfId="0" applyFont="1" applyFill="1" applyAlignment="1" applyProtection="1">
      <alignment/>
      <protection hidden="1"/>
    </xf>
    <xf numFmtId="0" fontId="12" fillId="35" borderId="0" xfId="0" applyFont="1" applyFill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2" fillId="33" borderId="18" xfId="0" applyFont="1" applyFill="1" applyBorder="1" applyAlignment="1" applyProtection="1">
      <alignment/>
      <protection hidden="1"/>
    </xf>
    <xf numFmtId="0" fontId="12" fillId="33" borderId="18" xfId="0" applyFont="1" applyFill="1" applyBorder="1" applyAlignment="1" applyProtection="1">
      <alignment horizontal="center"/>
      <protection hidden="1"/>
    </xf>
    <xf numFmtId="0" fontId="124" fillId="33" borderId="19" xfId="0" applyFont="1" applyFill="1" applyBorder="1" applyAlignment="1" applyProtection="1">
      <alignment horizontal="center"/>
      <protection hidden="1"/>
    </xf>
    <xf numFmtId="0" fontId="7" fillId="33" borderId="23" xfId="0" applyFont="1" applyFill="1" applyBorder="1" applyAlignment="1" applyProtection="1">
      <alignment/>
      <protection hidden="1"/>
    </xf>
    <xf numFmtId="0" fontId="5" fillId="38" borderId="0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left"/>
      <protection hidden="1"/>
    </xf>
    <xf numFmtId="0" fontId="7" fillId="33" borderId="0" xfId="0" applyFont="1" applyFill="1" applyBorder="1" applyAlignment="1" applyProtection="1">
      <alignment horizontal="left"/>
      <protection hidden="1"/>
    </xf>
    <xf numFmtId="0" fontId="129" fillId="33" borderId="0" xfId="0" applyFont="1" applyFill="1" applyBorder="1" applyAlignment="1" applyProtection="1">
      <alignment horizontal="left"/>
      <protection hidden="1"/>
    </xf>
    <xf numFmtId="0" fontId="132" fillId="33" borderId="0" xfId="0" applyFont="1" applyFill="1" applyBorder="1" applyAlignment="1" applyProtection="1">
      <alignment horizontal="left"/>
      <protection hidden="1"/>
    </xf>
    <xf numFmtId="0" fontId="157" fillId="33" borderId="0" xfId="0" applyFont="1" applyFill="1" applyBorder="1" applyAlignment="1" applyProtection="1">
      <alignment/>
      <protection hidden="1"/>
    </xf>
    <xf numFmtId="0" fontId="157" fillId="0" borderId="10" xfId="0" applyFont="1" applyBorder="1" applyAlignment="1" applyProtection="1">
      <alignment/>
      <protection hidden="1"/>
    </xf>
    <xf numFmtId="0" fontId="49" fillId="35" borderId="0" xfId="0" applyFont="1" applyFill="1" applyBorder="1" applyAlignment="1" applyProtection="1">
      <alignment horizontal="left"/>
      <protection hidden="1"/>
    </xf>
    <xf numFmtId="0" fontId="49" fillId="33" borderId="0" xfId="0" applyFont="1" applyFill="1" applyBorder="1" applyAlignment="1" applyProtection="1">
      <alignment horizontal="left"/>
      <protection hidden="1"/>
    </xf>
    <xf numFmtId="0" fontId="5" fillId="0" borderId="0" xfId="53" applyFont="1" applyFill="1" applyBorder="1" applyProtection="1">
      <alignment/>
      <protection hidden="1"/>
    </xf>
    <xf numFmtId="0" fontId="2" fillId="33" borderId="11" xfId="53" applyFill="1" applyBorder="1" applyAlignment="1" applyProtection="1">
      <alignment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112" fillId="0" borderId="0" xfId="0" applyFont="1" applyFill="1" applyAlignment="1" applyProtection="1">
      <alignment/>
      <protection hidden="1"/>
    </xf>
    <xf numFmtId="1" fontId="5" fillId="33" borderId="0" xfId="0" applyNumberFormat="1" applyFont="1" applyFill="1" applyBorder="1" applyAlignment="1" applyProtection="1">
      <alignment horizontal="center"/>
      <protection hidden="1"/>
    </xf>
    <xf numFmtId="0" fontId="8" fillId="44" borderId="0" xfId="0" applyFont="1" applyFill="1" applyBorder="1" applyAlignment="1" applyProtection="1">
      <alignment horizontal="left"/>
      <protection hidden="1"/>
    </xf>
    <xf numFmtId="0" fontId="29" fillId="35" borderId="0" xfId="0" applyFont="1" applyFill="1" applyAlignment="1" applyProtection="1">
      <alignment horizontal="left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52" fillId="33" borderId="13" xfId="53" applyFont="1" applyFill="1" applyBorder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25" fillId="33" borderId="0" xfId="53" applyFont="1" applyFill="1" applyAlignment="1" applyProtection="1">
      <alignment/>
      <protection hidden="1"/>
    </xf>
    <xf numFmtId="0" fontId="2" fillId="33" borderId="0" xfId="53" applyFont="1" applyFill="1" applyAlignment="1" applyProtection="1">
      <alignment wrapText="1"/>
      <protection hidden="1"/>
    </xf>
    <xf numFmtId="0" fontId="44" fillId="33" borderId="0" xfId="53" applyFont="1" applyFill="1" applyAlignment="1" applyProtection="1">
      <alignment horizontal="left"/>
      <protection hidden="1"/>
    </xf>
    <xf numFmtId="0" fontId="7" fillId="33" borderId="0" xfId="53" applyFont="1" applyFill="1" applyProtection="1">
      <alignment/>
      <protection hidden="1"/>
    </xf>
    <xf numFmtId="0" fontId="42" fillId="33" borderId="0" xfId="53" applyFont="1" applyFill="1" applyAlignment="1" applyProtection="1">
      <alignment horizontal="left"/>
      <protection hidden="1"/>
    </xf>
    <xf numFmtId="0" fontId="4" fillId="33" borderId="0" xfId="53" applyFont="1" applyFill="1" applyAlignment="1" applyProtection="1">
      <alignment horizontal="left"/>
      <protection hidden="1"/>
    </xf>
    <xf numFmtId="0" fontId="4" fillId="33" borderId="0" xfId="53" applyFont="1" applyFill="1" applyAlignment="1" applyProtection="1">
      <alignment horizontal="left"/>
      <protection hidden="1"/>
    </xf>
    <xf numFmtId="0" fontId="160" fillId="39" borderId="58" xfId="53" applyFont="1" applyFill="1" applyBorder="1" applyAlignment="1" applyProtection="1">
      <alignment horizontal="left"/>
      <protection hidden="1"/>
    </xf>
    <xf numFmtId="0" fontId="129" fillId="39" borderId="59" xfId="53" applyFont="1" applyFill="1" applyBorder="1" applyAlignment="1" applyProtection="1">
      <alignment horizontal="center"/>
      <protection hidden="1"/>
    </xf>
    <xf numFmtId="0" fontId="132" fillId="39" borderId="59" xfId="53" applyFont="1" applyFill="1" applyBorder="1" applyProtection="1">
      <alignment/>
      <protection hidden="1"/>
    </xf>
    <xf numFmtId="0" fontId="140" fillId="39" borderId="60" xfId="53" applyFont="1" applyFill="1" applyBorder="1" applyProtection="1">
      <alignment/>
      <protection hidden="1"/>
    </xf>
    <xf numFmtId="0" fontId="7" fillId="33" borderId="19" xfId="53" applyFont="1" applyFill="1" applyBorder="1" applyAlignment="1" applyProtection="1">
      <alignment horizontal="left"/>
      <protection hidden="1"/>
    </xf>
    <xf numFmtId="0" fontId="7" fillId="33" borderId="0" xfId="53" applyFont="1" applyFill="1" applyBorder="1" applyAlignment="1" applyProtection="1">
      <alignment horizontal="left"/>
      <protection hidden="1"/>
    </xf>
    <xf numFmtId="0" fontId="5" fillId="33" borderId="61" xfId="53" applyFont="1" applyFill="1" applyBorder="1" applyProtection="1">
      <alignment/>
      <protection hidden="1"/>
    </xf>
    <xf numFmtId="0" fontId="43" fillId="33" borderId="19" xfId="53" applyFont="1" applyFill="1" applyBorder="1" applyAlignment="1" applyProtection="1">
      <alignment horizontal="left"/>
      <protection hidden="1"/>
    </xf>
    <xf numFmtId="0" fontId="43" fillId="33" borderId="0" xfId="53" applyFont="1" applyFill="1" applyBorder="1" applyAlignment="1" applyProtection="1">
      <alignment horizontal="left"/>
      <protection hidden="1"/>
    </xf>
    <xf numFmtId="0" fontId="43" fillId="33" borderId="61" xfId="53" applyFont="1" applyFill="1" applyBorder="1" applyAlignment="1" applyProtection="1">
      <alignment horizontal="left"/>
      <protection hidden="1"/>
    </xf>
    <xf numFmtId="0" fontId="8" fillId="33" borderId="19" xfId="53" applyFont="1" applyFill="1" applyBorder="1" applyAlignment="1" applyProtection="1">
      <alignment horizontal="left" wrapText="1"/>
      <protection hidden="1"/>
    </xf>
    <xf numFmtId="0" fontId="8" fillId="33" borderId="0" xfId="53" applyFont="1" applyFill="1" applyBorder="1" applyAlignment="1" applyProtection="1">
      <alignment horizontal="left" wrapText="1"/>
      <protection hidden="1"/>
    </xf>
    <xf numFmtId="0" fontId="30" fillId="33" borderId="44" xfId="53" applyFont="1" applyFill="1" applyBorder="1" applyAlignment="1" applyProtection="1">
      <alignment horizontal="left" wrapText="1"/>
      <protection hidden="1"/>
    </xf>
    <xf numFmtId="0" fontId="30" fillId="33" borderId="62" xfId="53" applyFont="1" applyFill="1" applyBorder="1" applyAlignment="1" applyProtection="1">
      <alignment horizontal="left" wrapText="1"/>
      <protection hidden="1"/>
    </xf>
    <xf numFmtId="0" fontId="2" fillId="33" borderId="63" xfId="53" applyFont="1" applyFill="1" applyBorder="1" applyAlignment="1" applyProtection="1">
      <alignment wrapText="1"/>
      <protection hidden="1"/>
    </xf>
    <xf numFmtId="0" fontId="7" fillId="35" borderId="0" xfId="53" applyFont="1" applyFill="1" applyAlignment="1" applyProtection="1">
      <alignment horizontal="left"/>
      <protection hidden="1"/>
    </xf>
    <xf numFmtId="0" fontId="40" fillId="35" borderId="0" xfId="0" applyFont="1" applyFill="1" applyAlignment="1" applyProtection="1">
      <alignment/>
      <protection hidden="1"/>
    </xf>
    <xf numFmtId="0" fontId="7" fillId="35" borderId="0" xfId="54" applyFont="1" applyFill="1" applyAlignment="1" applyProtection="1">
      <alignment horizontal="left"/>
      <protection hidden="1"/>
    </xf>
    <xf numFmtId="0" fontId="7" fillId="35" borderId="0" xfId="54" applyFont="1" applyFill="1" applyAlignment="1" applyProtection="1">
      <alignment horizontal="left"/>
      <protection hidden="1"/>
    </xf>
    <xf numFmtId="0" fontId="2" fillId="35" borderId="0" xfId="54" applyFont="1" applyFill="1" applyAlignment="1" applyProtection="1">
      <alignment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V189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:K3"/>
    </sheetView>
  </sheetViews>
  <sheetFormatPr defaultColWidth="9.140625" defaultRowHeight="15"/>
  <cols>
    <col min="1" max="1" width="38.7109375" style="993" customWidth="1"/>
    <col min="2" max="2" width="65.57421875" style="993" customWidth="1"/>
    <col min="3" max="3" width="11.28125" style="993" customWidth="1"/>
    <col min="4" max="4" width="10.00390625" style="993" customWidth="1"/>
    <col min="5" max="5" width="10.8515625" style="993" customWidth="1"/>
    <col min="6" max="6" width="10.00390625" style="993" customWidth="1"/>
    <col min="7" max="7" width="10.28125" style="993" customWidth="1"/>
    <col min="8" max="8" width="11.28125" style="993" customWidth="1"/>
    <col min="9" max="9" width="11.140625" style="993" customWidth="1"/>
    <col min="10" max="10" width="13.7109375" style="993" customWidth="1"/>
    <col min="11" max="11" width="10.7109375" style="1000" customWidth="1"/>
    <col min="12" max="12" width="12.7109375" style="1000" customWidth="1"/>
    <col min="13" max="13" width="10.7109375" style="993" customWidth="1"/>
    <col min="14" max="14" width="9.8515625" style="992" customWidth="1"/>
    <col min="15" max="15" width="9.28125" style="992" customWidth="1"/>
    <col min="16" max="16" width="10.421875" style="992" customWidth="1"/>
    <col min="17" max="17" width="9.00390625" style="992" customWidth="1"/>
    <col min="18" max="18" width="10.140625" style="992" customWidth="1"/>
    <col min="19" max="24" width="9.00390625" style="992" customWidth="1"/>
    <col min="25" max="25" width="9.00390625" style="992" hidden="1" customWidth="1"/>
    <col min="26" max="26" width="9.140625" style="993" hidden="1" customWidth="1"/>
    <col min="27" max="27" width="9.140625" style="993" customWidth="1"/>
    <col min="28" max="16384" width="9.140625" style="993" customWidth="1"/>
  </cols>
  <sheetData>
    <row r="1" spans="1:26" s="988" customFormat="1" ht="24.75" customHeight="1">
      <c r="A1" s="987" t="s">
        <v>484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Z1" s="988">
        <v>1.25</v>
      </c>
    </row>
    <row r="2" spans="1:14" ht="13.5" customHeight="1">
      <c r="A2" s="989"/>
      <c r="B2" s="989"/>
      <c r="C2" s="990"/>
      <c r="D2" s="990"/>
      <c r="E2" s="990"/>
      <c r="F2" s="990"/>
      <c r="G2" s="990"/>
      <c r="H2" s="990"/>
      <c r="I2" s="990"/>
      <c r="J2" s="990"/>
      <c r="K2" s="990"/>
      <c r="L2" s="303"/>
      <c r="M2" s="18"/>
      <c r="N2" s="991"/>
    </row>
    <row r="3" spans="1:14" ht="51" customHeight="1">
      <c r="A3" s="994" t="s">
        <v>821</v>
      </c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303"/>
      <c r="M3" s="18"/>
      <c r="N3" s="991"/>
    </row>
    <row r="4" spans="1:256" ht="25.5" customHeight="1">
      <c r="A4" s="995"/>
      <c r="B4" s="994" t="s">
        <v>822</v>
      </c>
      <c r="C4" s="994"/>
      <c r="D4" s="994"/>
      <c r="E4" s="994"/>
      <c r="F4" s="994"/>
      <c r="G4" s="994"/>
      <c r="H4" s="996"/>
      <c r="I4" s="996"/>
      <c r="J4" s="997"/>
      <c r="K4" s="998"/>
      <c r="L4" s="999"/>
      <c r="M4" s="999"/>
      <c r="N4" s="999"/>
      <c r="O4" s="999"/>
      <c r="P4" s="999"/>
      <c r="Q4" s="999"/>
      <c r="R4" s="999"/>
      <c r="S4" s="999"/>
      <c r="T4" s="999"/>
      <c r="U4" s="999"/>
      <c r="V4" s="999"/>
      <c r="W4" s="999"/>
      <c r="X4" s="999"/>
      <c r="Y4" s="999"/>
      <c r="Z4" s="1000"/>
      <c r="AA4" s="1000"/>
      <c r="AB4" s="1000"/>
      <c r="AC4" s="1000"/>
      <c r="AD4" s="1000"/>
      <c r="AE4" s="1000"/>
      <c r="AF4" s="1000"/>
      <c r="AG4" s="1000"/>
      <c r="AH4" s="1000"/>
      <c r="AI4" s="1000"/>
      <c r="AJ4" s="1000"/>
      <c r="AK4" s="1000"/>
      <c r="AL4" s="1000"/>
      <c r="AM4" s="1000"/>
      <c r="AN4" s="1000"/>
      <c r="AO4" s="1000"/>
      <c r="AP4" s="1000"/>
      <c r="AQ4" s="1000"/>
      <c r="AR4" s="1000"/>
      <c r="AS4" s="1000"/>
      <c r="AT4" s="1000"/>
      <c r="AU4" s="1000"/>
      <c r="AV4" s="1000"/>
      <c r="AW4" s="1000"/>
      <c r="AX4" s="1000"/>
      <c r="AY4" s="1000"/>
      <c r="AZ4" s="1000"/>
      <c r="BA4" s="1000"/>
      <c r="BB4" s="1000"/>
      <c r="BC4" s="1000"/>
      <c r="BD4" s="1000"/>
      <c r="BE4" s="1000"/>
      <c r="BF4" s="1000"/>
      <c r="BG4" s="1000"/>
      <c r="BH4" s="1000"/>
      <c r="BI4" s="1000"/>
      <c r="BJ4" s="1000"/>
      <c r="BK4" s="1000"/>
      <c r="BL4" s="1000"/>
      <c r="BM4" s="1000"/>
      <c r="BN4" s="1000"/>
      <c r="BO4" s="1000"/>
      <c r="BP4" s="1000"/>
      <c r="BQ4" s="1000"/>
      <c r="BR4" s="1000"/>
      <c r="BS4" s="1000"/>
      <c r="BT4" s="1000"/>
      <c r="BU4" s="1000"/>
      <c r="BV4" s="1000"/>
      <c r="BW4" s="1000"/>
      <c r="BX4" s="1000"/>
      <c r="BY4" s="1000"/>
      <c r="BZ4" s="1000"/>
      <c r="CA4" s="1000"/>
      <c r="CB4" s="1000"/>
      <c r="CC4" s="1000"/>
      <c r="CD4" s="1000"/>
      <c r="CE4" s="1000"/>
      <c r="CF4" s="1000"/>
      <c r="CG4" s="1000"/>
      <c r="CH4" s="1000"/>
      <c r="CI4" s="1000"/>
      <c r="CJ4" s="1000"/>
      <c r="CK4" s="1000"/>
      <c r="CL4" s="1000"/>
      <c r="CM4" s="1000"/>
      <c r="CN4" s="1000"/>
      <c r="CO4" s="1000"/>
      <c r="CP4" s="1000"/>
      <c r="CQ4" s="1000"/>
      <c r="CR4" s="1000"/>
      <c r="CS4" s="1000"/>
      <c r="CT4" s="1000"/>
      <c r="CU4" s="1000"/>
      <c r="CV4" s="1000"/>
      <c r="CW4" s="1000"/>
      <c r="CX4" s="1000"/>
      <c r="CY4" s="1000"/>
      <c r="CZ4" s="1000"/>
      <c r="DA4" s="1000"/>
      <c r="DB4" s="1000"/>
      <c r="DC4" s="1000"/>
      <c r="DD4" s="1000"/>
      <c r="DE4" s="1000"/>
      <c r="DF4" s="1000"/>
      <c r="DG4" s="1000"/>
      <c r="DH4" s="1000"/>
      <c r="DI4" s="1000"/>
      <c r="DJ4" s="1000"/>
      <c r="DK4" s="1000"/>
      <c r="DL4" s="1000"/>
      <c r="DM4" s="1000"/>
      <c r="DN4" s="1000"/>
      <c r="DO4" s="1000"/>
      <c r="DP4" s="1000"/>
      <c r="DQ4" s="1000"/>
      <c r="DR4" s="1000"/>
      <c r="DS4" s="1000"/>
      <c r="DT4" s="1000"/>
      <c r="DU4" s="1000"/>
      <c r="DV4" s="1000"/>
      <c r="DW4" s="1000"/>
      <c r="DX4" s="1000"/>
      <c r="DY4" s="1000"/>
      <c r="DZ4" s="1000"/>
      <c r="EA4" s="1000"/>
      <c r="EB4" s="1000"/>
      <c r="EC4" s="1000"/>
      <c r="ED4" s="1000"/>
      <c r="EE4" s="1000"/>
      <c r="EF4" s="1000"/>
      <c r="EG4" s="1000"/>
      <c r="EH4" s="1000"/>
      <c r="EI4" s="1000"/>
      <c r="EJ4" s="1000"/>
      <c r="EK4" s="1000"/>
      <c r="EL4" s="1000"/>
      <c r="EM4" s="1000"/>
      <c r="EN4" s="1000"/>
      <c r="EO4" s="1000"/>
      <c r="EP4" s="1000"/>
      <c r="EQ4" s="1000"/>
      <c r="ER4" s="1000"/>
      <c r="ES4" s="1000"/>
      <c r="ET4" s="1000"/>
      <c r="EU4" s="1000"/>
      <c r="EV4" s="1000"/>
      <c r="EW4" s="1000"/>
      <c r="EX4" s="1000"/>
      <c r="EY4" s="1000"/>
      <c r="EZ4" s="1000"/>
      <c r="FA4" s="1000"/>
      <c r="FB4" s="1000"/>
      <c r="FC4" s="1000"/>
      <c r="FD4" s="1000"/>
      <c r="FE4" s="1000"/>
      <c r="FF4" s="1000"/>
      <c r="FG4" s="1000"/>
      <c r="FH4" s="1000"/>
      <c r="FI4" s="1000"/>
      <c r="FJ4" s="1000"/>
      <c r="FK4" s="1000"/>
      <c r="FL4" s="1000"/>
      <c r="FM4" s="1000"/>
      <c r="FN4" s="1000"/>
      <c r="FO4" s="1000"/>
      <c r="FP4" s="1000"/>
      <c r="FQ4" s="1000"/>
      <c r="FR4" s="1000"/>
      <c r="FS4" s="1000"/>
      <c r="FT4" s="1000"/>
      <c r="FU4" s="1000"/>
      <c r="FV4" s="1000"/>
      <c r="FW4" s="1000"/>
      <c r="FX4" s="1000"/>
      <c r="FY4" s="1000"/>
      <c r="FZ4" s="1000"/>
      <c r="GA4" s="1000"/>
      <c r="GB4" s="1000"/>
      <c r="GC4" s="1000"/>
      <c r="GD4" s="1000"/>
      <c r="GE4" s="1000"/>
      <c r="GF4" s="1000"/>
      <c r="GG4" s="1000"/>
      <c r="GH4" s="1000"/>
      <c r="GI4" s="1000"/>
      <c r="GJ4" s="1000"/>
      <c r="GK4" s="1000"/>
      <c r="GL4" s="1000"/>
      <c r="GM4" s="1000"/>
      <c r="GN4" s="1000"/>
      <c r="GO4" s="1000"/>
      <c r="GP4" s="1000"/>
      <c r="GQ4" s="1000"/>
      <c r="GR4" s="1000"/>
      <c r="GS4" s="1000"/>
      <c r="GT4" s="1000"/>
      <c r="GU4" s="1000"/>
      <c r="GV4" s="1000"/>
      <c r="GW4" s="1000"/>
      <c r="GX4" s="1000"/>
      <c r="GY4" s="1000"/>
      <c r="GZ4" s="1000"/>
      <c r="HA4" s="1000"/>
      <c r="HB4" s="1000"/>
      <c r="HC4" s="1000"/>
      <c r="HD4" s="1000"/>
      <c r="HE4" s="1000"/>
      <c r="HF4" s="1000"/>
      <c r="HG4" s="1000"/>
      <c r="HH4" s="1000"/>
      <c r="HI4" s="1000"/>
      <c r="HJ4" s="1000"/>
      <c r="HK4" s="1000"/>
      <c r="HL4" s="1000"/>
      <c r="HM4" s="1000"/>
      <c r="HN4" s="1000"/>
      <c r="HO4" s="1000"/>
      <c r="HP4" s="1000"/>
      <c r="HQ4" s="1000"/>
      <c r="HR4" s="1000"/>
      <c r="HS4" s="1000"/>
      <c r="HT4" s="1000"/>
      <c r="HU4" s="1000"/>
      <c r="HV4" s="1000"/>
      <c r="HW4" s="1000"/>
      <c r="HX4" s="1000"/>
      <c r="HY4" s="1000"/>
      <c r="HZ4" s="1000"/>
      <c r="IA4" s="1000"/>
      <c r="IB4" s="1000"/>
      <c r="IC4" s="1000"/>
      <c r="ID4" s="1000"/>
      <c r="IE4" s="1000"/>
      <c r="IF4" s="1000"/>
      <c r="IG4" s="1000"/>
      <c r="IH4" s="1000"/>
      <c r="II4" s="1000"/>
      <c r="IJ4" s="1000"/>
      <c r="IK4" s="1000"/>
      <c r="IL4" s="1000"/>
      <c r="IM4" s="1000"/>
      <c r="IN4" s="1000"/>
      <c r="IO4" s="1000"/>
      <c r="IP4" s="1000"/>
      <c r="IQ4" s="1000"/>
      <c r="IR4" s="1000"/>
      <c r="IS4" s="1000"/>
      <c r="IT4" s="1000"/>
      <c r="IU4" s="1000"/>
      <c r="IV4" s="1000"/>
    </row>
    <row r="5" spans="1:14" ht="6.75" customHeight="1">
      <c r="A5" s="1001" t="s">
        <v>327</v>
      </c>
      <c r="B5" s="1001"/>
      <c r="C5" s="1001"/>
      <c r="D5" s="1001"/>
      <c r="E5" s="1001"/>
      <c r="F5" s="1001"/>
      <c r="G5" s="1001"/>
      <c r="H5" s="1001"/>
      <c r="I5" s="1001"/>
      <c r="J5" s="1001"/>
      <c r="K5" s="1001"/>
      <c r="L5" s="1002"/>
      <c r="M5" s="18"/>
      <c r="N5" s="991"/>
    </row>
    <row r="6" spans="1:14" ht="9" customHeight="1">
      <c r="A6" s="1003"/>
      <c r="B6" s="1003"/>
      <c r="C6" s="1003"/>
      <c r="D6" s="1003"/>
      <c r="E6" s="1003"/>
      <c r="F6" s="1003"/>
      <c r="G6" s="1004"/>
      <c r="H6" s="1004"/>
      <c r="I6" s="1005"/>
      <c r="J6" s="1006"/>
      <c r="K6" s="1007"/>
      <c r="L6" s="303"/>
      <c r="M6" s="18"/>
      <c r="N6" s="991"/>
    </row>
    <row r="7" spans="1:14" ht="21.75" customHeight="1" thickBot="1">
      <c r="A7" s="957" t="s">
        <v>328</v>
      </c>
      <c r="B7" s="1008"/>
      <c r="C7" s="1003"/>
      <c r="D7" s="1003"/>
      <c r="E7" s="1003"/>
      <c r="F7" s="1003"/>
      <c r="G7" s="1004"/>
      <c r="H7" s="1004"/>
      <c r="I7" s="1005"/>
      <c r="J7" s="1006"/>
      <c r="K7" s="1007"/>
      <c r="L7" s="303"/>
      <c r="M7" s="18"/>
      <c r="N7" s="991"/>
    </row>
    <row r="8" spans="1:25" s="1016" customFormat="1" ht="19.5" customHeight="1" thickTop="1">
      <c r="A8" s="1009" t="s">
        <v>331</v>
      </c>
      <c r="B8" s="424"/>
      <c r="C8" s="1010"/>
      <c r="D8" s="1010"/>
      <c r="E8" s="1010"/>
      <c r="F8" s="1010"/>
      <c r="G8" s="1011"/>
      <c r="H8" s="1011"/>
      <c r="I8" s="1012"/>
      <c r="J8" s="1013"/>
      <c r="K8" s="1014"/>
      <c r="L8" s="645"/>
      <c r="M8" s="425"/>
      <c r="N8" s="425"/>
      <c r="O8" s="1015"/>
      <c r="P8" s="1015"/>
      <c r="Q8" s="1015"/>
      <c r="R8" s="1015"/>
      <c r="S8" s="1015"/>
      <c r="T8" s="1015"/>
      <c r="U8" s="1015"/>
      <c r="V8" s="1015"/>
      <c r="W8" s="1015"/>
      <c r="X8" s="1015"/>
      <c r="Y8" s="1015"/>
    </row>
    <row r="9" spans="1:25" s="1016" customFormat="1" ht="15" customHeight="1">
      <c r="A9" s="1009" t="s">
        <v>312</v>
      </c>
      <c r="B9" s="424"/>
      <c r="C9" s="1010"/>
      <c r="D9" s="1010"/>
      <c r="E9" s="1010"/>
      <c r="F9" s="1010"/>
      <c r="G9" s="1011"/>
      <c r="H9" s="1011"/>
      <c r="I9" s="1012"/>
      <c r="J9" s="1013"/>
      <c r="K9" s="1014"/>
      <c r="L9" s="645"/>
      <c r="M9" s="425"/>
      <c r="N9" s="425"/>
      <c r="O9" s="1015"/>
      <c r="P9" s="1015"/>
      <c r="Q9" s="1015"/>
      <c r="R9" s="1015"/>
      <c r="S9" s="1015"/>
      <c r="T9" s="1015"/>
      <c r="U9" s="1015"/>
      <c r="V9" s="1015"/>
      <c r="W9" s="1015"/>
      <c r="X9" s="1015"/>
      <c r="Y9" s="1015"/>
    </row>
    <row r="10" spans="1:25" s="1016" customFormat="1" ht="15" customHeight="1">
      <c r="A10" s="1009" t="s">
        <v>329</v>
      </c>
      <c r="B10" s="424"/>
      <c r="C10" s="1010"/>
      <c r="D10" s="1010"/>
      <c r="E10" s="1010"/>
      <c r="F10" s="1010"/>
      <c r="G10" s="1011"/>
      <c r="H10" s="1011"/>
      <c r="I10" s="1012"/>
      <c r="J10" s="1013"/>
      <c r="K10" s="1014"/>
      <c r="L10" s="645"/>
      <c r="M10" s="425"/>
      <c r="N10" s="425"/>
      <c r="O10" s="1015"/>
      <c r="P10" s="1015"/>
      <c r="Q10" s="1015"/>
      <c r="R10" s="1015"/>
      <c r="S10" s="1015"/>
      <c r="T10" s="1015"/>
      <c r="U10" s="1015"/>
      <c r="V10" s="1015"/>
      <c r="W10" s="1015"/>
      <c r="X10" s="1015"/>
      <c r="Y10" s="1015"/>
    </row>
    <row r="11" spans="1:25" s="1016" customFormat="1" ht="15" customHeight="1">
      <c r="A11" s="1009" t="s">
        <v>330</v>
      </c>
      <c r="B11" s="424"/>
      <c r="C11" s="1010"/>
      <c r="D11" s="1010"/>
      <c r="E11" s="1010"/>
      <c r="F11" s="1010"/>
      <c r="G11" s="1011"/>
      <c r="H11" s="1011"/>
      <c r="I11" s="1012"/>
      <c r="J11" s="1013"/>
      <c r="K11" s="1014"/>
      <c r="L11" s="645"/>
      <c r="M11" s="425"/>
      <c r="N11" s="425"/>
      <c r="O11" s="1015"/>
      <c r="P11" s="1015"/>
      <c r="Q11" s="1015"/>
      <c r="R11" s="1015"/>
      <c r="S11" s="1015"/>
      <c r="T11" s="1015"/>
      <c r="U11" s="1015"/>
      <c r="V11" s="1015"/>
      <c r="W11" s="1015"/>
      <c r="X11" s="1015"/>
      <c r="Y11" s="1015"/>
    </row>
    <row r="12" spans="1:25" s="1016" customFormat="1" ht="15" customHeight="1">
      <c r="A12" s="1009" t="s">
        <v>313</v>
      </c>
      <c r="B12" s="424"/>
      <c r="C12" s="1010"/>
      <c r="D12" s="1010"/>
      <c r="E12" s="1010"/>
      <c r="F12" s="1010"/>
      <c r="G12" s="1011"/>
      <c r="H12" s="1011"/>
      <c r="I12" s="1012"/>
      <c r="J12" s="1013"/>
      <c r="K12" s="1014"/>
      <c r="L12" s="645"/>
      <c r="M12" s="425"/>
      <c r="N12" s="425"/>
      <c r="O12" s="1015"/>
      <c r="P12" s="1015"/>
      <c r="Q12" s="1015"/>
      <c r="R12" s="1015"/>
      <c r="S12" s="1015"/>
      <c r="T12" s="1015"/>
      <c r="U12" s="1015"/>
      <c r="V12" s="1015"/>
      <c r="W12" s="1015"/>
      <c r="X12" s="1015"/>
      <c r="Y12" s="1015"/>
    </row>
    <row r="13" spans="1:25" s="1016" customFormat="1" ht="15" customHeight="1">
      <c r="A13" s="1009" t="s">
        <v>314</v>
      </c>
      <c r="B13" s="424"/>
      <c r="C13" s="1010"/>
      <c r="D13" s="1010"/>
      <c r="E13" s="1010"/>
      <c r="F13" s="1010"/>
      <c r="G13" s="1011"/>
      <c r="H13" s="1011"/>
      <c r="I13" s="1012"/>
      <c r="J13" s="1013"/>
      <c r="K13" s="1014"/>
      <c r="L13" s="645"/>
      <c r="M13" s="425"/>
      <c r="N13" s="425"/>
      <c r="O13" s="1015"/>
      <c r="P13" s="1015"/>
      <c r="Q13" s="1015"/>
      <c r="R13" s="1015"/>
      <c r="S13" s="1015"/>
      <c r="T13" s="1015"/>
      <c r="U13" s="1015"/>
      <c r="V13" s="1015"/>
      <c r="W13" s="1015"/>
      <c r="X13" s="1015"/>
      <c r="Y13" s="1015"/>
    </row>
    <row r="14" spans="1:25" s="1016" customFormat="1" ht="15" customHeight="1">
      <c r="A14" s="1009" t="s">
        <v>315</v>
      </c>
      <c r="B14" s="424"/>
      <c r="C14" s="1010"/>
      <c r="D14" s="1010"/>
      <c r="E14" s="1010"/>
      <c r="F14" s="1010"/>
      <c r="G14" s="1011"/>
      <c r="H14" s="1011"/>
      <c r="I14" s="1012"/>
      <c r="J14" s="1013"/>
      <c r="K14" s="1014"/>
      <c r="L14" s="645"/>
      <c r="M14" s="425"/>
      <c r="N14" s="425"/>
      <c r="O14" s="1015"/>
      <c r="P14" s="1015"/>
      <c r="Q14" s="1015"/>
      <c r="R14" s="1015"/>
      <c r="S14" s="1015"/>
      <c r="T14" s="1015"/>
      <c r="U14" s="1015"/>
      <c r="V14" s="1015"/>
      <c r="W14" s="1015"/>
      <c r="X14" s="1015"/>
      <c r="Y14" s="1015"/>
    </row>
    <row r="15" spans="1:25" s="1016" customFormat="1" ht="15" customHeight="1">
      <c r="A15" s="1017" t="s">
        <v>326</v>
      </c>
      <c r="B15" s="424"/>
      <c r="C15" s="1010"/>
      <c r="D15" s="1010"/>
      <c r="E15" s="1010"/>
      <c r="F15" s="1010"/>
      <c r="G15" s="1011"/>
      <c r="H15" s="1011"/>
      <c r="I15" s="1012"/>
      <c r="J15" s="1013"/>
      <c r="K15" s="1014"/>
      <c r="L15" s="645"/>
      <c r="M15" s="425"/>
      <c r="N15" s="425"/>
      <c r="O15" s="1015"/>
      <c r="P15" s="1015"/>
      <c r="Q15" s="1015"/>
      <c r="R15" s="1015"/>
      <c r="S15" s="1015"/>
      <c r="T15" s="1015"/>
      <c r="U15" s="1015"/>
      <c r="V15" s="1015"/>
      <c r="W15" s="1015"/>
      <c r="X15" s="1015"/>
      <c r="Y15" s="1015"/>
    </row>
    <row r="16" spans="1:25" s="1016" customFormat="1" ht="15" customHeight="1">
      <c r="A16" s="1009" t="s">
        <v>316</v>
      </c>
      <c r="B16" s="424"/>
      <c r="C16" s="1010"/>
      <c r="D16" s="1010"/>
      <c r="E16" s="1010"/>
      <c r="F16" s="1010"/>
      <c r="G16" s="1011"/>
      <c r="H16" s="1011"/>
      <c r="I16" s="1012"/>
      <c r="J16" s="1013"/>
      <c r="K16" s="1014"/>
      <c r="L16" s="645"/>
      <c r="M16" s="425"/>
      <c r="N16" s="425"/>
      <c r="O16" s="1015"/>
      <c r="P16" s="1015"/>
      <c r="Q16" s="1015"/>
      <c r="R16" s="1015"/>
      <c r="S16" s="1015"/>
      <c r="T16" s="1015"/>
      <c r="U16" s="1015"/>
      <c r="V16" s="1015"/>
      <c r="W16" s="1015"/>
      <c r="X16" s="1015"/>
      <c r="Y16" s="1015"/>
    </row>
    <row r="17" spans="1:25" s="1016" customFormat="1" ht="15" customHeight="1">
      <c r="A17" s="677" t="s">
        <v>317</v>
      </c>
      <c r="B17" s="424"/>
      <c r="C17" s="1010"/>
      <c r="D17" s="1010"/>
      <c r="E17" s="1010"/>
      <c r="F17" s="1010"/>
      <c r="G17" s="1011"/>
      <c r="H17" s="1011"/>
      <c r="I17" s="1012"/>
      <c r="J17" s="1013"/>
      <c r="K17" s="1014"/>
      <c r="L17" s="645"/>
      <c r="M17" s="425"/>
      <c r="N17" s="425"/>
      <c r="O17" s="1015"/>
      <c r="P17" s="1015"/>
      <c r="Q17" s="1015"/>
      <c r="R17" s="1015"/>
      <c r="S17" s="1015"/>
      <c r="T17" s="1015"/>
      <c r="U17" s="1015"/>
      <c r="V17" s="1015"/>
      <c r="W17" s="1015"/>
      <c r="X17" s="1015"/>
      <c r="Y17" s="1015"/>
    </row>
    <row r="18" spans="1:25" s="1016" customFormat="1" ht="15" customHeight="1">
      <c r="A18" s="677" t="s">
        <v>318</v>
      </c>
      <c r="B18" s="424"/>
      <c r="C18" s="1010"/>
      <c r="D18" s="1010"/>
      <c r="E18" s="1010"/>
      <c r="F18" s="1010"/>
      <c r="G18" s="1011"/>
      <c r="H18" s="1011"/>
      <c r="I18" s="1012"/>
      <c r="J18" s="1013"/>
      <c r="K18" s="1014"/>
      <c r="L18" s="645"/>
      <c r="M18" s="426"/>
      <c r="N18" s="426"/>
      <c r="O18" s="1015"/>
      <c r="P18" s="1015"/>
      <c r="Q18" s="1015"/>
      <c r="R18" s="1015"/>
      <c r="S18" s="1015"/>
      <c r="T18" s="1015"/>
      <c r="U18" s="1015"/>
      <c r="V18" s="1015"/>
      <c r="W18" s="1015"/>
      <c r="X18" s="1015"/>
      <c r="Y18" s="1015"/>
    </row>
    <row r="19" spans="1:25" s="1016" customFormat="1" ht="15" customHeight="1">
      <c r="A19" s="677" t="s">
        <v>319</v>
      </c>
      <c r="B19" s="424"/>
      <c r="C19" s="1010"/>
      <c r="D19" s="1010"/>
      <c r="E19" s="1010"/>
      <c r="F19" s="1010"/>
      <c r="G19" s="1011"/>
      <c r="H19" s="1011"/>
      <c r="I19" s="1012"/>
      <c r="J19" s="1013"/>
      <c r="K19" s="1014"/>
      <c r="L19" s="645"/>
      <c r="M19" s="426"/>
      <c r="N19" s="426"/>
      <c r="O19" s="1015"/>
      <c r="P19" s="1015"/>
      <c r="Q19" s="1015"/>
      <c r="R19" s="1015"/>
      <c r="S19" s="1015"/>
      <c r="T19" s="1015"/>
      <c r="U19" s="1015"/>
      <c r="V19" s="1015"/>
      <c r="W19" s="1015"/>
      <c r="X19" s="1015"/>
      <c r="Y19" s="1015"/>
    </row>
    <row r="20" spans="1:25" s="1016" customFormat="1" ht="15" customHeight="1">
      <c r="A20" s="677" t="s">
        <v>320</v>
      </c>
      <c r="B20" s="424"/>
      <c r="C20" s="1010"/>
      <c r="D20" s="1010"/>
      <c r="E20" s="1010"/>
      <c r="F20" s="1010"/>
      <c r="G20" s="1011"/>
      <c r="H20" s="1011"/>
      <c r="I20" s="1012"/>
      <c r="J20" s="1013"/>
      <c r="K20" s="1014"/>
      <c r="L20" s="645"/>
      <c r="M20" s="426"/>
      <c r="N20" s="426"/>
      <c r="O20" s="1015"/>
      <c r="P20" s="1015"/>
      <c r="Q20" s="1015"/>
      <c r="R20" s="1015"/>
      <c r="S20" s="1015"/>
      <c r="T20" s="1015"/>
      <c r="U20" s="1015"/>
      <c r="V20" s="1015"/>
      <c r="W20" s="1015"/>
      <c r="X20" s="1015"/>
      <c r="Y20" s="1015"/>
    </row>
    <row r="21" spans="1:25" s="1016" customFormat="1" ht="15" customHeight="1">
      <c r="A21" s="677" t="s">
        <v>324</v>
      </c>
      <c r="B21" s="424"/>
      <c r="C21" s="1010"/>
      <c r="D21" s="1010"/>
      <c r="E21" s="1010"/>
      <c r="F21" s="1010"/>
      <c r="G21" s="1011"/>
      <c r="H21" s="1011"/>
      <c r="I21" s="1012"/>
      <c r="J21" s="1013"/>
      <c r="K21" s="1014"/>
      <c r="L21" s="645"/>
      <c r="M21" s="426"/>
      <c r="N21" s="426"/>
      <c r="O21" s="1015"/>
      <c r="P21" s="1015"/>
      <c r="Q21" s="1015"/>
      <c r="R21" s="1015"/>
      <c r="S21" s="1015"/>
      <c r="T21" s="1015"/>
      <c r="U21" s="1015"/>
      <c r="V21" s="1015"/>
      <c r="W21" s="1015"/>
      <c r="X21" s="1015"/>
      <c r="Y21" s="1015"/>
    </row>
    <row r="22" spans="1:25" s="1016" customFormat="1" ht="15" customHeight="1">
      <c r="A22" s="677" t="s">
        <v>321</v>
      </c>
      <c r="B22" s="424"/>
      <c r="C22" s="1010"/>
      <c r="D22" s="1010"/>
      <c r="E22" s="1010"/>
      <c r="F22" s="1010"/>
      <c r="G22" s="1011"/>
      <c r="H22" s="1011"/>
      <c r="I22" s="1012"/>
      <c r="J22" s="1013"/>
      <c r="K22" s="1014"/>
      <c r="L22" s="645"/>
      <c r="M22" s="426"/>
      <c r="N22" s="426"/>
      <c r="O22" s="1015"/>
      <c r="P22" s="1015"/>
      <c r="Q22" s="1015"/>
      <c r="R22" s="1015"/>
      <c r="S22" s="1015"/>
      <c r="T22" s="1015"/>
      <c r="U22" s="1015"/>
      <c r="V22" s="1015"/>
      <c r="W22" s="1015"/>
      <c r="X22" s="1015"/>
      <c r="Y22" s="1015"/>
    </row>
    <row r="23" spans="1:25" s="1016" customFormat="1" ht="15" customHeight="1">
      <c r="A23" s="958" t="s">
        <v>322</v>
      </c>
      <c r="B23" s="958"/>
      <c r="C23" s="1018"/>
      <c r="D23" s="1018"/>
      <c r="E23" s="1018"/>
      <c r="F23" s="1019"/>
      <c r="G23" s="1019"/>
      <c r="H23" s="1019"/>
      <c r="I23" s="1020"/>
      <c r="J23" s="1021"/>
      <c r="K23" s="1014"/>
      <c r="L23" s="645"/>
      <c r="M23" s="425"/>
      <c r="N23" s="425"/>
      <c r="O23" s="1015"/>
      <c r="P23" s="1015"/>
      <c r="Q23" s="1015"/>
      <c r="R23" s="1015"/>
      <c r="S23" s="1015"/>
      <c r="T23" s="1015"/>
      <c r="U23" s="1015"/>
      <c r="V23" s="1015"/>
      <c r="W23" s="1015"/>
      <c r="X23" s="1015"/>
      <c r="Y23" s="1015"/>
    </row>
    <row r="24" spans="1:14" ht="15" customHeight="1">
      <c r="A24" s="1022"/>
      <c r="B24" s="1022"/>
      <c r="C24" s="1022"/>
      <c r="D24" s="1022"/>
      <c r="E24" s="1022"/>
      <c r="F24" s="1022"/>
      <c r="G24" s="1023"/>
      <c r="H24" s="1023"/>
      <c r="I24" s="1012"/>
      <c r="J24" s="1006"/>
      <c r="K24" s="1007"/>
      <c r="L24" s="303"/>
      <c r="M24" s="18"/>
      <c r="N24" s="991"/>
    </row>
    <row r="25" spans="1:14" ht="24" customHeight="1">
      <c r="A25" s="1024" t="s">
        <v>823</v>
      </c>
      <c r="B25" s="1024"/>
      <c r="C25" s="1024"/>
      <c r="D25" s="1024"/>
      <c r="E25" s="1024"/>
      <c r="F25" s="1024"/>
      <c r="G25" s="996"/>
      <c r="H25" s="996"/>
      <c r="I25" s="996"/>
      <c r="J25" s="997"/>
      <c r="K25" s="1007"/>
      <c r="L25" s="303"/>
      <c r="M25" s="844"/>
      <c r="N25" s="844"/>
    </row>
    <row r="26" spans="1:14" ht="15">
      <c r="A26" s="1025"/>
      <c r="B26" s="1025"/>
      <c r="C26" s="1026"/>
      <c r="D26" s="1026"/>
      <c r="E26" s="1026"/>
      <c r="F26" s="1026"/>
      <c r="G26" s="1026"/>
      <c r="H26" s="1026"/>
      <c r="I26" s="1026"/>
      <c r="J26" s="1026"/>
      <c r="K26" s="1027"/>
      <c r="L26" s="646"/>
      <c r="M26" s="753"/>
      <c r="N26" s="753"/>
    </row>
    <row r="27" spans="1:14" ht="25.5" customHeight="1">
      <c r="A27" s="848" t="s">
        <v>47</v>
      </c>
      <c r="B27" s="849"/>
      <c r="C27" s="849"/>
      <c r="D27" s="849"/>
      <c r="E27" s="849"/>
      <c r="F27" s="849"/>
      <c r="G27" s="849"/>
      <c r="H27" s="849"/>
      <c r="I27" s="849"/>
      <c r="J27" s="849"/>
      <c r="K27" s="288"/>
      <c r="L27" s="288"/>
      <c r="M27" s="753"/>
      <c r="N27" s="753"/>
    </row>
    <row r="28" spans="1:14" ht="15">
      <c r="A28" s="847" t="s">
        <v>48</v>
      </c>
      <c r="B28" s="847"/>
      <c r="C28" s="847"/>
      <c r="D28" s="847"/>
      <c r="E28" s="847"/>
      <c r="F28" s="847"/>
      <c r="G28" s="847"/>
      <c r="H28" s="847"/>
      <c r="I28" s="847"/>
      <c r="J28" s="847"/>
      <c r="K28" s="282"/>
      <c r="L28" s="282"/>
      <c r="M28" s="753"/>
      <c r="N28" s="753"/>
    </row>
    <row r="29" spans="1:14" ht="15.75" thickBot="1">
      <c r="A29" s="21" t="s">
        <v>416</v>
      </c>
      <c r="B29" s="21"/>
      <c r="C29" s="21"/>
      <c r="D29" s="21"/>
      <c r="E29" s="21"/>
      <c r="F29" s="21"/>
      <c r="G29" s="21"/>
      <c r="H29" s="21"/>
      <c r="I29" s="869"/>
      <c r="J29" s="869"/>
      <c r="K29" s="282"/>
      <c r="L29" s="282"/>
      <c r="M29" s="753"/>
      <c r="N29" s="753"/>
    </row>
    <row r="30" spans="1:14" ht="21" customHeight="1" thickTop="1">
      <c r="A30" s="427" t="s">
        <v>49</v>
      </c>
      <c r="B30" s="428"/>
      <c r="C30" s="429" t="s">
        <v>824</v>
      </c>
      <c r="D30" s="430"/>
      <c r="E30" s="431" t="s">
        <v>825</v>
      </c>
      <c r="F30" s="432"/>
      <c r="G30" s="431" t="s">
        <v>826</v>
      </c>
      <c r="H30" s="432"/>
      <c r="I30" s="431" t="s">
        <v>827</v>
      </c>
      <c r="J30" s="432"/>
      <c r="K30" s="431" t="s">
        <v>828</v>
      </c>
      <c r="L30" s="433"/>
      <c r="M30" s="4"/>
      <c r="N30" s="3"/>
    </row>
    <row r="31" spans="1:14" ht="15">
      <c r="A31" s="193" t="s">
        <v>341</v>
      </c>
      <c r="B31" s="142" t="s">
        <v>50</v>
      </c>
      <c r="C31" s="707">
        <f>CEILING(110*$Z$1,0.1)</f>
        <v>137.5</v>
      </c>
      <c r="D31" s="747"/>
      <c r="E31" s="703">
        <f>CEILING(150*$Z$1,0.1)</f>
        <v>187.5</v>
      </c>
      <c r="F31" s="704"/>
      <c r="G31" s="703">
        <f>CEILING(130*$Z$1,0.1)</f>
        <v>162.5</v>
      </c>
      <c r="H31" s="704"/>
      <c r="I31" s="703">
        <f>CEILING(140*$Z$1,0.1)</f>
        <v>175</v>
      </c>
      <c r="J31" s="704"/>
      <c r="K31" s="703">
        <f>CEILING(130*$Z$1,0.1)</f>
        <v>162.5</v>
      </c>
      <c r="L31" s="704"/>
      <c r="M31" s="714"/>
      <c r="N31" s="753"/>
    </row>
    <row r="32" spans="1:14" ht="15" customHeight="1">
      <c r="A32" s="194" t="s">
        <v>51</v>
      </c>
      <c r="B32" s="12" t="s">
        <v>52</v>
      </c>
      <c r="C32" s="707">
        <f>CEILING((C31+60*$Z$1),0.1)</f>
        <v>212.5</v>
      </c>
      <c r="D32" s="708"/>
      <c r="E32" s="707">
        <f>CEILING((E31+60*$Z$1),0.1)</f>
        <v>262.5</v>
      </c>
      <c r="F32" s="708"/>
      <c r="G32" s="707">
        <f>CEILING((G31+60*$Z$1),0.1)</f>
        <v>237.5</v>
      </c>
      <c r="H32" s="708"/>
      <c r="I32" s="707">
        <f>CEILING((I31+60*$Z$1),0.1)</f>
        <v>250</v>
      </c>
      <c r="J32" s="708"/>
      <c r="K32" s="707">
        <f>CEILING((K31+60*$Z$1),0.1)</f>
        <v>237.5</v>
      </c>
      <c r="L32" s="708"/>
      <c r="M32" s="23"/>
      <c r="N32" s="22"/>
    </row>
    <row r="33" spans="1:14" ht="15" customHeight="1">
      <c r="A33" s="194"/>
      <c r="B33" s="12" t="s">
        <v>53</v>
      </c>
      <c r="C33" s="707">
        <f>CEILING((C31*0.85),0.1)</f>
        <v>116.9</v>
      </c>
      <c r="D33" s="708"/>
      <c r="E33" s="707">
        <f>CEILING((E31*0.85),0.1)</f>
        <v>159.4</v>
      </c>
      <c r="F33" s="708"/>
      <c r="G33" s="707">
        <f>CEILING((G31*0.85),0.1)</f>
        <v>138.20000000000002</v>
      </c>
      <c r="H33" s="708"/>
      <c r="I33" s="707">
        <f>CEILING((I31*0.85),0.1)</f>
        <v>148.8</v>
      </c>
      <c r="J33" s="708"/>
      <c r="K33" s="707">
        <f>CEILING((K31*0.85),0.1)</f>
        <v>138.20000000000002</v>
      </c>
      <c r="L33" s="708"/>
      <c r="M33" s="23"/>
      <c r="N33" s="22"/>
    </row>
    <row r="34" spans="1:14" ht="15" customHeight="1">
      <c r="A34" s="195"/>
      <c r="B34" s="39" t="s">
        <v>85</v>
      </c>
      <c r="C34" s="707">
        <f>CEILING((C31*0.5),0.1)</f>
        <v>68.8</v>
      </c>
      <c r="D34" s="708"/>
      <c r="E34" s="707">
        <f>CEILING((E31*0.5),0.1)</f>
        <v>93.80000000000001</v>
      </c>
      <c r="F34" s="708"/>
      <c r="G34" s="707">
        <f>CEILING((G31*0.5),0.1)</f>
        <v>81.30000000000001</v>
      </c>
      <c r="H34" s="708"/>
      <c r="I34" s="707">
        <f>CEILING((I31*0.5),0.1)</f>
        <v>87.5</v>
      </c>
      <c r="J34" s="708"/>
      <c r="K34" s="707">
        <f>CEILING((K31*0.5),0.1)</f>
        <v>81.30000000000001</v>
      </c>
      <c r="L34" s="708"/>
      <c r="M34" s="23"/>
      <c r="N34" s="22"/>
    </row>
    <row r="35" spans="1:14" ht="17.25" customHeight="1">
      <c r="A35" s="1028"/>
      <c r="B35" s="12" t="s">
        <v>55</v>
      </c>
      <c r="C35" s="707">
        <f>CEILING(130*$Z$1,0.1)</f>
        <v>162.5</v>
      </c>
      <c r="D35" s="708"/>
      <c r="E35" s="707">
        <f>CEILING(170*$Z$1,0.1)</f>
        <v>212.5</v>
      </c>
      <c r="F35" s="708"/>
      <c r="G35" s="707">
        <f>CEILING(150*$Z$1,0.1)</f>
        <v>187.5</v>
      </c>
      <c r="H35" s="708"/>
      <c r="I35" s="707">
        <f>CEILING(160*$Z$1,0.1)</f>
        <v>200</v>
      </c>
      <c r="J35" s="708"/>
      <c r="K35" s="707">
        <f>CEILING(150*$Z$1,0.1)</f>
        <v>187.5</v>
      </c>
      <c r="L35" s="708"/>
      <c r="M35" s="23"/>
      <c r="N35" s="22"/>
    </row>
    <row r="36" spans="1:14" ht="15.75" customHeight="1">
      <c r="A36" s="1029"/>
      <c r="B36" s="371" t="s">
        <v>218</v>
      </c>
      <c r="C36" s="705">
        <f>CEILING((C35+60*$Z$1),0.1)</f>
        <v>237.5</v>
      </c>
      <c r="D36" s="706"/>
      <c r="E36" s="705">
        <f>CEILING((E35+60*$Z$1),0.1)</f>
        <v>287.5</v>
      </c>
      <c r="F36" s="706"/>
      <c r="G36" s="705">
        <f>CEILING((G35+60*$Z$1),0.1)</f>
        <v>262.5</v>
      </c>
      <c r="H36" s="706"/>
      <c r="I36" s="705">
        <f>CEILING((I35+60*$Z$1),0.1)</f>
        <v>275</v>
      </c>
      <c r="J36" s="706"/>
      <c r="K36" s="705">
        <f>CEILING((K35+60*$Z$1),0.1)</f>
        <v>262.5</v>
      </c>
      <c r="L36" s="706"/>
      <c r="M36" s="23"/>
      <c r="N36" s="22"/>
    </row>
    <row r="37" spans="1:14" ht="15.75" customHeight="1">
      <c r="A37" s="1030"/>
      <c r="B37" s="12" t="s">
        <v>829</v>
      </c>
      <c r="C37" s="707">
        <f>CEILING(130*$Z$1,0.1)</f>
        <v>162.5</v>
      </c>
      <c r="D37" s="747"/>
      <c r="E37" s="703">
        <f>CEILING(170*$Z$1,0.1)</f>
        <v>212.5</v>
      </c>
      <c r="F37" s="704"/>
      <c r="G37" s="703">
        <f>CEILING(150*$Z$1,0.1)</f>
        <v>187.5</v>
      </c>
      <c r="H37" s="704"/>
      <c r="I37" s="703">
        <f>CEILING(150*$Z$1,0.1)</f>
        <v>187.5</v>
      </c>
      <c r="J37" s="704"/>
      <c r="K37" s="703">
        <f>CEILING(150*$Z$1,0.1)</f>
        <v>187.5</v>
      </c>
      <c r="L37" s="704"/>
      <c r="M37" s="23"/>
      <c r="N37" s="22"/>
    </row>
    <row r="38" spans="1:14" ht="16.5" customHeight="1">
      <c r="A38" s="193"/>
      <c r="B38" s="12" t="s">
        <v>830</v>
      </c>
      <c r="C38" s="707">
        <f>CEILING((C37+75*$Z$1),0.1)</f>
        <v>256.3</v>
      </c>
      <c r="D38" s="708"/>
      <c r="E38" s="707">
        <f>CEILING((E37+75*$Z$1),0.1)</f>
        <v>306.3</v>
      </c>
      <c r="F38" s="708"/>
      <c r="G38" s="707">
        <f>CEILING((G37+75*$Z$1),0.1)</f>
        <v>281.3</v>
      </c>
      <c r="H38" s="708"/>
      <c r="I38" s="707">
        <f>CEILING((I37+75*$Z$1),0.1)</f>
        <v>281.3</v>
      </c>
      <c r="J38" s="708"/>
      <c r="K38" s="707">
        <f>CEILING((K37+75*$Z$1),0.1)</f>
        <v>281.3</v>
      </c>
      <c r="L38" s="708"/>
      <c r="M38" s="23"/>
      <c r="N38" s="22"/>
    </row>
    <row r="39" spans="1:14" ht="16.5" customHeight="1">
      <c r="A39" s="193"/>
      <c r="B39" s="12" t="s">
        <v>831</v>
      </c>
      <c r="C39" s="707">
        <f>CEILING(140*$Z$1,0.1)</f>
        <v>175</v>
      </c>
      <c r="D39" s="708"/>
      <c r="E39" s="707">
        <f>CEILING(180*$Z$1,0.1)</f>
        <v>225</v>
      </c>
      <c r="F39" s="708"/>
      <c r="G39" s="707">
        <f>CEILING(160*$Z$1,0.1)</f>
        <v>200</v>
      </c>
      <c r="H39" s="708"/>
      <c r="I39" s="707">
        <f>CEILING(160*$Z$1,0.1)</f>
        <v>200</v>
      </c>
      <c r="J39" s="708"/>
      <c r="K39" s="707">
        <f>CEILING(160*$Z$1,0.1)</f>
        <v>200</v>
      </c>
      <c r="L39" s="708"/>
      <c r="M39" s="23"/>
      <c r="N39" s="22"/>
    </row>
    <row r="40" spans="1:14" ht="15.75" customHeight="1">
      <c r="A40" s="193"/>
      <c r="B40" s="12" t="s">
        <v>832</v>
      </c>
      <c r="C40" s="707">
        <f>CEILING((C39+75*$Z$1),0.1)</f>
        <v>268.8</v>
      </c>
      <c r="D40" s="708"/>
      <c r="E40" s="707">
        <f>CEILING((E39+75*$Z$1),0.1)</f>
        <v>318.8</v>
      </c>
      <c r="F40" s="708"/>
      <c r="G40" s="707">
        <f>CEILING((G39+75*$Z$1),0.1)</f>
        <v>293.8</v>
      </c>
      <c r="H40" s="708"/>
      <c r="I40" s="707">
        <f>CEILING((I39+75*$Z$1),0.1)</f>
        <v>293.8</v>
      </c>
      <c r="J40" s="708"/>
      <c r="K40" s="707">
        <f>CEILING((K39+75*$Z$1),0.1)</f>
        <v>293.8</v>
      </c>
      <c r="L40" s="708"/>
      <c r="M40" s="23"/>
      <c r="N40" s="22"/>
    </row>
    <row r="41" spans="1:14" ht="16.5" customHeight="1">
      <c r="A41" s="193"/>
      <c r="B41" s="371" t="s">
        <v>833</v>
      </c>
      <c r="C41" s="705">
        <f>CEILING(950*$Z$1,0.1)</f>
        <v>1187.5</v>
      </c>
      <c r="D41" s="706"/>
      <c r="E41" s="705">
        <f>CEILING(950*$Z$1,0.1)</f>
        <v>1187.5</v>
      </c>
      <c r="F41" s="706"/>
      <c r="G41" s="705">
        <f>CEILING(950*$Z$1,0.1)</f>
        <v>1187.5</v>
      </c>
      <c r="H41" s="706"/>
      <c r="I41" s="705">
        <f>CEILING(950*$Z$1,0.1)</f>
        <v>1187.5</v>
      </c>
      <c r="J41" s="706"/>
      <c r="K41" s="705">
        <f>CEILING(950*$Z$1,0.1)</f>
        <v>1187.5</v>
      </c>
      <c r="L41" s="706"/>
      <c r="M41" s="23"/>
      <c r="N41" s="22"/>
    </row>
    <row r="42" spans="1:14" ht="17.25" customHeight="1">
      <c r="A42" s="193"/>
      <c r="B42" s="12" t="s">
        <v>287</v>
      </c>
      <c r="C42" s="707">
        <f>CEILING(170*$Z$1,0.1)</f>
        <v>212.5</v>
      </c>
      <c r="D42" s="747"/>
      <c r="E42" s="703">
        <f>CEILING(210*$Z$1,0.1)</f>
        <v>262.5</v>
      </c>
      <c r="F42" s="704"/>
      <c r="G42" s="703">
        <f>CEILING(190*$Z$1,0.1)</f>
        <v>237.5</v>
      </c>
      <c r="H42" s="704"/>
      <c r="I42" s="703">
        <f>CEILING(190*$Z$1,0.1)</f>
        <v>237.5</v>
      </c>
      <c r="J42" s="704"/>
      <c r="K42" s="703">
        <f>CEILING(190*$Z$1,0.1)</f>
        <v>237.5</v>
      </c>
      <c r="L42" s="704"/>
      <c r="M42" s="23"/>
      <c r="N42" s="22"/>
    </row>
    <row r="43" spans="1:14" ht="16.5" customHeight="1">
      <c r="A43" s="193"/>
      <c r="B43" s="12" t="s">
        <v>288</v>
      </c>
      <c r="C43" s="707">
        <f>CEILING((C42+85*$Z$1),0.1)</f>
        <v>318.8</v>
      </c>
      <c r="D43" s="708"/>
      <c r="E43" s="707">
        <f>CEILING((E42+85*$Z$1),0.1)</f>
        <v>368.8</v>
      </c>
      <c r="F43" s="708"/>
      <c r="G43" s="707">
        <f>CEILING((G42+85*$Z$1),0.1)</f>
        <v>343.8</v>
      </c>
      <c r="H43" s="708"/>
      <c r="I43" s="707">
        <f>CEILING((I42+85*$Z$1),0.1)</f>
        <v>343.8</v>
      </c>
      <c r="J43" s="708"/>
      <c r="K43" s="707">
        <f>CEILING((K42+85*$Z$1),0.1)</f>
        <v>343.8</v>
      </c>
      <c r="L43" s="708"/>
      <c r="M43" s="23"/>
      <c r="N43" s="22"/>
    </row>
    <row r="44" spans="1:14" ht="16.5" customHeight="1">
      <c r="A44" s="193"/>
      <c r="B44" s="12" t="s">
        <v>289</v>
      </c>
      <c r="C44" s="707">
        <f>CEILING(210*$Z$1,0.1)</f>
        <v>262.5</v>
      </c>
      <c r="D44" s="708"/>
      <c r="E44" s="707">
        <f>CEILING(250*$Z$1,0.1)</f>
        <v>312.5</v>
      </c>
      <c r="F44" s="708"/>
      <c r="G44" s="707">
        <f>CEILING(230*$Z$1,0.1)</f>
        <v>287.5</v>
      </c>
      <c r="H44" s="708"/>
      <c r="I44" s="707">
        <f>CEILING(230*$Z$1,0.1)</f>
        <v>287.5</v>
      </c>
      <c r="J44" s="708"/>
      <c r="K44" s="707">
        <f>CEILING(230*$Z$1,0.1)</f>
        <v>287.5</v>
      </c>
      <c r="L44" s="708"/>
      <c r="M44" s="23"/>
      <c r="N44" s="22"/>
    </row>
    <row r="45" spans="1:14" ht="16.5" customHeight="1">
      <c r="A45" s="247"/>
      <c r="B45" s="12" t="s">
        <v>290</v>
      </c>
      <c r="C45" s="707">
        <f>CEILING((C44+85*$Z$1),0.1)</f>
        <v>368.8</v>
      </c>
      <c r="D45" s="708"/>
      <c r="E45" s="707">
        <f>CEILING((E44+85*$Z$1),0.1)</f>
        <v>418.8</v>
      </c>
      <c r="F45" s="708"/>
      <c r="G45" s="707">
        <f>CEILING((G44+85*$Z$1),0.1)</f>
        <v>393.8</v>
      </c>
      <c r="H45" s="708"/>
      <c r="I45" s="707">
        <f>CEILING((I44+85*$Z$1),0.1)</f>
        <v>393.8</v>
      </c>
      <c r="J45" s="708"/>
      <c r="K45" s="707">
        <f>CEILING((K44+85*$Z$1),0.1)</f>
        <v>393.8</v>
      </c>
      <c r="L45" s="708"/>
      <c r="M45" s="23"/>
      <c r="N45" s="22"/>
    </row>
    <row r="46" spans="1:14" ht="16.5" customHeight="1">
      <c r="A46" s="247"/>
      <c r="B46" s="371" t="s">
        <v>834</v>
      </c>
      <c r="C46" s="705">
        <f>CEILING(1275*$Z$1,0.1)</f>
        <v>1593.8000000000002</v>
      </c>
      <c r="D46" s="706"/>
      <c r="E46" s="705">
        <f>CEILING(1275*$Z$1,0.1)</f>
        <v>1593.8000000000002</v>
      </c>
      <c r="F46" s="706"/>
      <c r="G46" s="705">
        <f>CEILING(1275*$Z$1,0.1)</f>
        <v>1593.8000000000002</v>
      </c>
      <c r="H46" s="706"/>
      <c r="I46" s="705">
        <f>CEILING(1275*$Z$1,0.1)</f>
        <v>1593.8000000000002</v>
      </c>
      <c r="J46" s="706"/>
      <c r="K46" s="705">
        <f>CEILING(1275*$Z$1,0.1)</f>
        <v>1593.8000000000002</v>
      </c>
      <c r="L46" s="706"/>
      <c r="M46" s="23"/>
      <c r="N46" s="22"/>
    </row>
    <row r="47" spans="1:14" ht="18" customHeight="1">
      <c r="A47" s="374"/>
      <c r="B47" s="231" t="s">
        <v>835</v>
      </c>
      <c r="C47" s="871">
        <v>0.15</v>
      </c>
      <c r="D47" s="872"/>
      <c r="E47" s="871">
        <v>0.1</v>
      </c>
      <c r="F47" s="872"/>
      <c r="G47" s="871">
        <v>0.1</v>
      </c>
      <c r="H47" s="872"/>
      <c r="I47" s="871">
        <v>0.1</v>
      </c>
      <c r="J47" s="872"/>
      <c r="K47" s="871">
        <v>0.1</v>
      </c>
      <c r="L47" s="872"/>
      <c r="M47" s="23"/>
      <c r="N47" s="22"/>
    </row>
    <row r="48" spans="1:14" ht="16.5" customHeight="1">
      <c r="A48" s="247"/>
      <c r="B48" s="356" t="s">
        <v>836</v>
      </c>
      <c r="C48" s="832">
        <v>0.1</v>
      </c>
      <c r="D48" s="833"/>
      <c r="E48" s="832">
        <v>0.1</v>
      </c>
      <c r="F48" s="833"/>
      <c r="G48" s="832">
        <v>0.1</v>
      </c>
      <c r="H48" s="833"/>
      <c r="I48" s="832">
        <v>0.1</v>
      </c>
      <c r="J48" s="833"/>
      <c r="K48" s="832">
        <v>0.1</v>
      </c>
      <c r="L48" s="833"/>
      <c r="M48" s="23"/>
      <c r="N48" s="22"/>
    </row>
    <row r="49" spans="1:14" ht="15">
      <c r="A49" s="24" t="s">
        <v>658</v>
      </c>
      <c r="B49" s="24"/>
      <c r="C49" s="24"/>
      <c r="D49" s="24"/>
      <c r="E49" s="24"/>
      <c r="F49" s="24"/>
      <c r="G49" s="24"/>
      <c r="H49" s="24"/>
      <c r="I49" s="25"/>
      <c r="J49" s="25"/>
      <c r="K49" s="104"/>
      <c r="L49" s="104"/>
      <c r="M49" s="22"/>
      <c r="N49" s="22"/>
    </row>
    <row r="50" spans="1:14" ht="15">
      <c r="A50" s="24" t="s">
        <v>839</v>
      </c>
      <c r="B50" s="24"/>
      <c r="C50" s="24"/>
      <c r="D50" s="24"/>
      <c r="E50" s="24"/>
      <c r="F50" s="24"/>
      <c r="G50" s="24"/>
      <c r="H50" s="24"/>
      <c r="I50" s="25"/>
      <c r="J50" s="25"/>
      <c r="K50" s="104"/>
      <c r="L50" s="104"/>
      <c r="M50" s="22"/>
      <c r="N50" s="22"/>
    </row>
    <row r="51" spans="1:14" ht="15">
      <c r="A51" s="170" t="s">
        <v>837</v>
      </c>
      <c r="B51" s="24"/>
      <c r="C51" s="24"/>
      <c r="D51" s="24"/>
      <c r="E51" s="24"/>
      <c r="F51" s="24"/>
      <c r="G51" s="24"/>
      <c r="H51" s="24"/>
      <c r="I51" s="25"/>
      <c r="J51" s="25"/>
      <c r="K51" s="104"/>
      <c r="L51" s="104"/>
      <c r="M51" s="22"/>
      <c r="N51" s="22"/>
    </row>
    <row r="52" spans="1:14" ht="15.75" thickBot="1">
      <c r="A52" s="170" t="s">
        <v>838</v>
      </c>
      <c r="B52" s="24"/>
      <c r="C52" s="24"/>
      <c r="D52" s="24"/>
      <c r="E52" s="24"/>
      <c r="F52" s="24"/>
      <c r="G52" s="24"/>
      <c r="H52" s="24"/>
      <c r="I52" s="25"/>
      <c r="J52" s="25"/>
      <c r="K52" s="104"/>
      <c r="L52" s="104"/>
      <c r="M52" s="22"/>
      <c r="N52" s="22"/>
    </row>
    <row r="53" spans="1:14" ht="21.75" customHeight="1" thickTop="1">
      <c r="A53" s="427" t="s">
        <v>49</v>
      </c>
      <c r="B53" s="428"/>
      <c r="C53" s="429" t="s">
        <v>824</v>
      </c>
      <c r="D53" s="430"/>
      <c r="E53" s="431" t="s">
        <v>840</v>
      </c>
      <c r="F53" s="432"/>
      <c r="G53" s="431" t="s">
        <v>841</v>
      </c>
      <c r="H53" s="432"/>
      <c r="I53" s="431" t="s">
        <v>827</v>
      </c>
      <c r="J53" s="432"/>
      <c r="K53" s="431" t="s">
        <v>828</v>
      </c>
      <c r="L53" s="433"/>
      <c r="M53" s="351"/>
      <c r="N53" s="22"/>
    </row>
    <row r="54" spans="1:14" ht="15">
      <c r="A54" s="196" t="s">
        <v>54</v>
      </c>
      <c r="B54" s="28" t="s">
        <v>423</v>
      </c>
      <c r="C54" s="707">
        <f>CEILING(105*$Z$1,0.1)</f>
        <v>131.3</v>
      </c>
      <c r="D54" s="747"/>
      <c r="E54" s="703">
        <f>CEILING(150*$Z$1,0.1)</f>
        <v>187.5</v>
      </c>
      <c r="F54" s="704"/>
      <c r="G54" s="703">
        <f>CEILING(125*$Z$1,0.1)</f>
        <v>156.3</v>
      </c>
      <c r="H54" s="704"/>
      <c r="I54" s="703">
        <f>CEILING(135*$Z$1,0.1)</f>
        <v>168.8</v>
      </c>
      <c r="J54" s="704"/>
      <c r="K54" s="703">
        <f>CEILING(125*$Z$1,0.1)</f>
        <v>156.3</v>
      </c>
      <c r="L54" s="704"/>
      <c r="M54" s="351"/>
      <c r="N54" s="22"/>
    </row>
    <row r="55" spans="1:14" ht="16.5" customHeight="1">
      <c r="A55" s="196"/>
      <c r="B55" s="28" t="s">
        <v>52</v>
      </c>
      <c r="C55" s="707">
        <f>CEILING((C54+60*$Z$1),0.1)</f>
        <v>206.3</v>
      </c>
      <c r="D55" s="708"/>
      <c r="E55" s="707">
        <f>CEILING((E54+60*$Z$1),0.1)</f>
        <v>262.5</v>
      </c>
      <c r="F55" s="708"/>
      <c r="G55" s="707">
        <f>CEILING((G54+60*$Z$1),0.1)</f>
        <v>231.3</v>
      </c>
      <c r="H55" s="708"/>
      <c r="I55" s="707">
        <f>CEILING((I54+60*$Z$1),0.1)</f>
        <v>243.8</v>
      </c>
      <c r="J55" s="708"/>
      <c r="K55" s="707">
        <f>CEILING((K54+60*$Z$1),0.1)</f>
        <v>231.3</v>
      </c>
      <c r="L55" s="708"/>
      <c r="M55" s="351"/>
      <c r="N55" s="22"/>
    </row>
    <row r="56" spans="1:14" ht="16.5" customHeight="1">
      <c r="A56" s="30" t="s">
        <v>51</v>
      </c>
      <c r="B56" s="28" t="s">
        <v>388</v>
      </c>
      <c r="C56" s="707">
        <f>CEILING(160*$Z$1,0.1)</f>
        <v>200</v>
      </c>
      <c r="D56" s="708"/>
      <c r="E56" s="707">
        <f>CEILING(205*$Z$1,0.1)</f>
        <v>256.3</v>
      </c>
      <c r="F56" s="708"/>
      <c r="G56" s="707">
        <f>CEILING(180*$Z$1,0.1)</f>
        <v>225</v>
      </c>
      <c r="H56" s="708"/>
      <c r="I56" s="707">
        <f>CEILING(190*$Z$1,0.1)</f>
        <v>237.5</v>
      </c>
      <c r="J56" s="708"/>
      <c r="K56" s="707">
        <f>CEILING(180*$Z$1,0.1)</f>
        <v>225</v>
      </c>
      <c r="L56" s="708"/>
      <c r="M56" s="351"/>
      <c r="N56" s="22"/>
    </row>
    <row r="57" spans="1:14" ht="16.5" customHeight="1">
      <c r="A57" s="30"/>
      <c r="B57" s="28" t="s">
        <v>389</v>
      </c>
      <c r="C57" s="707">
        <f>CEILING((C56+60*$Z$1),0.1)</f>
        <v>275</v>
      </c>
      <c r="D57" s="708"/>
      <c r="E57" s="707">
        <f>CEILING((E56+60*$Z$1),0.1)</f>
        <v>331.3</v>
      </c>
      <c r="F57" s="708"/>
      <c r="G57" s="707">
        <f>CEILING((G56+60*$Z$1),0.1)</f>
        <v>300</v>
      </c>
      <c r="H57" s="708"/>
      <c r="I57" s="707">
        <f>CEILING((I56+60*$Z$1),0.1)</f>
        <v>312.5</v>
      </c>
      <c r="J57" s="708"/>
      <c r="K57" s="707">
        <f>CEILING((K56+60*$Z$1),0.1)</f>
        <v>300</v>
      </c>
      <c r="L57" s="708"/>
      <c r="M57" s="305"/>
      <c r="N57" s="22"/>
    </row>
    <row r="58" spans="1:14" ht="17.25" customHeight="1">
      <c r="A58" s="1029"/>
      <c r="B58" s="31" t="s">
        <v>347</v>
      </c>
      <c r="C58" s="707">
        <f>CEILING(190*$Z$1,0.1)</f>
        <v>237.5</v>
      </c>
      <c r="D58" s="747"/>
      <c r="E58" s="707">
        <f>CEILING(235*$Z$1,0.1)</f>
        <v>293.8</v>
      </c>
      <c r="F58" s="708"/>
      <c r="G58" s="707">
        <f>CEILING(210*$Z$1,0.1)</f>
        <v>262.5</v>
      </c>
      <c r="H58" s="708"/>
      <c r="I58" s="707">
        <f>CEILING(220*$Z$1,0.1)</f>
        <v>275</v>
      </c>
      <c r="J58" s="708"/>
      <c r="K58" s="707">
        <f>CEILING(210*$Z$1,0.1)</f>
        <v>262.5</v>
      </c>
      <c r="L58" s="708"/>
      <c r="M58" s="305"/>
      <c r="N58" s="22"/>
    </row>
    <row r="59" spans="1:14" ht="16.5" customHeight="1">
      <c r="A59" s="1029"/>
      <c r="B59" s="31" t="s">
        <v>342</v>
      </c>
      <c r="C59" s="707">
        <f>CEILING(195*$Z$1,0.1)</f>
        <v>243.8</v>
      </c>
      <c r="D59" s="708"/>
      <c r="E59" s="707">
        <f>CEILING(240*$Z$1,0.1)</f>
        <v>300</v>
      </c>
      <c r="F59" s="708"/>
      <c r="G59" s="707">
        <f>CEILING(215*$Z$1,0.1)</f>
        <v>268.8</v>
      </c>
      <c r="H59" s="708"/>
      <c r="I59" s="707">
        <f>CEILING(225*$Z$1,0.1)</f>
        <v>281.3</v>
      </c>
      <c r="J59" s="708"/>
      <c r="K59" s="707">
        <f>CEILING(215*$Z$1,0.1)</f>
        <v>268.8</v>
      </c>
      <c r="L59" s="708"/>
      <c r="M59" s="652"/>
      <c r="N59" s="3"/>
    </row>
    <row r="60" spans="1:14" ht="16.5" customHeight="1">
      <c r="A60" s="1030"/>
      <c r="B60" s="31" t="s">
        <v>424</v>
      </c>
      <c r="C60" s="707">
        <f>CEILING(205*$Z$1,0.1)</f>
        <v>256.3</v>
      </c>
      <c r="D60" s="708"/>
      <c r="E60" s="707">
        <f>CEILING(250*$Z$1,0.1)</f>
        <v>312.5</v>
      </c>
      <c r="F60" s="708"/>
      <c r="G60" s="707">
        <f>CEILING(225*$Z$1,0.1)</f>
        <v>281.3</v>
      </c>
      <c r="H60" s="708"/>
      <c r="I60" s="707">
        <f>CEILING(235*$Z$1,0.1)</f>
        <v>293.8</v>
      </c>
      <c r="J60" s="708"/>
      <c r="K60" s="707">
        <f>CEILING(225*$Z$1,0.1)</f>
        <v>281.3</v>
      </c>
      <c r="L60" s="708"/>
      <c r="M60" s="351"/>
      <c r="N60" s="991"/>
    </row>
    <row r="61" spans="1:14" ht="16.5" customHeight="1">
      <c r="A61" s="1029"/>
      <c r="B61" s="355" t="s">
        <v>659</v>
      </c>
      <c r="C61" s="705">
        <f>CEILING(220*$Z$1,0.1)</f>
        <v>275</v>
      </c>
      <c r="D61" s="706"/>
      <c r="E61" s="705">
        <f>CEILING(265*$Z$1,0.1)</f>
        <v>331.3</v>
      </c>
      <c r="F61" s="706"/>
      <c r="G61" s="705">
        <f>CEILING(240*$Z$1,0.1)</f>
        <v>300</v>
      </c>
      <c r="H61" s="706"/>
      <c r="I61" s="705">
        <f>CEILING(250*$Z$1,0.1)</f>
        <v>312.5</v>
      </c>
      <c r="J61" s="706"/>
      <c r="K61" s="705">
        <f>CEILING(240*$Z$1,0.1)</f>
        <v>300</v>
      </c>
      <c r="L61" s="706"/>
      <c r="M61" s="351"/>
      <c r="N61" s="991"/>
    </row>
    <row r="62" spans="1:14" ht="16.5" customHeight="1">
      <c r="A62" s="1031"/>
      <c r="B62" s="31" t="s">
        <v>842</v>
      </c>
      <c r="C62" s="703">
        <f>CEILING(1105*$Z$1,0.1)</f>
        <v>1381.3000000000002</v>
      </c>
      <c r="D62" s="704"/>
      <c r="E62" s="703">
        <f>CEILING(1105*$Z$1,0.1)</f>
        <v>1381.3000000000002</v>
      </c>
      <c r="F62" s="704"/>
      <c r="G62" s="703">
        <f>CEILING(1105*$Z$1,0.1)</f>
        <v>1381.3000000000002</v>
      </c>
      <c r="H62" s="704"/>
      <c r="I62" s="703">
        <f>CEILING(1105*$Z$1,0.1)</f>
        <v>1381.3000000000002</v>
      </c>
      <c r="J62" s="704"/>
      <c r="K62" s="703">
        <f>CEILING(1105*$Z$1,0.1)</f>
        <v>1381.3000000000002</v>
      </c>
      <c r="L62" s="704"/>
      <c r="M62" s="305"/>
      <c r="N62" s="991"/>
    </row>
    <row r="63" spans="1:14" ht="16.5" customHeight="1">
      <c r="A63" s="1031"/>
      <c r="B63" s="31" t="s">
        <v>843</v>
      </c>
      <c r="C63" s="707">
        <f>CEILING(1530*$Z$1,0.1)</f>
        <v>1912.5</v>
      </c>
      <c r="D63" s="708"/>
      <c r="E63" s="707">
        <f>CEILING(1530*$Z$1,0.1)</f>
        <v>1912.5</v>
      </c>
      <c r="F63" s="708"/>
      <c r="G63" s="707">
        <f>CEILING(1530*$Z$1,0.1)</f>
        <v>1912.5</v>
      </c>
      <c r="H63" s="708"/>
      <c r="I63" s="707">
        <f>CEILING(1530*$Z$1,0.1)</f>
        <v>1912.5</v>
      </c>
      <c r="J63" s="708"/>
      <c r="K63" s="707">
        <f>CEILING(1530*$Z$1,0.1)</f>
        <v>1912.5</v>
      </c>
      <c r="L63" s="708"/>
      <c r="M63" s="305"/>
      <c r="N63" s="991"/>
    </row>
    <row r="64" spans="1:14" ht="18" customHeight="1">
      <c r="A64" s="374"/>
      <c r="B64" s="39" t="s">
        <v>835</v>
      </c>
      <c r="C64" s="767">
        <v>0.15</v>
      </c>
      <c r="D64" s="768"/>
      <c r="E64" s="767">
        <v>0.1</v>
      </c>
      <c r="F64" s="768"/>
      <c r="G64" s="767">
        <v>0.1</v>
      </c>
      <c r="H64" s="768"/>
      <c r="I64" s="767">
        <v>0.1</v>
      </c>
      <c r="J64" s="768"/>
      <c r="K64" s="767">
        <v>0.1</v>
      </c>
      <c r="L64" s="768"/>
      <c r="M64" s="305"/>
      <c r="N64" s="991"/>
    </row>
    <row r="65" spans="1:14" ht="18.75" customHeight="1" thickBot="1">
      <c r="A65" s="238" t="s">
        <v>507</v>
      </c>
      <c r="B65" s="40" t="s">
        <v>846</v>
      </c>
      <c r="C65" s="711">
        <v>0.1</v>
      </c>
      <c r="D65" s="712"/>
      <c r="E65" s="711">
        <v>0.1</v>
      </c>
      <c r="F65" s="712"/>
      <c r="G65" s="711">
        <v>0.1</v>
      </c>
      <c r="H65" s="712"/>
      <c r="I65" s="711">
        <v>0.1</v>
      </c>
      <c r="J65" s="712"/>
      <c r="K65" s="832">
        <v>0.1</v>
      </c>
      <c r="L65" s="833"/>
      <c r="M65" s="305"/>
      <c r="N65" s="991"/>
    </row>
    <row r="66" spans="1:14" ht="18.75" customHeight="1" thickTop="1">
      <c r="A66" s="821" t="s">
        <v>844</v>
      </c>
      <c r="B66" s="821"/>
      <c r="C66" s="821"/>
      <c r="D66" s="821"/>
      <c r="E66" s="821"/>
      <c r="F66" s="821"/>
      <c r="G66" s="821"/>
      <c r="H66" s="821"/>
      <c r="I66" s="400"/>
      <c r="J66" s="400"/>
      <c r="K66" s="104"/>
      <c r="L66" s="104"/>
      <c r="M66" s="18"/>
      <c r="N66" s="991"/>
    </row>
    <row r="67" spans="1:14" ht="18.75" customHeight="1">
      <c r="A67" s="748" t="s">
        <v>417</v>
      </c>
      <c r="B67" s="748"/>
      <c r="C67" s="748"/>
      <c r="D67" s="748"/>
      <c r="E67" s="748"/>
      <c r="F67" s="748"/>
      <c r="G67" s="748"/>
      <c r="H67" s="748"/>
      <c r="I67" s="33"/>
      <c r="J67" s="33"/>
      <c r="K67" s="104"/>
      <c r="L67" s="104"/>
      <c r="M67" s="18"/>
      <c r="N67" s="991"/>
    </row>
    <row r="68" spans="1:14" ht="18.75" customHeight="1">
      <c r="A68" s="170" t="s">
        <v>845</v>
      </c>
      <c r="B68" s="661"/>
      <c r="C68" s="661"/>
      <c r="D68" s="661"/>
      <c r="E68" s="661"/>
      <c r="F68" s="661"/>
      <c r="G68" s="661"/>
      <c r="H68" s="661"/>
      <c r="I68" s="33"/>
      <c r="J68" s="33"/>
      <c r="K68" s="104"/>
      <c r="L68" s="104"/>
      <c r="M68" s="18"/>
      <c r="N68" s="991"/>
    </row>
    <row r="69" spans="1:14" ht="15.75" thickBot="1">
      <c r="A69" s="170" t="s">
        <v>847</v>
      </c>
      <c r="B69" s="661"/>
      <c r="C69" s="661"/>
      <c r="D69" s="661"/>
      <c r="E69" s="661"/>
      <c r="F69" s="661"/>
      <c r="G69" s="661"/>
      <c r="H69" s="661"/>
      <c r="I69" s="33"/>
      <c r="J69" s="33"/>
      <c r="K69" s="104"/>
      <c r="L69" s="104"/>
      <c r="M69" s="18"/>
      <c r="N69" s="991"/>
    </row>
    <row r="70" spans="1:15" ht="21.75" customHeight="1" thickTop="1">
      <c r="A70" s="434" t="s">
        <v>49</v>
      </c>
      <c r="B70" s="435"/>
      <c r="C70" s="429" t="s">
        <v>824</v>
      </c>
      <c r="D70" s="430"/>
      <c r="E70" s="431" t="s">
        <v>848</v>
      </c>
      <c r="F70" s="432"/>
      <c r="G70" s="431" t="s">
        <v>841</v>
      </c>
      <c r="H70" s="432"/>
      <c r="I70" s="431" t="s">
        <v>827</v>
      </c>
      <c r="J70" s="432"/>
      <c r="K70" s="431" t="s">
        <v>828</v>
      </c>
      <c r="L70" s="433"/>
      <c r="M70" s="397"/>
      <c r="N70" s="398"/>
      <c r="O70" s="1032"/>
    </row>
    <row r="71" spans="1:15" ht="15">
      <c r="A71" s="248" t="s">
        <v>56</v>
      </c>
      <c r="B71" s="249" t="s">
        <v>333</v>
      </c>
      <c r="C71" s="707">
        <f>CEILING(110*$Z$1,0.1)</f>
        <v>137.5</v>
      </c>
      <c r="D71" s="747"/>
      <c r="E71" s="703">
        <f>CEILING(165*$Z$1,0.1)</f>
        <v>206.3</v>
      </c>
      <c r="F71" s="704"/>
      <c r="G71" s="703">
        <f>CEILING(135*$Z$1,0.1)</f>
        <v>168.8</v>
      </c>
      <c r="H71" s="704"/>
      <c r="I71" s="703">
        <f>CEILING(150*$Z$1,0.1)</f>
        <v>187.5</v>
      </c>
      <c r="J71" s="704"/>
      <c r="K71" s="703">
        <f>CEILING(130*$Z$1,0.1)</f>
        <v>162.5</v>
      </c>
      <c r="L71" s="704"/>
      <c r="M71" s="707"/>
      <c r="N71" s="747"/>
      <c r="O71" s="1032"/>
    </row>
    <row r="72" spans="1:15" ht="15">
      <c r="A72" s="250" t="s">
        <v>51</v>
      </c>
      <c r="B72" s="251" t="s">
        <v>334</v>
      </c>
      <c r="C72" s="707">
        <f>CEILING((C71+65*$Z$1),0.1)</f>
        <v>218.8</v>
      </c>
      <c r="D72" s="708"/>
      <c r="E72" s="707">
        <f>CEILING((E71+65*$Z$1),0.1)</f>
        <v>287.6</v>
      </c>
      <c r="F72" s="708"/>
      <c r="G72" s="707">
        <f>CEILING((G71+65*$Z$1),0.1)</f>
        <v>250.10000000000002</v>
      </c>
      <c r="H72" s="708"/>
      <c r="I72" s="707">
        <f>CEILING((I71+65*$Z$1),0.1)</f>
        <v>268.8</v>
      </c>
      <c r="J72" s="708"/>
      <c r="K72" s="707">
        <f>CEILING((K71+65*$Z$1),0.1)</f>
        <v>243.8</v>
      </c>
      <c r="L72" s="708"/>
      <c r="M72" s="707"/>
      <c r="N72" s="747"/>
      <c r="O72" s="1032"/>
    </row>
    <row r="73" spans="1:15" ht="15">
      <c r="A73" s="252"/>
      <c r="B73" s="253" t="s">
        <v>53</v>
      </c>
      <c r="C73" s="707">
        <f>CEILING((C71*0.85),0.1)</f>
        <v>116.9</v>
      </c>
      <c r="D73" s="708"/>
      <c r="E73" s="707">
        <f>CEILING((E71*0.85),0.1)</f>
        <v>175.4</v>
      </c>
      <c r="F73" s="708"/>
      <c r="G73" s="707">
        <f>CEILING((G71*0.85),0.1)</f>
        <v>143.5</v>
      </c>
      <c r="H73" s="708"/>
      <c r="I73" s="707">
        <f>CEILING((I71*0.85),0.1)</f>
        <v>159.4</v>
      </c>
      <c r="J73" s="708"/>
      <c r="K73" s="707">
        <f>CEILING((K71*0.85),0.1)</f>
        <v>138.20000000000002</v>
      </c>
      <c r="L73" s="708"/>
      <c r="M73" s="707"/>
      <c r="N73" s="747"/>
      <c r="O73" s="1032"/>
    </row>
    <row r="74" spans="1:15" ht="15">
      <c r="A74" s="1033"/>
      <c r="B74" s="254" t="s">
        <v>339</v>
      </c>
      <c r="C74" s="707">
        <f>CEILING(140*$Z$1,0.1)</f>
        <v>175</v>
      </c>
      <c r="D74" s="708"/>
      <c r="E74" s="707">
        <f>CEILING(195*$Z$1,0.1)</f>
        <v>243.8</v>
      </c>
      <c r="F74" s="708"/>
      <c r="G74" s="707">
        <f>CEILING(165*$Z$1,0.1)</f>
        <v>206.3</v>
      </c>
      <c r="H74" s="708"/>
      <c r="I74" s="707">
        <f>CEILING(180*$Z$1,0.1)</f>
        <v>225</v>
      </c>
      <c r="J74" s="708"/>
      <c r="K74" s="707">
        <f>CEILING(160*$Z$1,0.1)</f>
        <v>200</v>
      </c>
      <c r="L74" s="708"/>
      <c r="M74" s="707"/>
      <c r="N74" s="747"/>
      <c r="O74" s="1032"/>
    </row>
    <row r="75" spans="1:15" ht="15">
      <c r="A75" s="1034"/>
      <c r="B75" s="254" t="s">
        <v>340</v>
      </c>
      <c r="C75" s="707">
        <f>CEILING((C74+65*$Z$1),0.1)</f>
        <v>256.3</v>
      </c>
      <c r="D75" s="708"/>
      <c r="E75" s="707">
        <f>CEILING((E74+65*$Z$1),0.1)</f>
        <v>325.1</v>
      </c>
      <c r="F75" s="708"/>
      <c r="G75" s="707">
        <f>CEILING((G74+65*$Z$1),0.1)</f>
        <v>287.6</v>
      </c>
      <c r="H75" s="708"/>
      <c r="I75" s="707">
        <f>CEILING((I74+65*$Z$1),0.1)</f>
        <v>306.3</v>
      </c>
      <c r="J75" s="708"/>
      <c r="K75" s="707">
        <f>CEILING((K74+65*$Z$1),0.1)</f>
        <v>281.3</v>
      </c>
      <c r="L75" s="708"/>
      <c r="M75" s="707"/>
      <c r="N75" s="747"/>
      <c r="O75" s="1032"/>
    </row>
    <row r="76" spans="1:15" ht="15.75" customHeight="1">
      <c r="A76" s="1034"/>
      <c r="B76" s="254" t="s">
        <v>50</v>
      </c>
      <c r="C76" s="707">
        <f>CEILING(150*$Z$1,0.1)</f>
        <v>187.5</v>
      </c>
      <c r="D76" s="708"/>
      <c r="E76" s="707">
        <f>CEILING(205*$Z$1,0.1)</f>
        <v>256.3</v>
      </c>
      <c r="F76" s="708"/>
      <c r="G76" s="707">
        <f>CEILING(175*$Z$1,0.1)</f>
        <v>218.8</v>
      </c>
      <c r="H76" s="708"/>
      <c r="I76" s="707">
        <f>CEILING(190*$Z$1,0.1)</f>
        <v>237.5</v>
      </c>
      <c r="J76" s="708"/>
      <c r="K76" s="707">
        <f>CEILING(170*$Z$1,0.1)</f>
        <v>212.5</v>
      </c>
      <c r="L76" s="708"/>
      <c r="M76" s="707"/>
      <c r="N76" s="747"/>
      <c r="O76" s="1032"/>
    </row>
    <row r="77" spans="1:15" ht="15.75" customHeight="1" thickBot="1">
      <c r="A77" s="238" t="s">
        <v>507</v>
      </c>
      <c r="B77" s="354" t="s">
        <v>52</v>
      </c>
      <c r="C77" s="720">
        <f>CEILING((C76+75*$Z$1),0.1)</f>
        <v>281.3</v>
      </c>
      <c r="D77" s="721"/>
      <c r="E77" s="720">
        <f>CEILING((E76+75*$Z$1),0.1)</f>
        <v>350.1</v>
      </c>
      <c r="F77" s="721"/>
      <c r="G77" s="720">
        <f>CEILING((G76+75*$Z$1),0.1)</f>
        <v>312.6</v>
      </c>
      <c r="H77" s="721"/>
      <c r="I77" s="720">
        <f>CEILING((I76+75*$Z$1),0.1)</f>
        <v>331.3</v>
      </c>
      <c r="J77" s="721"/>
      <c r="K77" s="720">
        <f>CEILING((K76+75*$Z$1),0.1)</f>
        <v>306.3</v>
      </c>
      <c r="L77" s="721"/>
      <c r="M77" s="707"/>
      <c r="N77" s="747"/>
      <c r="O77" s="1032"/>
    </row>
    <row r="78" spans="1:14" ht="15.75" thickTop="1">
      <c r="A78" s="870"/>
      <c r="B78" s="870"/>
      <c r="C78" s="870"/>
      <c r="D78" s="870"/>
      <c r="E78" s="870"/>
      <c r="F78" s="870"/>
      <c r="G78" s="870"/>
      <c r="H78" s="870"/>
      <c r="I78" s="870"/>
      <c r="J78" s="870"/>
      <c r="K78" s="353"/>
      <c r="L78" s="353"/>
      <c r="M78" s="305"/>
      <c r="N78" s="305"/>
    </row>
    <row r="79" spans="1:15" ht="15">
      <c r="A79" s="204" t="s">
        <v>849</v>
      </c>
      <c r="B79" s="142" t="s">
        <v>648</v>
      </c>
      <c r="C79" s="873">
        <f>CEILING(140*$Z$1,0.1)</f>
        <v>175</v>
      </c>
      <c r="D79" s="874"/>
      <c r="E79" s="873">
        <f>CEILING(195*$Z$1,0.1)</f>
        <v>243.8</v>
      </c>
      <c r="F79" s="874"/>
      <c r="G79" s="873">
        <f>CEILING(165*$Z$1,0.1)</f>
        <v>206.3</v>
      </c>
      <c r="H79" s="874"/>
      <c r="I79" s="873">
        <f>CEILING(180*$Z$1,0.1)</f>
        <v>225</v>
      </c>
      <c r="J79" s="874"/>
      <c r="K79" s="873">
        <f>CEILING(160*$Z$1,0.1)</f>
        <v>200</v>
      </c>
      <c r="L79" s="874"/>
      <c r="M79" s="707"/>
      <c r="N79" s="747"/>
      <c r="O79" s="1032"/>
    </row>
    <row r="80" spans="1:25" s="1036" customFormat="1" ht="15">
      <c r="A80" s="1035" t="s">
        <v>850</v>
      </c>
      <c r="B80" s="13" t="s">
        <v>649</v>
      </c>
      <c r="C80" s="797">
        <f>CEILING((C79+65*$Z$1),0.1)</f>
        <v>256.3</v>
      </c>
      <c r="D80" s="798"/>
      <c r="E80" s="797">
        <f>CEILING((E79+65*$Z$1),0.1)</f>
        <v>325.1</v>
      </c>
      <c r="F80" s="798"/>
      <c r="G80" s="797">
        <f>CEILING((G79+65*$Z$1),0.1)</f>
        <v>287.6</v>
      </c>
      <c r="H80" s="798"/>
      <c r="I80" s="797">
        <f>CEILING((I79+65*$Z$1),0.1)</f>
        <v>306.3</v>
      </c>
      <c r="J80" s="798"/>
      <c r="K80" s="797">
        <f>CEILING((K79+65*$Z$1),0.1)</f>
        <v>281.3</v>
      </c>
      <c r="L80" s="798"/>
      <c r="M80" s="707"/>
      <c r="N80" s="747"/>
      <c r="O80" s="1032"/>
      <c r="P80" s="992"/>
      <c r="Q80" s="992"/>
      <c r="R80" s="992"/>
      <c r="S80" s="992"/>
      <c r="T80" s="992"/>
      <c r="U80" s="992"/>
      <c r="V80" s="992"/>
      <c r="W80" s="992"/>
      <c r="X80" s="992"/>
      <c r="Y80" s="992"/>
    </row>
    <row r="81" spans="1:25" s="1036" customFormat="1" ht="15">
      <c r="A81" s="1034"/>
      <c r="B81" s="12" t="s">
        <v>650</v>
      </c>
      <c r="C81" s="797">
        <f>CEILING(160*$Z$1,0.1)</f>
        <v>200</v>
      </c>
      <c r="D81" s="798"/>
      <c r="E81" s="797">
        <f>CEILING(215*$Z$1,0.1)</f>
        <v>268.8</v>
      </c>
      <c r="F81" s="798"/>
      <c r="G81" s="797">
        <f>CEILING(185*$Z$1,0.1)</f>
        <v>231.3</v>
      </c>
      <c r="H81" s="798"/>
      <c r="I81" s="797">
        <f>CEILING(200*$Z$1,0.1)</f>
        <v>250</v>
      </c>
      <c r="J81" s="798"/>
      <c r="K81" s="797">
        <f>CEILING(180*$Z$1,0.1)</f>
        <v>225</v>
      </c>
      <c r="L81" s="798"/>
      <c r="M81" s="647"/>
      <c r="N81" s="656"/>
      <c r="O81" s="1032"/>
      <c r="P81" s="992"/>
      <c r="Q81" s="992"/>
      <c r="R81" s="992"/>
      <c r="S81" s="992"/>
      <c r="T81" s="992"/>
      <c r="U81" s="992"/>
      <c r="V81" s="992"/>
      <c r="W81" s="992"/>
      <c r="X81" s="992"/>
      <c r="Y81" s="992"/>
    </row>
    <row r="82" spans="1:25" s="1036" customFormat="1" ht="15">
      <c r="A82" s="1034"/>
      <c r="B82" s="12" t="s">
        <v>651</v>
      </c>
      <c r="C82" s="797">
        <f>CEILING((C81+65*$Z$1),0.1)</f>
        <v>281.3</v>
      </c>
      <c r="D82" s="798"/>
      <c r="E82" s="797">
        <f>CEILING((E81+65*$Z$1),0.1)</f>
        <v>350.1</v>
      </c>
      <c r="F82" s="798"/>
      <c r="G82" s="797">
        <f>CEILING((G81+65*$Z$1),0.1)</f>
        <v>312.6</v>
      </c>
      <c r="H82" s="798"/>
      <c r="I82" s="797">
        <f>CEILING((I81+65*$Z$1),0.1)</f>
        <v>331.3</v>
      </c>
      <c r="J82" s="798"/>
      <c r="K82" s="797">
        <f>CEILING((K81+65*$Z$1),0.1)</f>
        <v>306.3</v>
      </c>
      <c r="L82" s="798"/>
      <c r="M82" s="647"/>
      <c r="N82" s="656"/>
      <c r="O82" s="1032"/>
      <c r="P82" s="992"/>
      <c r="Q82" s="992"/>
      <c r="R82" s="992"/>
      <c r="S82" s="992"/>
      <c r="T82" s="992"/>
      <c r="U82" s="992"/>
      <c r="V82" s="992"/>
      <c r="W82" s="992"/>
      <c r="X82" s="992"/>
      <c r="Y82" s="992"/>
    </row>
    <row r="83" spans="1:25" s="1036" customFormat="1" ht="15">
      <c r="A83" s="1037"/>
      <c r="B83" s="12" t="s">
        <v>851</v>
      </c>
      <c r="C83" s="1038">
        <f>CEILING(210*$Z$1,0.1)</f>
        <v>262.5</v>
      </c>
      <c r="D83" s="1039"/>
      <c r="E83" s="797">
        <f>CEILING(265*$Z$1,0.1)</f>
        <v>331.3</v>
      </c>
      <c r="F83" s="798"/>
      <c r="G83" s="797">
        <f>CEILING(235*$Z$1,0.1)</f>
        <v>293.8</v>
      </c>
      <c r="H83" s="798"/>
      <c r="I83" s="797">
        <f>CEILING(250*$Z$1,0.1)</f>
        <v>312.5</v>
      </c>
      <c r="J83" s="798"/>
      <c r="K83" s="797">
        <f>CEILING(230*$Z$1,0.1)</f>
        <v>287.5</v>
      </c>
      <c r="L83" s="798"/>
      <c r="M83" s="647"/>
      <c r="N83" s="656"/>
      <c r="O83" s="1032"/>
      <c r="P83" s="992"/>
      <c r="Q83" s="992"/>
      <c r="R83" s="992"/>
      <c r="S83" s="992"/>
      <c r="T83" s="992"/>
      <c r="U83" s="992"/>
      <c r="V83" s="992"/>
      <c r="W83" s="992"/>
      <c r="X83" s="992"/>
      <c r="Y83" s="992"/>
    </row>
    <row r="84" spans="1:25" s="1036" customFormat="1" ht="15">
      <c r="A84" s="1037"/>
      <c r="B84" s="12" t="s">
        <v>852</v>
      </c>
      <c r="C84" s="797">
        <f>CEILING(235*$Z$1,0.1)</f>
        <v>293.8</v>
      </c>
      <c r="D84" s="798"/>
      <c r="E84" s="797">
        <f>CEILING(290*$Z$1,0.1)</f>
        <v>362.5</v>
      </c>
      <c r="F84" s="798"/>
      <c r="G84" s="797">
        <f>CEILING(260*$Z$1,0.1)</f>
        <v>325</v>
      </c>
      <c r="H84" s="798"/>
      <c r="I84" s="797">
        <f>CEILING(275*$Z$1,0.1)</f>
        <v>343.8</v>
      </c>
      <c r="J84" s="798"/>
      <c r="K84" s="797">
        <f>CEILING(255*$Z$1,0.1)</f>
        <v>318.8</v>
      </c>
      <c r="L84" s="798"/>
      <c r="M84" s="647"/>
      <c r="N84" s="656"/>
      <c r="O84" s="1032"/>
      <c r="P84" s="992"/>
      <c r="Q84" s="992"/>
      <c r="R84" s="992"/>
      <c r="S84" s="992"/>
      <c r="T84" s="992"/>
      <c r="U84" s="992"/>
      <c r="V84" s="992"/>
      <c r="W84" s="992"/>
      <c r="X84" s="992"/>
      <c r="Y84" s="992"/>
    </row>
    <row r="85" spans="1:25" s="1036" customFormat="1" ht="15">
      <c r="A85" s="1037"/>
      <c r="B85" s="12" t="s">
        <v>854</v>
      </c>
      <c r="C85" s="797">
        <f>CEILING(1200*$Z$1,0.1)</f>
        <v>1500</v>
      </c>
      <c r="D85" s="798"/>
      <c r="E85" s="797">
        <f>CEILING(1200*$Z$1,0.1)</f>
        <v>1500</v>
      </c>
      <c r="F85" s="798"/>
      <c r="G85" s="797">
        <f>CEILING(1200*$Z$1,0.1)</f>
        <v>1500</v>
      </c>
      <c r="H85" s="798"/>
      <c r="I85" s="797">
        <f>CEILING(1200*$Z$1,0.1)</f>
        <v>1500</v>
      </c>
      <c r="J85" s="798"/>
      <c r="K85" s="797">
        <f>CEILING(1200*$Z$1,0.1)</f>
        <v>1500</v>
      </c>
      <c r="L85" s="798"/>
      <c r="M85" s="647"/>
      <c r="N85" s="656"/>
      <c r="O85" s="1032"/>
      <c r="P85" s="992"/>
      <c r="Q85" s="992"/>
      <c r="R85" s="992"/>
      <c r="S85" s="992"/>
      <c r="T85" s="992"/>
      <c r="U85" s="992"/>
      <c r="V85" s="992"/>
      <c r="W85" s="992"/>
      <c r="X85" s="992"/>
      <c r="Y85" s="992"/>
    </row>
    <row r="86" spans="1:25" s="1036" customFormat="1" ht="15">
      <c r="A86" s="1037"/>
      <c r="B86" s="12" t="s">
        <v>853</v>
      </c>
      <c r="C86" s="959">
        <v>0.15</v>
      </c>
      <c r="D86" s="960"/>
      <c r="E86" s="946">
        <v>0.1</v>
      </c>
      <c r="F86" s="947"/>
      <c r="G86" s="946">
        <v>0.1</v>
      </c>
      <c r="H86" s="947"/>
      <c r="I86" s="946">
        <v>0.1</v>
      </c>
      <c r="J86" s="947"/>
      <c r="K86" s="946">
        <v>0.1</v>
      </c>
      <c r="L86" s="947"/>
      <c r="M86" s="647"/>
      <c r="N86" s="656"/>
      <c r="O86" s="1032"/>
      <c r="P86" s="992"/>
      <c r="Q86" s="992"/>
      <c r="R86" s="992"/>
      <c r="S86" s="992"/>
      <c r="T86" s="992"/>
      <c r="U86" s="992"/>
      <c r="V86" s="992"/>
      <c r="W86" s="992"/>
      <c r="X86" s="992"/>
      <c r="Y86" s="992"/>
    </row>
    <row r="87" spans="1:15" ht="16.5" thickBot="1">
      <c r="A87" s="238" t="s">
        <v>507</v>
      </c>
      <c r="B87" s="40" t="s">
        <v>856</v>
      </c>
      <c r="C87" s="711">
        <v>0.1</v>
      </c>
      <c r="D87" s="712"/>
      <c r="E87" s="711">
        <v>0.1</v>
      </c>
      <c r="F87" s="712"/>
      <c r="G87" s="711">
        <v>0.1</v>
      </c>
      <c r="H87" s="712"/>
      <c r="I87" s="711">
        <v>0.1</v>
      </c>
      <c r="J87" s="712"/>
      <c r="K87" s="711">
        <v>0.1</v>
      </c>
      <c r="L87" s="712"/>
      <c r="M87" s="707"/>
      <c r="N87" s="747"/>
      <c r="O87" s="1032"/>
    </row>
    <row r="88" spans="1:14" ht="15.75" thickTop="1">
      <c r="A88" s="24" t="s">
        <v>857</v>
      </c>
      <c r="B88" s="47"/>
      <c r="C88" s="653"/>
      <c r="D88" s="653"/>
      <c r="E88" s="653"/>
      <c r="F88" s="653"/>
      <c r="G88" s="653"/>
      <c r="H88" s="653"/>
      <c r="I88" s="653"/>
      <c r="J88" s="653"/>
      <c r="K88" s="282"/>
      <c r="L88" s="282"/>
      <c r="M88" s="305"/>
      <c r="N88" s="305"/>
    </row>
    <row r="89" spans="1:14" ht="15">
      <c r="A89" s="170" t="s">
        <v>652</v>
      </c>
      <c r="B89" s="237"/>
      <c r="C89" s="237"/>
      <c r="D89" s="237"/>
      <c r="E89" s="237"/>
      <c r="F89" s="237"/>
      <c r="G89" s="237"/>
      <c r="H89" s="237"/>
      <c r="I89" s="237"/>
      <c r="J89" s="237"/>
      <c r="K89" s="282"/>
      <c r="L89" s="282"/>
      <c r="M89" s="22"/>
      <c r="N89" s="22"/>
    </row>
    <row r="90" spans="1:14" ht="15.75" thickBot="1">
      <c r="A90" s="170" t="s">
        <v>855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82"/>
      <c r="L90" s="282"/>
      <c r="M90" s="22"/>
      <c r="N90" s="22"/>
    </row>
    <row r="91" spans="1:14" ht="24" customHeight="1" thickTop="1">
      <c r="A91" s="427" t="s">
        <v>49</v>
      </c>
      <c r="B91" s="428"/>
      <c r="C91" s="436" t="s">
        <v>824</v>
      </c>
      <c r="D91" s="437"/>
      <c r="E91" s="438" t="s">
        <v>858</v>
      </c>
      <c r="F91" s="439"/>
      <c r="G91" s="438" t="s">
        <v>841</v>
      </c>
      <c r="H91" s="439"/>
      <c r="I91" s="438" t="s">
        <v>859</v>
      </c>
      <c r="J91" s="439"/>
      <c r="K91" s="438" t="s">
        <v>828</v>
      </c>
      <c r="L91" s="440"/>
      <c r="M91" s="23"/>
      <c r="N91" s="22"/>
    </row>
    <row r="92" spans="1:14" ht="15">
      <c r="A92" s="36" t="s">
        <v>61</v>
      </c>
      <c r="B92" s="42" t="s">
        <v>333</v>
      </c>
      <c r="C92" s="707">
        <f>CEILING(85*$Z$1,0.1)</f>
        <v>106.30000000000001</v>
      </c>
      <c r="D92" s="747"/>
      <c r="E92" s="703">
        <f>CEILING(140*$Z$1,0.1)</f>
        <v>175</v>
      </c>
      <c r="F92" s="704"/>
      <c r="G92" s="703">
        <f>CEILING(100*$Z$1,0.1)</f>
        <v>125</v>
      </c>
      <c r="H92" s="704"/>
      <c r="I92" s="703">
        <f>CEILING(125*$Z$1,0.1)</f>
        <v>156.3</v>
      </c>
      <c r="J92" s="704"/>
      <c r="K92" s="703">
        <f>CEILING(95*$Z$1,0.1)</f>
        <v>118.80000000000001</v>
      </c>
      <c r="L92" s="704"/>
      <c r="M92" s="23"/>
      <c r="N92" s="22"/>
    </row>
    <row r="93" spans="1:14" ht="16.5" customHeight="1">
      <c r="A93" s="37" t="s">
        <v>51</v>
      </c>
      <c r="B93" s="12" t="s">
        <v>334</v>
      </c>
      <c r="C93" s="707">
        <f>CEILING((C92+55*$Z$1),0.1)</f>
        <v>175.10000000000002</v>
      </c>
      <c r="D93" s="708"/>
      <c r="E93" s="707">
        <f>CEILING((E92+55*$Z$1),0.1)</f>
        <v>243.8</v>
      </c>
      <c r="F93" s="708"/>
      <c r="G93" s="707">
        <f>CEILING((G92+55*$Z$1),0.1)</f>
        <v>193.8</v>
      </c>
      <c r="H93" s="708"/>
      <c r="I93" s="707">
        <f>CEILING((I92+55*$Z$1),0.1)</f>
        <v>225.10000000000002</v>
      </c>
      <c r="J93" s="708"/>
      <c r="K93" s="707">
        <f>CEILING((K92+55*$Z$1),0.1)</f>
        <v>187.60000000000002</v>
      </c>
      <c r="L93" s="708"/>
      <c r="M93" s="23"/>
      <c r="N93" s="22"/>
    </row>
    <row r="94" spans="1:14" ht="16.5" customHeight="1">
      <c r="A94" s="37"/>
      <c r="B94" s="39" t="s">
        <v>78</v>
      </c>
      <c r="C94" s="707">
        <f>CEILING((C92*0.5),0.1)</f>
        <v>53.2</v>
      </c>
      <c r="D94" s="708"/>
      <c r="E94" s="707">
        <f>CEILING((E92*0.5),0.1)</f>
        <v>87.5</v>
      </c>
      <c r="F94" s="708"/>
      <c r="G94" s="707">
        <f>CEILING((G92*0.5),0.1)</f>
        <v>62.5</v>
      </c>
      <c r="H94" s="708"/>
      <c r="I94" s="707">
        <f>CEILING((I92*0.5),0.1)</f>
        <v>78.2</v>
      </c>
      <c r="J94" s="708"/>
      <c r="K94" s="707">
        <f>CEILING((K92*0.5),0.1)</f>
        <v>59.400000000000006</v>
      </c>
      <c r="L94" s="708"/>
      <c r="M94" s="23"/>
      <c r="N94" s="22"/>
    </row>
    <row r="95" spans="1:14" ht="16.5" customHeight="1">
      <c r="A95" s="1034"/>
      <c r="B95" s="12" t="s">
        <v>339</v>
      </c>
      <c r="C95" s="707">
        <f>CEILING(105*$Z$1,0.1)</f>
        <v>131.3</v>
      </c>
      <c r="D95" s="708"/>
      <c r="E95" s="707">
        <f>CEILING(160*$Z$1,0.1)</f>
        <v>200</v>
      </c>
      <c r="F95" s="708"/>
      <c r="G95" s="707">
        <f>CEILING(120*$Z$1,0.1)</f>
        <v>150</v>
      </c>
      <c r="H95" s="708"/>
      <c r="I95" s="707">
        <f>CEILING(145*$Z$1,0.1)</f>
        <v>181.3</v>
      </c>
      <c r="J95" s="708"/>
      <c r="K95" s="707">
        <f>CEILING(115*$Z$1,0.1)</f>
        <v>143.8</v>
      </c>
      <c r="L95" s="708"/>
      <c r="M95" s="23"/>
      <c r="N95" s="22"/>
    </row>
    <row r="96" spans="1:13" ht="17.25" customHeight="1">
      <c r="A96" s="348"/>
      <c r="B96" s="12" t="s">
        <v>340</v>
      </c>
      <c r="C96" s="707">
        <f>CEILING((C95+55*$Z$1),0.1)</f>
        <v>200.10000000000002</v>
      </c>
      <c r="D96" s="708"/>
      <c r="E96" s="707">
        <f>CEILING((E95+55*$Z$1),0.1)</f>
        <v>268.8</v>
      </c>
      <c r="F96" s="708"/>
      <c r="G96" s="707">
        <f>CEILING((G95+55*$Z$1),0.1)</f>
        <v>218.8</v>
      </c>
      <c r="H96" s="708"/>
      <c r="I96" s="707">
        <f>CEILING((I95+55*$Z$1),0.1)</f>
        <v>250.10000000000002</v>
      </c>
      <c r="J96" s="708"/>
      <c r="K96" s="707">
        <f>CEILING((K95+55*$Z$1),0.1)</f>
        <v>212.60000000000002</v>
      </c>
      <c r="L96" s="708"/>
      <c r="M96" s="1040"/>
    </row>
    <row r="97" spans="1:13" ht="17.25" customHeight="1">
      <c r="A97" s="37"/>
      <c r="B97" s="14" t="s">
        <v>220</v>
      </c>
      <c r="C97" s="707">
        <f>CEILING(120*$Z$1,0.1)</f>
        <v>150</v>
      </c>
      <c r="D97" s="708"/>
      <c r="E97" s="707">
        <f>CEILING(175*$Z$1,0.1)</f>
        <v>218.8</v>
      </c>
      <c r="F97" s="708"/>
      <c r="G97" s="707">
        <f>CEILING(135*$Z$1,0.1)</f>
        <v>168.8</v>
      </c>
      <c r="H97" s="708"/>
      <c r="I97" s="707">
        <f>CEILING(160*$Z$1,0.1)</f>
        <v>200</v>
      </c>
      <c r="J97" s="708"/>
      <c r="K97" s="707">
        <f>CEILING(130*$Z$1,0.1)</f>
        <v>162.5</v>
      </c>
      <c r="L97" s="708"/>
      <c r="M97" s="1040"/>
    </row>
    <row r="98" spans="1:13" ht="16.5" customHeight="1">
      <c r="A98" s="374"/>
      <c r="B98" s="39" t="s">
        <v>232</v>
      </c>
      <c r="C98" s="707">
        <f>CEILING(130*$Z$1,0.1)</f>
        <v>162.5</v>
      </c>
      <c r="D98" s="708"/>
      <c r="E98" s="707">
        <f>CEILING(185*$Z$1,0.1)</f>
        <v>231.3</v>
      </c>
      <c r="F98" s="708"/>
      <c r="G98" s="707">
        <f>CEILING(145*$Z$1,0.1)</f>
        <v>181.3</v>
      </c>
      <c r="H98" s="708"/>
      <c r="I98" s="707">
        <f>CEILING(170*$Z$1,0.1)</f>
        <v>212.5</v>
      </c>
      <c r="J98" s="708"/>
      <c r="K98" s="707">
        <f>CEILING(140*$Z$1,0.1)</f>
        <v>175</v>
      </c>
      <c r="L98" s="708"/>
      <c r="M98" s="1040"/>
    </row>
    <row r="99" spans="1:13" ht="18" customHeight="1" thickBot="1">
      <c r="A99" s="238" t="s">
        <v>508</v>
      </c>
      <c r="B99" s="40" t="s">
        <v>654</v>
      </c>
      <c r="C99" s="711">
        <v>0.15</v>
      </c>
      <c r="D99" s="712"/>
      <c r="E99" s="711">
        <v>0.1</v>
      </c>
      <c r="F99" s="712"/>
      <c r="G99" s="711">
        <v>0.1</v>
      </c>
      <c r="H99" s="712"/>
      <c r="I99" s="711">
        <v>0.1</v>
      </c>
      <c r="J99" s="712"/>
      <c r="K99" s="711">
        <v>0.1</v>
      </c>
      <c r="L99" s="712"/>
      <c r="M99" s="1040"/>
    </row>
    <row r="100" spans="1:13" ht="17.25" customHeight="1" thickTop="1">
      <c r="A100" s="316" t="s">
        <v>656</v>
      </c>
      <c r="B100" s="228"/>
      <c r="C100" s="160"/>
      <c r="D100" s="160"/>
      <c r="E100" s="160"/>
      <c r="F100" s="160"/>
      <c r="G100" s="160"/>
      <c r="H100" s="160"/>
      <c r="I100" s="160"/>
      <c r="J100" s="160"/>
      <c r="K100" s="307"/>
      <c r="L100" s="307"/>
      <c r="M100" s="992"/>
    </row>
    <row r="101" spans="1:13" ht="15">
      <c r="A101" s="245" t="s">
        <v>231</v>
      </c>
      <c r="B101" s="245"/>
      <c r="C101" s="245"/>
      <c r="D101" s="245"/>
      <c r="E101" s="245"/>
      <c r="F101" s="245"/>
      <c r="G101" s="245"/>
      <c r="H101" s="245"/>
      <c r="I101" s="245"/>
      <c r="J101" s="245"/>
      <c r="K101" s="315"/>
      <c r="L101" s="315"/>
      <c r="M101" s="992"/>
    </row>
    <row r="102" spans="1:13" ht="15">
      <c r="A102" s="170" t="s">
        <v>655</v>
      </c>
      <c r="B102" s="237"/>
      <c r="C102" s="237"/>
      <c r="D102" s="237"/>
      <c r="E102" s="237"/>
      <c r="F102" s="237"/>
      <c r="G102" s="237"/>
      <c r="H102" s="237"/>
      <c r="I102" s="237"/>
      <c r="J102" s="237"/>
      <c r="K102" s="315"/>
      <c r="L102" s="315"/>
      <c r="M102" s="992"/>
    </row>
    <row r="103" spans="1:13" ht="15.75" thickBot="1">
      <c r="A103" s="43"/>
      <c r="B103" s="35"/>
      <c r="C103" s="35"/>
      <c r="D103" s="35"/>
      <c r="E103" s="35"/>
      <c r="F103" s="44"/>
      <c r="G103" s="44"/>
      <c r="H103" s="44"/>
      <c r="I103" s="983"/>
      <c r="J103" s="983"/>
      <c r="K103" s="104"/>
      <c r="L103" s="104"/>
      <c r="M103" s="992"/>
    </row>
    <row r="104" spans="1:16" ht="23.25" customHeight="1" thickTop="1">
      <c r="A104" s="427" t="s">
        <v>49</v>
      </c>
      <c r="B104" s="435"/>
      <c r="C104" s="429" t="s">
        <v>824</v>
      </c>
      <c r="D104" s="430"/>
      <c r="E104" s="431" t="s">
        <v>848</v>
      </c>
      <c r="F104" s="432"/>
      <c r="G104" s="431" t="s">
        <v>841</v>
      </c>
      <c r="H104" s="432"/>
      <c r="I104" s="431" t="s">
        <v>827</v>
      </c>
      <c r="J104" s="432"/>
      <c r="K104" s="431" t="s">
        <v>828</v>
      </c>
      <c r="L104" s="432"/>
      <c r="M104" s="4"/>
      <c r="N104" s="3"/>
      <c r="O104" s="3"/>
      <c r="P104" s="3"/>
    </row>
    <row r="105" spans="1:14" ht="17.25" customHeight="1">
      <c r="A105" s="201" t="s">
        <v>210</v>
      </c>
      <c r="B105" s="142" t="s">
        <v>333</v>
      </c>
      <c r="C105" s="707">
        <f>CEILING(70*$Z$1,0.1)</f>
        <v>87.5</v>
      </c>
      <c r="D105" s="747"/>
      <c r="E105" s="703">
        <f>CEILING(120*$Z$1,0.1)</f>
        <v>150</v>
      </c>
      <c r="F105" s="704"/>
      <c r="G105" s="703">
        <f>CEILING(85*$Z$1,0.1)</f>
        <v>106.30000000000001</v>
      </c>
      <c r="H105" s="704"/>
      <c r="I105" s="703">
        <f>CEILING(105*$Z$1,0.1)</f>
        <v>131.3</v>
      </c>
      <c r="J105" s="704"/>
      <c r="K105" s="703">
        <f>CEILING(80*$Z$1,0.1)</f>
        <v>100</v>
      </c>
      <c r="L105" s="704"/>
      <c r="M105" s="23"/>
      <c r="N105" s="22"/>
    </row>
    <row r="106" spans="1:14" ht="18.75" customHeight="1">
      <c r="A106" s="202" t="s">
        <v>51</v>
      </c>
      <c r="B106" s="12" t="s">
        <v>334</v>
      </c>
      <c r="C106" s="707">
        <f>CEILING((C105+45*$Z$1),0.1)</f>
        <v>143.8</v>
      </c>
      <c r="D106" s="708"/>
      <c r="E106" s="707">
        <f>CEILING((E105+45*$Z$1),0.1)</f>
        <v>206.3</v>
      </c>
      <c r="F106" s="708"/>
      <c r="G106" s="707">
        <f>CEILING((G105+45*$Z$1),0.1)</f>
        <v>162.60000000000002</v>
      </c>
      <c r="H106" s="708"/>
      <c r="I106" s="707">
        <f>CEILING((I105+45*$Z$1),0.1)</f>
        <v>187.60000000000002</v>
      </c>
      <c r="J106" s="708"/>
      <c r="K106" s="707">
        <f>CEILING((K105+45*$Z$1),0.1)</f>
        <v>156.3</v>
      </c>
      <c r="L106" s="708"/>
      <c r="M106" s="23"/>
      <c r="N106" s="22"/>
    </row>
    <row r="107" spans="1:14" ht="18.75" customHeight="1">
      <c r="A107" s="1041"/>
      <c r="B107" s="12" t="s">
        <v>53</v>
      </c>
      <c r="C107" s="707">
        <f>CEILING((C105*0.85),0.1)</f>
        <v>74.4</v>
      </c>
      <c r="D107" s="708"/>
      <c r="E107" s="707">
        <f>CEILING((E105*0.85),0.1)</f>
        <v>127.5</v>
      </c>
      <c r="F107" s="708"/>
      <c r="G107" s="707">
        <f>CEILING((G105*0.85),0.1)</f>
        <v>90.4</v>
      </c>
      <c r="H107" s="708"/>
      <c r="I107" s="707">
        <f>CEILING((I105*0.85),0.1)</f>
        <v>111.7</v>
      </c>
      <c r="J107" s="708"/>
      <c r="K107" s="707">
        <f>CEILING((K105*0.85),0.1)</f>
        <v>85</v>
      </c>
      <c r="L107" s="708"/>
      <c r="M107" s="23"/>
      <c r="N107" s="22"/>
    </row>
    <row r="108" spans="1:14" ht="18" customHeight="1">
      <c r="A108" s="1031"/>
      <c r="B108" s="39" t="s">
        <v>78</v>
      </c>
      <c r="C108" s="707">
        <f>CEILING((C105*0.5),0.1)</f>
        <v>43.800000000000004</v>
      </c>
      <c r="D108" s="708"/>
      <c r="E108" s="707">
        <f>CEILING((E105*0.5),0.1)</f>
        <v>75</v>
      </c>
      <c r="F108" s="708"/>
      <c r="G108" s="707">
        <f>CEILING((G105*0.5),0.1)</f>
        <v>53.2</v>
      </c>
      <c r="H108" s="708"/>
      <c r="I108" s="707">
        <f>CEILING((I105*0.5),0.1)</f>
        <v>65.7</v>
      </c>
      <c r="J108" s="708"/>
      <c r="K108" s="707">
        <f>CEILING((K105*0.5),0.1)</f>
        <v>50</v>
      </c>
      <c r="L108" s="708"/>
      <c r="M108" s="23"/>
      <c r="N108" s="22"/>
    </row>
    <row r="109" spans="1:14" ht="16.5" thickBot="1">
      <c r="A109" s="238" t="s">
        <v>510</v>
      </c>
      <c r="B109" s="40" t="s">
        <v>422</v>
      </c>
      <c r="C109" s="711">
        <v>0.15</v>
      </c>
      <c r="D109" s="712"/>
      <c r="E109" s="711">
        <v>0.1</v>
      </c>
      <c r="F109" s="712"/>
      <c r="G109" s="711">
        <v>0.1</v>
      </c>
      <c r="H109" s="712"/>
      <c r="I109" s="711">
        <v>0.1</v>
      </c>
      <c r="J109" s="712"/>
      <c r="K109" s="711">
        <v>0.1</v>
      </c>
      <c r="L109" s="712"/>
      <c r="M109" s="23"/>
      <c r="N109" s="22"/>
    </row>
    <row r="110" spans="1:14" ht="15.75" thickTop="1">
      <c r="A110" s="170" t="s">
        <v>657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1042"/>
      <c r="L110" s="1042"/>
      <c r="M110" s="22"/>
      <c r="N110" s="22"/>
    </row>
    <row r="111" spans="1:14" ht="15" customHeight="1" thickBot="1">
      <c r="A111" s="170"/>
      <c r="B111" s="170"/>
      <c r="C111" s="170"/>
      <c r="D111" s="170"/>
      <c r="E111" s="170"/>
      <c r="F111" s="170"/>
      <c r="G111" s="3"/>
      <c r="H111" s="3"/>
      <c r="I111" s="2"/>
      <c r="J111" s="2"/>
      <c r="K111" s="104"/>
      <c r="L111" s="104"/>
      <c r="M111" s="22"/>
      <c r="N111" s="22"/>
    </row>
    <row r="112" spans="1:14" ht="24" customHeight="1" thickTop="1">
      <c r="A112" s="427" t="s">
        <v>49</v>
      </c>
      <c r="B112" s="428"/>
      <c r="C112" s="429" t="s">
        <v>824</v>
      </c>
      <c r="D112" s="430"/>
      <c r="E112" s="431" t="s">
        <v>848</v>
      </c>
      <c r="F112" s="432"/>
      <c r="G112" s="431" t="s">
        <v>841</v>
      </c>
      <c r="H112" s="432"/>
      <c r="I112" s="431" t="s">
        <v>827</v>
      </c>
      <c r="J112" s="432"/>
      <c r="K112" s="431" t="s">
        <v>828</v>
      </c>
      <c r="L112" s="432"/>
      <c r="M112" s="23"/>
      <c r="N112" s="22"/>
    </row>
    <row r="113" spans="1:14" ht="15">
      <c r="A113" s="201" t="s">
        <v>219</v>
      </c>
      <c r="B113" s="42" t="s">
        <v>333</v>
      </c>
      <c r="C113" s="707">
        <f>CEILING(70*$Z$1,0.1)</f>
        <v>87.5</v>
      </c>
      <c r="D113" s="747"/>
      <c r="E113" s="703">
        <f>CEILING(120*$Z$1,0.1)</f>
        <v>150</v>
      </c>
      <c r="F113" s="704"/>
      <c r="G113" s="703">
        <f>CEILING(85*$Z$1,0.1)</f>
        <v>106.30000000000001</v>
      </c>
      <c r="H113" s="704"/>
      <c r="I113" s="703">
        <f>CEILING(105*$Z$1,0.1)</f>
        <v>131.3</v>
      </c>
      <c r="J113" s="704"/>
      <c r="K113" s="703">
        <f>CEILING(80*$Z$1,0.1)</f>
        <v>100</v>
      </c>
      <c r="L113" s="704"/>
      <c r="M113" s="23"/>
      <c r="N113" s="22"/>
    </row>
    <row r="114" spans="1:14" ht="15.75" customHeight="1">
      <c r="A114" s="202" t="s">
        <v>51</v>
      </c>
      <c r="B114" s="12" t="s">
        <v>334</v>
      </c>
      <c r="C114" s="707">
        <f>CEILING((C113+45*$Z$1),0.1)</f>
        <v>143.8</v>
      </c>
      <c r="D114" s="708"/>
      <c r="E114" s="707">
        <f>CEILING((E113+45*$Z$1),0.1)</f>
        <v>206.3</v>
      </c>
      <c r="F114" s="708"/>
      <c r="G114" s="707">
        <f>CEILING((G113+45*$Z$1),0.1)</f>
        <v>162.60000000000002</v>
      </c>
      <c r="H114" s="708"/>
      <c r="I114" s="707">
        <f>CEILING((I113+45*$Z$1),0.1)</f>
        <v>187.60000000000002</v>
      </c>
      <c r="J114" s="708"/>
      <c r="K114" s="707">
        <f>CEILING((K113+45*$Z$1),0.1)</f>
        <v>156.3</v>
      </c>
      <c r="L114" s="708"/>
      <c r="M114" s="23"/>
      <c r="N114" s="22"/>
    </row>
    <row r="115" spans="1:14" ht="17.25" customHeight="1">
      <c r="A115" s="1043"/>
      <c r="B115" s="12" t="s">
        <v>53</v>
      </c>
      <c r="C115" s="707">
        <f>CEILING((C113*0.85),0.1)</f>
        <v>74.4</v>
      </c>
      <c r="D115" s="708"/>
      <c r="E115" s="707">
        <f>CEILING((E113*0.85),0.1)</f>
        <v>127.5</v>
      </c>
      <c r="F115" s="708"/>
      <c r="G115" s="707">
        <f>CEILING((G113*0.85),0.1)</f>
        <v>90.4</v>
      </c>
      <c r="H115" s="708"/>
      <c r="I115" s="707">
        <f>CEILING((I113*0.85),0.1)</f>
        <v>111.7</v>
      </c>
      <c r="J115" s="708"/>
      <c r="K115" s="707">
        <f>CEILING((K113*0.85),0.1)</f>
        <v>85</v>
      </c>
      <c r="L115" s="708"/>
      <c r="M115" s="23"/>
      <c r="N115" s="22"/>
    </row>
    <row r="116" spans="1:14" ht="17.25" customHeight="1">
      <c r="A116" s="1034"/>
      <c r="B116" s="39" t="s">
        <v>78</v>
      </c>
      <c r="C116" s="948">
        <v>44</v>
      </c>
      <c r="D116" s="708"/>
      <c r="E116" s="707">
        <f>CEILING((E113*0.5),0.1)</f>
        <v>75</v>
      </c>
      <c r="F116" s="708"/>
      <c r="G116" s="707">
        <f>CEILING((G113*0.5),0.1)</f>
        <v>53.2</v>
      </c>
      <c r="H116" s="708"/>
      <c r="I116" s="707">
        <f>CEILING((I113*0.5),0.1)</f>
        <v>65.7</v>
      </c>
      <c r="J116" s="708"/>
      <c r="K116" s="707">
        <f>CEILING((K113*0.5),0.1)</f>
        <v>50</v>
      </c>
      <c r="L116" s="708"/>
      <c r="M116" s="23"/>
      <c r="N116" s="22"/>
    </row>
    <row r="117" spans="1:14" ht="18" customHeight="1">
      <c r="A117" s="348"/>
      <c r="B117" s="39" t="s">
        <v>343</v>
      </c>
      <c r="C117" s="707">
        <f>CEILING(85*$Z$1,0.1)</f>
        <v>106.30000000000001</v>
      </c>
      <c r="D117" s="708"/>
      <c r="E117" s="707">
        <f>CEILING(135*$Z$1,0.1)</f>
        <v>168.8</v>
      </c>
      <c r="F117" s="708"/>
      <c r="G117" s="707">
        <f>CEILING(100*$Z$1,0.1)</f>
        <v>125</v>
      </c>
      <c r="H117" s="708"/>
      <c r="I117" s="707">
        <f>CEILING(120*$Z$1,0.1)</f>
        <v>150</v>
      </c>
      <c r="J117" s="708"/>
      <c r="K117" s="707">
        <f>CEILING(95*$Z$1,0.1)</f>
        <v>118.80000000000001</v>
      </c>
      <c r="L117" s="708"/>
      <c r="M117" s="23"/>
      <c r="N117" s="22"/>
    </row>
    <row r="118" spans="1:14" ht="17.25" customHeight="1">
      <c r="A118" s="1031"/>
      <c r="B118" s="356" t="s">
        <v>344</v>
      </c>
      <c r="C118" s="705">
        <f>CEILING((C117+45*$Z$1),0.1)</f>
        <v>162.60000000000002</v>
      </c>
      <c r="D118" s="706"/>
      <c r="E118" s="705">
        <f>CEILING((E117+45*$Z$1),0.1)</f>
        <v>225.10000000000002</v>
      </c>
      <c r="F118" s="706"/>
      <c r="G118" s="705">
        <f>CEILING((G117+45*$Z$1),0.1)</f>
        <v>181.3</v>
      </c>
      <c r="H118" s="706"/>
      <c r="I118" s="705">
        <f>CEILING((I117+45*$Z$1),0.1)</f>
        <v>206.3</v>
      </c>
      <c r="J118" s="706"/>
      <c r="K118" s="705">
        <f>CEILING((K117+45*$Z$1),0.1)</f>
        <v>175.10000000000002</v>
      </c>
      <c r="L118" s="706"/>
      <c r="M118" s="23"/>
      <c r="N118" s="22"/>
    </row>
    <row r="119" spans="1:14" ht="17.25" customHeight="1">
      <c r="A119" s="22"/>
      <c r="B119" s="14" t="s">
        <v>220</v>
      </c>
      <c r="C119" s="707">
        <f>CEILING(100*$Z$1,0.1)</f>
        <v>125</v>
      </c>
      <c r="D119" s="747"/>
      <c r="E119" s="703">
        <f>CEILING(150*$Z$1,0.1)</f>
        <v>187.5</v>
      </c>
      <c r="F119" s="704"/>
      <c r="G119" s="703">
        <f>CEILING(115*$Z$1,0.1)</f>
        <v>143.8</v>
      </c>
      <c r="H119" s="704"/>
      <c r="I119" s="703">
        <f>CEILING(135*$Z$1,0.1)</f>
        <v>168.8</v>
      </c>
      <c r="J119" s="704"/>
      <c r="K119" s="703">
        <f>CEILING(110*$Z$1,0.1)</f>
        <v>137.5</v>
      </c>
      <c r="L119" s="704"/>
      <c r="M119" s="23"/>
      <c r="N119" s="22"/>
    </row>
    <row r="120" spans="1:14" ht="15.75" customHeight="1">
      <c r="A120" s="22"/>
      <c r="B120" s="14" t="s">
        <v>221</v>
      </c>
      <c r="C120" s="707">
        <f>CEILING((C119+55*$Z$1),0.1)</f>
        <v>193.8</v>
      </c>
      <c r="D120" s="708"/>
      <c r="E120" s="707">
        <f>CEILING((E119+55*$Z$1),0.1)</f>
        <v>256.3</v>
      </c>
      <c r="F120" s="708"/>
      <c r="G120" s="707">
        <f>CEILING((G119+55*$Z$1),0.1)</f>
        <v>212.60000000000002</v>
      </c>
      <c r="H120" s="708"/>
      <c r="I120" s="707">
        <f>CEILING((I119+55*$Z$1),0.1)</f>
        <v>237.60000000000002</v>
      </c>
      <c r="J120" s="708"/>
      <c r="K120" s="707">
        <f>CEILING((K119+55*$Z$1),0.1)</f>
        <v>206.3</v>
      </c>
      <c r="L120" s="708"/>
      <c r="M120" s="23"/>
      <c r="N120" s="22"/>
    </row>
    <row r="121" spans="1:14" ht="17.25" customHeight="1">
      <c r="A121" s="22"/>
      <c r="B121" s="14" t="s">
        <v>233</v>
      </c>
      <c r="C121" s="707">
        <f>CEILING(105*$Z$1,0.1)</f>
        <v>131.3</v>
      </c>
      <c r="D121" s="708"/>
      <c r="E121" s="707">
        <f>CEILING(155*$Z$1,0.1)</f>
        <v>193.8</v>
      </c>
      <c r="F121" s="708"/>
      <c r="G121" s="707">
        <f>CEILING(120*$Z$1,0.1)</f>
        <v>150</v>
      </c>
      <c r="H121" s="708"/>
      <c r="I121" s="707">
        <f>CEILING(140*$Z$1,0.1)</f>
        <v>175</v>
      </c>
      <c r="J121" s="708"/>
      <c r="K121" s="707">
        <f>CEILING(115*$Z$1,0.1)</f>
        <v>143.8</v>
      </c>
      <c r="L121" s="708"/>
      <c r="M121" s="23"/>
      <c r="N121" s="22"/>
    </row>
    <row r="122" spans="1:14" ht="18" customHeight="1">
      <c r="A122" s="401"/>
      <c r="B122" s="14" t="s">
        <v>234</v>
      </c>
      <c r="C122" s="707">
        <f>CEILING((C121+55*$Z$1),0.1)</f>
        <v>200.10000000000002</v>
      </c>
      <c r="D122" s="708"/>
      <c r="E122" s="707">
        <f>CEILING((E121+55*$Z$1),0.1)</f>
        <v>262.6</v>
      </c>
      <c r="F122" s="708"/>
      <c r="G122" s="707">
        <f>CEILING((G121+55*$Z$1),0.1)</f>
        <v>218.8</v>
      </c>
      <c r="H122" s="708"/>
      <c r="I122" s="707">
        <f>CEILING((I121+55*$Z$1),0.1)</f>
        <v>243.8</v>
      </c>
      <c r="J122" s="708"/>
      <c r="K122" s="707">
        <f>CEILING((K121+55*$Z$1),0.1)</f>
        <v>212.60000000000002</v>
      </c>
      <c r="L122" s="708"/>
      <c r="M122" s="23"/>
      <c r="N122" s="22"/>
    </row>
    <row r="123" spans="1:14" ht="17.25" customHeight="1" thickBot="1">
      <c r="A123" s="238" t="s">
        <v>508</v>
      </c>
      <c r="B123" s="40" t="s">
        <v>422</v>
      </c>
      <c r="C123" s="711">
        <v>0.15</v>
      </c>
      <c r="D123" s="712"/>
      <c r="E123" s="711">
        <v>0.1</v>
      </c>
      <c r="F123" s="712"/>
      <c r="G123" s="711">
        <v>0.12</v>
      </c>
      <c r="H123" s="712"/>
      <c r="I123" s="711">
        <v>0.12</v>
      </c>
      <c r="J123" s="712"/>
      <c r="K123" s="711">
        <v>0.12</v>
      </c>
      <c r="L123" s="712"/>
      <c r="M123" s="23"/>
      <c r="N123" s="22"/>
    </row>
    <row r="124" spans="1:14" ht="17.25" customHeight="1" thickTop="1">
      <c r="A124" s="170" t="s">
        <v>655</v>
      </c>
      <c r="B124" s="47"/>
      <c r="C124" s="3"/>
      <c r="D124" s="3"/>
      <c r="E124" s="3"/>
      <c r="F124" s="3"/>
      <c r="G124" s="3"/>
      <c r="H124" s="3"/>
      <c r="I124" s="3"/>
      <c r="J124" s="3"/>
      <c r="K124" s="307"/>
      <c r="L124" s="307"/>
      <c r="M124" s="22"/>
      <c r="N124" s="22"/>
    </row>
    <row r="125" spans="1:14" ht="15.75" thickBot="1">
      <c r="A125" s="170"/>
      <c r="B125" s="170"/>
      <c r="C125" s="170"/>
      <c r="D125" s="170"/>
      <c r="E125" s="170"/>
      <c r="F125" s="170"/>
      <c r="G125" s="3"/>
      <c r="H125" s="3"/>
      <c r="I125" s="170"/>
      <c r="J125" s="170"/>
      <c r="K125" s="104"/>
      <c r="L125" s="104"/>
      <c r="M125" s="22"/>
      <c r="N125" s="22"/>
    </row>
    <row r="126" spans="1:14" ht="26.25" customHeight="1" thickTop="1">
      <c r="A126" s="441" t="s">
        <v>222</v>
      </c>
      <c r="B126" s="442" t="s">
        <v>223</v>
      </c>
      <c r="C126" s="429" t="s">
        <v>860</v>
      </c>
      <c r="D126" s="430"/>
      <c r="E126" s="431" t="s">
        <v>840</v>
      </c>
      <c r="F126" s="432"/>
      <c r="G126" s="431" t="s">
        <v>861</v>
      </c>
      <c r="H126" s="432"/>
      <c r="I126" s="431" t="s">
        <v>862</v>
      </c>
      <c r="J126" s="433"/>
      <c r="K126" s="397"/>
      <c r="L126" s="398"/>
      <c r="M126" s="22"/>
      <c r="N126" s="22"/>
    </row>
    <row r="127" spans="1:14" ht="15">
      <c r="A127" s="202" t="s">
        <v>51</v>
      </c>
      <c r="B127" s="205" t="s">
        <v>252</v>
      </c>
      <c r="C127" s="707">
        <f>CEILING(70*$Z$1,0.1)</f>
        <v>87.5</v>
      </c>
      <c r="D127" s="747"/>
      <c r="E127" s="703">
        <f>CEILING(100*$Z$1,0.1)</f>
        <v>125</v>
      </c>
      <c r="F127" s="704"/>
      <c r="G127" s="703">
        <f>CEILING(95*$Z$1,0.1)</f>
        <v>118.80000000000001</v>
      </c>
      <c r="H127" s="704"/>
      <c r="I127" s="703">
        <f>CEILING(70*$Z$1,0.1)</f>
        <v>87.5</v>
      </c>
      <c r="J127" s="704"/>
      <c r="K127" s="306"/>
      <c r="L127" s="307"/>
      <c r="M127" s="22"/>
      <c r="N127" s="22"/>
    </row>
    <row r="128" spans="1:14" ht="15">
      <c r="A128" s="1044" t="s">
        <v>345</v>
      </c>
      <c r="B128" s="206" t="s">
        <v>224</v>
      </c>
      <c r="C128" s="707">
        <f>CEILING(115*$Z$1,0.1)</f>
        <v>143.8</v>
      </c>
      <c r="D128" s="708"/>
      <c r="E128" s="707">
        <f>CEILING(145*$Z$1,0.1)</f>
        <v>181.3</v>
      </c>
      <c r="F128" s="708"/>
      <c r="G128" s="707">
        <f>CEILING(140*$Z$1,0.1)</f>
        <v>175</v>
      </c>
      <c r="H128" s="708"/>
      <c r="I128" s="707">
        <f>CEILING(115*$Z$1,0.1)</f>
        <v>143.8</v>
      </c>
      <c r="J128" s="708"/>
      <c r="K128" s="306"/>
      <c r="L128" s="307"/>
      <c r="M128" s="22"/>
      <c r="N128" s="22"/>
    </row>
    <row r="129" spans="1:14" ht="15">
      <c r="A129" s="1045"/>
      <c r="B129" s="206" t="s">
        <v>225</v>
      </c>
      <c r="C129" s="707">
        <f>CEILING((E113*0.5),0.1)</f>
        <v>75</v>
      </c>
      <c r="D129" s="708"/>
      <c r="E129" s="707">
        <f>CEILING(185*$Z$1,0.1)</f>
        <v>231.3</v>
      </c>
      <c r="F129" s="708"/>
      <c r="G129" s="707">
        <f>CEILING(180*$Z$1,0.1)</f>
        <v>225</v>
      </c>
      <c r="H129" s="708"/>
      <c r="I129" s="707">
        <f>CEILING(155*$Z$1,0.1)</f>
        <v>193.8</v>
      </c>
      <c r="J129" s="708"/>
      <c r="K129" s="306"/>
      <c r="L129" s="307"/>
      <c r="M129" s="22"/>
      <c r="N129" s="22"/>
    </row>
    <row r="130" spans="1:14" ht="16.5" thickBot="1">
      <c r="A130" s="238" t="s">
        <v>507</v>
      </c>
      <c r="B130" s="275" t="s">
        <v>235</v>
      </c>
      <c r="C130" s="720">
        <f>CEILING(205*$Z$1,0.1)</f>
        <v>256.3</v>
      </c>
      <c r="D130" s="721"/>
      <c r="E130" s="720">
        <f>CEILING(235*$Z$1,0.1)</f>
        <v>293.8</v>
      </c>
      <c r="F130" s="721"/>
      <c r="G130" s="720">
        <f>CEILING(230*$Z$1,0.1)</f>
        <v>287.5</v>
      </c>
      <c r="H130" s="721"/>
      <c r="I130" s="720">
        <f>CEILING(205*$Z$1,0.1)</f>
        <v>256.3</v>
      </c>
      <c r="J130" s="721"/>
      <c r="K130" s="306"/>
      <c r="L130" s="307"/>
      <c r="M130" s="22"/>
      <c r="N130" s="22"/>
    </row>
    <row r="131" spans="1:14" ht="16.5" customHeight="1" thickTop="1">
      <c r="A131" s="748" t="s">
        <v>346</v>
      </c>
      <c r="B131" s="748"/>
      <c r="C131" s="748"/>
      <c r="D131" s="748"/>
      <c r="E131" s="748"/>
      <c r="F131" s="748"/>
      <c r="G131" s="748"/>
      <c r="H131" s="748"/>
      <c r="I131" s="748"/>
      <c r="J131" s="748"/>
      <c r="K131" s="104"/>
      <c r="L131" s="104"/>
      <c r="M131" s="22"/>
      <c r="N131" s="22"/>
    </row>
    <row r="132" spans="1:14" ht="17.25" customHeight="1">
      <c r="A132" s="24" t="s">
        <v>253</v>
      </c>
      <c r="B132" s="24"/>
      <c r="C132" s="24"/>
      <c r="D132" s="24"/>
      <c r="E132" s="24"/>
      <c r="F132" s="24"/>
      <c r="G132" s="24"/>
      <c r="H132" s="24"/>
      <c r="I132" s="1042"/>
      <c r="J132" s="1042"/>
      <c r="K132" s="104"/>
      <c r="L132" s="104"/>
      <c r="M132" s="22"/>
      <c r="N132" s="22"/>
    </row>
    <row r="133" spans="1:14" ht="19.5" customHeight="1">
      <c r="A133" s="170"/>
      <c r="B133" s="170"/>
      <c r="C133" s="170"/>
      <c r="D133" s="170"/>
      <c r="E133" s="170"/>
      <c r="F133" s="170"/>
      <c r="G133" s="3"/>
      <c r="H133" s="3"/>
      <c r="I133" s="3"/>
      <c r="J133" s="3"/>
      <c r="K133" s="104"/>
      <c r="L133" s="104"/>
      <c r="M133" s="22"/>
      <c r="N133" s="22"/>
    </row>
    <row r="134" spans="1:14" ht="19.5" customHeight="1" thickBot="1">
      <c r="A134" s="170"/>
      <c r="B134" s="170"/>
      <c r="C134" s="170"/>
      <c r="D134" s="170"/>
      <c r="E134" s="170"/>
      <c r="F134" s="170"/>
      <c r="G134" s="3"/>
      <c r="H134" s="3"/>
      <c r="I134" s="3"/>
      <c r="J134" s="3"/>
      <c r="K134" s="104"/>
      <c r="L134" s="104"/>
      <c r="M134" s="22"/>
      <c r="N134" s="22"/>
    </row>
    <row r="135" spans="1:14" ht="21.75" customHeight="1" thickTop="1">
      <c r="A135" s="427" t="s">
        <v>49</v>
      </c>
      <c r="B135" s="428"/>
      <c r="C135" s="429" t="s">
        <v>824</v>
      </c>
      <c r="D135" s="430"/>
      <c r="E135" s="431" t="s">
        <v>848</v>
      </c>
      <c r="F135" s="432"/>
      <c r="G135" s="431" t="s">
        <v>841</v>
      </c>
      <c r="H135" s="432"/>
      <c r="I135" s="431" t="s">
        <v>827</v>
      </c>
      <c r="J135" s="432"/>
      <c r="K135" s="431" t="s">
        <v>828</v>
      </c>
      <c r="L135" s="433"/>
      <c r="M135" s="351"/>
      <c r="N135" s="22"/>
    </row>
    <row r="136" spans="1:14" ht="15">
      <c r="A136" s="196" t="s">
        <v>660</v>
      </c>
      <c r="B136" s="42" t="s">
        <v>333</v>
      </c>
      <c r="C136" s="707">
        <f>CEILING(130*$Z$1,0.1)</f>
        <v>162.5</v>
      </c>
      <c r="D136" s="747"/>
      <c r="E136" s="703">
        <f>CEILING(180*$Z$1,0.1)</f>
        <v>225</v>
      </c>
      <c r="F136" s="704"/>
      <c r="G136" s="703">
        <f>CEILING(140*$Z$1,0.1)</f>
        <v>175</v>
      </c>
      <c r="H136" s="704"/>
      <c r="I136" s="703">
        <f>CEILING(160*$Z$1,0.1)</f>
        <v>200</v>
      </c>
      <c r="J136" s="704"/>
      <c r="K136" s="703">
        <f>CEILING(140*$Z$1,0.1)</f>
        <v>175</v>
      </c>
      <c r="L136" s="704"/>
      <c r="M136" s="351"/>
      <c r="N136" s="22"/>
    </row>
    <row r="137" spans="1:14" ht="16.5" customHeight="1">
      <c r="A137" s="196"/>
      <c r="B137" s="12" t="s">
        <v>334</v>
      </c>
      <c r="C137" s="707">
        <v>260</v>
      </c>
      <c r="D137" s="708"/>
      <c r="E137" s="707">
        <v>323</v>
      </c>
      <c r="F137" s="708"/>
      <c r="G137" s="707">
        <v>273</v>
      </c>
      <c r="H137" s="708"/>
      <c r="I137" s="707">
        <v>298</v>
      </c>
      <c r="J137" s="708"/>
      <c r="K137" s="707">
        <v>273</v>
      </c>
      <c r="L137" s="708"/>
      <c r="M137" s="351"/>
      <c r="N137" s="22"/>
    </row>
    <row r="138" spans="1:14" ht="16.5" customHeight="1">
      <c r="A138" s="30" t="s">
        <v>51</v>
      </c>
      <c r="B138" s="253" t="s">
        <v>53</v>
      </c>
      <c r="C138" s="707">
        <v>138</v>
      </c>
      <c r="D138" s="708"/>
      <c r="E138" s="707">
        <f>CEILING((E136*0.85),0.1)</f>
        <v>191.3</v>
      </c>
      <c r="F138" s="708"/>
      <c r="G138" s="707">
        <f>CEILING((G140*0.85),0.1)</f>
        <v>175.4</v>
      </c>
      <c r="H138" s="708"/>
      <c r="I138" s="707">
        <f>CEILING((I136*0.85),0.1)</f>
        <v>170</v>
      </c>
      <c r="J138" s="708"/>
      <c r="K138" s="707">
        <f>CEILING((K136*0.85),0.1)</f>
        <v>148.8</v>
      </c>
      <c r="L138" s="708"/>
      <c r="M138" s="351"/>
      <c r="N138" s="22"/>
    </row>
    <row r="139" spans="1:14" ht="16.5" customHeight="1">
      <c r="A139" s="30"/>
      <c r="B139" s="39" t="s">
        <v>78</v>
      </c>
      <c r="C139" s="707">
        <v>82</v>
      </c>
      <c r="D139" s="708"/>
      <c r="E139" s="714">
        <v>113</v>
      </c>
      <c r="F139" s="715"/>
      <c r="G139" s="714">
        <v>87.5</v>
      </c>
      <c r="H139" s="715"/>
      <c r="I139" s="714">
        <v>100</v>
      </c>
      <c r="J139" s="715"/>
      <c r="K139" s="714">
        <v>87.5</v>
      </c>
      <c r="L139" s="715"/>
      <c r="M139" s="351"/>
      <c r="N139" s="22"/>
    </row>
    <row r="140" spans="1:14" ht="16.5" customHeight="1">
      <c r="A140" s="1028"/>
      <c r="B140" s="12" t="s">
        <v>339</v>
      </c>
      <c r="C140" s="707">
        <f>CEILING(155*$Z$1,0.1)</f>
        <v>193.8</v>
      </c>
      <c r="D140" s="708"/>
      <c r="E140" s="707">
        <f>CEILING(205*$Z$1,0.1)</f>
        <v>256.3</v>
      </c>
      <c r="F140" s="708"/>
      <c r="G140" s="707">
        <f>CEILING(165*$Z$1,0.1)</f>
        <v>206.3</v>
      </c>
      <c r="H140" s="708"/>
      <c r="I140" s="707">
        <f>CEILING(185*$Z$1,0.1)</f>
        <v>231.3</v>
      </c>
      <c r="J140" s="708"/>
      <c r="K140" s="707">
        <f>CEILING(165*$Z$1,0.1)</f>
        <v>206.3</v>
      </c>
      <c r="L140" s="708"/>
      <c r="M140" s="351"/>
      <c r="N140" s="22"/>
    </row>
    <row r="141" spans="1:14" ht="15.75" customHeight="1">
      <c r="A141" s="1046"/>
      <c r="B141" s="371" t="s">
        <v>55</v>
      </c>
      <c r="C141" s="705">
        <f>CEILING(165*$Z$1,0.1)</f>
        <v>206.3</v>
      </c>
      <c r="D141" s="706"/>
      <c r="E141" s="705">
        <f>CEILING(215*$Z$1,0.1)</f>
        <v>268.8</v>
      </c>
      <c r="F141" s="706"/>
      <c r="G141" s="705">
        <f>CEILING(175*$Z$1,0.1)</f>
        <v>218.8</v>
      </c>
      <c r="H141" s="706"/>
      <c r="I141" s="705">
        <f>CEILING(195*$Z$1,0.1)</f>
        <v>243.8</v>
      </c>
      <c r="J141" s="706"/>
      <c r="K141" s="705">
        <f>CEILING(175*$Z$1,0.1)</f>
        <v>218.8</v>
      </c>
      <c r="L141" s="706"/>
      <c r="M141" s="351"/>
      <c r="N141" s="22"/>
    </row>
    <row r="142" spans="1:14" ht="17.25" customHeight="1">
      <c r="A142" s="1046"/>
      <c r="B142" s="31" t="s">
        <v>661</v>
      </c>
      <c r="C142" s="707">
        <f>CEILING(170*$Z$1,0.1)</f>
        <v>212.5</v>
      </c>
      <c r="D142" s="747"/>
      <c r="E142" s="703">
        <f>CEILING(220*$Z$1,0.1)</f>
        <v>275</v>
      </c>
      <c r="F142" s="704"/>
      <c r="G142" s="703">
        <f>CEILING(180*$Z$1,0.1)</f>
        <v>225</v>
      </c>
      <c r="H142" s="704"/>
      <c r="I142" s="703">
        <f>CEILING(200*$Z$1,0.1)</f>
        <v>250</v>
      </c>
      <c r="J142" s="704"/>
      <c r="K142" s="703">
        <f>CEILING(180*$Z$1,0.1)</f>
        <v>225</v>
      </c>
      <c r="L142" s="704"/>
      <c r="M142" s="351"/>
      <c r="N142" s="22"/>
    </row>
    <row r="143" spans="1:14" ht="16.5" customHeight="1">
      <c r="A143" s="1029"/>
      <c r="B143" s="31" t="s">
        <v>662</v>
      </c>
      <c r="C143" s="707">
        <f>CEILING(180*$Z$1,0.1)</f>
        <v>225</v>
      </c>
      <c r="D143" s="708"/>
      <c r="E143" s="707">
        <f>CEILING(230*$Z$1,0.1)</f>
        <v>287.5</v>
      </c>
      <c r="F143" s="708"/>
      <c r="G143" s="707">
        <f>CEILING(190*$Z$1,0.1)</f>
        <v>237.5</v>
      </c>
      <c r="H143" s="708"/>
      <c r="I143" s="707">
        <f>CEILING(210*$Z$1,0.1)</f>
        <v>262.5</v>
      </c>
      <c r="J143" s="708"/>
      <c r="K143" s="707">
        <f>CEILING(190*$Z$1,0.1)</f>
        <v>237.5</v>
      </c>
      <c r="L143" s="708"/>
      <c r="M143" s="652"/>
      <c r="N143" s="3"/>
    </row>
    <row r="144" spans="1:14" ht="16.5" customHeight="1">
      <c r="A144" s="1030"/>
      <c r="B144" s="31" t="s">
        <v>663</v>
      </c>
      <c r="C144" s="707">
        <f>CEILING(190*$Z$1,0.1)</f>
        <v>237.5</v>
      </c>
      <c r="D144" s="708"/>
      <c r="E144" s="707">
        <f>CEILING(240*$Z$1,0.1)</f>
        <v>300</v>
      </c>
      <c r="F144" s="708"/>
      <c r="G144" s="707">
        <f>CEILING(200*$Z$1,0.1)</f>
        <v>250</v>
      </c>
      <c r="H144" s="708"/>
      <c r="I144" s="707">
        <f>CEILING(220*$Z$1,0.1)</f>
        <v>275</v>
      </c>
      <c r="J144" s="708"/>
      <c r="K144" s="707">
        <f>CEILING(200*$Z$1,0.1)</f>
        <v>250</v>
      </c>
      <c r="L144" s="708"/>
      <c r="M144" s="351"/>
      <c r="N144" s="991"/>
    </row>
    <row r="145" spans="1:14" ht="16.5" customHeight="1" thickBot="1">
      <c r="A145" s="1029"/>
      <c r="B145" s="355" t="s">
        <v>664</v>
      </c>
      <c r="C145" s="705">
        <f>CEILING(200*$Z$1,0.1)</f>
        <v>250</v>
      </c>
      <c r="D145" s="706"/>
      <c r="E145" s="720">
        <f>CEILING(250*$Z$1,0.1)</f>
        <v>312.5</v>
      </c>
      <c r="F145" s="721"/>
      <c r="G145" s="720">
        <f>CEILING(210*$Z$1,0.1)</f>
        <v>262.5</v>
      </c>
      <c r="H145" s="721"/>
      <c r="I145" s="720">
        <f>CEILING(230*$Z$1,0.1)</f>
        <v>287.5</v>
      </c>
      <c r="J145" s="721"/>
      <c r="K145" s="720">
        <f>CEILING(210*$Z$1,0.1)</f>
        <v>262.5</v>
      </c>
      <c r="L145" s="721"/>
      <c r="M145" s="351"/>
      <c r="N145" s="991"/>
    </row>
    <row r="146" spans="1:14" ht="18.75" customHeight="1" thickTop="1">
      <c r="A146" s="821" t="s">
        <v>863</v>
      </c>
      <c r="B146" s="821"/>
      <c r="C146" s="821"/>
      <c r="D146" s="821"/>
      <c r="E146" s="748"/>
      <c r="F146" s="748"/>
      <c r="G146" s="748"/>
      <c r="H146" s="748"/>
      <c r="I146" s="33"/>
      <c r="J146" s="33"/>
      <c r="K146" s="104"/>
      <c r="L146" s="104"/>
      <c r="M146" s="18"/>
      <c r="N146" s="991"/>
    </row>
    <row r="147" spans="1:14" ht="16.5" customHeight="1">
      <c r="A147" s="170" t="s">
        <v>576</v>
      </c>
      <c r="B147" s="170"/>
      <c r="C147" s="170"/>
      <c r="D147" s="170"/>
      <c r="E147" s="170"/>
      <c r="F147" s="170"/>
      <c r="G147" s="3"/>
      <c r="H147" s="3"/>
      <c r="I147" s="3"/>
      <c r="J147" s="3"/>
      <c r="K147" s="104"/>
      <c r="L147" s="104"/>
      <c r="M147" s="22"/>
      <c r="N147" s="22"/>
    </row>
    <row r="148" spans="1:14" ht="16.5" customHeight="1">
      <c r="A148" s="117" t="s">
        <v>665</v>
      </c>
      <c r="B148" s="170"/>
      <c r="C148" s="170"/>
      <c r="D148" s="170"/>
      <c r="E148" s="170"/>
      <c r="F148" s="170"/>
      <c r="G148" s="3"/>
      <c r="H148" s="3"/>
      <c r="I148" s="3"/>
      <c r="J148" s="3"/>
      <c r="K148" s="104"/>
      <c r="L148" s="104"/>
      <c r="M148" s="22"/>
      <c r="N148" s="22"/>
    </row>
    <row r="149" spans="1:14" ht="22.5" customHeight="1" thickBot="1">
      <c r="A149" s="875"/>
      <c r="B149" s="876"/>
      <c r="C149" s="876"/>
      <c r="D149" s="876"/>
      <c r="E149" s="876"/>
      <c r="F149" s="876"/>
      <c r="G149" s="259"/>
      <c r="H149" s="259"/>
      <c r="I149" s="259"/>
      <c r="J149" s="259"/>
      <c r="K149" s="283"/>
      <c r="L149" s="283"/>
      <c r="M149" s="22"/>
      <c r="N149" s="22"/>
    </row>
    <row r="150" spans="1:14" ht="23.25" customHeight="1" thickTop="1">
      <c r="A150" s="427" t="s">
        <v>49</v>
      </c>
      <c r="B150" s="428"/>
      <c r="C150" s="436" t="s">
        <v>824</v>
      </c>
      <c r="D150" s="437"/>
      <c r="E150" s="438" t="s">
        <v>848</v>
      </c>
      <c r="F150" s="439"/>
      <c r="G150" s="438" t="s">
        <v>841</v>
      </c>
      <c r="H150" s="439"/>
      <c r="I150" s="438" t="s">
        <v>827</v>
      </c>
      <c r="J150" s="439"/>
      <c r="K150" s="438" t="s">
        <v>828</v>
      </c>
      <c r="L150" s="440"/>
      <c r="M150" s="23"/>
      <c r="N150" s="22"/>
    </row>
    <row r="151" spans="1:14" ht="15">
      <c r="A151" s="204" t="s">
        <v>64</v>
      </c>
      <c r="B151" s="205" t="s">
        <v>28</v>
      </c>
      <c r="C151" s="707">
        <f>CEILING(80*$Z$1,0.1)</f>
        <v>100</v>
      </c>
      <c r="D151" s="747"/>
      <c r="E151" s="703">
        <f>CEILING(125*$Z$1,0.1)</f>
        <v>156.3</v>
      </c>
      <c r="F151" s="704"/>
      <c r="G151" s="703">
        <f>CEILING(110*$Z$1,0.1)</f>
        <v>137.5</v>
      </c>
      <c r="H151" s="704"/>
      <c r="I151" s="703">
        <f>CEILING(110*$Z$1,0.1)</f>
        <v>137.5</v>
      </c>
      <c r="J151" s="704"/>
      <c r="K151" s="703">
        <f>CEILING(100*$Z$1,0.1)</f>
        <v>125</v>
      </c>
      <c r="L151" s="704"/>
      <c r="M151" s="23"/>
      <c r="N151" s="22"/>
    </row>
    <row r="152" spans="1:14" ht="15">
      <c r="A152" s="177" t="s">
        <v>65</v>
      </c>
      <c r="B152" s="206" t="s">
        <v>285</v>
      </c>
      <c r="C152" s="707">
        <f>CEILING((C151+50*$Z$1),0.1)</f>
        <v>162.5</v>
      </c>
      <c r="D152" s="708"/>
      <c r="E152" s="707">
        <f>CEILING((E151+50*$Z$1),0.1)</f>
        <v>218.8</v>
      </c>
      <c r="F152" s="708"/>
      <c r="G152" s="707">
        <f>CEILING((G151+50*$Z$1),0.1)</f>
        <v>200</v>
      </c>
      <c r="H152" s="708"/>
      <c r="I152" s="707">
        <f>CEILING((I151+50*$Z$1),0.1)</f>
        <v>200</v>
      </c>
      <c r="J152" s="708"/>
      <c r="K152" s="707">
        <f>CEILING((K151+50*$Z$1),0.1)</f>
        <v>187.5</v>
      </c>
      <c r="L152" s="708"/>
      <c r="M152" s="23"/>
      <c r="N152" s="22"/>
    </row>
    <row r="153" spans="1:14" ht="15">
      <c r="A153" s="92"/>
      <c r="B153" s="206" t="s">
        <v>55</v>
      </c>
      <c r="C153" s="707">
        <f>CEILING(105*$Z$1,0.1)</f>
        <v>131.3</v>
      </c>
      <c r="D153" s="708"/>
      <c r="E153" s="707">
        <f>CEILING(150*$Z$1,0.1)</f>
        <v>187.5</v>
      </c>
      <c r="F153" s="708"/>
      <c r="G153" s="707">
        <f>CEILING(135*$Z$1,0.1)</f>
        <v>168.8</v>
      </c>
      <c r="H153" s="708"/>
      <c r="I153" s="707">
        <f>CEILING(135*$Z$1,0.1)</f>
        <v>168.8</v>
      </c>
      <c r="J153" s="708"/>
      <c r="K153" s="707">
        <f>CEILING(125*$Z$1,0.1)</f>
        <v>156.3</v>
      </c>
      <c r="L153" s="708"/>
      <c r="M153" s="23"/>
      <c r="N153" s="22"/>
    </row>
    <row r="154" spans="1:14" ht="15">
      <c r="A154" s="92"/>
      <c r="B154" s="399" t="s">
        <v>218</v>
      </c>
      <c r="C154" s="707">
        <f>CEILING((C152+50*$Z$1),0.1)</f>
        <v>225</v>
      </c>
      <c r="D154" s="747"/>
      <c r="E154" s="707">
        <f>CEILING((E152+50*$Z$1),0.1)</f>
        <v>281.3</v>
      </c>
      <c r="F154" s="708"/>
      <c r="G154" s="707">
        <f>CEILING((G152+50*$Z$1),0.1)</f>
        <v>262.5</v>
      </c>
      <c r="H154" s="708"/>
      <c r="I154" s="707">
        <f>CEILING((I152+50*$Z$1),0.1)</f>
        <v>262.5</v>
      </c>
      <c r="J154" s="708"/>
      <c r="K154" s="707">
        <f>CEILING((K152+50*$Z$1),0.1)</f>
        <v>250</v>
      </c>
      <c r="L154" s="708"/>
      <c r="M154" s="23"/>
      <c r="N154" s="22"/>
    </row>
    <row r="155" spans="1:14" ht="16.5" thickBot="1">
      <c r="A155" s="238" t="s">
        <v>507</v>
      </c>
      <c r="B155" s="40" t="s">
        <v>422</v>
      </c>
      <c r="C155" s="711">
        <v>0.1</v>
      </c>
      <c r="D155" s="712"/>
      <c r="E155" s="711">
        <v>0.05</v>
      </c>
      <c r="F155" s="712"/>
      <c r="G155" s="711">
        <v>0.05</v>
      </c>
      <c r="H155" s="712"/>
      <c r="I155" s="711">
        <v>0.05</v>
      </c>
      <c r="J155" s="712"/>
      <c r="K155" s="711">
        <v>0.05</v>
      </c>
      <c r="L155" s="712"/>
      <c r="M155" s="23"/>
      <c r="N155" s="22"/>
    </row>
    <row r="156" spans="1:14" ht="15.75" thickTop="1">
      <c r="A156" s="237" t="s">
        <v>286</v>
      </c>
      <c r="B156" s="24"/>
      <c r="C156" s="24"/>
      <c r="D156" s="24"/>
      <c r="E156" s="24"/>
      <c r="F156" s="24"/>
      <c r="G156" s="24"/>
      <c r="H156" s="24"/>
      <c r="I156" s="41"/>
      <c r="J156" s="41"/>
      <c r="K156" s="315"/>
      <c r="L156" s="315"/>
      <c r="M156" s="22"/>
      <c r="N156" s="22"/>
    </row>
    <row r="157" spans="1:14" ht="15">
      <c r="A157" s="170" t="s">
        <v>653</v>
      </c>
      <c r="B157" s="170"/>
      <c r="C157" s="170"/>
      <c r="D157" s="170"/>
      <c r="E157" s="170"/>
      <c r="F157" s="170"/>
      <c r="G157" s="24"/>
      <c r="H157" s="24"/>
      <c r="I157" s="41"/>
      <c r="J157" s="41"/>
      <c r="K157" s="104"/>
      <c r="L157" s="104"/>
      <c r="M157" s="22"/>
      <c r="N157" s="22"/>
    </row>
    <row r="158" spans="1:14" ht="15.75" thickBot="1">
      <c r="A158" s="49"/>
      <c r="B158" s="50"/>
      <c r="C158" s="44"/>
      <c r="D158" s="44"/>
      <c r="E158" s="44"/>
      <c r="F158" s="44"/>
      <c r="G158" s="44"/>
      <c r="H158" s="44"/>
      <c r="I158" s="44"/>
      <c r="J158" s="44"/>
      <c r="K158" s="104"/>
      <c r="L158" s="104"/>
      <c r="M158" s="22"/>
      <c r="N158" s="22"/>
    </row>
    <row r="159" spans="1:14" ht="23.25" customHeight="1" thickTop="1">
      <c r="A159" s="427" t="s">
        <v>49</v>
      </c>
      <c r="B159" s="428"/>
      <c r="C159" s="429" t="s">
        <v>824</v>
      </c>
      <c r="D159" s="430"/>
      <c r="E159" s="431" t="s">
        <v>848</v>
      </c>
      <c r="F159" s="432"/>
      <c r="G159" s="431" t="s">
        <v>841</v>
      </c>
      <c r="H159" s="432"/>
      <c r="I159" s="431" t="s">
        <v>827</v>
      </c>
      <c r="J159" s="432"/>
      <c r="K159" s="431" t="s">
        <v>828</v>
      </c>
      <c r="L159" s="432"/>
      <c r="M159" s="22"/>
      <c r="N159" s="22"/>
    </row>
    <row r="160" spans="1:14" ht="15">
      <c r="A160" s="191" t="s">
        <v>66</v>
      </c>
      <c r="B160" s="84" t="s">
        <v>57</v>
      </c>
      <c r="C160" s="707">
        <f>CEILING(75*$Z$1,0.1)</f>
        <v>93.80000000000001</v>
      </c>
      <c r="D160" s="747"/>
      <c r="E160" s="703">
        <f>CEILING(125*$Z$1,0.1)</f>
        <v>156.3</v>
      </c>
      <c r="F160" s="704"/>
      <c r="G160" s="703">
        <f>CEILING(105*$Z$1,0.1)</f>
        <v>131.3</v>
      </c>
      <c r="H160" s="704"/>
      <c r="I160" s="703">
        <f>CEILING(115*$Z$1,0.1)</f>
        <v>143.8</v>
      </c>
      <c r="J160" s="704"/>
      <c r="K160" s="703">
        <f>CEILING(100*$Z$1,0.1)</f>
        <v>125</v>
      </c>
      <c r="L160" s="704"/>
      <c r="M160" s="23"/>
      <c r="N160" s="22"/>
    </row>
    <row r="161" spans="1:14" ht="15">
      <c r="A161" s="177" t="s">
        <v>65</v>
      </c>
      <c r="B161" s="14" t="s">
        <v>58</v>
      </c>
      <c r="C161" s="707">
        <f>CEILING((C160+45*$Z$1),0.1)</f>
        <v>150.1</v>
      </c>
      <c r="D161" s="708"/>
      <c r="E161" s="707">
        <f>CEILING((E160+45*$Z$1),0.1)</f>
        <v>212.60000000000002</v>
      </c>
      <c r="F161" s="708"/>
      <c r="G161" s="707">
        <f>CEILING((G160+45*$Z$1),0.1)</f>
        <v>187.60000000000002</v>
      </c>
      <c r="H161" s="708"/>
      <c r="I161" s="707">
        <f>CEILING((I160+45*$Z$1),0.1)</f>
        <v>200.10000000000002</v>
      </c>
      <c r="J161" s="708"/>
      <c r="K161" s="707">
        <f>CEILING((K160+45*$Z$1),0.1)</f>
        <v>181.3</v>
      </c>
      <c r="L161" s="708"/>
      <c r="M161" s="22"/>
      <c r="N161" s="22"/>
    </row>
    <row r="162" spans="1:14" ht="15">
      <c r="A162" s="1034"/>
      <c r="B162" s="14" t="s">
        <v>53</v>
      </c>
      <c r="C162" s="707">
        <f>CEILING((C160*0.85),0.1)</f>
        <v>79.80000000000001</v>
      </c>
      <c r="D162" s="708"/>
      <c r="E162" s="707">
        <f>CEILING((E160*0.85),0.1)</f>
        <v>132.9</v>
      </c>
      <c r="F162" s="708"/>
      <c r="G162" s="707">
        <f>CEILING((G160*0.85),0.1)</f>
        <v>111.7</v>
      </c>
      <c r="H162" s="708"/>
      <c r="I162" s="707">
        <f>CEILING((I160*0.85),0.1)</f>
        <v>122.30000000000001</v>
      </c>
      <c r="J162" s="708"/>
      <c r="K162" s="707">
        <f>CEILING((K160*0.85),0.1)</f>
        <v>106.30000000000001</v>
      </c>
      <c r="L162" s="708"/>
      <c r="M162" s="22"/>
      <c r="N162" s="22"/>
    </row>
    <row r="163" spans="1:14" ht="15">
      <c r="A163" s="348"/>
      <c r="B163" s="39" t="s">
        <v>78</v>
      </c>
      <c r="C163" s="707">
        <f>CEILING((C160*0.5),0.1)</f>
        <v>46.900000000000006</v>
      </c>
      <c r="D163" s="708"/>
      <c r="E163" s="707">
        <f>CEILING((E160*0.5),0.1)</f>
        <v>78.2</v>
      </c>
      <c r="F163" s="708"/>
      <c r="G163" s="707">
        <f>CEILING((G160*0.5),0.1)</f>
        <v>65.7</v>
      </c>
      <c r="H163" s="708"/>
      <c r="I163" s="707">
        <f>CEILING((I160*0.5),0.1)</f>
        <v>71.9</v>
      </c>
      <c r="J163" s="708"/>
      <c r="K163" s="707">
        <f>CEILING((K160*0.5),0.1)</f>
        <v>62.5</v>
      </c>
      <c r="L163" s="708"/>
      <c r="M163" s="22"/>
      <c r="N163" s="22"/>
    </row>
    <row r="164" spans="1:14" ht="15">
      <c r="A164" s="395"/>
      <c r="B164" s="39" t="s">
        <v>229</v>
      </c>
      <c r="C164" s="707">
        <f>CEILING(90*$Z$1,0.1)</f>
        <v>112.5</v>
      </c>
      <c r="D164" s="1047"/>
      <c r="E164" s="707">
        <f>CEILING(140*$Z$1,0.1)</f>
        <v>175</v>
      </c>
      <c r="F164" s="708"/>
      <c r="G164" s="707">
        <f>CEILING(120*$Z$1,0.1)</f>
        <v>150</v>
      </c>
      <c r="H164" s="708"/>
      <c r="I164" s="707">
        <f>CEILING(130*$Z$1,0.1)</f>
        <v>162.5</v>
      </c>
      <c r="J164" s="708"/>
      <c r="K164" s="707">
        <f>CEILING(115*$Z$1,0.1)</f>
        <v>143.8</v>
      </c>
      <c r="L164" s="708"/>
      <c r="M164" s="22"/>
      <c r="N164" s="22"/>
    </row>
    <row r="165" spans="1:14" ht="15">
      <c r="A165" s="395"/>
      <c r="B165" s="39" t="s">
        <v>230</v>
      </c>
      <c r="C165" s="707">
        <f>CEILING((C164+45*$Z$1),0.1)</f>
        <v>168.8</v>
      </c>
      <c r="D165" s="708"/>
      <c r="E165" s="707">
        <f>CEILING((E164+45*$Z$1),0.1)</f>
        <v>231.3</v>
      </c>
      <c r="F165" s="708"/>
      <c r="G165" s="707">
        <f>CEILING((G164+45*$Z$1),0.1)</f>
        <v>206.3</v>
      </c>
      <c r="H165" s="708"/>
      <c r="I165" s="707">
        <f>CEILING((I164+45*$Z$1),0.1)</f>
        <v>218.8</v>
      </c>
      <c r="J165" s="708"/>
      <c r="K165" s="707">
        <f>CEILING((K164+45*$Z$1),0.1)</f>
        <v>200.10000000000002</v>
      </c>
      <c r="L165" s="708"/>
      <c r="M165" s="22"/>
      <c r="N165" s="22"/>
    </row>
    <row r="166" spans="1:14" ht="15">
      <c r="A166" s="1048"/>
      <c r="B166" s="14" t="s">
        <v>50</v>
      </c>
      <c r="C166" s="707">
        <f>CEILING(105*$Z$1,0.1)</f>
        <v>131.3</v>
      </c>
      <c r="D166" s="1047"/>
      <c r="E166" s="707">
        <f>CEILING(155*$Z$1,0.1)</f>
        <v>193.8</v>
      </c>
      <c r="F166" s="708"/>
      <c r="G166" s="707">
        <f>CEILING(135*$Z$1,0.1)</f>
        <v>168.8</v>
      </c>
      <c r="H166" s="708"/>
      <c r="I166" s="707">
        <f>CEILING(145*$Z$1,0.1)</f>
        <v>181.3</v>
      </c>
      <c r="J166" s="708"/>
      <c r="K166" s="707">
        <f>CEILING(130*$Z$1,0.1)</f>
        <v>162.5</v>
      </c>
      <c r="L166" s="708"/>
      <c r="M166" s="22"/>
      <c r="N166" s="22"/>
    </row>
    <row r="167" spans="1:14" ht="17.25" customHeight="1" thickBot="1">
      <c r="A167" s="238" t="s">
        <v>507</v>
      </c>
      <c r="B167" s="14" t="s">
        <v>52</v>
      </c>
      <c r="C167" s="707">
        <f>CEILING((C166+50*$Z$1),0.1)</f>
        <v>193.8</v>
      </c>
      <c r="D167" s="708"/>
      <c r="E167" s="720">
        <f>CEILING((E166+50*$Z$1),0.1)</f>
        <v>256.3</v>
      </c>
      <c r="F167" s="721"/>
      <c r="G167" s="720">
        <f>CEILING((G166+50*$Z$1),0.1)</f>
        <v>231.3</v>
      </c>
      <c r="H167" s="721"/>
      <c r="I167" s="720">
        <f>CEILING((I166+50*$Z$1),0.1)</f>
        <v>243.8</v>
      </c>
      <c r="J167" s="721"/>
      <c r="K167" s="720">
        <f>CEILING((K166+50*$Z$1),0.1)</f>
        <v>225</v>
      </c>
      <c r="L167" s="721"/>
      <c r="M167" s="22"/>
      <c r="N167" s="22"/>
    </row>
    <row r="168" spans="1:14" ht="21.75" customHeight="1" thickTop="1">
      <c r="A168" s="713"/>
      <c r="B168" s="713"/>
      <c r="C168" s="713"/>
      <c r="D168" s="713"/>
      <c r="E168" s="713"/>
      <c r="F168" s="713"/>
      <c r="G168" s="713"/>
      <c r="H168" s="713"/>
      <c r="I168" s="169"/>
      <c r="J168" s="169"/>
      <c r="K168" s="394"/>
      <c r="L168" s="394"/>
      <c r="M168" s="22"/>
      <c r="N168" s="22"/>
    </row>
    <row r="169" spans="1:14" ht="18" customHeight="1">
      <c r="A169" s="352" t="s">
        <v>70</v>
      </c>
      <c r="B169" s="28" t="s">
        <v>283</v>
      </c>
      <c r="C169" s="707">
        <f>CEILING(95*$Z$1,0.1)</f>
        <v>118.80000000000001</v>
      </c>
      <c r="D169" s="747"/>
      <c r="E169" s="703">
        <f>CEILING(145*$Z$1,0.1)</f>
        <v>181.3</v>
      </c>
      <c r="F169" s="704"/>
      <c r="G169" s="703">
        <f>CEILING(125*$Z$1,0.1)</f>
        <v>156.3</v>
      </c>
      <c r="H169" s="704"/>
      <c r="I169" s="703">
        <f>CEILING(135*$Z$1,0.1)</f>
        <v>168.8</v>
      </c>
      <c r="J169" s="704"/>
      <c r="K169" s="703">
        <f>CEILING(120*$Z$1,0.1)</f>
        <v>150</v>
      </c>
      <c r="L169" s="704"/>
      <c r="M169" s="23"/>
      <c r="N169" s="22"/>
    </row>
    <row r="170" spans="1:13" ht="15.75" customHeight="1">
      <c r="A170" s="180" t="s">
        <v>65</v>
      </c>
      <c r="B170" s="28" t="s">
        <v>284</v>
      </c>
      <c r="C170" s="707">
        <f>CEILING((C169+50*$Z$1),0.1)</f>
        <v>181.3</v>
      </c>
      <c r="D170" s="708"/>
      <c r="E170" s="707">
        <f>CEILING((E169+50*$Z$1),0.1)</f>
        <v>243.8</v>
      </c>
      <c r="F170" s="708"/>
      <c r="G170" s="707">
        <f>CEILING((G169+50*$Z$1),0.1)</f>
        <v>218.8</v>
      </c>
      <c r="H170" s="708"/>
      <c r="I170" s="707">
        <f>CEILING((I169+50*$Z$1),0.1)</f>
        <v>231.3</v>
      </c>
      <c r="J170" s="708"/>
      <c r="K170" s="707">
        <f>CEILING((K169+50*$Z$1),0.1)</f>
        <v>212.5</v>
      </c>
      <c r="L170" s="708"/>
      <c r="M170" s="992"/>
    </row>
    <row r="171" spans="1:13" ht="15">
      <c r="A171" s="1049"/>
      <c r="B171" s="31" t="s">
        <v>53</v>
      </c>
      <c r="C171" s="707">
        <f>CEILING((C169*0.85),0.1)</f>
        <v>101</v>
      </c>
      <c r="D171" s="708"/>
      <c r="E171" s="707">
        <f>CEILING((E169*0.85),0.1)</f>
        <v>154.20000000000002</v>
      </c>
      <c r="F171" s="708"/>
      <c r="G171" s="707">
        <f>CEILING((G169*0.85),0.1)</f>
        <v>132.9</v>
      </c>
      <c r="H171" s="708"/>
      <c r="I171" s="707">
        <f>CEILING((I169*0.85),0.1)</f>
        <v>143.5</v>
      </c>
      <c r="J171" s="708"/>
      <c r="K171" s="707">
        <f>CEILING((K169*0.85),0.1)</f>
        <v>127.5</v>
      </c>
      <c r="L171" s="708"/>
      <c r="M171" s="992"/>
    </row>
    <row r="172" spans="1:13" ht="15">
      <c r="A172" s="1049"/>
      <c r="B172" s="31" t="s">
        <v>78</v>
      </c>
      <c r="C172" s="707">
        <f>CEILING((C169*0.5),0.1)</f>
        <v>59.400000000000006</v>
      </c>
      <c r="D172" s="708"/>
      <c r="E172" s="707">
        <f>CEILING((E169*0.5),0.1)</f>
        <v>90.7</v>
      </c>
      <c r="F172" s="708"/>
      <c r="G172" s="707">
        <f>CEILING((G169*0.5),0.1)</f>
        <v>78.2</v>
      </c>
      <c r="H172" s="708"/>
      <c r="I172" s="707">
        <f>CEILING((I169*0.5),0.1)</f>
        <v>84.4</v>
      </c>
      <c r="J172" s="708"/>
      <c r="K172" s="707">
        <f>CEILING((K169*0.5),0.1)</f>
        <v>75</v>
      </c>
      <c r="L172" s="708"/>
      <c r="M172" s="992"/>
    </row>
    <row r="173" spans="1:13" ht="15">
      <c r="A173" s="180"/>
      <c r="B173" s="28" t="s">
        <v>137</v>
      </c>
      <c r="C173" s="707">
        <f>CEILING(115*$Z$1,0.1)</f>
        <v>143.8</v>
      </c>
      <c r="D173" s="1047"/>
      <c r="E173" s="707">
        <f>CEILING(165*$Z$1,0.1)</f>
        <v>206.3</v>
      </c>
      <c r="F173" s="708"/>
      <c r="G173" s="707">
        <f>CEILING(145*$Z$1,0.1)</f>
        <v>181.3</v>
      </c>
      <c r="H173" s="708"/>
      <c r="I173" s="707">
        <f>CEILING(155*$Z$1,0.1)</f>
        <v>193.8</v>
      </c>
      <c r="J173" s="708"/>
      <c r="K173" s="707">
        <f>CEILING(140*$Z$1,0.1)</f>
        <v>175</v>
      </c>
      <c r="L173" s="708"/>
      <c r="M173" s="992"/>
    </row>
    <row r="174" spans="1:13" ht="15">
      <c r="A174" s="269"/>
      <c r="B174" s="28" t="s">
        <v>138</v>
      </c>
      <c r="C174" s="707">
        <f>CEILING((C173+55*$Z$1),0.1)</f>
        <v>212.60000000000002</v>
      </c>
      <c r="D174" s="708"/>
      <c r="E174" s="707">
        <f>CEILING((E173+55*$Z$1),0.1)</f>
        <v>275.1</v>
      </c>
      <c r="F174" s="708"/>
      <c r="G174" s="707">
        <f>CEILING((G173+55*$Z$1),0.1)</f>
        <v>250.10000000000002</v>
      </c>
      <c r="H174" s="708"/>
      <c r="I174" s="707">
        <f>CEILING((I173+55*$Z$1),0.1)</f>
        <v>262.6</v>
      </c>
      <c r="J174" s="708"/>
      <c r="K174" s="707">
        <f>CEILING((K173+55*$Z$1),0.1)</f>
        <v>243.8</v>
      </c>
      <c r="L174" s="708"/>
      <c r="M174" s="992"/>
    </row>
    <row r="175" spans="1:13" ht="15.75" customHeight="1" thickBot="1">
      <c r="A175" s="238" t="s">
        <v>510</v>
      </c>
      <c r="B175" s="40" t="s">
        <v>422</v>
      </c>
      <c r="C175" s="711">
        <v>0.1</v>
      </c>
      <c r="D175" s="712"/>
      <c r="E175" s="711">
        <v>0.05</v>
      </c>
      <c r="F175" s="712"/>
      <c r="G175" s="711">
        <v>0.1</v>
      </c>
      <c r="H175" s="712"/>
      <c r="I175" s="711">
        <v>0.05</v>
      </c>
      <c r="J175" s="712"/>
      <c r="K175" s="711">
        <v>0.1</v>
      </c>
      <c r="L175" s="712"/>
      <c r="M175" s="992"/>
    </row>
    <row r="176" spans="1:13" ht="15.75" thickTop="1">
      <c r="A176" s="24" t="s">
        <v>71</v>
      </c>
      <c r="B176" s="24"/>
      <c r="C176" s="24"/>
      <c r="D176" s="24"/>
      <c r="E176" s="24"/>
      <c r="F176" s="24"/>
      <c r="G176" s="24"/>
      <c r="H176" s="24"/>
      <c r="I176" s="24"/>
      <c r="J176" s="24"/>
      <c r="K176" s="104"/>
      <c r="L176" s="104"/>
      <c r="M176" s="992"/>
    </row>
    <row r="177" spans="1:13" ht="15">
      <c r="A177" s="24" t="s">
        <v>418</v>
      </c>
      <c r="B177" s="24"/>
      <c r="C177" s="24"/>
      <c r="D177" s="24"/>
      <c r="E177" s="24"/>
      <c r="F177" s="24"/>
      <c r="G177" s="24"/>
      <c r="H177" s="661"/>
      <c r="I177" s="24"/>
      <c r="J177" s="24"/>
      <c r="K177" s="237"/>
      <c r="L177" s="237"/>
      <c r="M177" s="992"/>
    </row>
    <row r="178" spans="1:13" ht="15">
      <c r="A178" s="24" t="s">
        <v>419</v>
      </c>
      <c r="B178" s="54"/>
      <c r="C178" s="3"/>
      <c r="D178" s="3"/>
      <c r="E178" s="3"/>
      <c r="F178" s="3"/>
      <c r="G178" s="3"/>
      <c r="H178" s="3"/>
      <c r="I178" s="3"/>
      <c r="J178" s="3"/>
      <c r="K178" s="237"/>
      <c r="L178" s="237"/>
      <c r="M178" s="992"/>
    </row>
    <row r="179" spans="1:13" ht="15">
      <c r="A179" s="170" t="s">
        <v>646</v>
      </c>
      <c r="B179" s="54"/>
      <c r="C179" s="3"/>
      <c r="D179" s="3"/>
      <c r="E179" s="3"/>
      <c r="F179" s="3"/>
      <c r="G179" s="3"/>
      <c r="H179" s="3"/>
      <c r="I179" s="3"/>
      <c r="J179" s="3"/>
      <c r="K179" s="237"/>
      <c r="L179" s="237"/>
      <c r="M179" s="992"/>
    </row>
    <row r="180" spans="1:13" ht="15.75" thickBot="1">
      <c r="A180" s="55"/>
      <c r="B180" s="56"/>
      <c r="C180" s="2"/>
      <c r="D180" s="2"/>
      <c r="E180" s="2"/>
      <c r="F180" s="2"/>
      <c r="G180" s="2"/>
      <c r="H180" s="2"/>
      <c r="I180" s="961"/>
      <c r="J180" s="961"/>
      <c r="K180" s="104"/>
      <c r="L180" s="104"/>
      <c r="M180" s="992"/>
    </row>
    <row r="181" spans="1:13" ht="24.75" customHeight="1" thickTop="1">
      <c r="A181" s="691" t="s">
        <v>49</v>
      </c>
      <c r="B181" s="435"/>
      <c r="C181" s="429" t="s">
        <v>1207</v>
      </c>
      <c r="D181" s="430"/>
      <c r="E181" s="431" t="s">
        <v>848</v>
      </c>
      <c r="F181" s="432"/>
      <c r="G181" s="431" t="s">
        <v>841</v>
      </c>
      <c r="H181" s="432"/>
      <c r="I181" s="431" t="s">
        <v>827</v>
      </c>
      <c r="J181" s="432"/>
      <c r="K181" s="431" t="s">
        <v>828</v>
      </c>
      <c r="L181" s="432"/>
      <c r="M181" s="1040"/>
    </row>
    <row r="182" spans="1:13" ht="15">
      <c r="A182" s="197" t="s">
        <v>1205</v>
      </c>
      <c r="B182" s="142" t="s">
        <v>864</v>
      </c>
      <c r="C182" s="707">
        <f>CEILING(75*$Z$1,0.1)</f>
        <v>93.80000000000001</v>
      </c>
      <c r="D182" s="747"/>
      <c r="E182" s="703">
        <f>CEILING(125*$Z$1,0.1)</f>
        <v>156.3</v>
      </c>
      <c r="F182" s="704"/>
      <c r="G182" s="703">
        <f>CEILING(105*$Z$1,0.1)</f>
        <v>131.3</v>
      </c>
      <c r="H182" s="704"/>
      <c r="I182" s="703">
        <f>CEILING(115*$Z$1,0.1)</f>
        <v>143.8</v>
      </c>
      <c r="J182" s="704"/>
      <c r="K182" s="703">
        <f>CEILING(100*$Z$1,0.1)</f>
        <v>125</v>
      </c>
      <c r="L182" s="704"/>
      <c r="M182" s="1040"/>
    </row>
    <row r="183" spans="1:13" ht="15">
      <c r="A183" s="198" t="s">
        <v>65</v>
      </c>
      <c r="B183" s="12" t="s">
        <v>1217</v>
      </c>
      <c r="C183" s="707">
        <f>CEILING((C182+45*$Z$1),0.1)</f>
        <v>150.1</v>
      </c>
      <c r="D183" s="708"/>
      <c r="E183" s="707">
        <f>CEILING((E182+45*$Z$1),0.1)</f>
        <v>212.60000000000002</v>
      </c>
      <c r="F183" s="708"/>
      <c r="G183" s="707">
        <f>CEILING((G182+45*$Z$1),0.1)</f>
        <v>187.60000000000002</v>
      </c>
      <c r="H183" s="708"/>
      <c r="I183" s="707">
        <f>CEILING((I182+45*$Z$1),0.1)</f>
        <v>200.10000000000002</v>
      </c>
      <c r="J183" s="708"/>
      <c r="K183" s="707">
        <f>CEILING((K182+45*$Z$1),0.1)</f>
        <v>181.3</v>
      </c>
      <c r="L183" s="708"/>
      <c r="M183" s="1040"/>
    </row>
    <row r="184" spans="1:14" ht="15">
      <c r="A184" s="1050" t="s">
        <v>865</v>
      </c>
      <c r="B184" s="12" t="s">
        <v>866</v>
      </c>
      <c r="C184" s="707">
        <f>CEILING(90*$Z$1,0.1)</f>
        <v>112.5</v>
      </c>
      <c r="D184" s="1047"/>
      <c r="E184" s="707">
        <f>CEILING(140*$Z$1,0.1)</f>
        <v>175</v>
      </c>
      <c r="F184" s="708"/>
      <c r="G184" s="707">
        <f>CEILING(120*$Z$1,0.1)</f>
        <v>150</v>
      </c>
      <c r="H184" s="708"/>
      <c r="I184" s="707">
        <f>CEILING(130*$Z$1,0.1)</f>
        <v>162.5</v>
      </c>
      <c r="J184" s="708"/>
      <c r="K184" s="707">
        <f>CEILING(115*$Z$1,0.1)</f>
        <v>143.8</v>
      </c>
      <c r="L184" s="708"/>
      <c r="M184" s="23"/>
      <c r="N184" s="22"/>
    </row>
    <row r="185" spans="1:14" ht="15">
      <c r="A185" s="199"/>
      <c r="B185" s="12" t="s">
        <v>869</v>
      </c>
      <c r="C185" s="707">
        <f>CEILING((C184+45*$Z$1),0.1)</f>
        <v>168.8</v>
      </c>
      <c r="D185" s="708"/>
      <c r="E185" s="707">
        <f>CEILING((E184+45*$Z$1),0.1)</f>
        <v>231.3</v>
      </c>
      <c r="F185" s="708"/>
      <c r="G185" s="707">
        <f>CEILING((G184+45*$Z$1),0.1)</f>
        <v>206.3</v>
      </c>
      <c r="H185" s="708"/>
      <c r="I185" s="707">
        <f>CEILING((I184+45*$Z$1),0.1)</f>
        <v>218.8</v>
      </c>
      <c r="J185" s="708"/>
      <c r="K185" s="707">
        <f>CEILING((K184+45*$Z$1),0.1)</f>
        <v>200.10000000000002</v>
      </c>
      <c r="L185" s="708"/>
      <c r="M185" s="28"/>
      <c r="N185" s="991"/>
    </row>
    <row r="186" spans="1:14" ht="16.5" customHeight="1">
      <c r="A186" s="624" t="s">
        <v>1206</v>
      </c>
      <c r="B186" s="14" t="s">
        <v>867</v>
      </c>
      <c r="C186" s="707">
        <f>CEILING(95*$Z$1,0.1)</f>
        <v>118.80000000000001</v>
      </c>
      <c r="D186" s="1047"/>
      <c r="E186" s="707">
        <f>CEILING(145*$Z$1,0.1)</f>
        <v>181.3</v>
      </c>
      <c r="F186" s="708"/>
      <c r="G186" s="707">
        <f>CEILING(125*$Z$1,0.1)</f>
        <v>156.3</v>
      </c>
      <c r="H186" s="708"/>
      <c r="I186" s="707">
        <f>CEILING(135*$Z$1,0.1)</f>
        <v>168.8</v>
      </c>
      <c r="J186" s="708"/>
      <c r="K186" s="707">
        <f>CEILING(120*$Z$1,0.1)</f>
        <v>150</v>
      </c>
      <c r="L186" s="708"/>
      <c r="M186" s="28"/>
      <c r="N186" s="991"/>
    </row>
    <row r="187" spans="1:14" ht="16.5" customHeight="1">
      <c r="A187" s="199"/>
      <c r="B187" s="12" t="s">
        <v>868</v>
      </c>
      <c r="C187" s="707">
        <f>CEILING((C186+50*$Z$1),0.1)</f>
        <v>181.3</v>
      </c>
      <c r="D187" s="708"/>
      <c r="E187" s="707">
        <f>CEILING((E186+50*$Z$1),0.1)</f>
        <v>243.8</v>
      </c>
      <c r="F187" s="708"/>
      <c r="G187" s="707">
        <f>CEILING((G186+50*$Z$1),0.1)</f>
        <v>218.8</v>
      </c>
      <c r="H187" s="708"/>
      <c r="I187" s="707">
        <f>CEILING((I186+50*$Z$1),0.1)</f>
        <v>231.3</v>
      </c>
      <c r="J187" s="708"/>
      <c r="K187" s="707">
        <f>CEILING((K186+50*$Z$1),0.1)</f>
        <v>212.5</v>
      </c>
      <c r="L187" s="708"/>
      <c r="M187" s="23"/>
      <c r="N187" s="22"/>
    </row>
    <row r="188" spans="1:25" ht="16.5" customHeight="1">
      <c r="A188" s="624" t="s">
        <v>1208</v>
      </c>
      <c r="B188" s="207" t="s">
        <v>421</v>
      </c>
      <c r="C188" s="707">
        <f>CEILING(105*$Z$1,0.1)</f>
        <v>131.3</v>
      </c>
      <c r="D188" s="1047"/>
      <c r="E188" s="707">
        <f>CEILING(155*$Z$1,0.1)</f>
        <v>193.8</v>
      </c>
      <c r="F188" s="708"/>
      <c r="G188" s="707">
        <f>CEILING(135*$Z$1,0.1)</f>
        <v>168.8</v>
      </c>
      <c r="H188" s="708"/>
      <c r="I188" s="707">
        <f>CEILING(145*$Z$1,0.1)</f>
        <v>181.3</v>
      </c>
      <c r="J188" s="708"/>
      <c r="K188" s="707">
        <f>CEILING(1305*$Z$1,0.1)</f>
        <v>1631.3000000000002</v>
      </c>
      <c r="L188" s="708"/>
      <c r="M188" s="1040"/>
      <c r="X188" s="993"/>
      <c r="Y188" s="993"/>
    </row>
    <row r="189" spans="1:25" ht="15">
      <c r="A189" s="200"/>
      <c r="B189" s="207" t="s">
        <v>420</v>
      </c>
      <c r="C189" s="707">
        <f>CEILING((C188+55*$Z$1),0.1)</f>
        <v>200.10000000000002</v>
      </c>
      <c r="D189" s="708"/>
      <c r="E189" s="707">
        <f>CEILING((E188+55*$Z$1),0.1)</f>
        <v>262.6</v>
      </c>
      <c r="F189" s="708"/>
      <c r="G189" s="707">
        <f>CEILING((G188+55*$Z$1),0.1)</f>
        <v>237.60000000000002</v>
      </c>
      <c r="H189" s="708"/>
      <c r="I189" s="707">
        <f>CEILING((I188+55*$Z$1),0.1)</f>
        <v>250.10000000000002</v>
      </c>
      <c r="J189" s="708"/>
      <c r="K189" s="707">
        <f>CEILING((K188+55*$Z$1),0.1)</f>
        <v>1700.1000000000001</v>
      </c>
      <c r="L189" s="708"/>
      <c r="M189" s="1040"/>
      <c r="X189" s="993"/>
      <c r="Y189" s="993"/>
    </row>
    <row r="190" spans="1:25" ht="16.5" thickBot="1">
      <c r="A190" s="238" t="s">
        <v>507</v>
      </c>
      <c r="B190" s="15" t="s">
        <v>422</v>
      </c>
      <c r="C190" s="767">
        <v>0.15</v>
      </c>
      <c r="D190" s="768"/>
      <c r="E190" s="711">
        <v>0.05</v>
      </c>
      <c r="F190" s="712"/>
      <c r="G190" s="711">
        <v>0.1</v>
      </c>
      <c r="H190" s="712"/>
      <c r="I190" s="711">
        <v>0.1</v>
      </c>
      <c r="J190" s="712"/>
      <c r="K190" s="711">
        <v>0.1</v>
      </c>
      <c r="L190" s="712"/>
      <c r="M190" s="1040"/>
      <c r="X190" s="993"/>
      <c r="Y190" s="993"/>
    </row>
    <row r="191" spans="1:25" ht="15.75" thickTop="1">
      <c r="A191" s="1051" t="s">
        <v>946</v>
      </c>
      <c r="B191" s="1051"/>
      <c r="C191" s="1051"/>
      <c r="D191" s="1051"/>
      <c r="E191" s="1051"/>
      <c r="F191" s="1051"/>
      <c r="G191" s="1051"/>
      <c r="H191" s="1051"/>
      <c r="I191" s="887"/>
      <c r="J191" s="887"/>
      <c r="K191" s="104"/>
      <c r="L191" s="104"/>
      <c r="M191" s="1032"/>
      <c r="X191" s="993"/>
      <c r="Y191" s="993"/>
    </row>
    <row r="192" spans="1:25" ht="15">
      <c r="A192" s="170" t="s">
        <v>870</v>
      </c>
      <c r="B192" s="170"/>
      <c r="C192" s="170"/>
      <c r="D192" s="170"/>
      <c r="E192" s="170"/>
      <c r="F192" s="170"/>
      <c r="G192" s="24"/>
      <c r="H192" s="24"/>
      <c r="I192" s="25"/>
      <c r="J192" s="25"/>
      <c r="K192" s="104"/>
      <c r="L192" s="104"/>
      <c r="M192" s="59"/>
      <c r="X192" s="993"/>
      <c r="Y192" s="993"/>
    </row>
    <row r="193" spans="1:25" ht="15">
      <c r="A193" s="24"/>
      <c r="B193" s="24"/>
      <c r="C193" s="24"/>
      <c r="D193" s="24"/>
      <c r="E193" s="24"/>
      <c r="F193" s="24"/>
      <c r="G193" s="24"/>
      <c r="H193" s="24"/>
      <c r="I193" s="22"/>
      <c r="J193" s="22"/>
      <c r="K193" s="104"/>
      <c r="L193" s="104"/>
      <c r="M193" s="992"/>
      <c r="X193" s="993"/>
      <c r="Y193" s="993"/>
    </row>
    <row r="194" spans="2:14" ht="14.25" customHeight="1">
      <c r="B194" s="170"/>
      <c r="C194" s="170"/>
      <c r="D194" s="170"/>
      <c r="E194" s="170"/>
      <c r="F194" s="170"/>
      <c r="G194" s="24"/>
      <c r="H194" s="24"/>
      <c r="I194" s="25"/>
      <c r="J194" s="25"/>
      <c r="K194" s="104"/>
      <c r="L194" s="104"/>
      <c r="M194" s="170"/>
      <c r="N194" s="59"/>
    </row>
    <row r="195" spans="1:14" ht="17.25" customHeight="1" thickBot="1">
      <c r="A195" s="246"/>
      <c r="B195" s="246"/>
      <c r="C195" s="246"/>
      <c r="D195" s="246"/>
      <c r="E195" s="34"/>
      <c r="F195" s="34"/>
      <c r="G195" s="34"/>
      <c r="H195" s="34"/>
      <c r="I195" s="106"/>
      <c r="J195" s="106"/>
      <c r="K195" s="104"/>
      <c r="L195" s="104"/>
      <c r="M195" s="59"/>
      <c r="N195" s="59"/>
    </row>
    <row r="196" spans="1:13" ht="25.5" customHeight="1" thickTop="1">
      <c r="A196" s="672" t="s">
        <v>49</v>
      </c>
      <c r="B196" s="463"/>
      <c r="C196" s="803" t="s">
        <v>884</v>
      </c>
      <c r="D196" s="804"/>
      <c r="E196" s="726" t="s">
        <v>885</v>
      </c>
      <c r="F196" s="727"/>
      <c r="G196" s="730" t="s">
        <v>901</v>
      </c>
      <c r="H196" s="731"/>
      <c r="I196" s="730" t="s">
        <v>887</v>
      </c>
      <c r="J196" s="731"/>
      <c r="K196" s="470" t="s">
        <v>888</v>
      </c>
      <c r="L196" s="471"/>
      <c r="M196" s="1032"/>
    </row>
    <row r="197" spans="1:13" ht="15">
      <c r="A197" s="193" t="s">
        <v>900</v>
      </c>
      <c r="B197" s="142" t="s">
        <v>57</v>
      </c>
      <c r="C197" s="703">
        <f>CEILING(115*$Z$1,0.1)</f>
        <v>143.8</v>
      </c>
      <c r="D197" s="764"/>
      <c r="E197" s="703">
        <f>CEILING(200*$Z$1,0.1)</f>
        <v>250</v>
      </c>
      <c r="F197" s="704"/>
      <c r="G197" s="703">
        <f>CEILING(150*$Z$1,0.1)</f>
        <v>187.5</v>
      </c>
      <c r="H197" s="704"/>
      <c r="I197" s="703">
        <f>CEILING(155*$Z$1,0.1)</f>
        <v>193.8</v>
      </c>
      <c r="J197" s="704"/>
      <c r="K197" s="464">
        <f>CEILING(125*$Z$1,0.1)</f>
        <v>156.3</v>
      </c>
      <c r="L197" s="469"/>
      <c r="M197" s="1032"/>
    </row>
    <row r="198" spans="1:13" ht="15">
      <c r="A198" s="213" t="s">
        <v>51</v>
      </c>
      <c r="B198" s="14" t="s">
        <v>58</v>
      </c>
      <c r="C198" s="707">
        <f>CEILING((C197+46*$Z$1),0.1)</f>
        <v>201.3</v>
      </c>
      <c r="D198" s="708"/>
      <c r="E198" s="707">
        <v>350</v>
      </c>
      <c r="F198" s="708"/>
      <c r="G198" s="707">
        <f>CEILING((G197+60*$Z$1),0.1)</f>
        <v>262.5</v>
      </c>
      <c r="H198" s="708"/>
      <c r="I198" s="707">
        <f>CEILING((I197+62*$Z$1),0.1)</f>
        <v>271.3</v>
      </c>
      <c r="J198" s="708"/>
      <c r="K198" s="465">
        <f>CEILING((K197+50*$Z$1),0.1)</f>
        <v>218.8</v>
      </c>
      <c r="L198" s="466"/>
      <c r="M198" s="1032"/>
    </row>
    <row r="199" spans="1:13" ht="15">
      <c r="A199" s="156"/>
      <c r="B199" s="14" t="s">
        <v>53</v>
      </c>
      <c r="C199" s="707">
        <f>CEILING((C197*0.85),0.1)</f>
        <v>122.30000000000001</v>
      </c>
      <c r="D199" s="708"/>
      <c r="E199" s="707">
        <f>CEILING((E197*0.85),0.1)</f>
        <v>212.5</v>
      </c>
      <c r="F199" s="708"/>
      <c r="G199" s="707">
        <f>CEILING((G197*0.85),0.1)</f>
        <v>159.4</v>
      </c>
      <c r="H199" s="708"/>
      <c r="I199" s="707">
        <f>CEILING((I197*0.85),0.1)</f>
        <v>164.8</v>
      </c>
      <c r="J199" s="708"/>
      <c r="K199" s="465">
        <f>CEILING((K197*0.85),0.1)</f>
        <v>132.9</v>
      </c>
      <c r="L199" s="466"/>
      <c r="M199" s="1032"/>
    </row>
    <row r="200" spans="1:13" ht="15">
      <c r="A200" s="1028"/>
      <c r="B200" s="14" t="s">
        <v>78</v>
      </c>
      <c r="C200" s="707">
        <f>CEILING((C198*0.5),0.1)</f>
        <v>100.7</v>
      </c>
      <c r="D200" s="708"/>
      <c r="E200" s="707">
        <v>175</v>
      </c>
      <c r="F200" s="708"/>
      <c r="G200" s="707">
        <v>131.3</v>
      </c>
      <c r="H200" s="708"/>
      <c r="I200" s="707">
        <f>CEILING((I198*0.5),0.1)</f>
        <v>135.70000000000002</v>
      </c>
      <c r="J200" s="708"/>
      <c r="K200" s="465">
        <f>CEILING((K198*0.5),0.1)</f>
        <v>109.4</v>
      </c>
      <c r="L200" s="466"/>
      <c r="M200" s="1032"/>
    </row>
    <row r="201" spans="1:13" ht="15">
      <c r="A201" s="18"/>
      <c r="B201" s="14" t="s">
        <v>50</v>
      </c>
      <c r="C201" s="707">
        <f>CEILING(132*$Z$1,0.1)</f>
        <v>165</v>
      </c>
      <c r="D201" s="708"/>
      <c r="E201" s="707">
        <f>CEILING(230*$Z$1,0.1)</f>
        <v>287.5</v>
      </c>
      <c r="F201" s="708"/>
      <c r="G201" s="707">
        <f>CEILING(173*$Z$1,0.1)</f>
        <v>216.3</v>
      </c>
      <c r="H201" s="708"/>
      <c r="I201" s="707">
        <f>CEILING(178*$Z$1,0.1)</f>
        <v>222.5</v>
      </c>
      <c r="J201" s="708"/>
      <c r="K201" s="465">
        <f>CEILING(144*$Z$1,0.1)</f>
        <v>180</v>
      </c>
      <c r="L201" s="466"/>
      <c r="M201" s="1032"/>
    </row>
    <row r="202" spans="1:13" ht="15">
      <c r="A202" s="22"/>
      <c r="B202" s="14" t="s">
        <v>52</v>
      </c>
      <c r="C202" s="707">
        <f>CEILING((C201+53*$Z$1),0.1)</f>
        <v>231.3</v>
      </c>
      <c r="D202" s="708"/>
      <c r="E202" s="707">
        <v>403</v>
      </c>
      <c r="F202" s="708"/>
      <c r="G202" s="707">
        <f>CEILING((G201+69*$Z$1),0.1)</f>
        <v>302.6</v>
      </c>
      <c r="H202" s="708"/>
      <c r="I202" s="707">
        <f>CEILING((I201+71*$Z$1),0.1)</f>
        <v>311.3</v>
      </c>
      <c r="J202" s="708"/>
      <c r="K202" s="465">
        <f>CEILING((K201+67*$Z$1),0.1)</f>
        <v>263.8</v>
      </c>
      <c r="L202" s="466"/>
      <c r="M202" s="1032"/>
    </row>
    <row r="203" spans="1:13" ht="15">
      <c r="A203" s="22"/>
      <c r="B203" s="14" t="s">
        <v>632</v>
      </c>
      <c r="C203" s="707">
        <f>CEILING(150*$Z$1,0.1)</f>
        <v>187.5</v>
      </c>
      <c r="D203" s="708"/>
      <c r="E203" s="707">
        <f>CEILING(260*$Z$1,0.1)</f>
        <v>325</v>
      </c>
      <c r="F203" s="708"/>
      <c r="G203" s="707">
        <f>CEILING(195*$Z$1,0.1)</f>
        <v>243.8</v>
      </c>
      <c r="H203" s="708"/>
      <c r="I203" s="707">
        <f>CEILING(202*$Z$1,0.1)</f>
        <v>252.5</v>
      </c>
      <c r="J203" s="708"/>
      <c r="K203" s="465">
        <f>CEILING(163*$Z$1,0.1)</f>
        <v>203.8</v>
      </c>
      <c r="L203" s="466"/>
      <c r="M203" s="1032"/>
    </row>
    <row r="204" spans="1:13" ht="15">
      <c r="A204" s="22"/>
      <c r="B204" s="220" t="s">
        <v>633</v>
      </c>
      <c r="C204" s="705">
        <f>CEILING((C203+60*$Z$1),0.1)</f>
        <v>262.5</v>
      </c>
      <c r="D204" s="706"/>
      <c r="E204" s="705">
        <v>455</v>
      </c>
      <c r="F204" s="706"/>
      <c r="G204" s="705">
        <f>CEILING((G203+78*$Z$1),0.1)</f>
        <v>341.3</v>
      </c>
      <c r="H204" s="706"/>
      <c r="I204" s="705">
        <f>CEILING((I203+81*$Z$1),0.1)</f>
        <v>353.8</v>
      </c>
      <c r="J204" s="706"/>
      <c r="K204" s="467">
        <f>CEILING((K203+65*$Z$1),0.1)</f>
        <v>285.1</v>
      </c>
      <c r="L204" s="468"/>
      <c r="M204" s="1032"/>
    </row>
    <row r="205" spans="1:13" ht="15">
      <c r="A205" s="22"/>
      <c r="B205" s="14" t="s">
        <v>904</v>
      </c>
      <c r="C205" s="707">
        <f>CEILING(163*$Z$1,0.1)</f>
        <v>203.8</v>
      </c>
      <c r="D205" s="708"/>
      <c r="E205" s="703">
        <f>CEILING(277*$Z$1,0.1)</f>
        <v>346.3</v>
      </c>
      <c r="F205" s="704"/>
      <c r="G205" s="703">
        <f>CEILING(210*$Z$1,0.1)</f>
        <v>262.5</v>
      </c>
      <c r="H205" s="704"/>
      <c r="I205" s="703">
        <f>CEILING(217*$Z$1,0.1)</f>
        <v>271.3</v>
      </c>
      <c r="J205" s="704"/>
      <c r="K205" s="464">
        <f>CEILING(177*$Z$1,0.1)</f>
        <v>221.3</v>
      </c>
      <c r="L205" s="469"/>
      <c r="M205" s="1032"/>
    </row>
    <row r="206" spans="1:13" ht="15">
      <c r="A206" s="22"/>
      <c r="B206" s="14" t="s">
        <v>906</v>
      </c>
      <c r="C206" s="707">
        <f>CEILING((C205*0.5),0.1)</f>
        <v>101.9</v>
      </c>
      <c r="D206" s="708"/>
      <c r="E206" s="707">
        <f>CEILING((E205*0.5),0.1)</f>
        <v>173.20000000000002</v>
      </c>
      <c r="F206" s="708"/>
      <c r="G206" s="707">
        <f>CEILING((G205*0.5),0.1)</f>
        <v>131.3</v>
      </c>
      <c r="H206" s="708"/>
      <c r="I206" s="707">
        <f>CEILING((I205*0.5),0.1)</f>
        <v>135.70000000000002</v>
      </c>
      <c r="J206" s="708"/>
      <c r="K206" s="465">
        <f>CEILING((K205*0.5),0.1)</f>
        <v>110.7</v>
      </c>
      <c r="L206" s="466"/>
      <c r="M206" s="1032"/>
    </row>
    <row r="207" spans="1:13" ht="15.75" customHeight="1" thickBot="1">
      <c r="A207" s="181" t="s">
        <v>514</v>
      </c>
      <c r="B207" s="178"/>
      <c r="C207" s="720"/>
      <c r="D207" s="721"/>
      <c r="E207" s="720"/>
      <c r="F207" s="721"/>
      <c r="G207" s="720"/>
      <c r="H207" s="721"/>
      <c r="I207" s="720"/>
      <c r="J207" s="721"/>
      <c r="K207" s="467"/>
      <c r="L207" s="468"/>
      <c r="M207" s="1032"/>
    </row>
    <row r="208" spans="1:13" ht="15.75" thickTop="1">
      <c r="A208" s="868" t="s">
        <v>902</v>
      </c>
      <c r="B208" s="868"/>
      <c r="C208" s="868"/>
      <c r="D208" s="868"/>
      <c r="E208" s="868"/>
      <c r="F208" s="868"/>
      <c r="G208" s="868"/>
      <c r="H208" s="868"/>
      <c r="I208" s="868"/>
      <c r="J208" s="868"/>
      <c r="K208" s="265"/>
      <c r="L208" s="265"/>
      <c r="M208" s="1032"/>
    </row>
    <row r="209" spans="1:13" ht="15">
      <c r="A209" s="847" t="s">
        <v>905</v>
      </c>
      <c r="B209" s="847"/>
      <c r="C209" s="847"/>
      <c r="D209" s="847"/>
      <c r="E209" s="847"/>
      <c r="F209" s="847"/>
      <c r="G209" s="847"/>
      <c r="H209" s="847"/>
      <c r="I209" s="1052"/>
      <c r="J209" s="1052"/>
      <c r="K209" s="1053"/>
      <c r="L209" s="1053"/>
      <c r="M209" s="1032"/>
    </row>
    <row r="210" spans="1:13" ht="15.75" customHeight="1">
      <c r="A210" s="170" t="s">
        <v>945</v>
      </c>
      <c r="B210" s="661"/>
      <c r="C210" s="661"/>
      <c r="D210" s="661"/>
      <c r="E210" s="661"/>
      <c r="F210" s="661"/>
      <c r="G210" s="661"/>
      <c r="H210" s="661"/>
      <c r="I210" s="661"/>
      <c r="J210" s="661"/>
      <c r="K210" s="265"/>
      <c r="L210" s="265"/>
      <c r="M210" s="1032"/>
    </row>
    <row r="211" spans="1:13" ht="15">
      <c r="A211" s="170" t="s">
        <v>944</v>
      </c>
      <c r="B211" s="661"/>
      <c r="C211" s="661"/>
      <c r="D211" s="661"/>
      <c r="E211" s="661"/>
      <c r="F211" s="661"/>
      <c r="G211" s="661"/>
      <c r="H211" s="661"/>
      <c r="I211" s="661"/>
      <c r="J211" s="661"/>
      <c r="K211" s="265"/>
      <c r="L211" s="265"/>
      <c r="M211" s="1032"/>
    </row>
    <row r="212" spans="1:13" ht="15.75" thickBot="1">
      <c r="A212" s="692" t="s">
        <v>997</v>
      </c>
      <c r="B212" s="666"/>
      <c r="C212" s="666"/>
      <c r="D212" s="666"/>
      <c r="E212" s="666"/>
      <c r="F212" s="666"/>
      <c r="G212" s="666"/>
      <c r="H212" s="666"/>
      <c r="I212" s="666"/>
      <c r="J212" s="666"/>
      <c r="K212" s="265"/>
      <c r="L212" s="265"/>
      <c r="M212" s="1032"/>
    </row>
    <row r="213" spans="1:13" ht="24" customHeight="1" thickTop="1">
      <c r="A213" s="672" t="s">
        <v>49</v>
      </c>
      <c r="B213" s="463"/>
      <c r="C213" s="803" t="s">
        <v>884</v>
      </c>
      <c r="D213" s="804"/>
      <c r="E213" s="726" t="s">
        <v>885</v>
      </c>
      <c r="F213" s="727"/>
      <c r="G213" s="730" t="s">
        <v>886</v>
      </c>
      <c r="H213" s="731"/>
      <c r="I213" s="730" t="s">
        <v>887</v>
      </c>
      <c r="J213" s="731"/>
      <c r="K213" s="732" t="s">
        <v>888</v>
      </c>
      <c r="L213" s="733"/>
      <c r="M213" s="1032"/>
    </row>
    <row r="214" spans="1:13" ht="15">
      <c r="A214" s="214" t="s">
        <v>903</v>
      </c>
      <c r="B214" s="12" t="s">
        <v>57</v>
      </c>
      <c r="C214" s="703">
        <f>CEILING(90*$Z$1,0.1)</f>
        <v>112.5</v>
      </c>
      <c r="D214" s="764"/>
      <c r="E214" s="703">
        <f>CEILING(160*$Z$1,0.1)</f>
        <v>200</v>
      </c>
      <c r="F214" s="704"/>
      <c r="G214" s="703">
        <f>CEILING(120*$Z$1,0.1)</f>
        <v>150</v>
      </c>
      <c r="H214" s="704"/>
      <c r="I214" s="703">
        <f>CEILING(125*$Z$1,0.1)</f>
        <v>156.3</v>
      </c>
      <c r="J214" s="704"/>
      <c r="K214" s="703">
        <f>CEILING(100*$Z$1,0.1)</f>
        <v>125</v>
      </c>
      <c r="L214" s="704"/>
      <c r="M214" s="1032"/>
    </row>
    <row r="215" spans="1:13" ht="15">
      <c r="A215" s="215" t="s">
        <v>51</v>
      </c>
      <c r="B215" s="14" t="s">
        <v>58</v>
      </c>
      <c r="C215" s="707">
        <f>CEILING((C214+36*$Z$1),0.1)</f>
        <v>157.5</v>
      </c>
      <c r="D215" s="708"/>
      <c r="E215" s="707">
        <f>CEILING((E214+64*$Z$1),0.1)</f>
        <v>280</v>
      </c>
      <c r="F215" s="708"/>
      <c r="G215" s="707">
        <f>CEILING((G214+48*$Z$1),0.1)</f>
        <v>210</v>
      </c>
      <c r="H215" s="708"/>
      <c r="I215" s="707">
        <f>CEILING((I214+50*$Z$1),0.1)</f>
        <v>218.8</v>
      </c>
      <c r="J215" s="708"/>
      <c r="K215" s="707">
        <f>CEILING((K214+40*$Z$1),0.1)</f>
        <v>175</v>
      </c>
      <c r="L215" s="708"/>
      <c r="M215" s="1032"/>
    </row>
    <row r="216" spans="1:13" ht="15.75">
      <c r="A216" s="1054"/>
      <c r="B216" s="14" t="s">
        <v>78</v>
      </c>
      <c r="C216" s="714">
        <v>0</v>
      </c>
      <c r="D216" s="715"/>
      <c r="E216" s="707">
        <f>CEILING((E214*0.5),0.1)</f>
        <v>100</v>
      </c>
      <c r="F216" s="708"/>
      <c r="G216" s="707">
        <f>CEILING((G214*0.5),0.1)</f>
        <v>75</v>
      </c>
      <c r="H216" s="708"/>
      <c r="I216" s="714">
        <f>CEILING((I214*0.5),0.1)</f>
        <v>78.2</v>
      </c>
      <c r="J216" s="715"/>
      <c r="K216" s="714">
        <v>0</v>
      </c>
      <c r="L216" s="715"/>
      <c r="M216" s="1032"/>
    </row>
    <row r="217" spans="1:13" ht="15.75">
      <c r="A217" s="1054"/>
      <c r="B217" s="12" t="s">
        <v>59</v>
      </c>
      <c r="C217" s="707">
        <v>119</v>
      </c>
      <c r="D217" s="708"/>
      <c r="E217" s="707">
        <f>CEILING(170*$Z$1,0.1)</f>
        <v>212.5</v>
      </c>
      <c r="F217" s="708"/>
      <c r="G217" s="707">
        <f>CEILING(127*$Z$1,0.1)</f>
        <v>158.8</v>
      </c>
      <c r="H217" s="708"/>
      <c r="I217" s="707">
        <f>CEILING(133*$Z$1,0.1)</f>
        <v>166.3</v>
      </c>
      <c r="J217" s="708"/>
      <c r="K217" s="707">
        <f>CEILING(106*$Z$1,0.1)</f>
        <v>132.5</v>
      </c>
      <c r="L217" s="708"/>
      <c r="M217" s="1032"/>
    </row>
    <row r="218" spans="1:13" ht="15">
      <c r="A218" s="348"/>
      <c r="B218" s="12" t="s">
        <v>60</v>
      </c>
      <c r="C218" s="707">
        <f>CEILING((C217+38*$Z$1),0.1)</f>
        <v>166.5</v>
      </c>
      <c r="D218" s="708"/>
      <c r="E218" s="707">
        <f>CEILING((E217+68*$Z$1),0.1)</f>
        <v>297.5</v>
      </c>
      <c r="F218" s="708"/>
      <c r="G218" s="707">
        <f>CEILING((G217+51*$Z$1),0.1)</f>
        <v>222.60000000000002</v>
      </c>
      <c r="H218" s="708"/>
      <c r="I218" s="707">
        <f>CEILING((I217+53*$Z$1),0.1)</f>
        <v>232.60000000000002</v>
      </c>
      <c r="J218" s="708"/>
      <c r="K218" s="707">
        <f>CEILING((K217+42.5*$Z$1),0.1)</f>
        <v>185.70000000000002</v>
      </c>
      <c r="L218" s="708"/>
      <c r="M218" s="1032"/>
    </row>
    <row r="219" spans="1:13" ht="15.75">
      <c r="A219" s="216"/>
      <c r="B219" s="14" t="s">
        <v>907</v>
      </c>
      <c r="C219" s="707">
        <f>CEILING(104*$Z$1,0.1)</f>
        <v>130</v>
      </c>
      <c r="D219" s="708"/>
      <c r="E219" s="707">
        <f>CEILING(184*$Z$1,0.1)</f>
        <v>230</v>
      </c>
      <c r="F219" s="708"/>
      <c r="G219" s="707">
        <f>CEILING(138*$Z$1,0.1)</f>
        <v>172.5</v>
      </c>
      <c r="H219" s="708"/>
      <c r="I219" s="707">
        <f>CEILING(144*$Z$1,0.1)</f>
        <v>180</v>
      </c>
      <c r="J219" s="708"/>
      <c r="K219" s="707">
        <f>CEILING(115*$Z$1,0.1)</f>
        <v>143.8</v>
      </c>
      <c r="L219" s="708"/>
      <c r="M219" s="1032"/>
    </row>
    <row r="220" spans="1:13" ht="15.75">
      <c r="A220" s="216"/>
      <c r="B220" s="220" t="s">
        <v>261</v>
      </c>
      <c r="C220" s="705">
        <f>CEILING((C219+42*$Z$1),0.1)</f>
        <v>182.5</v>
      </c>
      <c r="D220" s="706"/>
      <c r="E220" s="705">
        <f>CEILING((E219+74*$Z$1),0.1)</f>
        <v>322.5</v>
      </c>
      <c r="F220" s="706"/>
      <c r="G220" s="705">
        <f>CEILING((G219+55*$Z$1),0.1)</f>
        <v>241.3</v>
      </c>
      <c r="H220" s="706"/>
      <c r="I220" s="705">
        <f>CEILING((I219+58*$Z$1),0.1)</f>
        <v>252.5</v>
      </c>
      <c r="J220" s="706"/>
      <c r="K220" s="705">
        <f>CEILING((K219+46*$Z$1),0.1)</f>
        <v>201.3</v>
      </c>
      <c r="L220" s="706"/>
      <c r="M220" s="1032"/>
    </row>
    <row r="221" spans="1:13" ht="15">
      <c r="A221" s="215"/>
      <c r="B221" s="14" t="s">
        <v>612</v>
      </c>
      <c r="C221" s="707">
        <f>CEILING(108*$Z$1,0.1)</f>
        <v>135</v>
      </c>
      <c r="D221" s="708"/>
      <c r="E221" s="703">
        <f>CEILING(192*$Z$1,0.1)</f>
        <v>240</v>
      </c>
      <c r="F221" s="704"/>
      <c r="G221" s="703">
        <f>CEILING(144*$Z$1,0.1)</f>
        <v>180</v>
      </c>
      <c r="H221" s="704"/>
      <c r="I221" s="703">
        <f>CEILING(150*$Z$1,0.1)</f>
        <v>187.5</v>
      </c>
      <c r="J221" s="704"/>
      <c r="K221" s="703">
        <f>CEILING(120*$Z$1,0.1)</f>
        <v>150</v>
      </c>
      <c r="L221" s="704"/>
      <c r="M221" s="1032"/>
    </row>
    <row r="222" spans="1:13" ht="15">
      <c r="A222" s="215"/>
      <c r="B222" s="14" t="s">
        <v>613</v>
      </c>
      <c r="C222" s="707">
        <f>CEILING((C221+43*$Z$1),0.1)</f>
        <v>188.8</v>
      </c>
      <c r="D222" s="708"/>
      <c r="E222" s="707">
        <f>CEILING((E221+77*$Z$1),0.1)</f>
        <v>336.3</v>
      </c>
      <c r="F222" s="708"/>
      <c r="G222" s="707">
        <f>CEILING((G221+58*$Z$1),0.1)</f>
        <v>252.5</v>
      </c>
      <c r="H222" s="708"/>
      <c r="I222" s="707">
        <f>CEILING((I221+60*$Z$1),0.1)</f>
        <v>262.5</v>
      </c>
      <c r="J222" s="708"/>
      <c r="K222" s="707">
        <f>CEILING((K221+48*$Z$1),0.1)</f>
        <v>210</v>
      </c>
      <c r="L222" s="708"/>
      <c r="M222" s="1032"/>
    </row>
    <row r="223" spans="1:13" ht="15">
      <c r="A223" s="215"/>
      <c r="B223" s="14" t="s">
        <v>614</v>
      </c>
      <c r="C223" s="707">
        <f>CEILING(113*$Z$1,0.1)</f>
        <v>141.3</v>
      </c>
      <c r="D223" s="708"/>
      <c r="E223" s="707">
        <f>CEILING(200*$Z$1,0.1)</f>
        <v>250</v>
      </c>
      <c r="F223" s="708"/>
      <c r="G223" s="707">
        <f>CEILING(150*$Z$1,0.1)</f>
        <v>187.5</v>
      </c>
      <c r="H223" s="708"/>
      <c r="I223" s="707">
        <f>CEILING(156*$Z$1,0.1)</f>
        <v>195</v>
      </c>
      <c r="J223" s="708"/>
      <c r="K223" s="707">
        <f>CEILING(125*$Z$1,0.1)</f>
        <v>156.3</v>
      </c>
      <c r="L223" s="708"/>
      <c r="M223" s="1032"/>
    </row>
    <row r="224" spans="1:13" ht="15">
      <c r="A224" s="215"/>
      <c r="B224" s="14" t="s">
        <v>615</v>
      </c>
      <c r="C224" s="707">
        <f>CEILING((C223+45*$Z$1),0.1)</f>
        <v>197.60000000000002</v>
      </c>
      <c r="D224" s="708"/>
      <c r="E224" s="707">
        <f>CEILING((E223+80*$Z$1),0.1)</f>
        <v>350</v>
      </c>
      <c r="F224" s="708"/>
      <c r="G224" s="707">
        <f>CEILING((G223+60*$Z$1),0.1)</f>
        <v>262.5</v>
      </c>
      <c r="H224" s="708"/>
      <c r="I224" s="707">
        <f>CEILING((I223+50*$Z$1),0.1)</f>
        <v>257.5</v>
      </c>
      <c r="J224" s="708"/>
      <c r="K224" s="707">
        <f>CEILING((K223+50*$Z$1),0.1)</f>
        <v>218.8</v>
      </c>
      <c r="L224" s="708"/>
      <c r="M224" s="1032"/>
    </row>
    <row r="225" spans="1:13" ht="15">
      <c r="A225" s="215"/>
      <c r="B225" s="14" t="s">
        <v>616</v>
      </c>
      <c r="C225" s="707">
        <f>CEILING(122*$Z$1,0.1)</f>
        <v>152.5</v>
      </c>
      <c r="D225" s="708"/>
      <c r="E225" s="707">
        <f>CEILING(216*$Z$1,0.1)</f>
        <v>270</v>
      </c>
      <c r="F225" s="708"/>
      <c r="G225" s="707">
        <f>CEILING(162*$Z$1,0.1)</f>
        <v>202.5</v>
      </c>
      <c r="H225" s="708"/>
      <c r="I225" s="707">
        <f>CEILING(169*$Z$1,0.1)</f>
        <v>211.3</v>
      </c>
      <c r="J225" s="708"/>
      <c r="K225" s="707">
        <f>CEILING(135*$Z$1,0.1)</f>
        <v>168.8</v>
      </c>
      <c r="L225" s="708"/>
      <c r="M225" s="1032"/>
    </row>
    <row r="226" spans="1:13" ht="15">
      <c r="A226" s="215"/>
      <c r="B226" s="220" t="s">
        <v>617</v>
      </c>
      <c r="C226" s="705">
        <f>CEILING((C225+49*$Z$1),0.1)</f>
        <v>213.8</v>
      </c>
      <c r="D226" s="706"/>
      <c r="E226" s="705">
        <f>CEILING((E225+87*$Z$1),0.1)</f>
        <v>378.8</v>
      </c>
      <c r="F226" s="706"/>
      <c r="G226" s="705">
        <f>CEILING((G225+65*$Z$1),0.1)</f>
        <v>283.8</v>
      </c>
      <c r="H226" s="706"/>
      <c r="I226" s="705">
        <f>CEILING((I225+67.5*$Z$1),0.1)</f>
        <v>295.7</v>
      </c>
      <c r="J226" s="706"/>
      <c r="K226" s="705">
        <f>CEILING((K225+54*$Z$1),0.1)</f>
        <v>236.3</v>
      </c>
      <c r="L226" s="706"/>
      <c r="M226" s="1032"/>
    </row>
    <row r="227" spans="1:13" ht="15">
      <c r="A227" s="215"/>
      <c r="B227" s="14" t="s">
        <v>908</v>
      </c>
      <c r="C227" s="707">
        <f>CEILING(130*$Z$1,0.1)</f>
        <v>162.5</v>
      </c>
      <c r="D227" s="708"/>
      <c r="E227" s="703">
        <f>CEILING(223*$Z$1,0.1)</f>
        <v>278.8</v>
      </c>
      <c r="F227" s="704"/>
      <c r="G227" s="703">
        <f>CEILING(170*$Z$1,0.1)</f>
        <v>212.5</v>
      </c>
      <c r="H227" s="704"/>
      <c r="I227" s="703">
        <f>CEILING(177*$Z$1,0.1)</f>
        <v>221.3</v>
      </c>
      <c r="J227" s="704"/>
      <c r="K227" s="703">
        <f>CEILING(143*$Z$1,0.1)</f>
        <v>178.8</v>
      </c>
      <c r="L227" s="704"/>
      <c r="M227" s="1032"/>
    </row>
    <row r="228" spans="1:13" ht="15">
      <c r="A228" s="215"/>
      <c r="B228" s="14" t="s">
        <v>909</v>
      </c>
      <c r="C228" s="707">
        <f>CEILING((C227*0.5),0.1)</f>
        <v>81.30000000000001</v>
      </c>
      <c r="D228" s="708"/>
      <c r="E228" s="707">
        <f>CEILING((E227*0.5),0.1)</f>
        <v>139.4</v>
      </c>
      <c r="F228" s="708"/>
      <c r="G228" s="707">
        <f>CEILING((G227*0.5),0.1)</f>
        <v>106.30000000000001</v>
      </c>
      <c r="H228" s="708"/>
      <c r="I228" s="707">
        <f>CEILING((I227*0.5),0.1)</f>
        <v>110.7</v>
      </c>
      <c r="J228" s="708"/>
      <c r="K228" s="707">
        <f>CEILING((K227*0.5),0.1)</f>
        <v>89.4</v>
      </c>
      <c r="L228" s="708"/>
      <c r="M228" s="1032"/>
    </row>
    <row r="229" spans="1:13" ht="15.75" thickBot="1">
      <c r="A229" s="63" t="s">
        <v>514</v>
      </c>
      <c r="B229" s="15"/>
      <c r="C229" s="720"/>
      <c r="D229" s="721"/>
      <c r="E229" s="720"/>
      <c r="F229" s="721"/>
      <c r="G229" s="720"/>
      <c r="H229" s="721"/>
      <c r="I229" s="720"/>
      <c r="J229" s="721"/>
      <c r="K229" s="705"/>
      <c r="L229" s="706"/>
      <c r="M229" s="1032"/>
    </row>
    <row r="230" spans="1:13" ht="17.25" customHeight="1" thickTop="1">
      <c r="A230" s="273" t="s">
        <v>910</v>
      </c>
      <c r="B230" s="24"/>
      <c r="C230" s="24"/>
      <c r="D230" s="24"/>
      <c r="E230" s="24"/>
      <c r="F230" s="24"/>
      <c r="G230" s="24"/>
      <c r="H230" s="24"/>
      <c r="I230" s="24"/>
      <c r="J230" s="24"/>
      <c r="K230" s="265"/>
      <c r="L230" s="265"/>
      <c r="M230" s="1032"/>
    </row>
    <row r="231" spans="1:13" ht="15">
      <c r="A231" s="847" t="s">
        <v>911</v>
      </c>
      <c r="B231" s="847"/>
      <c r="C231" s="847"/>
      <c r="D231" s="847"/>
      <c r="E231" s="847"/>
      <c r="F231" s="847"/>
      <c r="G231" s="847"/>
      <c r="H231" s="847"/>
      <c r="I231" s="1052"/>
      <c r="J231" s="1052"/>
      <c r="K231" s="265"/>
      <c r="L231" s="265"/>
      <c r="M231" s="1032"/>
    </row>
    <row r="232" spans="1:13" ht="15">
      <c r="A232" s="1055" t="s">
        <v>631</v>
      </c>
      <c r="B232" s="20"/>
      <c r="C232" s="20"/>
      <c r="D232" s="20"/>
      <c r="E232" s="20"/>
      <c r="F232" s="20"/>
      <c r="G232" s="20"/>
      <c r="H232" s="20"/>
      <c r="I232" s="60"/>
      <c r="J232" s="60"/>
      <c r="K232" s="265"/>
      <c r="L232" s="265"/>
      <c r="M232" s="1032"/>
    </row>
    <row r="233" spans="1:13" ht="15">
      <c r="A233" s="170" t="s">
        <v>942</v>
      </c>
      <c r="B233" s="20"/>
      <c r="C233" s="20"/>
      <c r="D233" s="20"/>
      <c r="E233" s="20"/>
      <c r="F233" s="20"/>
      <c r="G233" s="20"/>
      <c r="H233" s="20"/>
      <c r="I233" s="60"/>
      <c r="J233" s="60"/>
      <c r="K233" s="265"/>
      <c r="L233" s="265"/>
      <c r="M233" s="1032"/>
    </row>
    <row r="234" spans="1:13" ht="15">
      <c r="A234" s="170" t="s">
        <v>1219</v>
      </c>
      <c r="B234" s="20"/>
      <c r="C234" s="20"/>
      <c r="D234" s="20"/>
      <c r="E234" s="20"/>
      <c r="F234" s="20"/>
      <c r="G234" s="20"/>
      <c r="H234" s="20"/>
      <c r="I234" s="60"/>
      <c r="J234" s="60"/>
      <c r="K234" s="265"/>
      <c r="L234" s="265"/>
      <c r="M234" s="1032"/>
    </row>
    <row r="235" spans="1:13" ht="15">
      <c r="A235" s="170" t="s">
        <v>943</v>
      </c>
      <c r="B235" s="20"/>
      <c r="C235" s="20"/>
      <c r="D235" s="20"/>
      <c r="E235" s="20"/>
      <c r="F235" s="20"/>
      <c r="G235" s="20"/>
      <c r="H235" s="20"/>
      <c r="I235" s="60"/>
      <c r="J235" s="60"/>
      <c r="K235" s="265"/>
      <c r="L235" s="265"/>
      <c r="M235" s="1032"/>
    </row>
    <row r="236" spans="1:13" ht="20.25" customHeight="1" hidden="1" thickTop="1">
      <c r="A236" s="58" t="s">
        <v>49</v>
      </c>
      <c r="B236" s="64"/>
      <c r="C236" s="795" t="s">
        <v>338</v>
      </c>
      <c r="D236" s="796"/>
      <c r="E236" s="845" t="s">
        <v>350</v>
      </c>
      <c r="F236" s="846"/>
      <c r="G236" s="845" t="s">
        <v>351</v>
      </c>
      <c r="H236" s="846"/>
      <c r="I236" s="888" t="s">
        <v>332</v>
      </c>
      <c r="J236" s="889"/>
      <c r="K236" s="289"/>
      <c r="L236" s="265"/>
      <c r="M236" s="1032"/>
    </row>
    <row r="237" spans="1:13" ht="16.5" customHeight="1" hidden="1">
      <c r="A237" s="214" t="s">
        <v>356</v>
      </c>
      <c r="B237" s="12" t="s">
        <v>57</v>
      </c>
      <c r="C237" s="716"/>
      <c r="D237" s="717"/>
      <c r="E237" s="716"/>
      <c r="F237" s="717"/>
      <c r="G237" s="716">
        <v>154</v>
      </c>
      <c r="H237" s="717"/>
      <c r="I237" s="716">
        <v>128</v>
      </c>
      <c r="J237" s="717"/>
      <c r="K237" s="289"/>
      <c r="L237" s="265"/>
      <c r="M237" s="1032"/>
    </row>
    <row r="238" spans="1:13" ht="15.75" customHeight="1" hidden="1" thickTop="1">
      <c r="A238" s="215" t="s">
        <v>51</v>
      </c>
      <c r="B238" s="14" t="s">
        <v>58</v>
      </c>
      <c r="C238" s="714"/>
      <c r="D238" s="715"/>
      <c r="E238" s="714"/>
      <c r="F238" s="715"/>
      <c r="G238" s="714">
        <v>204</v>
      </c>
      <c r="H238" s="715"/>
      <c r="I238" s="714">
        <v>178</v>
      </c>
      <c r="J238" s="715"/>
      <c r="K238" s="289"/>
      <c r="L238" s="265"/>
      <c r="M238" s="1032"/>
    </row>
    <row r="239" spans="1:13" ht="16.5" customHeight="1" hidden="1" thickTop="1">
      <c r="A239" s="216"/>
      <c r="B239" s="31" t="s">
        <v>53</v>
      </c>
      <c r="C239" s="714"/>
      <c r="D239" s="715"/>
      <c r="E239" s="714"/>
      <c r="F239" s="715"/>
      <c r="G239" s="714">
        <v>131</v>
      </c>
      <c r="H239" s="715"/>
      <c r="I239" s="714">
        <v>109</v>
      </c>
      <c r="J239" s="715"/>
      <c r="K239" s="289"/>
      <c r="L239" s="265"/>
      <c r="M239" s="1032"/>
    </row>
    <row r="240" spans="1:13" ht="16.5" customHeight="1" hidden="1" thickTop="1">
      <c r="A240" s="1054" t="s">
        <v>136</v>
      </c>
      <c r="B240" s="14" t="s">
        <v>78</v>
      </c>
      <c r="C240" s="714"/>
      <c r="D240" s="715"/>
      <c r="E240" s="714"/>
      <c r="F240" s="715"/>
      <c r="G240" s="714">
        <v>77</v>
      </c>
      <c r="H240" s="715"/>
      <c r="I240" s="714">
        <v>0</v>
      </c>
      <c r="J240" s="715"/>
      <c r="K240" s="289"/>
      <c r="L240" s="265"/>
      <c r="M240" s="1032"/>
    </row>
    <row r="241" spans="1:13" ht="15.75" customHeight="1" hidden="1" thickTop="1">
      <c r="A241" s="1034" t="s">
        <v>407</v>
      </c>
      <c r="B241" s="12" t="s">
        <v>59</v>
      </c>
      <c r="C241" s="714"/>
      <c r="D241" s="715"/>
      <c r="E241" s="714"/>
      <c r="F241" s="715"/>
      <c r="G241" s="714">
        <v>173</v>
      </c>
      <c r="H241" s="715"/>
      <c r="I241" s="714">
        <v>147</v>
      </c>
      <c r="J241" s="715"/>
      <c r="K241" s="289"/>
      <c r="L241" s="265"/>
      <c r="M241" s="1032"/>
    </row>
    <row r="242" spans="1:13" ht="15.75" customHeight="1" hidden="1" thickTop="1">
      <c r="A242" s="348" t="s">
        <v>408</v>
      </c>
      <c r="B242" s="12" t="s">
        <v>60</v>
      </c>
      <c r="C242" s="714"/>
      <c r="D242" s="715"/>
      <c r="E242" s="714"/>
      <c r="F242" s="715"/>
      <c r="G242" s="714">
        <v>223</v>
      </c>
      <c r="H242" s="715"/>
      <c r="I242" s="714">
        <v>197</v>
      </c>
      <c r="J242" s="715"/>
      <c r="K242" s="289"/>
      <c r="L242" s="265"/>
      <c r="M242" s="1032"/>
    </row>
    <row r="243" spans="1:13" ht="16.5" customHeight="1" hidden="1" thickTop="1">
      <c r="A243" s="216"/>
      <c r="B243" s="14" t="s">
        <v>260</v>
      </c>
      <c r="C243" s="714"/>
      <c r="D243" s="715"/>
      <c r="E243" s="714"/>
      <c r="F243" s="715"/>
      <c r="G243" s="1056">
        <v>179</v>
      </c>
      <c r="H243" s="1057"/>
      <c r="I243" s="714">
        <v>153</v>
      </c>
      <c r="J243" s="715"/>
      <c r="K243" s="289"/>
      <c r="L243" s="265"/>
      <c r="M243" s="1032"/>
    </row>
    <row r="244" spans="1:13" ht="16.5" customHeight="1" hidden="1" thickTop="1">
      <c r="A244" s="216"/>
      <c r="B244" s="14" t="s">
        <v>261</v>
      </c>
      <c r="C244" s="714"/>
      <c r="D244" s="715"/>
      <c r="E244" s="714"/>
      <c r="F244" s="715"/>
      <c r="G244" s="714">
        <v>229</v>
      </c>
      <c r="H244" s="715"/>
      <c r="I244" s="714">
        <v>203</v>
      </c>
      <c r="J244" s="715"/>
      <c r="K244" s="289"/>
      <c r="L244" s="265"/>
      <c r="M244" s="1032"/>
    </row>
    <row r="245" spans="1:13" ht="15.75" customHeight="1" hidden="1" thickTop="1">
      <c r="A245" s="215"/>
      <c r="B245" s="14" t="s">
        <v>357</v>
      </c>
      <c r="C245" s="714"/>
      <c r="D245" s="715"/>
      <c r="E245" s="714"/>
      <c r="F245" s="715"/>
      <c r="G245" s="714">
        <v>167</v>
      </c>
      <c r="H245" s="715"/>
      <c r="I245" s="714">
        <v>140</v>
      </c>
      <c r="J245" s="715"/>
      <c r="K245" s="289"/>
      <c r="L245" s="265"/>
      <c r="M245" s="1032"/>
    </row>
    <row r="246" spans="1:13" ht="16.5" customHeight="1" hidden="1" thickBot="1" thickTop="1">
      <c r="A246" s="63" t="s">
        <v>354</v>
      </c>
      <c r="B246" s="15" t="s">
        <v>358</v>
      </c>
      <c r="C246" s="718"/>
      <c r="D246" s="719"/>
      <c r="E246" s="718"/>
      <c r="F246" s="719"/>
      <c r="G246" s="718">
        <v>217</v>
      </c>
      <c r="H246" s="719"/>
      <c r="I246" s="718">
        <v>190</v>
      </c>
      <c r="J246" s="719"/>
      <c r="K246" s="289"/>
      <c r="L246" s="265"/>
      <c r="M246" s="1032"/>
    </row>
    <row r="247" spans="1:13" ht="15" hidden="1">
      <c r="A247" s="321" t="s">
        <v>361</v>
      </c>
      <c r="B247" s="54"/>
      <c r="C247" s="3"/>
      <c r="D247" s="3"/>
      <c r="E247" s="3"/>
      <c r="F247" s="3"/>
      <c r="G247" s="3"/>
      <c r="H247" s="3"/>
      <c r="I247" s="3"/>
      <c r="J247" s="653"/>
      <c r="K247" s="265"/>
      <c r="L247" s="265"/>
      <c r="M247" s="1032"/>
    </row>
    <row r="248" spans="1:13" ht="15" hidden="1">
      <c r="A248" s="273" t="s">
        <v>280</v>
      </c>
      <c r="B248" s="24"/>
      <c r="C248" s="24"/>
      <c r="D248" s="24"/>
      <c r="E248" s="24"/>
      <c r="F248" s="24"/>
      <c r="G248" s="24"/>
      <c r="H248" s="24"/>
      <c r="I248" s="24"/>
      <c r="J248" s="24"/>
      <c r="K248" s="265"/>
      <c r="L248" s="265"/>
      <c r="M248" s="1032"/>
    </row>
    <row r="249" spans="1:13" ht="15" hidden="1">
      <c r="A249" s="847" t="s">
        <v>359</v>
      </c>
      <c r="B249" s="847"/>
      <c r="C249" s="847"/>
      <c r="D249" s="847"/>
      <c r="E249" s="847"/>
      <c r="F249" s="847"/>
      <c r="G249" s="847"/>
      <c r="H249" s="847"/>
      <c r="I249" s="1052"/>
      <c r="J249" s="1052"/>
      <c r="K249" s="265"/>
      <c r="L249" s="265"/>
      <c r="M249" s="1032"/>
    </row>
    <row r="250" spans="1:13" ht="15" hidden="1">
      <c r="A250" s="1055" t="s">
        <v>360</v>
      </c>
      <c r="B250" s="20"/>
      <c r="C250" s="20"/>
      <c r="D250" s="20"/>
      <c r="E250" s="20"/>
      <c r="F250" s="20"/>
      <c r="G250" s="20"/>
      <c r="H250" s="20"/>
      <c r="I250" s="60"/>
      <c r="J250" s="60"/>
      <c r="K250" s="265"/>
      <c r="L250" s="265"/>
      <c r="M250" s="1032"/>
    </row>
    <row r="251" spans="1:13" ht="15" hidden="1">
      <c r="A251" s="170" t="s">
        <v>383</v>
      </c>
      <c r="B251" s="20"/>
      <c r="C251" s="20"/>
      <c r="D251" s="20"/>
      <c r="E251" s="20"/>
      <c r="F251" s="20"/>
      <c r="G251" s="20"/>
      <c r="H251" s="20"/>
      <c r="I251" s="60"/>
      <c r="J251" s="60"/>
      <c r="K251" s="265"/>
      <c r="L251" s="265"/>
      <c r="M251" s="1032"/>
    </row>
    <row r="252" spans="1:13" ht="15.75" hidden="1" thickBot="1">
      <c r="A252" s="246"/>
      <c r="B252" s="246"/>
      <c r="C252" s="246"/>
      <c r="D252" s="246"/>
      <c r="E252" s="2"/>
      <c r="F252" s="2"/>
      <c r="G252" s="2"/>
      <c r="H252" s="2"/>
      <c r="I252" s="2"/>
      <c r="J252" s="2"/>
      <c r="K252" s="265"/>
      <c r="L252" s="265"/>
      <c r="M252" s="1032"/>
    </row>
    <row r="253" spans="1:13" ht="15.75" thickBot="1">
      <c r="A253" s="692" t="s">
        <v>997</v>
      </c>
      <c r="B253" s="666"/>
      <c r="C253" s="666"/>
      <c r="D253" s="666"/>
      <c r="E253" s="666"/>
      <c r="F253" s="666"/>
      <c r="G253" s="666"/>
      <c r="H253" s="666"/>
      <c r="I253" s="666"/>
      <c r="J253" s="666"/>
      <c r="K253" s="265"/>
      <c r="L253" s="265"/>
      <c r="M253" s="1032"/>
    </row>
    <row r="254" spans="1:13" ht="16.5" thickBot="1" thickTop="1">
      <c r="A254" s="672" t="s">
        <v>49</v>
      </c>
      <c r="B254" s="463"/>
      <c r="C254" s="803" t="s">
        <v>884</v>
      </c>
      <c r="D254" s="804"/>
      <c r="E254" s="726" t="s">
        <v>885</v>
      </c>
      <c r="F254" s="727"/>
      <c r="G254" s="730" t="s">
        <v>886</v>
      </c>
      <c r="H254" s="731"/>
      <c r="I254" s="730" t="s">
        <v>887</v>
      </c>
      <c r="J254" s="731"/>
      <c r="K254" s="732" t="s">
        <v>888</v>
      </c>
      <c r="L254" s="733"/>
      <c r="M254" s="1032"/>
    </row>
    <row r="255" spans="1:14" ht="15.75" customHeight="1" thickTop="1">
      <c r="A255" s="214" t="s">
        <v>79</v>
      </c>
      <c r="B255" s="12" t="s">
        <v>57</v>
      </c>
      <c r="C255" s="862">
        <f>CEILING(80*$Z$1,0.1)</f>
        <v>100</v>
      </c>
      <c r="D255" s="863"/>
      <c r="E255" s="703">
        <f>CEILING(145*$Z$1,0.1)</f>
        <v>181.3</v>
      </c>
      <c r="F255" s="704"/>
      <c r="G255" s="734">
        <f>CEILING(110*$Z$1,0.1)</f>
        <v>137.5</v>
      </c>
      <c r="H255" s="735"/>
      <c r="I255" s="734">
        <f>CEILING(115*$Z$1,0.1)</f>
        <v>143.8</v>
      </c>
      <c r="J255" s="735"/>
      <c r="K255" s="703">
        <f>CEILING(90*$Z$1,0.1)</f>
        <v>112.5</v>
      </c>
      <c r="L255" s="704"/>
      <c r="M255" s="3"/>
      <c r="N255" s="3"/>
    </row>
    <row r="256" spans="1:14" ht="15.75" customHeight="1">
      <c r="A256" s="215" t="s">
        <v>51</v>
      </c>
      <c r="B256" s="14" t="s">
        <v>58</v>
      </c>
      <c r="C256" s="773">
        <f>CEILING((C255+28*$Z$1),0.1)</f>
        <v>135</v>
      </c>
      <c r="D256" s="774"/>
      <c r="E256" s="707">
        <f>CEILING((E255+51*$Z$1),0.1)</f>
        <v>245.10000000000002</v>
      </c>
      <c r="F256" s="708"/>
      <c r="G256" s="707">
        <f>CEILING((G255+38.5*$Z$1),0.1)</f>
        <v>185.70000000000002</v>
      </c>
      <c r="H256" s="708"/>
      <c r="I256" s="707">
        <f>CEILING((I255+40*$Z$1),0.1)</f>
        <v>193.8</v>
      </c>
      <c r="J256" s="708"/>
      <c r="K256" s="707">
        <v>152</v>
      </c>
      <c r="L256" s="708"/>
      <c r="M256" s="59"/>
      <c r="N256" s="59"/>
    </row>
    <row r="257" spans="1:14" ht="15.75" customHeight="1">
      <c r="A257" s="216"/>
      <c r="B257" s="31" t="s">
        <v>53</v>
      </c>
      <c r="C257" s="773">
        <f>CEILING((C255*0.85),0.1)</f>
        <v>85</v>
      </c>
      <c r="D257" s="774"/>
      <c r="E257" s="707">
        <f>CEILING((E255*0.85),0.1)</f>
        <v>154.20000000000002</v>
      </c>
      <c r="F257" s="708"/>
      <c r="G257" s="707">
        <f>CEILING((G255*0.85),0.1)</f>
        <v>116.9</v>
      </c>
      <c r="H257" s="708"/>
      <c r="I257" s="707">
        <f>CEILING((I255*0.85),0.1)</f>
        <v>122.30000000000001</v>
      </c>
      <c r="J257" s="708"/>
      <c r="K257" s="707">
        <f>CEILING((K255*0.85),0.1)</f>
        <v>95.7</v>
      </c>
      <c r="L257" s="708"/>
      <c r="M257" s="59"/>
      <c r="N257" s="59"/>
    </row>
    <row r="258" spans="1:14" ht="15" customHeight="1">
      <c r="A258" s="1028"/>
      <c r="B258" s="14" t="s">
        <v>78</v>
      </c>
      <c r="C258" s="866">
        <v>0</v>
      </c>
      <c r="D258" s="867"/>
      <c r="E258" s="707">
        <f>CEILING((E255*0.5),0.1)</f>
        <v>90.7</v>
      </c>
      <c r="F258" s="708"/>
      <c r="G258" s="707">
        <f>CEILING((G255*0.5),0.1)</f>
        <v>68.8</v>
      </c>
      <c r="H258" s="708"/>
      <c r="I258" s="714">
        <v>72</v>
      </c>
      <c r="J258" s="715"/>
      <c r="K258" s="714">
        <v>0</v>
      </c>
      <c r="L258" s="715"/>
      <c r="M258" s="59"/>
      <c r="N258" s="59"/>
    </row>
    <row r="259" spans="1:14" ht="16.5" customHeight="1">
      <c r="A259" s="1058"/>
      <c r="B259" s="12" t="s">
        <v>59</v>
      </c>
      <c r="C259" s="773">
        <f>CEILING(88*$Z$1,0.1)</f>
        <v>110</v>
      </c>
      <c r="D259" s="774"/>
      <c r="E259" s="707">
        <f>CEILING(160*$Z$1,0.1)</f>
        <v>200</v>
      </c>
      <c r="F259" s="708"/>
      <c r="G259" s="707">
        <f>CEILING(121*$Z$1,0.1)</f>
        <v>151.3</v>
      </c>
      <c r="H259" s="708"/>
      <c r="I259" s="707">
        <f>CEILING(127*$Z$1,0.1)</f>
        <v>158.8</v>
      </c>
      <c r="J259" s="708"/>
      <c r="K259" s="707">
        <f>CEILING(99*$Z$1,0.1)</f>
        <v>123.80000000000001</v>
      </c>
      <c r="L259" s="708"/>
      <c r="M259" s="22"/>
      <c r="N259" s="22"/>
    </row>
    <row r="260" spans="1:14" ht="16.5" customHeight="1">
      <c r="A260" s="216"/>
      <c r="B260" s="12" t="s">
        <v>60</v>
      </c>
      <c r="C260" s="773">
        <f>CEILING((C259+31*$Z$1),0.1)</f>
        <v>148.8</v>
      </c>
      <c r="D260" s="774"/>
      <c r="E260" s="707">
        <f>CEILING((E259+56*$Z$1),0.1)</f>
        <v>270</v>
      </c>
      <c r="F260" s="708"/>
      <c r="G260" s="707">
        <f>CEILING((G259+42.5*$Z$1),0.1)</f>
        <v>204.5</v>
      </c>
      <c r="H260" s="708"/>
      <c r="I260" s="707">
        <f>CEILING((I259+44*$Z$1),0.1)</f>
        <v>213.8</v>
      </c>
      <c r="J260" s="708"/>
      <c r="K260" s="707">
        <f>CEILING((K259+35*$Z$1),0.1)</f>
        <v>167.60000000000002</v>
      </c>
      <c r="L260" s="708"/>
      <c r="M260" s="844"/>
      <c r="N260" s="844"/>
    </row>
    <row r="261" spans="1:14" ht="16.5" customHeight="1">
      <c r="A261" s="216"/>
      <c r="B261" s="12" t="s">
        <v>912</v>
      </c>
      <c r="C261" s="773">
        <v>147</v>
      </c>
      <c r="D261" s="774"/>
      <c r="E261" s="707">
        <v>254</v>
      </c>
      <c r="F261" s="708"/>
      <c r="G261" s="707">
        <v>197</v>
      </c>
      <c r="H261" s="708"/>
      <c r="I261" s="707">
        <v>204</v>
      </c>
      <c r="J261" s="708"/>
      <c r="K261" s="707">
        <v>163</v>
      </c>
      <c r="L261" s="708"/>
      <c r="M261" s="678"/>
      <c r="N261" s="678"/>
    </row>
    <row r="262" spans="1:14" ht="15.75">
      <c r="A262" s="216"/>
      <c r="B262" s="12" t="s">
        <v>913</v>
      </c>
      <c r="C262" s="773">
        <v>74</v>
      </c>
      <c r="D262" s="774"/>
      <c r="E262" s="707">
        <v>127</v>
      </c>
      <c r="F262" s="708"/>
      <c r="G262" s="707">
        <v>99</v>
      </c>
      <c r="H262" s="708"/>
      <c r="I262" s="707">
        <v>102</v>
      </c>
      <c r="J262" s="708"/>
      <c r="K262" s="707">
        <v>82</v>
      </c>
      <c r="L262" s="708"/>
      <c r="M262" s="753"/>
      <c r="N262" s="753"/>
    </row>
    <row r="263" spans="1:14" ht="16.5" customHeight="1">
      <c r="A263" s="216"/>
      <c r="B263" s="13" t="s">
        <v>914</v>
      </c>
      <c r="C263" s="773">
        <f>CEILING(143*$Z$1,0.1)</f>
        <v>178.8</v>
      </c>
      <c r="D263" s="774"/>
      <c r="E263" s="707">
        <f>CEILING(251*$Z$1,0.1)</f>
        <v>313.8</v>
      </c>
      <c r="F263" s="708"/>
      <c r="G263" s="707">
        <v>242</v>
      </c>
      <c r="H263" s="708"/>
      <c r="I263" s="707">
        <v>252</v>
      </c>
      <c r="J263" s="708"/>
      <c r="K263" s="707">
        <f>CEILING(160*$Z$1,0.1)</f>
        <v>200</v>
      </c>
      <c r="L263" s="708"/>
      <c r="M263" s="753"/>
      <c r="N263" s="753"/>
    </row>
    <row r="264" spans="1:14" ht="16.5" customHeight="1">
      <c r="A264" s="472"/>
      <c r="B264" s="13" t="s">
        <v>915</v>
      </c>
      <c r="C264" s="773">
        <v>90</v>
      </c>
      <c r="D264" s="774"/>
      <c r="E264" s="707">
        <v>157</v>
      </c>
      <c r="F264" s="708"/>
      <c r="G264" s="707">
        <v>121</v>
      </c>
      <c r="H264" s="708"/>
      <c r="I264" s="707">
        <v>126</v>
      </c>
      <c r="J264" s="708"/>
      <c r="K264" s="707">
        <v>100</v>
      </c>
      <c r="L264" s="708"/>
      <c r="M264" s="653"/>
      <c r="N264" s="653"/>
    </row>
    <row r="265" spans="1:14" ht="17.25" customHeight="1">
      <c r="A265" s="381"/>
      <c r="B265" s="14" t="s">
        <v>68</v>
      </c>
      <c r="C265" s="773">
        <f>CEILING(96*$Z$1,0.1)</f>
        <v>120</v>
      </c>
      <c r="D265" s="774"/>
      <c r="E265" s="707">
        <f>CEILING(174*$Z$1,0.1)</f>
        <v>217.5</v>
      </c>
      <c r="F265" s="708"/>
      <c r="G265" s="707">
        <f>CEILING(132*$Z$1,0.1)</f>
        <v>165</v>
      </c>
      <c r="H265" s="708"/>
      <c r="I265" s="707">
        <f>CEILING(138*$Z$1,0.1)</f>
        <v>172.5</v>
      </c>
      <c r="J265" s="708"/>
      <c r="K265" s="707">
        <f>CEILING(108*$Z$1,0.1)</f>
        <v>135</v>
      </c>
      <c r="L265" s="708"/>
      <c r="M265" s="3"/>
      <c r="N265" s="3"/>
    </row>
    <row r="266" spans="1:14" ht="15.75" thickBot="1">
      <c r="A266" s="63" t="s">
        <v>514</v>
      </c>
      <c r="B266" s="31" t="s">
        <v>69</v>
      </c>
      <c r="C266" s="773">
        <f>CEILING((C265+34*$Z$1),0.1)</f>
        <v>162.5</v>
      </c>
      <c r="D266" s="774"/>
      <c r="E266" s="720">
        <f>CEILING((E265+61*$Z$1),0.1)</f>
        <v>293.8</v>
      </c>
      <c r="F266" s="721"/>
      <c r="G266" s="720">
        <f>CEILING((G265+46*$Z$1),0.1)</f>
        <v>222.5</v>
      </c>
      <c r="H266" s="721"/>
      <c r="I266" s="720">
        <f>CEILING((I265+48*$Z$1),0.1)</f>
        <v>232.5</v>
      </c>
      <c r="J266" s="721"/>
      <c r="K266" s="720">
        <f>CEILING((K265+38*$Z$1),0.1)</f>
        <v>182.5</v>
      </c>
      <c r="L266" s="721"/>
      <c r="M266" s="753"/>
      <c r="N266" s="753"/>
    </row>
    <row r="267" spans="1:14" ht="15.75" thickTop="1">
      <c r="A267" s="217" t="s">
        <v>910</v>
      </c>
      <c r="B267" s="218"/>
      <c r="C267" s="218"/>
      <c r="D267" s="218"/>
      <c r="E267" s="218"/>
      <c r="F267" s="218"/>
      <c r="G267" s="218"/>
      <c r="H267" s="218"/>
      <c r="I267" s="218"/>
      <c r="J267" s="218"/>
      <c r="K267" s="1042"/>
      <c r="L267" s="1042"/>
      <c r="M267" s="3"/>
      <c r="N267" s="3"/>
    </row>
    <row r="268" spans="1:14" ht="17.25" customHeight="1">
      <c r="A268" s="1059" t="s">
        <v>916</v>
      </c>
      <c r="B268" s="1060"/>
      <c r="C268" s="1060"/>
      <c r="D268" s="1060"/>
      <c r="E268" s="1060"/>
      <c r="F268" s="1060"/>
      <c r="G268" s="1060"/>
      <c r="H268" s="1060"/>
      <c r="I268" s="1061"/>
      <c r="J268" s="1061"/>
      <c r="K268" s="1042"/>
      <c r="L268" s="1042"/>
      <c r="M268" s="3"/>
      <c r="N268" s="3"/>
    </row>
    <row r="269" spans="1:14" ht="15.75" customHeight="1">
      <c r="A269" s="1062" t="s">
        <v>355</v>
      </c>
      <c r="B269" s="1062"/>
      <c r="C269" s="1062"/>
      <c r="D269" s="1062"/>
      <c r="E269" s="1062"/>
      <c r="F269" s="1062"/>
      <c r="G269" s="1062"/>
      <c r="H269" s="1062"/>
      <c r="I269" s="60"/>
      <c r="J269" s="60"/>
      <c r="K269" s="237"/>
      <c r="L269" s="237"/>
      <c r="M269" s="22"/>
      <c r="N269" s="22"/>
    </row>
    <row r="270" spans="1:14" ht="15.75" customHeight="1">
      <c r="A270" s="170" t="s">
        <v>942</v>
      </c>
      <c r="B270" s="20"/>
      <c r="C270" s="20"/>
      <c r="D270" s="20"/>
      <c r="E270" s="20"/>
      <c r="F270" s="20"/>
      <c r="G270" s="20"/>
      <c r="H270" s="20"/>
      <c r="I270" s="60"/>
      <c r="J270" s="60"/>
      <c r="K270" s="237"/>
      <c r="L270" s="237"/>
      <c r="M270" s="22"/>
      <c r="N270" s="22"/>
    </row>
    <row r="271" spans="1:14" ht="15.75" customHeight="1">
      <c r="A271" s="170" t="s">
        <v>1218</v>
      </c>
      <c r="B271" s="20"/>
      <c r="C271" s="20"/>
      <c r="D271" s="20"/>
      <c r="E271" s="20"/>
      <c r="F271" s="20"/>
      <c r="G271" s="20"/>
      <c r="H271" s="20"/>
      <c r="I271" s="60"/>
      <c r="J271" s="60"/>
      <c r="K271" s="237"/>
      <c r="L271" s="237"/>
      <c r="M271" s="22"/>
      <c r="N271" s="22"/>
    </row>
    <row r="272" spans="1:25" ht="15">
      <c r="A272" s="170" t="s">
        <v>941</v>
      </c>
      <c r="B272" s="20"/>
      <c r="C272" s="20"/>
      <c r="D272" s="20"/>
      <c r="E272" s="20"/>
      <c r="F272" s="20"/>
      <c r="G272" s="20"/>
      <c r="H272" s="20"/>
      <c r="I272" s="60"/>
      <c r="J272" s="60"/>
      <c r="K272" s="237"/>
      <c r="L272" s="237"/>
      <c r="M272" s="22"/>
      <c r="X272" s="993"/>
      <c r="Y272" s="993"/>
    </row>
    <row r="273" spans="1:13" ht="16.5" customHeight="1">
      <c r="A273" s="660" t="s">
        <v>49</v>
      </c>
      <c r="B273" s="473"/>
      <c r="C273" s="984" t="s">
        <v>884</v>
      </c>
      <c r="D273" s="984"/>
      <c r="E273" s="722" t="s">
        <v>885</v>
      </c>
      <c r="F273" s="723"/>
      <c r="G273" s="982" t="s">
        <v>886</v>
      </c>
      <c r="H273" s="982"/>
      <c r="I273" s="982" t="s">
        <v>887</v>
      </c>
      <c r="J273" s="982"/>
      <c r="K273" s="732" t="s">
        <v>888</v>
      </c>
      <c r="L273" s="733"/>
      <c r="M273" s="1032"/>
    </row>
    <row r="274" spans="1:25" ht="15">
      <c r="A274" s="29" t="s">
        <v>80</v>
      </c>
      <c r="B274" s="31" t="s">
        <v>920</v>
      </c>
      <c r="C274" s="707">
        <f>CEILING(75*$Z$1,0.1)</f>
        <v>93.80000000000001</v>
      </c>
      <c r="D274" s="747"/>
      <c r="E274" s="703">
        <f>CEILING(139*$Z$1,0.1)</f>
        <v>173.8</v>
      </c>
      <c r="F274" s="704"/>
      <c r="G274" s="707">
        <f>CEILING(118*$Z$1,0.1)</f>
        <v>147.5</v>
      </c>
      <c r="H274" s="708"/>
      <c r="I274" s="707">
        <f>CEILING(80*$Z$1,0.1)</f>
        <v>100</v>
      </c>
      <c r="J274" s="708"/>
      <c r="K274" s="703">
        <f>CEILING(86*$Z$1,0.1)</f>
        <v>107.5</v>
      </c>
      <c r="L274" s="704"/>
      <c r="M274" s="992"/>
      <c r="X274" s="993"/>
      <c r="Y274" s="993"/>
    </row>
    <row r="275" spans="1:25" ht="15">
      <c r="A275" s="30" t="s">
        <v>607</v>
      </c>
      <c r="B275" s="14" t="s">
        <v>921</v>
      </c>
      <c r="C275" s="707">
        <f>CEILING((C274+26.3*$Z$1),0.1)</f>
        <v>126.7</v>
      </c>
      <c r="D275" s="708"/>
      <c r="E275" s="707">
        <f>CEILING((E274+30*$Z$1),0.1)</f>
        <v>211.3</v>
      </c>
      <c r="F275" s="708"/>
      <c r="G275" s="707">
        <f>CEILING((G274+41.5*$Z$1),0.1)</f>
        <v>199.4</v>
      </c>
      <c r="H275" s="708"/>
      <c r="I275" s="707">
        <f>CEILING((I274+28*$Z$1),0.1)</f>
        <v>135</v>
      </c>
      <c r="J275" s="708"/>
      <c r="K275" s="707">
        <f>CEILING((K274+30*$Z$1),0.1)</f>
        <v>145</v>
      </c>
      <c r="L275" s="708"/>
      <c r="M275" s="992"/>
      <c r="X275" s="993"/>
      <c r="Y275" s="993"/>
    </row>
    <row r="276" spans="1:25" ht="18" customHeight="1">
      <c r="A276" s="1028"/>
      <c r="B276" s="31" t="s">
        <v>53</v>
      </c>
      <c r="C276" s="707">
        <f>CEILING((C274*0.85),0.1)</f>
        <v>79.80000000000001</v>
      </c>
      <c r="D276" s="708"/>
      <c r="E276" s="707">
        <f>CEILING((E274*0.85),0.1)</f>
        <v>147.8</v>
      </c>
      <c r="F276" s="708"/>
      <c r="G276" s="707">
        <f>CEILING((G274*0.85),0.1)</f>
        <v>125.4</v>
      </c>
      <c r="H276" s="708"/>
      <c r="I276" s="707">
        <f>CEILING((I274*0.85),0.1)</f>
        <v>85</v>
      </c>
      <c r="J276" s="708"/>
      <c r="K276" s="707">
        <f>CEILING((K274*0.85),0.1)</f>
        <v>91.4</v>
      </c>
      <c r="L276" s="708"/>
      <c r="M276" s="992"/>
      <c r="X276" s="993"/>
      <c r="Y276" s="993"/>
    </row>
    <row r="277" spans="1:25" ht="18" customHeight="1">
      <c r="A277" s="1028"/>
      <c r="B277" s="31" t="s">
        <v>922</v>
      </c>
      <c r="C277" s="707">
        <f>CEILING(103*$Z$1,0.1)</f>
        <v>128.8</v>
      </c>
      <c r="D277" s="747"/>
      <c r="E277" s="707">
        <f>CEILING(183*$Z$1,0.1)</f>
        <v>228.8</v>
      </c>
      <c r="F277" s="708"/>
      <c r="G277" s="707">
        <f>CEILING(143*$Z$1,0.1)</f>
        <v>178.8</v>
      </c>
      <c r="H277" s="708"/>
      <c r="I277" s="707">
        <f>CEILING(157*$Z$1,0.1)</f>
        <v>196.3</v>
      </c>
      <c r="J277" s="708"/>
      <c r="K277" s="707">
        <f>CEILING(117*$Z$1,0.1)</f>
        <v>146.3</v>
      </c>
      <c r="L277" s="708"/>
      <c r="M277" s="992"/>
      <c r="X277" s="993"/>
      <c r="Y277" s="993"/>
    </row>
    <row r="278" spans="1:14" ht="18.75" customHeight="1" thickBot="1">
      <c r="A278" s="63" t="s">
        <v>542</v>
      </c>
      <c r="B278" s="178" t="s">
        <v>923</v>
      </c>
      <c r="C278" s="720">
        <v>64.5</v>
      </c>
      <c r="D278" s="721"/>
      <c r="E278" s="720">
        <v>114</v>
      </c>
      <c r="F278" s="721"/>
      <c r="G278" s="720">
        <v>90</v>
      </c>
      <c r="H278" s="721"/>
      <c r="I278" s="720">
        <v>73</v>
      </c>
      <c r="J278" s="721"/>
      <c r="K278" s="720">
        <v>73</v>
      </c>
      <c r="L278" s="721"/>
      <c r="M278" s="3"/>
      <c r="N278" s="3"/>
    </row>
    <row r="279" spans="1:25" s="1000" customFormat="1" ht="18" customHeight="1" thickTop="1">
      <c r="A279" s="237" t="s">
        <v>924</v>
      </c>
      <c r="B279" s="237"/>
      <c r="C279" s="237"/>
      <c r="D279" s="237"/>
      <c r="E279" s="237"/>
      <c r="F279" s="237"/>
      <c r="G279" s="237"/>
      <c r="H279" s="237"/>
      <c r="I279" s="237"/>
      <c r="J279" s="237"/>
      <c r="K279" s="1063"/>
      <c r="L279" s="1063"/>
      <c r="M279" s="265"/>
      <c r="N279" s="265"/>
      <c r="O279" s="1064"/>
      <c r="P279" s="1064"/>
      <c r="Q279" s="1064"/>
      <c r="R279" s="1064"/>
      <c r="S279" s="1064"/>
      <c r="T279" s="1064"/>
      <c r="U279" s="1064"/>
      <c r="V279" s="1064"/>
      <c r="W279" s="1064"/>
      <c r="X279" s="1064"/>
      <c r="Y279" s="1064"/>
    </row>
    <row r="280" spans="1:14" ht="18.75" customHeight="1">
      <c r="A280" s="380" t="s">
        <v>917</v>
      </c>
      <c r="B280" s="24"/>
      <c r="C280" s="24"/>
      <c r="D280" s="24"/>
      <c r="E280" s="24"/>
      <c r="F280" s="24"/>
      <c r="G280" s="24"/>
      <c r="H280" s="24"/>
      <c r="I280" s="24"/>
      <c r="J280" s="24"/>
      <c r="K280" s="1063"/>
      <c r="L280" s="1063"/>
      <c r="M280" s="3"/>
      <c r="N280" s="3"/>
    </row>
    <row r="281" spans="1:14" ht="18" customHeight="1">
      <c r="A281" s="20" t="s">
        <v>925</v>
      </c>
      <c r="B281" s="24"/>
      <c r="C281" s="24"/>
      <c r="D281" s="24"/>
      <c r="E281" s="24"/>
      <c r="F281" s="24"/>
      <c r="G281" s="24"/>
      <c r="H281" s="24"/>
      <c r="I281" s="24"/>
      <c r="J281" s="24"/>
      <c r="K281" s="1063"/>
      <c r="L281" s="1063"/>
      <c r="M281" s="3"/>
      <c r="N281" s="3"/>
    </row>
    <row r="282" spans="1:14" ht="18" customHeight="1">
      <c r="A282" s="170" t="s">
        <v>926</v>
      </c>
      <c r="B282" s="24"/>
      <c r="C282" s="24"/>
      <c r="D282" s="24"/>
      <c r="E282" s="24"/>
      <c r="F282" s="24"/>
      <c r="G282" s="24"/>
      <c r="H282" s="24"/>
      <c r="I282" s="24"/>
      <c r="J282" s="24"/>
      <c r="K282" s="1063"/>
      <c r="L282" s="1063"/>
      <c r="M282" s="3"/>
      <c r="N282" s="3"/>
    </row>
    <row r="283" spans="1:14" ht="18" customHeight="1">
      <c r="A283" s="170" t="s">
        <v>927</v>
      </c>
      <c r="B283" s="24"/>
      <c r="C283" s="24"/>
      <c r="D283" s="24"/>
      <c r="E283" s="24"/>
      <c r="F283" s="24"/>
      <c r="G283" s="24"/>
      <c r="H283" s="24"/>
      <c r="I283" s="24"/>
      <c r="J283" s="24"/>
      <c r="K283" s="1063"/>
      <c r="L283" s="1063"/>
      <c r="M283" s="3"/>
      <c r="N283" s="3"/>
    </row>
    <row r="284" spans="1:14" ht="18" customHeight="1">
      <c r="A284" s="170" t="s">
        <v>928</v>
      </c>
      <c r="B284" s="24"/>
      <c r="C284" s="24"/>
      <c r="D284" s="24"/>
      <c r="E284" s="24"/>
      <c r="F284" s="24"/>
      <c r="G284" s="24"/>
      <c r="H284" s="24"/>
      <c r="I284" s="24"/>
      <c r="J284" s="24"/>
      <c r="K284" s="1063"/>
      <c r="L284" s="1063"/>
      <c r="M284" s="3"/>
      <c r="N284" s="3"/>
    </row>
    <row r="285" spans="1:25" ht="24" customHeight="1">
      <c r="A285" s="660" t="s">
        <v>49</v>
      </c>
      <c r="B285" s="473"/>
      <c r="C285" s="775" t="s">
        <v>884</v>
      </c>
      <c r="D285" s="776"/>
      <c r="E285" s="722" t="s">
        <v>885</v>
      </c>
      <c r="F285" s="723"/>
      <c r="G285" s="732" t="s">
        <v>901</v>
      </c>
      <c r="H285" s="733"/>
      <c r="I285" s="732" t="s">
        <v>887</v>
      </c>
      <c r="J285" s="733"/>
      <c r="K285" s="732" t="s">
        <v>888</v>
      </c>
      <c r="L285" s="733"/>
      <c r="M285" s="992"/>
      <c r="X285" s="993"/>
      <c r="Y285" s="993"/>
    </row>
    <row r="286" spans="1:23" s="1066" customFormat="1" ht="15" customHeight="1">
      <c r="A286" s="474" t="s">
        <v>81</v>
      </c>
      <c r="B286" s="12" t="s">
        <v>57</v>
      </c>
      <c r="C286" s="703">
        <f>CEILING(65*$Z$1,0.1)</f>
        <v>81.30000000000001</v>
      </c>
      <c r="D286" s="764"/>
      <c r="E286" s="703">
        <f>CEILING(125*$Z$1,0.1)</f>
        <v>156.3</v>
      </c>
      <c r="F286" s="704"/>
      <c r="G286" s="703">
        <f>CEILING(90*$Z$1,0.1)</f>
        <v>112.5</v>
      </c>
      <c r="H286" s="704"/>
      <c r="I286" s="703">
        <f>CEILING(102*$Z$1,0.1)</f>
        <v>127.5</v>
      </c>
      <c r="J286" s="704"/>
      <c r="K286" s="703">
        <f>CEILING(75*$Z$1,0.1)</f>
        <v>93.80000000000001</v>
      </c>
      <c r="L286" s="704"/>
      <c r="M286" s="1065"/>
      <c r="N286" s="1065"/>
      <c r="O286" s="1065"/>
      <c r="P286" s="1065"/>
      <c r="Q286" s="1065"/>
      <c r="R286" s="1065"/>
      <c r="S286" s="1065"/>
      <c r="T286" s="1065"/>
      <c r="U286" s="1065"/>
      <c r="V286" s="1065"/>
      <c r="W286" s="1065"/>
    </row>
    <row r="287" spans="1:25" ht="15" customHeight="1">
      <c r="A287" s="382" t="s">
        <v>65</v>
      </c>
      <c r="B287" s="14" t="s">
        <v>58</v>
      </c>
      <c r="C287" s="707">
        <f>CEILING((C286+26*$Z$1),0.1)</f>
        <v>113.80000000000001</v>
      </c>
      <c r="D287" s="708"/>
      <c r="E287" s="707">
        <f>CEILING((E286+50*$Z$1),0.1)</f>
        <v>218.8</v>
      </c>
      <c r="F287" s="708"/>
      <c r="G287" s="707">
        <f>CEILING((G286+36*$Z$1),0.1)</f>
        <v>157.5</v>
      </c>
      <c r="H287" s="708"/>
      <c r="I287" s="707">
        <f>CEILING((I286+41*$Z$1),0.1)</f>
        <v>178.8</v>
      </c>
      <c r="J287" s="708"/>
      <c r="K287" s="707">
        <f>CEILING((K286+30*$Z$1),0.1)</f>
        <v>131.3</v>
      </c>
      <c r="L287" s="708"/>
      <c r="M287" s="992"/>
      <c r="X287" s="993"/>
      <c r="Y287" s="993"/>
    </row>
    <row r="288" spans="1:14" ht="15" customHeight="1">
      <c r="A288" s="1067"/>
      <c r="B288" s="12" t="s">
        <v>53</v>
      </c>
      <c r="C288" s="707">
        <f>CEILING((C286*0.85),0.1)</f>
        <v>69.2</v>
      </c>
      <c r="D288" s="708"/>
      <c r="E288" s="707">
        <f>CEILING((E286*0.85),0.1)</f>
        <v>132.9</v>
      </c>
      <c r="F288" s="708"/>
      <c r="G288" s="707">
        <f>CEILING((G286*0.85),0.1)</f>
        <v>95.7</v>
      </c>
      <c r="H288" s="708"/>
      <c r="I288" s="707">
        <f>CEILING((I286*0.85),0.1)</f>
        <v>108.4</v>
      </c>
      <c r="J288" s="708"/>
      <c r="K288" s="707">
        <f>CEILING((K286*0.85),0.1)</f>
        <v>79.80000000000001</v>
      </c>
      <c r="L288" s="708"/>
      <c r="M288" s="22"/>
      <c r="N288" s="22"/>
    </row>
    <row r="289" spans="1:14" ht="15" customHeight="1">
      <c r="A289" s="1067"/>
      <c r="B289" s="12" t="s">
        <v>78</v>
      </c>
      <c r="C289" s="714">
        <v>0</v>
      </c>
      <c r="D289" s="715"/>
      <c r="E289" s="707">
        <f>CEILING((E286*0.5),0.1)</f>
        <v>78.2</v>
      </c>
      <c r="F289" s="708"/>
      <c r="G289" s="707">
        <f>CEILING((G286*0.5),0.1)</f>
        <v>56.300000000000004</v>
      </c>
      <c r="H289" s="708"/>
      <c r="I289" s="714">
        <v>64</v>
      </c>
      <c r="J289" s="715"/>
      <c r="K289" s="714">
        <v>0</v>
      </c>
      <c r="L289" s="715"/>
      <c r="M289" s="22"/>
      <c r="N289" s="22"/>
    </row>
    <row r="290" spans="1:14" ht="15" customHeight="1">
      <c r="A290" s="1067"/>
      <c r="B290" s="12" t="s">
        <v>264</v>
      </c>
      <c r="C290" s="707">
        <f>CEILING(70*$Z$1,0.1)</f>
        <v>87.5</v>
      </c>
      <c r="D290" s="708"/>
      <c r="E290" s="707">
        <f>CEILING(134*$Z$1,0.1)</f>
        <v>167.5</v>
      </c>
      <c r="F290" s="708"/>
      <c r="G290" s="707">
        <f>CEILING(109*$Z$1,0.1)</f>
        <v>136.3</v>
      </c>
      <c r="H290" s="708"/>
      <c r="I290" s="707">
        <f>CEILING(109*$Z$1,0.1)</f>
        <v>136.3</v>
      </c>
      <c r="J290" s="708"/>
      <c r="K290" s="707">
        <f>CEILING(80*$Z$1,0.1)</f>
        <v>100</v>
      </c>
      <c r="L290" s="708"/>
      <c r="M290" s="22"/>
      <c r="N290" s="22"/>
    </row>
    <row r="291" spans="1:14" ht="15">
      <c r="A291" s="475" t="s">
        <v>514</v>
      </c>
      <c r="B291" s="220" t="s">
        <v>265</v>
      </c>
      <c r="C291" s="705">
        <f>CEILING((C290+25*$Z$1),0.1)</f>
        <v>118.80000000000001</v>
      </c>
      <c r="D291" s="706"/>
      <c r="E291" s="705">
        <f>CEILING((E290+54*$Z$1),0.1)</f>
        <v>235</v>
      </c>
      <c r="F291" s="706"/>
      <c r="G291" s="705">
        <f>CEILING((G290+43*$Z$1),0.1)</f>
        <v>190.10000000000002</v>
      </c>
      <c r="H291" s="706"/>
      <c r="I291" s="705">
        <f>CEILING((I290+43*$Z$1),0.1)</f>
        <v>190.10000000000002</v>
      </c>
      <c r="J291" s="706"/>
      <c r="K291" s="705">
        <f>CEILING((K290+32*$Z$1),0.1)</f>
        <v>140</v>
      </c>
      <c r="L291" s="706"/>
      <c r="M291" s="22"/>
      <c r="N291" s="22"/>
    </row>
    <row r="292" spans="1:25" ht="18.75" customHeight="1">
      <c r="A292" s="682" t="s">
        <v>929</v>
      </c>
      <c r="B292" s="661"/>
      <c r="C292" s="661"/>
      <c r="D292" s="661"/>
      <c r="E292" s="661"/>
      <c r="F292" s="661"/>
      <c r="G292" s="661"/>
      <c r="H292" s="661"/>
      <c r="I292" s="661"/>
      <c r="J292" s="661"/>
      <c r="K292" s="265"/>
      <c r="L292" s="265"/>
      <c r="M292" s="992"/>
      <c r="X292" s="993"/>
      <c r="Y292" s="993"/>
    </row>
    <row r="293" spans="1:25" ht="18.75" customHeight="1">
      <c r="A293" s="170" t="s">
        <v>939</v>
      </c>
      <c r="B293" s="661"/>
      <c r="C293" s="661"/>
      <c r="D293" s="661"/>
      <c r="E293" s="661"/>
      <c r="F293" s="661"/>
      <c r="G293" s="661"/>
      <c r="H293" s="661"/>
      <c r="I293" s="661"/>
      <c r="J293" s="661"/>
      <c r="K293" s="265"/>
      <c r="L293" s="265"/>
      <c r="M293" s="992"/>
      <c r="X293" s="993"/>
      <c r="Y293" s="993"/>
    </row>
    <row r="294" spans="1:25" ht="18" customHeight="1">
      <c r="A294" s="170" t="s">
        <v>940</v>
      </c>
      <c r="B294" s="24"/>
      <c r="C294" s="24"/>
      <c r="D294" s="24"/>
      <c r="E294" s="24"/>
      <c r="F294" s="24"/>
      <c r="G294" s="24"/>
      <c r="H294" s="24"/>
      <c r="I294" s="24"/>
      <c r="J294" s="24"/>
      <c r="K294" s="265"/>
      <c r="L294" s="265"/>
      <c r="M294" s="992"/>
      <c r="X294" s="993"/>
      <c r="Y294" s="993"/>
    </row>
    <row r="295" spans="1:13" ht="15.75" thickBot="1">
      <c r="A295" s="660" t="s">
        <v>49</v>
      </c>
      <c r="B295" s="473"/>
      <c r="C295" s="775" t="s">
        <v>884</v>
      </c>
      <c r="D295" s="776"/>
      <c r="E295" s="722" t="s">
        <v>885</v>
      </c>
      <c r="F295" s="723"/>
      <c r="G295" s="732" t="s">
        <v>901</v>
      </c>
      <c r="H295" s="733"/>
      <c r="I295" s="732" t="s">
        <v>887</v>
      </c>
      <c r="J295" s="733"/>
      <c r="K295" s="732" t="s">
        <v>888</v>
      </c>
      <c r="L295" s="733"/>
      <c r="M295" s="1032"/>
    </row>
    <row r="296" spans="1:14" ht="16.5" customHeight="1" thickTop="1">
      <c r="A296" s="85" t="s">
        <v>930</v>
      </c>
      <c r="B296" s="14" t="s">
        <v>102</v>
      </c>
      <c r="C296" s="707">
        <f>CEILING(52*$Z$1,0.1)</f>
        <v>65</v>
      </c>
      <c r="D296" s="747"/>
      <c r="E296" s="703">
        <f>CEILING(98*$Z$1,0.1)</f>
        <v>122.5</v>
      </c>
      <c r="F296" s="704"/>
      <c r="G296" s="734">
        <f>CEILING(72*$Z$1,0.1)</f>
        <v>90</v>
      </c>
      <c r="H296" s="735"/>
      <c r="I296" s="734">
        <f>CEILING(82*$Z$1,0.1)</f>
        <v>102.5</v>
      </c>
      <c r="J296" s="735"/>
      <c r="K296" s="703">
        <f>CEILING(57*$Z$1,0.1)</f>
        <v>71.3</v>
      </c>
      <c r="L296" s="704"/>
      <c r="M296" s="65"/>
      <c r="N296" s="65"/>
    </row>
    <row r="297" spans="1:14" ht="18" customHeight="1">
      <c r="A297" s="30" t="s">
        <v>65</v>
      </c>
      <c r="B297" s="14" t="s">
        <v>16</v>
      </c>
      <c r="C297" s="707">
        <f>CEILING(68*$Z$1,0.1)</f>
        <v>85</v>
      </c>
      <c r="D297" s="747"/>
      <c r="E297" s="707">
        <v>160</v>
      </c>
      <c r="F297" s="708"/>
      <c r="G297" s="707">
        <f>CEILING(93.6*$Z$1,0.1)</f>
        <v>117</v>
      </c>
      <c r="H297" s="708"/>
      <c r="I297" s="707">
        <f>CEILING(106.6*$Z$1,0.1)</f>
        <v>133.3</v>
      </c>
      <c r="J297" s="708"/>
      <c r="K297" s="707">
        <f>CEILING(74.1*$Z$1,0.1)</f>
        <v>92.7</v>
      </c>
      <c r="L297" s="708"/>
      <c r="M297" s="65"/>
      <c r="N297" s="65"/>
    </row>
    <row r="298" spans="1:14" ht="18" customHeight="1">
      <c r="A298" s="1068"/>
      <c r="B298" s="138" t="s">
        <v>932</v>
      </c>
      <c r="C298" s="714">
        <v>0</v>
      </c>
      <c r="D298" s="1069"/>
      <c r="E298" s="714">
        <v>61.3</v>
      </c>
      <c r="F298" s="715"/>
      <c r="G298" s="714">
        <v>45</v>
      </c>
      <c r="H298" s="715"/>
      <c r="I298" s="771">
        <v>51.3</v>
      </c>
      <c r="J298" s="772"/>
      <c r="K298" s="714">
        <v>0</v>
      </c>
      <c r="L298" s="715"/>
      <c r="M298" s="65"/>
      <c r="N298" s="65"/>
    </row>
    <row r="299" spans="1:14" ht="18" customHeight="1">
      <c r="A299" s="30"/>
      <c r="B299" s="416" t="s">
        <v>931</v>
      </c>
      <c r="C299" s="705">
        <f>CEILING((C296*0.5),0.1)</f>
        <v>32.5</v>
      </c>
      <c r="D299" s="890"/>
      <c r="E299" s="705">
        <f>CEILING((E296*0.5),0.1)</f>
        <v>61.300000000000004</v>
      </c>
      <c r="F299" s="706"/>
      <c r="G299" s="705">
        <f>CEILING((G296*0.5),0.1)</f>
        <v>45</v>
      </c>
      <c r="H299" s="706"/>
      <c r="I299" s="705">
        <f>CEILING((I296*0.5),0.1)</f>
        <v>51.300000000000004</v>
      </c>
      <c r="J299" s="706"/>
      <c r="K299" s="705">
        <f>CEILING((K296*0.5),0.1)</f>
        <v>35.7</v>
      </c>
      <c r="L299" s="706"/>
      <c r="M299" s="65"/>
      <c r="N299" s="65"/>
    </row>
    <row r="300" spans="1:14" ht="18" customHeight="1">
      <c r="A300" s="30"/>
      <c r="B300" s="138" t="s">
        <v>933</v>
      </c>
      <c r="C300" s="707">
        <f>CEILING(58*$Z$1,0.1)</f>
        <v>72.5</v>
      </c>
      <c r="D300" s="708"/>
      <c r="E300" s="703">
        <f>CEILING(109*$Z$1,0.1)</f>
        <v>136.3</v>
      </c>
      <c r="F300" s="704"/>
      <c r="G300" s="703">
        <f>CEILING(81*$Z$1,0.1)</f>
        <v>101.30000000000001</v>
      </c>
      <c r="H300" s="704"/>
      <c r="I300" s="703">
        <f>CEILING(92*$Z$1,0.1)</f>
        <v>115</v>
      </c>
      <c r="J300" s="704"/>
      <c r="K300" s="703">
        <f>CEILING(63*$Z$1,0.1)</f>
        <v>78.80000000000001</v>
      </c>
      <c r="L300" s="704"/>
      <c r="M300" s="65"/>
      <c r="N300" s="65"/>
    </row>
    <row r="301" spans="1:14" ht="18" customHeight="1">
      <c r="A301" s="30"/>
      <c r="B301" s="14" t="s">
        <v>934</v>
      </c>
      <c r="C301" s="707">
        <f>CEILING(75.4*$Z$1,0.1)</f>
        <v>94.30000000000001</v>
      </c>
      <c r="D301" s="747"/>
      <c r="E301" s="707">
        <f>CEILING(141.7*$Z$1,0.1)</f>
        <v>177.20000000000002</v>
      </c>
      <c r="F301" s="708"/>
      <c r="G301" s="707">
        <f>CEILING(105.3*$Z$1,0.1)</f>
        <v>131.70000000000002</v>
      </c>
      <c r="H301" s="708"/>
      <c r="I301" s="707">
        <f>CEILING(120*$Z$1,0.1)</f>
        <v>150</v>
      </c>
      <c r="J301" s="708"/>
      <c r="K301" s="707">
        <f>CEILING(82*$Z$1,0.1)</f>
        <v>102.5</v>
      </c>
      <c r="L301" s="708"/>
      <c r="M301" s="65"/>
      <c r="N301" s="65"/>
    </row>
    <row r="302" spans="1:14" ht="18" customHeight="1">
      <c r="A302" s="82"/>
      <c r="B302" s="38" t="s">
        <v>962</v>
      </c>
      <c r="C302" s="714">
        <v>0</v>
      </c>
      <c r="D302" s="1069"/>
      <c r="E302" s="771">
        <v>68.2</v>
      </c>
      <c r="F302" s="772"/>
      <c r="G302" s="771">
        <v>50.7</v>
      </c>
      <c r="H302" s="772"/>
      <c r="I302" s="771">
        <v>57.5</v>
      </c>
      <c r="J302" s="772"/>
      <c r="K302" s="714">
        <v>0</v>
      </c>
      <c r="L302" s="715"/>
      <c r="M302" s="65"/>
      <c r="N302" s="65"/>
    </row>
    <row r="303" spans="1:14" ht="18" customHeight="1">
      <c r="A303" s="477" t="s">
        <v>492</v>
      </c>
      <c r="B303" s="138" t="s">
        <v>998</v>
      </c>
      <c r="C303" s="707">
        <f>CEILING((C300*0.5),0.1)</f>
        <v>36.300000000000004</v>
      </c>
      <c r="D303" s="747"/>
      <c r="E303" s="724">
        <f>CEILING((E300*0.5),0.1)</f>
        <v>68.2</v>
      </c>
      <c r="F303" s="725"/>
      <c r="G303" s="705">
        <f>CEILING((G300*0.5),0.1)</f>
        <v>50.7</v>
      </c>
      <c r="H303" s="706"/>
      <c r="I303" s="705">
        <f>CEILING((I300*0.5),0.1)</f>
        <v>57.5</v>
      </c>
      <c r="J303" s="706"/>
      <c r="K303" s="705">
        <f>CEILING((K300*0.5),0.1)</f>
        <v>39.400000000000006</v>
      </c>
      <c r="L303" s="706"/>
      <c r="M303" s="65"/>
      <c r="N303" s="65"/>
    </row>
    <row r="304" spans="1:25" s="1061" customFormat="1" ht="17.25" customHeight="1">
      <c r="A304" s="481"/>
      <c r="B304" s="479" t="s">
        <v>935</v>
      </c>
      <c r="C304" s="480"/>
      <c r="D304" s="480"/>
      <c r="E304" s="480"/>
      <c r="F304" s="480"/>
      <c r="G304" s="480"/>
      <c r="H304" s="480"/>
      <c r="I304" s="480"/>
      <c r="J304" s="480"/>
      <c r="K304" s="480"/>
      <c r="L304" s="480"/>
      <c r="M304" s="478"/>
      <c r="N304" s="478"/>
      <c r="O304" s="1070"/>
      <c r="P304" s="1070"/>
      <c r="Q304" s="1070"/>
      <c r="R304" s="1070"/>
      <c r="S304" s="1070"/>
      <c r="T304" s="1070"/>
      <c r="U304" s="1070"/>
      <c r="V304" s="1070"/>
      <c r="W304" s="1070"/>
      <c r="X304" s="1070"/>
      <c r="Y304" s="1070"/>
    </row>
    <row r="305" spans="1:25" ht="18.75" customHeight="1">
      <c r="A305" s="170" t="s">
        <v>937</v>
      </c>
      <c r="B305" s="661"/>
      <c r="C305" s="661"/>
      <c r="D305" s="661"/>
      <c r="E305" s="661"/>
      <c r="F305" s="661"/>
      <c r="G305" s="661"/>
      <c r="H305" s="661"/>
      <c r="I305" s="661"/>
      <c r="J305" s="661"/>
      <c r="K305" s="265"/>
      <c r="L305" s="265"/>
      <c r="M305" s="992"/>
      <c r="X305" s="993"/>
      <c r="Y305" s="993"/>
    </row>
    <row r="306" spans="1:25" ht="18" customHeight="1">
      <c r="A306" s="170" t="s">
        <v>938</v>
      </c>
      <c r="B306" s="24"/>
      <c r="C306" s="24"/>
      <c r="D306" s="24"/>
      <c r="E306" s="24"/>
      <c r="F306" s="24"/>
      <c r="G306" s="24"/>
      <c r="H306" s="24"/>
      <c r="I306" s="24"/>
      <c r="J306" s="24"/>
      <c r="K306" s="265"/>
      <c r="L306" s="265"/>
      <c r="M306" s="992"/>
      <c r="X306" s="993"/>
      <c r="Y306" s="993"/>
    </row>
    <row r="307" spans="1:25" ht="18" customHeight="1">
      <c r="A307" s="170" t="s">
        <v>936</v>
      </c>
      <c r="B307" s="24"/>
      <c r="C307" s="24"/>
      <c r="D307" s="24"/>
      <c r="E307" s="24"/>
      <c r="F307" s="24"/>
      <c r="G307" s="24"/>
      <c r="H307" s="24"/>
      <c r="I307" s="24"/>
      <c r="J307" s="24"/>
      <c r="K307" s="265"/>
      <c r="L307" s="265"/>
      <c r="M307" s="992"/>
      <c r="X307" s="993"/>
      <c r="Y307" s="993"/>
    </row>
    <row r="308" spans="1:25" ht="18" customHeight="1">
      <c r="A308" s="170"/>
      <c r="B308" s="24"/>
      <c r="C308" s="24"/>
      <c r="D308" s="24"/>
      <c r="E308" s="24"/>
      <c r="F308" s="24"/>
      <c r="G308" s="24"/>
      <c r="H308" s="24"/>
      <c r="I308" s="24"/>
      <c r="J308" s="24"/>
      <c r="K308" s="265"/>
      <c r="L308" s="265"/>
      <c r="M308" s="992"/>
      <c r="X308" s="993"/>
      <c r="Y308" s="993"/>
    </row>
    <row r="309" spans="1:13" ht="15.75" thickBot="1">
      <c r="A309" s="660" t="s">
        <v>49</v>
      </c>
      <c r="B309" s="473"/>
      <c r="C309" s="775" t="s">
        <v>884</v>
      </c>
      <c r="D309" s="776"/>
      <c r="E309" s="722" t="s">
        <v>885</v>
      </c>
      <c r="F309" s="723"/>
      <c r="G309" s="732" t="s">
        <v>901</v>
      </c>
      <c r="H309" s="733"/>
      <c r="I309" s="732" t="s">
        <v>887</v>
      </c>
      <c r="J309" s="733"/>
      <c r="K309" s="732" t="s">
        <v>888</v>
      </c>
      <c r="L309" s="733"/>
      <c r="M309" s="1032"/>
    </row>
    <row r="310" spans="1:25" ht="15.75" customHeight="1" thickTop="1">
      <c r="A310" s="36" t="s">
        <v>211</v>
      </c>
      <c r="B310" s="14" t="s">
        <v>83</v>
      </c>
      <c r="C310" s="703">
        <f>CEILING(84*$Z$1,0.1)</f>
        <v>105</v>
      </c>
      <c r="D310" s="764"/>
      <c r="E310" s="703">
        <f>CEILING(144*$Z$1,0.1)</f>
        <v>180</v>
      </c>
      <c r="F310" s="704"/>
      <c r="G310" s="734">
        <f>CEILING(111*$Z$1,0.1)</f>
        <v>138.8</v>
      </c>
      <c r="H310" s="735"/>
      <c r="I310" s="734">
        <f>CEILING(123*$Z$1,0.1)</f>
        <v>153.8</v>
      </c>
      <c r="J310" s="735"/>
      <c r="K310" s="703">
        <f>CEILING(86*$Z$1,0.1)</f>
        <v>107.5</v>
      </c>
      <c r="L310" s="704"/>
      <c r="M310" s="1040"/>
      <c r="X310" s="993"/>
      <c r="Y310" s="993"/>
    </row>
    <row r="311" spans="1:25" ht="15">
      <c r="A311" s="37" t="s">
        <v>51</v>
      </c>
      <c r="B311" s="14" t="s">
        <v>84</v>
      </c>
      <c r="C311" s="707">
        <f>CEILING((C310+40*$Z$1),0.1)</f>
        <v>155</v>
      </c>
      <c r="D311" s="708"/>
      <c r="E311" s="707">
        <f>CEILING((E310+40*$Z$1),0.1)</f>
        <v>230</v>
      </c>
      <c r="F311" s="708"/>
      <c r="G311" s="707">
        <f>CEILING((G310+40*$Z$1),0.1)</f>
        <v>188.8</v>
      </c>
      <c r="H311" s="708"/>
      <c r="I311" s="707">
        <f>CEILING((I310+40*$Z$1),0.1)</f>
        <v>203.8</v>
      </c>
      <c r="J311" s="708"/>
      <c r="K311" s="707">
        <f>CEILING((K310+40*$Z$1),0.1)</f>
        <v>157.5</v>
      </c>
      <c r="L311" s="708"/>
      <c r="M311" s="992"/>
      <c r="X311" s="993"/>
      <c r="Y311" s="993"/>
    </row>
    <row r="312" spans="1:25" ht="15">
      <c r="A312" s="1071"/>
      <c r="B312" s="38" t="s">
        <v>53</v>
      </c>
      <c r="C312" s="707">
        <f>CEILING((C310*0.85),0.1)</f>
        <v>89.30000000000001</v>
      </c>
      <c r="D312" s="708"/>
      <c r="E312" s="707">
        <f>CEILING((E310*0.85),0.1)</f>
        <v>153</v>
      </c>
      <c r="F312" s="708"/>
      <c r="G312" s="707">
        <f>CEILING((G310*0.85),0.1)</f>
        <v>118</v>
      </c>
      <c r="H312" s="708"/>
      <c r="I312" s="707">
        <f>CEILING((I310*0.85),0.1)</f>
        <v>130.8</v>
      </c>
      <c r="J312" s="708"/>
      <c r="K312" s="707">
        <f>CEILING((K310*0.85),0.1)</f>
        <v>91.4</v>
      </c>
      <c r="L312" s="708"/>
      <c r="M312" s="992"/>
      <c r="X312" s="993"/>
      <c r="Y312" s="993"/>
    </row>
    <row r="313" spans="1:25" ht="15">
      <c r="A313" s="1028"/>
      <c r="B313" s="14" t="s">
        <v>122</v>
      </c>
      <c r="C313" s="707">
        <f>CEILING((C310*0.5),0.1)</f>
        <v>52.5</v>
      </c>
      <c r="D313" s="708"/>
      <c r="E313" s="707">
        <f>CEILING((E310*0.5),0.1)</f>
        <v>90</v>
      </c>
      <c r="F313" s="708"/>
      <c r="G313" s="707">
        <f>CEILING((G310*0.5),0.1)</f>
        <v>69.4</v>
      </c>
      <c r="H313" s="708"/>
      <c r="I313" s="707">
        <f>CEILING((I310*0.5),0.1)</f>
        <v>76.9</v>
      </c>
      <c r="J313" s="708"/>
      <c r="K313" s="707">
        <f>CEILING((K310*0.5),0.1)</f>
        <v>53.800000000000004</v>
      </c>
      <c r="L313" s="708"/>
      <c r="M313" s="992"/>
      <c r="X313" s="993"/>
      <c r="Y313" s="993"/>
    </row>
    <row r="314" spans="1:25" ht="15">
      <c r="A314" s="1071"/>
      <c r="B314" s="12" t="s">
        <v>212</v>
      </c>
      <c r="C314" s="707">
        <f>CEILING(129*$Z$1,0.1)</f>
        <v>161.3</v>
      </c>
      <c r="D314" s="708"/>
      <c r="E314" s="707">
        <f>CEILING(189*$Z$1,0.1)</f>
        <v>236.3</v>
      </c>
      <c r="F314" s="708"/>
      <c r="G314" s="707">
        <f>CEILING(156*$Z$1,0.1)</f>
        <v>195</v>
      </c>
      <c r="H314" s="708"/>
      <c r="I314" s="707">
        <f>CEILING(168*$Z$1,0.1)</f>
        <v>210</v>
      </c>
      <c r="J314" s="708"/>
      <c r="K314" s="707">
        <f>CEILING(131*$Z$1,0.1)</f>
        <v>163.8</v>
      </c>
      <c r="L314" s="708"/>
      <c r="M314" s="992"/>
      <c r="X314" s="993"/>
      <c r="Y314" s="993"/>
    </row>
    <row r="315" spans="1:25" ht="15">
      <c r="A315" s="1071"/>
      <c r="B315" s="12" t="s">
        <v>213</v>
      </c>
      <c r="C315" s="707">
        <f>CEILING((C314+40*$Z$1),0.1)</f>
        <v>211.3</v>
      </c>
      <c r="D315" s="708"/>
      <c r="E315" s="707">
        <f>CEILING((E314+40*$Z$1),0.1)</f>
        <v>286.3</v>
      </c>
      <c r="F315" s="708"/>
      <c r="G315" s="707">
        <f>CEILING((G314+40*$Z$1),0.1)</f>
        <v>245</v>
      </c>
      <c r="H315" s="708"/>
      <c r="I315" s="707">
        <f>CEILING((I314+40*$Z$1),0.1)</f>
        <v>260</v>
      </c>
      <c r="J315" s="708"/>
      <c r="K315" s="707">
        <f>CEILING((K314+40*$Z$1),0.1)</f>
        <v>213.8</v>
      </c>
      <c r="L315" s="708"/>
      <c r="M315" s="992"/>
      <c r="X315" s="993"/>
      <c r="Y315" s="993"/>
    </row>
    <row r="316" spans="1:25" ht="15">
      <c r="A316" s="1071"/>
      <c r="B316" s="12" t="s">
        <v>294</v>
      </c>
      <c r="C316" s="707">
        <f>CEILING(159*$Z$1,0.1)</f>
        <v>198.8</v>
      </c>
      <c r="D316" s="708"/>
      <c r="E316" s="707">
        <f>CEILING(219*$Z$1,0.1)</f>
        <v>273.8</v>
      </c>
      <c r="F316" s="708"/>
      <c r="G316" s="707">
        <f>CEILING(186*$Z$1,0.1)</f>
        <v>232.5</v>
      </c>
      <c r="H316" s="708"/>
      <c r="I316" s="707">
        <f>CEILING(198*$Z$1,0.1)</f>
        <v>247.5</v>
      </c>
      <c r="J316" s="708"/>
      <c r="K316" s="707">
        <f>CEILING(161*$Z$1,0.1)</f>
        <v>201.3</v>
      </c>
      <c r="L316" s="708"/>
      <c r="M316" s="992"/>
      <c r="X316" s="993"/>
      <c r="Y316" s="993"/>
    </row>
    <row r="317" spans="1:25" ht="15.75" thickBot="1">
      <c r="A317" s="373" t="s">
        <v>541</v>
      </c>
      <c r="B317" s="45" t="s">
        <v>295</v>
      </c>
      <c r="C317" s="720">
        <f>CEILING((C316+40*$Z$1),0.1)</f>
        <v>248.8</v>
      </c>
      <c r="D317" s="721"/>
      <c r="E317" s="720">
        <f>CEILING((E316+40*$Z$1),0.1)</f>
        <v>323.8</v>
      </c>
      <c r="F317" s="721"/>
      <c r="G317" s="720">
        <f>CEILING((G316+40*$Z$1),0.1)</f>
        <v>282.5</v>
      </c>
      <c r="H317" s="721"/>
      <c r="I317" s="720">
        <f>CEILING((I316+40*$Z$1),0.1)</f>
        <v>297.5</v>
      </c>
      <c r="J317" s="721"/>
      <c r="K317" s="720">
        <f>CEILING((K316+40*$Z$1),0.1)</f>
        <v>251.3</v>
      </c>
      <c r="L317" s="721"/>
      <c r="M317" s="992"/>
      <c r="X317" s="993"/>
      <c r="Y317" s="993"/>
    </row>
    <row r="318" spans="1:25" ht="15.75" thickTop="1">
      <c r="A318" s="186" t="s">
        <v>430</v>
      </c>
      <c r="B318" s="218"/>
      <c r="C318" s="24"/>
      <c r="D318" s="24"/>
      <c r="E318" s="24"/>
      <c r="F318" s="24"/>
      <c r="G318" s="24"/>
      <c r="H318" s="24"/>
      <c r="I318" s="1042"/>
      <c r="J318" s="1042"/>
      <c r="K318" s="1042"/>
      <c r="L318" s="1042"/>
      <c r="M318" s="992"/>
      <c r="X318" s="993"/>
      <c r="Y318" s="993"/>
    </row>
    <row r="319" spans="1:25" ht="15">
      <c r="A319" s="170" t="s">
        <v>1098</v>
      </c>
      <c r="B319" s="24"/>
      <c r="C319" s="24"/>
      <c r="D319" s="24"/>
      <c r="E319" s="24"/>
      <c r="F319" s="24"/>
      <c r="G319" s="24"/>
      <c r="H319" s="24"/>
      <c r="I319" s="1042"/>
      <c r="J319" s="1042"/>
      <c r="K319" s="1042"/>
      <c r="L319" s="1042"/>
      <c r="M319" s="992"/>
      <c r="X319" s="993"/>
      <c r="Y319" s="993"/>
    </row>
    <row r="320" spans="1:25" ht="15">
      <c r="A320" s="170" t="s">
        <v>1099</v>
      </c>
      <c r="B320" s="24"/>
      <c r="C320" s="24"/>
      <c r="D320" s="24"/>
      <c r="E320" s="24"/>
      <c r="F320" s="24"/>
      <c r="G320" s="24"/>
      <c r="H320" s="24"/>
      <c r="I320" s="315"/>
      <c r="J320" s="315"/>
      <c r="K320" s="999"/>
      <c r="L320" s="999"/>
      <c r="M320" s="992"/>
      <c r="X320" s="993"/>
      <c r="Y320" s="993"/>
    </row>
    <row r="321" spans="1:25" ht="15.75" thickBot="1">
      <c r="A321" s="246"/>
      <c r="B321" s="34"/>
      <c r="C321" s="24"/>
      <c r="D321" s="24"/>
      <c r="E321" s="24"/>
      <c r="F321" s="24"/>
      <c r="G321" s="24"/>
      <c r="H321" s="24"/>
      <c r="I321" s="315"/>
      <c r="J321" s="315"/>
      <c r="K321" s="999"/>
      <c r="L321" s="999"/>
      <c r="M321" s="992"/>
      <c r="X321" s="993"/>
      <c r="Y321" s="993"/>
    </row>
    <row r="322" spans="1:25" ht="25.5" customHeight="1" thickTop="1">
      <c r="A322" s="700" t="s">
        <v>49</v>
      </c>
      <c r="B322" s="532"/>
      <c r="C322" s="726" t="s">
        <v>884</v>
      </c>
      <c r="D322" s="727"/>
      <c r="E322" s="726" t="s">
        <v>885</v>
      </c>
      <c r="F322" s="727"/>
      <c r="G322" s="726" t="s">
        <v>886</v>
      </c>
      <c r="H322" s="727"/>
      <c r="I322" s="726" t="s">
        <v>887</v>
      </c>
      <c r="J322" s="727"/>
      <c r="K322" s="726" t="s">
        <v>888</v>
      </c>
      <c r="L322" s="727"/>
      <c r="M322" s="992"/>
      <c r="X322" s="993"/>
      <c r="Y322" s="993"/>
    </row>
    <row r="323" spans="1:14" ht="15.75" customHeight="1">
      <c r="A323" s="36" t="s">
        <v>25</v>
      </c>
      <c r="B323" s="42" t="s">
        <v>83</v>
      </c>
      <c r="C323" s="707">
        <f>CEILING(94*$Z$1,0.1)</f>
        <v>117.5</v>
      </c>
      <c r="D323" s="747"/>
      <c r="E323" s="703">
        <f>CEILING(154*$Z$1,0.1)</f>
        <v>192.5</v>
      </c>
      <c r="F323" s="704"/>
      <c r="G323" s="703">
        <f>CEILING(121*$Z$1,0.1)</f>
        <v>151.3</v>
      </c>
      <c r="H323" s="704"/>
      <c r="I323" s="703">
        <f>CEILING(133*$Z$1,0.1)</f>
        <v>166.3</v>
      </c>
      <c r="J323" s="704"/>
      <c r="K323" s="703">
        <f>CEILING(96*$Z$1,0.1)</f>
        <v>120</v>
      </c>
      <c r="L323" s="704"/>
      <c r="M323" s="23"/>
      <c r="N323" s="22"/>
    </row>
    <row r="324" spans="1:25" ht="15.75" customHeight="1">
      <c r="A324" s="37" t="s">
        <v>51</v>
      </c>
      <c r="B324" s="14" t="s">
        <v>84</v>
      </c>
      <c r="C324" s="707">
        <f>CEILING((C323+40*$Z$1),0.1)</f>
        <v>167.5</v>
      </c>
      <c r="D324" s="708"/>
      <c r="E324" s="707">
        <f>CEILING((E323+40*$Z$1),0.1)</f>
        <v>242.5</v>
      </c>
      <c r="F324" s="708"/>
      <c r="G324" s="707">
        <f>CEILING((G323+40*$Z$1),0.1)</f>
        <v>201.3</v>
      </c>
      <c r="H324" s="708"/>
      <c r="I324" s="707">
        <f>CEILING((I323+40*$Z$1),0.1)</f>
        <v>216.3</v>
      </c>
      <c r="J324" s="708"/>
      <c r="K324" s="707">
        <f>CEILING((K323+40*$Z$1),0.1)</f>
        <v>170</v>
      </c>
      <c r="L324" s="708"/>
      <c r="M324" s="992"/>
      <c r="X324" s="993"/>
      <c r="Y324" s="993"/>
    </row>
    <row r="325" spans="1:25" ht="17.25" customHeight="1">
      <c r="A325" s="1071"/>
      <c r="B325" s="38" t="s">
        <v>53</v>
      </c>
      <c r="C325" s="707">
        <f>CEILING((C323*0.85),0.1)</f>
        <v>99.9</v>
      </c>
      <c r="D325" s="708"/>
      <c r="E325" s="707">
        <f>CEILING((E323*0.85),0.1)</f>
        <v>163.70000000000002</v>
      </c>
      <c r="F325" s="708"/>
      <c r="G325" s="707">
        <f>CEILING((G323*0.85),0.1)</f>
        <v>128.70000000000002</v>
      </c>
      <c r="H325" s="708"/>
      <c r="I325" s="707">
        <f>CEILING((I323*0.85),0.1)</f>
        <v>141.4</v>
      </c>
      <c r="J325" s="708"/>
      <c r="K325" s="707">
        <f>CEILING((K323*0.85),0.1)</f>
        <v>102</v>
      </c>
      <c r="L325" s="708"/>
      <c r="M325" s="992"/>
      <c r="X325" s="993"/>
      <c r="Y325" s="993"/>
    </row>
    <row r="326" spans="1:25" ht="15">
      <c r="A326" s="1072"/>
      <c r="B326" s="14" t="s">
        <v>122</v>
      </c>
      <c r="C326" s="707">
        <f>CEILING((C323*0.5),0.1)</f>
        <v>58.800000000000004</v>
      </c>
      <c r="D326" s="708"/>
      <c r="E326" s="707">
        <f>CEILING((E323*0.5),0.1)</f>
        <v>96.30000000000001</v>
      </c>
      <c r="F326" s="708"/>
      <c r="G326" s="707">
        <f>CEILING((G323*0.5),0.1)</f>
        <v>75.7</v>
      </c>
      <c r="H326" s="708"/>
      <c r="I326" s="707">
        <f>CEILING((I323*0.5),0.1)</f>
        <v>83.2</v>
      </c>
      <c r="J326" s="708"/>
      <c r="K326" s="707">
        <f>CEILING((K323*0.5),0.1)</f>
        <v>60</v>
      </c>
      <c r="L326" s="708"/>
      <c r="M326" s="992"/>
      <c r="X326" s="993"/>
      <c r="Y326" s="993"/>
    </row>
    <row r="327" spans="1:25" ht="15">
      <c r="A327" s="1071"/>
      <c r="B327" s="12" t="s">
        <v>212</v>
      </c>
      <c r="C327" s="707">
        <f>CEILING(139*$Z$1,0.1)</f>
        <v>173.8</v>
      </c>
      <c r="D327" s="708"/>
      <c r="E327" s="707">
        <f>CEILING(199*$Z$1,0.1)</f>
        <v>248.8</v>
      </c>
      <c r="F327" s="708"/>
      <c r="G327" s="707">
        <f>CEILING(166*$Z$1,0.1)</f>
        <v>207.5</v>
      </c>
      <c r="H327" s="708"/>
      <c r="I327" s="707">
        <f>CEILING(178*$Z$1,0.1)</f>
        <v>222.5</v>
      </c>
      <c r="J327" s="708"/>
      <c r="K327" s="707">
        <f>CEILING(141*$Z$1,0.1)</f>
        <v>176.3</v>
      </c>
      <c r="L327" s="708"/>
      <c r="M327" s="992"/>
      <c r="X327" s="993"/>
      <c r="Y327" s="993"/>
    </row>
    <row r="328" spans="1:25" ht="15">
      <c r="A328" s="1034"/>
      <c r="B328" s="12" t="s">
        <v>213</v>
      </c>
      <c r="C328" s="707">
        <f>CEILING((C327+40*$Z$1),0.1)</f>
        <v>223.8</v>
      </c>
      <c r="D328" s="708"/>
      <c r="E328" s="707">
        <f>CEILING((E327+40*$Z$1),0.1)</f>
        <v>298.8</v>
      </c>
      <c r="F328" s="708"/>
      <c r="G328" s="707">
        <f>CEILING((G327+40*$Z$1),0.1)</f>
        <v>257.5</v>
      </c>
      <c r="H328" s="708"/>
      <c r="I328" s="707">
        <f>CEILING((I327+40*$Z$1),0.1)</f>
        <v>272.5</v>
      </c>
      <c r="J328" s="708"/>
      <c r="K328" s="707">
        <f>CEILING((K327+40*$Z$1),0.1)</f>
        <v>226.3</v>
      </c>
      <c r="L328" s="708"/>
      <c r="M328" s="992"/>
      <c r="X328" s="993"/>
      <c r="Y328" s="993"/>
    </row>
    <row r="329" spans="1:25" ht="15">
      <c r="A329" s="348"/>
      <c r="B329" s="12" t="s">
        <v>296</v>
      </c>
      <c r="C329" s="707">
        <f>CEILING(154*$Z$1,0.1)</f>
        <v>192.5</v>
      </c>
      <c r="D329" s="708"/>
      <c r="E329" s="707">
        <f>CEILING(214*$Z$1,0.1)</f>
        <v>267.5</v>
      </c>
      <c r="F329" s="708"/>
      <c r="G329" s="707">
        <f>CEILING(181*$Z$1,0.1)</f>
        <v>226.3</v>
      </c>
      <c r="H329" s="708"/>
      <c r="I329" s="707">
        <f>CEILING(193*$Z$1,0.1)</f>
        <v>241.3</v>
      </c>
      <c r="J329" s="708"/>
      <c r="K329" s="707">
        <f>CEILING(156*$Z$1,0.1)</f>
        <v>195</v>
      </c>
      <c r="L329" s="708"/>
      <c r="M329" s="992"/>
      <c r="X329" s="993"/>
      <c r="Y329" s="993"/>
    </row>
    <row r="330" spans="1:25" ht="15">
      <c r="A330" s="1048"/>
      <c r="B330" s="12" t="s">
        <v>297</v>
      </c>
      <c r="C330" s="707">
        <f>CEILING((C329+40*$Z$1),0.1)</f>
        <v>242.5</v>
      </c>
      <c r="D330" s="708"/>
      <c r="E330" s="707">
        <f>CEILING((E329+40*$Z$1),0.1)</f>
        <v>317.5</v>
      </c>
      <c r="F330" s="708"/>
      <c r="G330" s="707">
        <f>CEILING((G329+40*$Z$1),0.1)</f>
        <v>276.3</v>
      </c>
      <c r="H330" s="708"/>
      <c r="I330" s="707">
        <f>CEILING((I329+40*$Z$1),0.1)</f>
        <v>291.3</v>
      </c>
      <c r="J330" s="708"/>
      <c r="K330" s="707">
        <f>CEILING((K329+40*$Z$1),0.1)</f>
        <v>245</v>
      </c>
      <c r="L330" s="708"/>
      <c r="M330" s="992"/>
      <c r="X330" s="993"/>
      <c r="Y330" s="993"/>
    </row>
    <row r="331" spans="1:25" ht="15">
      <c r="A331" s="1073"/>
      <c r="B331" s="12" t="s">
        <v>298</v>
      </c>
      <c r="C331" s="707">
        <f>CEILING(164*$Z$1,0.1)</f>
        <v>205</v>
      </c>
      <c r="D331" s="708"/>
      <c r="E331" s="707">
        <f>CEILING(224*$Z$1,0.1)</f>
        <v>280</v>
      </c>
      <c r="F331" s="708"/>
      <c r="G331" s="707">
        <f>CEILING(191*$Z$1,0.1)</f>
        <v>238.8</v>
      </c>
      <c r="H331" s="708"/>
      <c r="I331" s="707">
        <f>CEILING(203*$Z$1,0.1)</f>
        <v>253.8</v>
      </c>
      <c r="J331" s="708"/>
      <c r="K331" s="707">
        <f>CEILING(166*$Z$1,0.1)</f>
        <v>207.5</v>
      </c>
      <c r="L331" s="708"/>
      <c r="M331" s="992"/>
      <c r="X331" s="993"/>
      <c r="Y331" s="993"/>
    </row>
    <row r="332" spans="1:25" ht="15">
      <c r="A332" s="1073"/>
      <c r="B332" s="12" t="s">
        <v>299</v>
      </c>
      <c r="C332" s="707">
        <f>CEILING((C331+40*$Z$1),0.1)</f>
        <v>255</v>
      </c>
      <c r="D332" s="708"/>
      <c r="E332" s="707">
        <f>CEILING((E331+40*$Z$1),0.1)</f>
        <v>330</v>
      </c>
      <c r="F332" s="708"/>
      <c r="G332" s="707">
        <f>CEILING((G331+40*$Z$1),0.1)</f>
        <v>288.8</v>
      </c>
      <c r="H332" s="708"/>
      <c r="I332" s="707">
        <f>CEILING((I331+40*$Z$1),0.1)</f>
        <v>303.8</v>
      </c>
      <c r="J332" s="708"/>
      <c r="K332" s="707">
        <f>CEILING((K331+40*$Z$1),0.1)</f>
        <v>257.5</v>
      </c>
      <c r="L332" s="708"/>
      <c r="M332" s="992"/>
      <c r="X332" s="993"/>
      <c r="Y332" s="993"/>
    </row>
    <row r="333" spans="1:25" ht="15">
      <c r="A333" s="1073"/>
      <c r="B333" s="12" t="s">
        <v>300</v>
      </c>
      <c r="C333" s="707">
        <f>CEILING(229*$Z$1,0.1)</f>
        <v>286.3</v>
      </c>
      <c r="D333" s="708"/>
      <c r="E333" s="707">
        <f>CEILING(289*$Z$1,0.1)</f>
        <v>361.3</v>
      </c>
      <c r="F333" s="708"/>
      <c r="G333" s="707">
        <f>CEILING(256*$Z$1,0.1)</f>
        <v>320</v>
      </c>
      <c r="H333" s="708"/>
      <c r="I333" s="707">
        <f>CEILING(268*$Z$1,0.1)</f>
        <v>335</v>
      </c>
      <c r="J333" s="708"/>
      <c r="K333" s="707">
        <f>CEILING(231*$Z$1,0.1)</f>
        <v>288.8</v>
      </c>
      <c r="L333" s="708"/>
      <c r="M333" s="992"/>
      <c r="X333" s="993"/>
      <c r="Y333" s="993"/>
    </row>
    <row r="334" spans="1:25" ht="15.75" thickBot="1">
      <c r="A334" s="373" t="s">
        <v>541</v>
      </c>
      <c r="B334" s="45" t="s">
        <v>301</v>
      </c>
      <c r="C334" s="720">
        <f>CEILING((C333+40*$Z$1),0.1)</f>
        <v>336.3</v>
      </c>
      <c r="D334" s="721"/>
      <c r="E334" s="720">
        <f>CEILING((E333+40*$Z$1),0.1)</f>
        <v>411.3</v>
      </c>
      <c r="F334" s="721"/>
      <c r="G334" s="720">
        <f>CEILING((G333+40*$Z$1),0.1)</f>
        <v>370</v>
      </c>
      <c r="H334" s="721"/>
      <c r="I334" s="720">
        <f>CEILING((I333+40*$Z$1),0.1)</f>
        <v>385</v>
      </c>
      <c r="J334" s="721"/>
      <c r="K334" s="720">
        <f>CEILING((K333+40*$Z$1),0.1)</f>
        <v>338.8</v>
      </c>
      <c r="L334" s="721"/>
      <c r="M334" s="992"/>
      <c r="X334" s="993"/>
      <c r="Y334" s="993"/>
    </row>
    <row r="335" spans="1:14" ht="15.75" thickTop="1">
      <c r="A335" s="186" t="s">
        <v>430</v>
      </c>
      <c r="B335" s="350"/>
      <c r="C335" s="170"/>
      <c r="D335" s="170"/>
      <c r="E335" s="3"/>
      <c r="F335" s="3"/>
      <c r="G335" s="3"/>
      <c r="H335" s="3"/>
      <c r="I335" s="3"/>
      <c r="J335" s="3"/>
      <c r="K335" s="237"/>
      <c r="L335" s="237"/>
      <c r="M335" s="22"/>
      <c r="N335" s="22"/>
    </row>
    <row r="336" spans="1:14" ht="15">
      <c r="A336" s="170" t="s">
        <v>1100</v>
      </c>
      <c r="B336" s="170"/>
      <c r="C336" s="170"/>
      <c r="D336" s="170"/>
      <c r="E336" s="3"/>
      <c r="F336" s="3"/>
      <c r="G336" s="3"/>
      <c r="H336" s="3"/>
      <c r="I336" s="3"/>
      <c r="J336" s="3"/>
      <c r="K336" s="237"/>
      <c r="L336" s="237"/>
      <c r="M336" s="22"/>
      <c r="N336" s="22"/>
    </row>
    <row r="337" spans="1:14" ht="15">
      <c r="A337" s="170" t="s">
        <v>1101</v>
      </c>
      <c r="B337" s="170"/>
      <c r="C337" s="170"/>
      <c r="D337" s="170"/>
      <c r="E337" s="3"/>
      <c r="F337" s="3"/>
      <c r="G337" s="3"/>
      <c r="H337" s="3"/>
      <c r="I337" s="3"/>
      <c r="J337" s="3"/>
      <c r="K337" s="237"/>
      <c r="L337" s="237"/>
      <c r="M337" s="22"/>
      <c r="N337" s="22"/>
    </row>
    <row r="338" spans="1:25" ht="15.75" thickBot="1">
      <c r="A338" s="246"/>
      <c r="B338" s="34"/>
      <c r="C338" s="34"/>
      <c r="D338" s="34"/>
      <c r="E338" s="34"/>
      <c r="F338" s="34"/>
      <c r="G338" s="34"/>
      <c r="H338" s="34"/>
      <c r="I338" s="315"/>
      <c r="J338" s="315"/>
      <c r="K338" s="999"/>
      <c r="L338" s="999"/>
      <c r="M338" s="992"/>
      <c r="X338" s="993"/>
      <c r="Y338" s="993"/>
    </row>
    <row r="339" spans="1:25" ht="20.25" customHeight="1" thickTop="1">
      <c r="A339" s="701" t="s">
        <v>49</v>
      </c>
      <c r="B339" s="485"/>
      <c r="C339" s="803" t="s">
        <v>884</v>
      </c>
      <c r="D339" s="804"/>
      <c r="E339" s="726" t="s">
        <v>885</v>
      </c>
      <c r="F339" s="727"/>
      <c r="G339" s="730" t="s">
        <v>901</v>
      </c>
      <c r="H339" s="731"/>
      <c r="I339" s="732" t="s">
        <v>888</v>
      </c>
      <c r="J339" s="733"/>
      <c r="K339" s="265"/>
      <c r="L339" s="265"/>
      <c r="M339" s="992"/>
      <c r="X339" s="993"/>
      <c r="Y339" s="993"/>
    </row>
    <row r="340" spans="1:25" ht="16.5" customHeight="1">
      <c r="A340" s="204" t="s">
        <v>277</v>
      </c>
      <c r="B340" s="42" t="s">
        <v>240</v>
      </c>
      <c r="C340" s="707">
        <f>CEILING(115*$Z$1,0.1)</f>
        <v>143.8</v>
      </c>
      <c r="D340" s="747"/>
      <c r="E340" s="703">
        <f>CEILING(170*$Z$1,0.1)</f>
        <v>212.5</v>
      </c>
      <c r="F340" s="704"/>
      <c r="G340" s="703">
        <f>CEILING(140*$Z$1,0.1)</f>
        <v>175</v>
      </c>
      <c r="H340" s="704"/>
      <c r="I340" s="703">
        <f>CEILING(135*$Z$1,0.1)</f>
        <v>168.8</v>
      </c>
      <c r="J340" s="704"/>
      <c r="K340" s="104"/>
      <c r="L340" s="104"/>
      <c r="M340" s="992"/>
      <c r="X340" s="993"/>
      <c r="Y340" s="993"/>
    </row>
    <row r="341" spans="1:25" ht="18" customHeight="1">
      <c r="A341" s="177" t="s">
        <v>51</v>
      </c>
      <c r="B341" s="14" t="s">
        <v>241</v>
      </c>
      <c r="C341" s="707">
        <f>CEILING((C340+40*$Z$1),0.1)</f>
        <v>193.8</v>
      </c>
      <c r="D341" s="708"/>
      <c r="E341" s="707">
        <f>CEILING((E340+40*$Z$1),0.1)</f>
        <v>262.5</v>
      </c>
      <c r="F341" s="708"/>
      <c r="G341" s="707">
        <f>CEILING((G340+40*$Z$1),0.1)</f>
        <v>225</v>
      </c>
      <c r="H341" s="708"/>
      <c r="I341" s="707">
        <f>CEILING((I340+40*$Z$1),0.1)</f>
        <v>218.8</v>
      </c>
      <c r="J341" s="708"/>
      <c r="K341" s="104"/>
      <c r="L341" s="104"/>
      <c r="M341" s="992"/>
      <c r="X341" s="993"/>
      <c r="Y341" s="993"/>
    </row>
    <row r="342" spans="1:25" ht="20.25" customHeight="1">
      <c r="A342" s="219"/>
      <c r="B342" s="14" t="s">
        <v>242</v>
      </c>
      <c r="C342" s="707">
        <f>CEILING(175*$Z$1,0.1)</f>
        <v>218.8</v>
      </c>
      <c r="D342" s="708"/>
      <c r="E342" s="707">
        <f>CEILING(230*$Z$1,0.1)</f>
        <v>287.5</v>
      </c>
      <c r="F342" s="708"/>
      <c r="G342" s="707">
        <f>CEILING(200*$Z$1,0.1)</f>
        <v>250</v>
      </c>
      <c r="H342" s="708"/>
      <c r="I342" s="707">
        <f>CEILING(195*$Z$1,0.1)</f>
        <v>243.8</v>
      </c>
      <c r="J342" s="708"/>
      <c r="K342" s="104"/>
      <c r="L342" s="104"/>
      <c r="M342" s="992"/>
      <c r="X342" s="993"/>
      <c r="Y342" s="993"/>
    </row>
    <row r="343" spans="1:25" ht="18" customHeight="1">
      <c r="A343" s="219"/>
      <c r="B343" s="14" t="s">
        <v>243</v>
      </c>
      <c r="C343" s="707">
        <f>CEILING((C342+80*$Z$1),0.1)</f>
        <v>318.8</v>
      </c>
      <c r="D343" s="708"/>
      <c r="E343" s="707">
        <f>CEILING((E342+80*$Z$1),0.1)</f>
        <v>387.5</v>
      </c>
      <c r="F343" s="708"/>
      <c r="G343" s="707">
        <f>CEILING((G342+80*$Z$1),0.1)</f>
        <v>350</v>
      </c>
      <c r="H343" s="708"/>
      <c r="I343" s="707">
        <f>CEILING((I342+80*$Z$1),0.1)</f>
        <v>343.8</v>
      </c>
      <c r="J343" s="708"/>
      <c r="K343" s="104"/>
      <c r="L343" s="104"/>
      <c r="M343" s="992"/>
      <c r="X343" s="993"/>
      <c r="Y343" s="993"/>
    </row>
    <row r="344" spans="1:25" ht="16.5" customHeight="1">
      <c r="A344" s="155"/>
      <c r="B344" s="14" t="s">
        <v>244</v>
      </c>
      <c r="C344" s="707">
        <f>CEILING(195*$Z$1,0.1)</f>
        <v>243.8</v>
      </c>
      <c r="D344" s="708"/>
      <c r="E344" s="707">
        <f>CEILING(250*$Z$1,0.1)</f>
        <v>312.5</v>
      </c>
      <c r="F344" s="708"/>
      <c r="G344" s="707">
        <f>CEILING(220*$Z$1,0.1)</f>
        <v>275</v>
      </c>
      <c r="H344" s="708"/>
      <c r="I344" s="707">
        <f>CEILING(215*$Z$1,0.1)</f>
        <v>268.8</v>
      </c>
      <c r="J344" s="708"/>
      <c r="K344" s="1064"/>
      <c r="L344" s="1063"/>
      <c r="M344" s="992"/>
      <c r="X344" s="993"/>
      <c r="Y344" s="993"/>
    </row>
    <row r="345" spans="1:25" ht="18" customHeight="1" thickBot="1">
      <c r="A345" s="236" t="s">
        <v>525</v>
      </c>
      <c r="B345" s="15" t="s">
        <v>245</v>
      </c>
      <c r="C345" s="720">
        <f>CEILING((C344+100*$Z$1),0.1)</f>
        <v>368.8</v>
      </c>
      <c r="D345" s="721"/>
      <c r="E345" s="720">
        <f>CEILING((E344+100*$Z$1),0.1)</f>
        <v>437.5</v>
      </c>
      <c r="F345" s="721"/>
      <c r="G345" s="720">
        <f>CEILING((G344+100*$Z$1),0.1)</f>
        <v>400</v>
      </c>
      <c r="H345" s="721"/>
      <c r="I345" s="705">
        <f>CEILING((I344+100*$Z$1),0.1)</f>
        <v>393.8</v>
      </c>
      <c r="J345" s="706"/>
      <c r="K345" s="1063"/>
      <c r="L345" s="1063"/>
      <c r="M345" s="992"/>
      <c r="X345" s="993"/>
      <c r="Y345" s="993"/>
    </row>
    <row r="346" spans="1:14" ht="15.75" thickTop="1">
      <c r="A346" s="190" t="s">
        <v>266</v>
      </c>
      <c r="B346" s="168"/>
      <c r="C346" s="168"/>
      <c r="D346" s="168"/>
      <c r="E346" s="168"/>
      <c r="F346" s="168"/>
      <c r="G346" s="168"/>
      <c r="H346" s="168"/>
      <c r="I346" s="24"/>
      <c r="J346" s="24"/>
      <c r="K346" s="1064"/>
      <c r="L346" s="1064"/>
      <c r="M346" s="22"/>
      <c r="N346" s="22"/>
    </row>
    <row r="347" spans="1:14" ht="15">
      <c r="A347" s="117" t="s">
        <v>267</v>
      </c>
      <c r="B347" s="24"/>
      <c r="C347" s="24"/>
      <c r="D347" s="24"/>
      <c r="E347" s="24"/>
      <c r="F347" s="24"/>
      <c r="G347" s="24"/>
      <c r="H347" s="24"/>
      <c r="I347" s="1063"/>
      <c r="J347" s="1063"/>
      <c r="K347" s="1064"/>
      <c r="L347" s="1064"/>
      <c r="M347" s="22"/>
      <c r="N347" s="22"/>
    </row>
    <row r="348" spans="1:14" ht="15">
      <c r="A348" s="170" t="s">
        <v>585</v>
      </c>
      <c r="B348" s="24"/>
      <c r="C348" s="24"/>
      <c r="D348" s="24"/>
      <c r="E348" s="24"/>
      <c r="F348" s="24"/>
      <c r="G348" s="24"/>
      <c r="H348" s="24"/>
      <c r="I348" s="1063"/>
      <c r="J348" s="1063"/>
      <c r="K348" s="1064"/>
      <c r="L348" s="1064"/>
      <c r="M348" s="22"/>
      <c r="N348" s="22"/>
    </row>
    <row r="349" spans="1:25" ht="15.75" thickBot="1">
      <c r="A349" s="246"/>
      <c r="B349" s="34"/>
      <c r="C349" s="34"/>
      <c r="D349" s="34"/>
      <c r="E349" s="34"/>
      <c r="F349" s="34"/>
      <c r="G349" s="34"/>
      <c r="H349" s="34"/>
      <c r="I349" s="411"/>
      <c r="J349" s="411"/>
      <c r="K349" s="999"/>
      <c r="L349" s="999"/>
      <c r="M349" s="992"/>
      <c r="X349" s="993"/>
      <c r="Y349" s="993"/>
    </row>
    <row r="350" spans="1:14" ht="22.5" customHeight="1" thickTop="1">
      <c r="A350" s="700" t="s">
        <v>49</v>
      </c>
      <c r="B350" s="484"/>
      <c r="C350" s="803" t="s">
        <v>884</v>
      </c>
      <c r="D350" s="804"/>
      <c r="E350" s="726" t="s">
        <v>885</v>
      </c>
      <c r="F350" s="727"/>
      <c r="G350" s="730" t="s">
        <v>901</v>
      </c>
      <c r="H350" s="731"/>
      <c r="I350" s="730" t="s">
        <v>888</v>
      </c>
      <c r="J350" s="731"/>
      <c r="K350" s="284"/>
      <c r="L350" s="104"/>
      <c r="M350" s="22"/>
      <c r="N350" s="22"/>
    </row>
    <row r="351" spans="1:14" ht="16.5" customHeight="1">
      <c r="A351" s="36" t="s">
        <v>26</v>
      </c>
      <c r="B351" s="14" t="s">
        <v>57</v>
      </c>
      <c r="C351" s="707">
        <f>CEILING(60*$Z$1,0.1)</f>
        <v>75</v>
      </c>
      <c r="D351" s="747"/>
      <c r="E351" s="703">
        <f>CEILING(115*$Z$1,0.1)</f>
        <v>143.8</v>
      </c>
      <c r="F351" s="704"/>
      <c r="G351" s="703">
        <f>CEILING(80*$Z$1,0.1)</f>
        <v>100</v>
      </c>
      <c r="H351" s="704"/>
      <c r="I351" s="703">
        <f>CEILING(73*$Z$1,0.1)</f>
        <v>91.30000000000001</v>
      </c>
      <c r="J351" s="704"/>
      <c r="K351" s="284"/>
      <c r="L351" s="104"/>
      <c r="M351" s="22"/>
      <c r="N351" s="22"/>
    </row>
    <row r="352" spans="1:14" ht="18" customHeight="1">
      <c r="A352" s="37" t="s">
        <v>51</v>
      </c>
      <c r="B352" s="14" t="s">
        <v>58</v>
      </c>
      <c r="C352" s="707">
        <f>CEILING((C351+25*$Z$1),0.1)</f>
        <v>106.30000000000001</v>
      </c>
      <c r="D352" s="708"/>
      <c r="E352" s="707">
        <f>CEILING((E351+25*$Z$1),0.1)</f>
        <v>175.10000000000002</v>
      </c>
      <c r="F352" s="708"/>
      <c r="G352" s="707">
        <f>CEILING((G351+25*$Z$1),0.1)</f>
        <v>131.3</v>
      </c>
      <c r="H352" s="708"/>
      <c r="I352" s="707">
        <f>CEILING((I351+25*$Z$1),0.1)</f>
        <v>122.60000000000001</v>
      </c>
      <c r="J352" s="708"/>
      <c r="K352" s="284"/>
      <c r="L352" s="104"/>
      <c r="M352" s="22"/>
      <c r="N352" s="22"/>
    </row>
    <row r="353" spans="1:14" ht="16.5" customHeight="1">
      <c r="A353" s="1071"/>
      <c r="B353" s="38" t="s">
        <v>53</v>
      </c>
      <c r="C353" s="707">
        <f>CEILING((C351*0.85),0.1)</f>
        <v>63.800000000000004</v>
      </c>
      <c r="D353" s="708"/>
      <c r="E353" s="707">
        <f>CEILING((E351*0.85),0.1)</f>
        <v>122.30000000000001</v>
      </c>
      <c r="F353" s="708"/>
      <c r="G353" s="707">
        <f>CEILING((G351*0.85),0.1)</f>
        <v>85</v>
      </c>
      <c r="H353" s="708"/>
      <c r="I353" s="707">
        <f>CEILING((I351*0.85),0.1)</f>
        <v>77.7</v>
      </c>
      <c r="J353" s="708"/>
      <c r="K353" s="104"/>
      <c r="L353" s="104"/>
      <c r="M353" s="22"/>
      <c r="N353" s="22"/>
    </row>
    <row r="354" spans="1:14" ht="18" customHeight="1">
      <c r="A354" s="1071"/>
      <c r="B354" s="14" t="s">
        <v>85</v>
      </c>
      <c r="C354" s="707">
        <f>CEILING((C351*0.5),0.1)</f>
        <v>37.5</v>
      </c>
      <c r="D354" s="708"/>
      <c r="E354" s="707">
        <f>CEILING((E351*0.5),0.1)</f>
        <v>71.9</v>
      </c>
      <c r="F354" s="708"/>
      <c r="G354" s="707">
        <f>CEILING((G351*0.5),0.1)</f>
        <v>50</v>
      </c>
      <c r="H354" s="708"/>
      <c r="I354" s="707">
        <f>CEILING((I351*0.5),0.1)</f>
        <v>45.7</v>
      </c>
      <c r="J354" s="708"/>
      <c r="K354" s="104"/>
      <c r="L354" s="104"/>
      <c r="M354" s="22"/>
      <c r="N354" s="22"/>
    </row>
    <row r="355" spans="1:14" ht="18" customHeight="1">
      <c r="A355" s="1071"/>
      <c r="B355" s="31" t="s">
        <v>229</v>
      </c>
      <c r="C355" s="707">
        <f>CEILING(65*$Z$1,0.1)</f>
        <v>81.30000000000001</v>
      </c>
      <c r="D355" s="708"/>
      <c r="E355" s="707">
        <f>CEILING(120*$Z$1,0.1)</f>
        <v>150</v>
      </c>
      <c r="F355" s="708"/>
      <c r="G355" s="707">
        <f>CEILING(85*$Z$1,0.1)</f>
        <v>106.30000000000001</v>
      </c>
      <c r="H355" s="708"/>
      <c r="I355" s="707">
        <f>CEILING(78*$Z$1,0.1)</f>
        <v>97.5</v>
      </c>
      <c r="J355" s="708"/>
      <c r="K355" s="104"/>
      <c r="L355" s="104"/>
      <c r="M355" s="22"/>
      <c r="N355" s="22"/>
    </row>
    <row r="356" spans="1:14" ht="18.75" customHeight="1">
      <c r="A356" s="1071"/>
      <c r="B356" s="31" t="s">
        <v>708</v>
      </c>
      <c r="C356" s="707">
        <f>CEILING(80*$Z$1,0.1)</f>
        <v>100</v>
      </c>
      <c r="D356" s="708"/>
      <c r="E356" s="707">
        <f>CEILING(135*$Z$1,0.1)</f>
        <v>168.8</v>
      </c>
      <c r="F356" s="708"/>
      <c r="G356" s="707">
        <f>CEILING(100*$Z$1,0.1)</f>
        <v>125</v>
      </c>
      <c r="H356" s="708"/>
      <c r="I356" s="707">
        <f>CEILING(93*$Z$1,0.1)</f>
        <v>116.30000000000001</v>
      </c>
      <c r="J356" s="708"/>
      <c r="K356" s="104"/>
      <c r="L356" s="104"/>
      <c r="M356" s="22"/>
      <c r="N356" s="22"/>
    </row>
    <row r="357" spans="1:14" ht="18" customHeight="1">
      <c r="A357" s="1071"/>
      <c r="B357" s="31" t="s">
        <v>709</v>
      </c>
      <c r="C357" s="707">
        <f>CEILING((C356+30*$Z$1),0.1)</f>
        <v>137.5</v>
      </c>
      <c r="D357" s="708"/>
      <c r="E357" s="707">
        <f>CEILING((E356+30*$Z$1),0.1)</f>
        <v>206.3</v>
      </c>
      <c r="F357" s="708"/>
      <c r="G357" s="707">
        <f>CEILING((G356+30*$Z$1),0.1)</f>
        <v>162.5</v>
      </c>
      <c r="H357" s="708"/>
      <c r="I357" s="707">
        <f>CEILING((I356+30*$Z$1),0.1)</f>
        <v>153.8</v>
      </c>
      <c r="J357" s="708"/>
      <c r="K357" s="104"/>
      <c r="L357" s="104"/>
      <c r="M357" s="844"/>
      <c r="N357" s="844"/>
    </row>
    <row r="358" spans="1:14" ht="18" customHeight="1">
      <c r="A358" s="1073"/>
      <c r="B358" s="31" t="s">
        <v>710</v>
      </c>
      <c r="C358" s="707">
        <f>CEILING(110*$Z$1,0.1)</f>
        <v>137.5</v>
      </c>
      <c r="D358" s="708"/>
      <c r="E358" s="707">
        <f>CEILING(165*$Z$1,0.1)</f>
        <v>206.3</v>
      </c>
      <c r="F358" s="708"/>
      <c r="G358" s="707">
        <f>CEILING(130*$Z$1,0.1)</f>
        <v>162.5</v>
      </c>
      <c r="H358" s="708"/>
      <c r="I358" s="707">
        <f>CEILING(123*$Z$1,0.1)</f>
        <v>153.8</v>
      </c>
      <c r="J358" s="708"/>
      <c r="K358" s="104"/>
      <c r="L358" s="104"/>
      <c r="M358" s="753"/>
      <c r="N358" s="753"/>
    </row>
    <row r="359" spans="1:14" ht="17.25" customHeight="1" thickBot="1">
      <c r="A359" s="236" t="s">
        <v>525</v>
      </c>
      <c r="B359" s="15" t="s">
        <v>711</v>
      </c>
      <c r="C359" s="720">
        <f>CEILING((C358+40*$Z$1),0.1)</f>
        <v>187.5</v>
      </c>
      <c r="D359" s="721"/>
      <c r="E359" s="720">
        <f>CEILING((E358+40*$Z$1),0.1)</f>
        <v>256.3</v>
      </c>
      <c r="F359" s="721"/>
      <c r="G359" s="720">
        <f>CEILING((G358+40*$Z$1),0.1)</f>
        <v>212.5</v>
      </c>
      <c r="H359" s="721"/>
      <c r="I359" s="720">
        <f>CEILING((I358+40*$Z$1),0.1)</f>
        <v>203.8</v>
      </c>
      <c r="J359" s="721"/>
      <c r="K359" s="104"/>
      <c r="L359" s="104"/>
      <c r="M359" s="753"/>
      <c r="N359" s="753"/>
    </row>
    <row r="360" spans="1:14" ht="18.75" customHeight="1" thickTop="1">
      <c r="A360" s="117" t="s">
        <v>712</v>
      </c>
      <c r="B360" s="140"/>
      <c r="C360" s="3"/>
      <c r="D360" s="3"/>
      <c r="E360" s="3"/>
      <c r="F360" s="3"/>
      <c r="G360" s="3"/>
      <c r="H360" s="3"/>
      <c r="I360" s="3"/>
      <c r="J360" s="3"/>
      <c r="K360" s="281"/>
      <c r="L360" s="281"/>
      <c r="M360" s="753"/>
      <c r="N360" s="753"/>
    </row>
    <row r="361" spans="1:14" ht="18.75" customHeight="1">
      <c r="A361" s="170" t="s">
        <v>585</v>
      </c>
      <c r="B361" s="140"/>
      <c r="C361" s="3"/>
      <c r="D361" s="3"/>
      <c r="E361" s="3"/>
      <c r="F361" s="3"/>
      <c r="G361" s="3"/>
      <c r="H361" s="3"/>
      <c r="I361" s="3"/>
      <c r="J361" s="3"/>
      <c r="K361" s="281"/>
      <c r="L361" s="281"/>
      <c r="M361" s="653"/>
      <c r="N361" s="653"/>
    </row>
    <row r="362" spans="1:14" ht="20.25" customHeight="1" thickBot="1">
      <c r="A362" s="123"/>
      <c r="B362" s="141"/>
      <c r="C362" s="2"/>
      <c r="D362" s="2"/>
      <c r="E362" s="2"/>
      <c r="F362" s="2"/>
      <c r="G362" s="2"/>
      <c r="H362" s="2"/>
      <c r="I362" s="2"/>
      <c r="J362" s="2"/>
      <c r="K362" s="265"/>
      <c r="L362" s="265"/>
      <c r="M362" s="753"/>
      <c r="N362" s="753"/>
    </row>
    <row r="363" spans="1:14" ht="22.5" customHeight="1" thickTop="1">
      <c r="A363" s="700" t="s">
        <v>49</v>
      </c>
      <c r="B363" s="484"/>
      <c r="C363" s="803" t="s">
        <v>884</v>
      </c>
      <c r="D363" s="804"/>
      <c r="E363" s="726" t="s">
        <v>885</v>
      </c>
      <c r="F363" s="727"/>
      <c r="G363" s="730" t="s">
        <v>901</v>
      </c>
      <c r="H363" s="731"/>
      <c r="I363" s="730" t="s">
        <v>888</v>
      </c>
      <c r="J363" s="731"/>
      <c r="K363" s="290"/>
      <c r="L363" s="281"/>
      <c r="M363" s="753"/>
      <c r="N363" s="753"/>
    </row>
    <row r="364" spans="1:14" ht="15.75" customHeight="1">
      <c r="A364" s="191" t="s">
        <v>82</v>
      </c>
      <c r="B364" s="42" t="s">
        <v>83</v>
      </c>
      <c r="C364" s="707">
        <f>CEILING(56*$Z$1,0.1)</f>
        <v>70</v>
      </c>
      <c r="D364" s="747"/>
      <c r="E364" s="703">
        <f>CEILING(99*$Z$1,0.1)</f>
        <v>123.80000000000001</v>
      </c>
      <c r="F364" s="704"/>
      <c r="G364" s="703">
        <f>CEILING(76*$Z$1,0.1)</f>
        <v>95</v>
      </c>
      <c r="H364" s="704"/>
      <c r="I364" s="703">
        <f>CEILING(64*$Z$1,0.1)</f>
        <v>80</v>
      </c>
      <c r="J364" s="704"/>
      <c r="K364" s="289"/>
      <c r="L364" s="265"/>
      <c r="M364" s="753"/>
      <c r="N364" s="753"/>
    </row>
    <row r="365" spans="1:14" ht="17.25" customHeight="1">
      <c r="A365" s="177" t="s">
        <v>65</v>
      </c>
      <c r="B365" s="14" t="s">
        <v>84</v>
      </c>
      <c r="C365" s="707">
        <f>CEILING((C364+25*$Z$1),0.1)</f>
        <v>101.30000000000001</v>
      </c>
      <c r="D365" s="708"/>
      <c r="E365" s="707">
        <f>CEILING((E364+25*$Z$1),0.1)</f>
        <v>155.10000000000002</v>
      </c>
      <c r="F365" s="708"/>
      <c r="G365" s="707">
        <f>CEILING((G364+25*$Z$1),0.1)</f>
        <v>126.30000000000001</v>
      </c>
      <c r="H365" s="708"/>
      <c r="I365" s="707">
        <f>CEILING((I364+25*$Z$1),0.1)</f>
        <v>111.30000000000001</v>
      </c>
      <c r="J365" s="708"/>
      <c r="K365" s="289"/>
      <c r="L365" s="265"/>
      <c r="M365" s="3"/>
      <c r="N365" s="3"/>
    </row>
    <row r="366" spans="1:14" ht="17.25" customHeight="1">
      <c r="A366" s="1028"/>
      <c r="B366" s="38" t="s">
        <v>53</v>
      </c>
      <c r="C366" s="707">
        <f>CEILING((C364*0.85),0.1)</f>
        <v>59.5</v>
      </c>
      <c r="D366" s="708"/>
      <c r="E366" s="707">
        <f>CEILING((E364*0.85),0.1)</f>
        <v>105.30000000000001</v>
      </c>
      <c r="F366" s="708"/>
      <c r="G366" s="707">
        <f>CEILING((G364*0.85),0.1)</f>
        <v>80.80000000000001</v>
      </c>
      <c r="H366" s="708"/>
      <c r="I366" s="707">
        <f>CEILING((I364*0.85),0.1)</f>
        <v>68</v>
      </c>
      <c r="J366" s="708"/>
      <c r="K366" s="289"/>
      <c r="L366" s="265"/>
      <c r="M366" s="3"/>
      <c r="N366" s="3"/>
    </row>
    <row r="367" spans="1:14" ht="17.25" customHeight="1">
      <c r="A367" s="177"/>
      <c r="B367" s="39" t="s">
        <v>85</v>
      </c>
      <c r="C367" s="707">
        <f>CEILING((C364*0.5),0.1)</f>
        <v>35</v>
      </c>
      <c r="D367" s="708"/>
      <c r="E367" s="707">
        <f>CEILING((E364*0.5),0.1)</f>
        <v>61.900000000000006</v>
      </c>
      <c r="F367" s="708"/>
      <c r="G367" s="707">
        <f>CEILING((G364*0.5),0.1)</f>
        <v>47.5</v>
      </c>
      <c r="H367" s="708"/>
      <c r="I367" s="707">
        <f>CEILING((I364*0.5),0.1)</f>
        <v>40</v>
      </c>
      <c r="J367" s="708"/>
      <c r="K367" s="289"/>
      <c r="L367" s="265"/>
      <c r="M367" s="3"/>
      <c r="N367" s="3"/>
    </row>
    <row r="368" spans="1:14" ht="17.25" customHeight="1">
      <c r="A368" s="177"/>
      <c r="B368" s="14" t="s">
        <v>62</v>
      </c>
      <c r="C368" s="707">
        <f>CEILING(96*$Z$1,0.1)</f>
        <v>120</v>
      </c>
      <c r="D368" s="708"/>
      <c r="E368" s="707">
        <f>CEILING(139*$Z$1,0.1)</f>
        <v>173.8</v>
      </c>
      <c r="F368" s="708"/>
      <c r="G368" s="707">
        <f>CEILING(116*$Z$1,0.1)</f>
        <v>145</v>
      </c>
      <c r="H368" s="708"/>
      <c r="I368" s="707">
        <f>CEILING(104*$Z$1,0.1)</f>
        <v>130</v>
      </c>
      <c r="J368" s="708"/>
      <c r="K368" s="289"/>
      <c r="L368" s="265"/>
      <c r="M368" s="753"/>
      <c r="N368" s="753"/>
    </row>
    <row r="369" spans="1:14" ht="16.5" customHeight="1" thickBot="1">
      <c r="A369" s="236" t="s">
        <v>540</v>
      </c>
      <c r="B369" s="15" t="s">
        <v>63</v>
      </c>
      <c r="C369" s="720">
        <f>CEILING((C368+40*$Z$1),0.1)</f>
        <v>170</v>
      </c>
      <c r="D369" s="721"/>
      <c r="E369" s="720">
        <f>CEILING((E368+40*$Z$1),0.1)</f>
        <v>223.8</v>
      </c>
      <c r="F369" s="721"/>
      <c r="G369" s="720">
        <f>CEILING((G368+40*$Z$1),0.1)</f>
        <v>195</v>
      </c>
      <c r="H369" s="721"/>
      <c r="I369" s="720">
        <f>CEILING((I368+40*$Z$1),0.1)</f>
        <v>180</v>
      </c>
      <c r="J369" s="721"/>
      <c r="K369" s="289"/>
      <c r="L369" s="265"/>
      <c r="M369" s="22"/>
      <c r="N369" s="22"/>
    </row>
    <row r="370" spans="1:14" ht="16.5" customHeight="1" thickTop="1">
      <c r="A370" s="117" t="s">
        <v>434</v>
      </c>
      <c r="B370" s="140"/>
      <c r="C370" s="3"/>
      <c r="D370" s="3"/>
      <c r="E370" s="3"/>
      <c r="F370" s="3"/>
      <c r="G370" s="3"/>
      <c r="H370" s="3"/>
      <c r="I370" s="3"/>
      <c r="J370" s="3"/>
      <c r="K370" s="265"/>
      <c r="L370" s="265"/>
      <c r="M370" s="22"/>
      <c r="N370" s="22"/>
    </row>
    <row r="371" spans="1:14" ht="16.5" customHeight="1">
      <c r="A371" s="170" t="s">
        <v>957</v>
      </c>
      <c r="B371" s="140"/>
      <c r="C371" s="3"/>
      <c r="D371" s="3"/>
      <c r="E371" s="3"/>
      <c r="F371" s="3"/>
      <c r="G371" s="3"/>
      <c r="H371" s="3"/>
      <c r="I371" s="3"/>
      <c r="J371" s="3"/>
      <c r="K371" s="265"/>
      <c r="L371" s="265"/>
      <c r="M371" s="22"/>
      <c r="N371" s="22"/>
    </row>
    <row r="372" spans="1:14" ht="16.5" customHeight="1" thickBot="1">
      <c r="A372" s="123"/>
      <c r="B372" s="141"/>
      <c r="C372" s="3"/>
      <c r="D372" s="3"/>
      <c r="E372" s="2"/>
      <c r="F372" s="2"/>
      <c r="G372" s="3"/>
      <c r="H372" s="3"/>
      <c r="I372" s="3"/>
      <c r="J372" s="3"/>
      <c r="K372" s="265"/>
      <c r="L372" s="265"/>
      <c r="M372" s="22"/>
      <c r="N372" s="22"/>
    </row>
    <row r="373" spans="1:14" ht="23.25" customHeight="1" thickTop="1">
      <c r="A373" s="700" t="s">
        <v>49</v>
      </c>
      <c r="B373" s="482"/>
      <c r="C373" s="775" t="s">
        <v>947</v>
      </c>
      <c r="D373" s="776"/>
      <c r="E373" s="726" t="s">
        <v>885</v>
      </c>
      <c r="F373" s="727"/>
      <c r="G373" s="732" t="s">
        <v>954</v>
      </c>
      <c r="H373" s="733"/>
      <c r="I373" s="732" t="s">
        <v>955</v>
      </c>
      <c r="J373" s="733"/>
      <c r="K373" s="470" t="s">
        <v>919</v>
      </c>
      <c r="L373" s="471"/>
      <c r="M373" s="3"/>
      <c r="N373" s="3"/>
    </row>
    <row r="374" spans="1:14" ht="15">
      <c r="A374" s="1074" t="s">
        <v>279</v>
      </c>
      <c r="B374" s="84" t="s">
        <v>952</v>
      </c>
      <c r="C374" s="707">
        <v>59</v>
      </c>
      <c r="D374" s="708"/>
      <c r="E374" s="703">
        <f>CEILING(86*$Z$1,0.1)</f>
        <v>107.5</v>
      </c>
      <c r="F374" s="704"/>
      <c r="G374" s="703">
        <v>81.3</v>
      </c>
      <c r="H374" s="704"/>
      <c r="I374" s="703">
        <f>CEILING(73*$Z$1,0.1)</f>
        <v>91.30000000000001</v>
      </c>
      <c r="J374" s="704"/>
      <c r="K374" s="703">
        <f>CEILING(62*$Z$1,0.1)</f>
        <v>77.5</v>
      </c>
      <c r="L374" s="704"/>
      <c r="M374" s="65"/>
      <c r="N374" s="65"/>
    </row>
    <row r="375" spans="1:14" ht="18" customHeight="1">
      <c r="A375" s="1075" t="s">
        <v>65</v>
      </c>
      <c r="B375" s="31" t="s">
        <v>953</v>
      </c>
      <c r="C375" s="707">
        <f>CEILING((C374+25*$Z$1),0.1)</f>
        <v>90.30000000000001</v>
      </c>
      <c r="D375" s="708"/>
      <c r="E375" s="707">
        <f>CEILING((E374+25*$Z$1),0.1)</f>
        <v>138.8</v>
      </c>
      <c r="F375" s="708"/>
      <c r="G375" s="707">
        <f>CEILING((G374+25*$Z$1),0.1)</f>
        <v>112.60000000000001</v>
      </c>
      <c r="H375" s="708"/>
      <c r="I375" s="707">
        <f>CEILING((I374+25*$Z$1),0.1)</f>
        <v>122.60000000000001</v>
      </c>
      <c r="J375" s="708"/>
      <c r="K375" s="707">
        <f>CEILING((K374+25*$Z$1),0.1)</f>
        <v>108.80000000000001</v>
      </c>
      <c r="L375" s="708"/>
      <c r="M375" s="18"/>
      <c r="N375" s="991"/>
    </row>
    <row r="376" spans="1:14" ht="18" customHeight="1">
      <c r="A376" s="1075"/>
      <c r="B376" s="31" t="s">
        <v>948</v>
      </c>
      <c r="C376" s="707">
        <f>CEILING(51*$Z$1,0.1)</f>
        <v>63.800000000000004</v>
      </c>
      <c r="D376" s="708"/>
      <c r="E376" s="707">
        <v>112.5</v>
      </c>
      <c r="F376" s="708"/>
      <c r="G376" s="707">
        <v>86.3</v>
      </c>
      <c r="H376" s="708"/>
      <c r="I376" s="707">
        <v>96.3</v>
      </c>
      <c r="J376" s="708"/>
      <c r="K376" s="707">
        <v>82.5</v>
      </c>
      <c r="L376" s="708"/>
      <c r="M376" s="18"/>
      <c r="N376" s="991"/>
    </row>
    <row r="377" spans="1:14" ht="18" customHeight="1">
      <c r="A377" s="1075"/>
      <c r="B377" s="31" t="s">
        <v>949</v>
      </c>
      <c r="C377" s="707">
        <v>95</v>
      </c>
      <c r="D377" s="708"/>
      <c r="E377" s="707">
        <v>144</v>
      </c>
      <c r="F377" s="708"/>
      <c r="G377" s="707">
        <v>117.5</v>
      </c>
      <c r="H377" s="708"/>
      <c r="I377" s="707">
        <v>127.5</v>
      </c>
      <c r="J377" s="708"/>
      <c r="K377" s="707">
        <v>113.8</v>
      </c>
      <c r="L377" s="708"/>
      <c r="M377" s="18"/>
      <c r="N377" s="991"/>
    </row>
    <row r="378" spans="1:14" ht="18" customHeight="1">
      <c r="A378" s="1075"/>
      <c r="B378" s="31" t="s">
        <v>366</v>
      </c>
      <c r="C378" s="707">
        <v>76.2</v>
      </c>
      <c r="D378" s="708"/>
      <c r="E378" s="707">
        <v>125</v>
      </c>
      <c r="F378" s="708"/>
      <c r="G378" s="707">
        <v>99</v>
      </c>
      <c r="H378" s="708"/>
      <c r="I378" s="707">
        <v>109</v>
      </c>
      <c r="J378" s="708"/>
      <c r="K378" s="707">
        <v>95</v>
      </c>
      <c r="L378" s="708"/>
      <c r="M378" s="18"/>
      <c r="N378" s="991"/>
    </row>
    <row r="379" spans="1:14" ht="18" customHeight="1">
      <c r="A379" s="1075"/>
      <c r="B379" s="31" t="s">
        <v>367</v>
      </c>
      <c r="C379" s="707">
        <v>107.5</v>
      </c>
      <c r="D379" s="708"/>
      <c r="E379" s="707">
        <v>156.3</v>
      </c>
      <c r="F379" s="708"/>
      <c r="G379" s="707">
        <v>130</v>
      </c>
      <c r="H379" s="708"/>
      <c r="I379" s="707">
        <v>140</v>
      </c>
      <c r="J379" s="708"/>
      <c r="K379" s="707">
        <v>126.3</v>
      </c>
      <c r="L379" s="708"/>
      <c r="M379" s="18"/>
      <c r="N379" s="991"/>
    </row>
    <row r="380" spans="1:14" ht="18" customHeight="1">
      <c r="A380" s="1075"/>
      <c r="B380" s="31" t="s">
        <v>950</v>
      </c>
      <c r="C380" s="707">
        <v>126.3</v>
      </c>
      <c r="D380" s="708"/>
      <c r="E380" s="707">
        <v>175</v>
      </c>
      <c r="F380" s="708"/>
      <c r="G380" s="707">
        <v>149</v>
      </c>
      <c r="H380" s="708"/>
      <c r="I380" s="707">
        <v>159</v>
      </c>
      <c r="J380" s="708"/>
      <c r="K380" s="707">
        <v>145</v>
      </c>
      <c r="L380" s="708"/>
      <c r="M380" s="18"/>
      <c r="N380" s="991"/>
    </row>
    <row r="381" spans="1:14" ht="21.75" customHeight="1" thickBot="1">
      <c r="A381" s="373" t="s">
        <v>525</v>
      </c>
      <c r="B381" s="178" t="s">
        <v>951</v>
      </c>
      <c r="C381" s="705">
        <v>189</v>
      </c>
      <c r="D381" s="706"/>
      <c r="E381" s="720">
        <v>237.5</v>
      </c>
      <c r="F381" s="721"/>
      <c r="G381" s="705">
        <v>211.3</v>
      </c>
      <c r="H381" s="706"/>
      <c r="I381" s="705">
        <v>221.3</v>
      </c>
      <c r="J381" s="706"/>
      <c r="K381" s="705">
        <v>208</v>
      </c>
      <c r="L381" s="706"/>
      <c r="M381" s="18"/>
      <c r="N381" s="991"/>
    </row>
    <row r="382" spans="1:14" ht="17.25" customHeight="1" thickTop="1">
      <c r="A382" s="728" t="s">
        <v>432</v>
      </c>
      <c r="B382" s="748"/>
      <c r="C382" s="748"/>
      <c r="D382" s="748"/>
      <c r="E382" s="748"/>
      <c r="F382" s="748"/>
      <c r="G382" s="748"/>
      <c r="H382" s="748"/>
      <c r="I382" s="748"/>
      <c r="J382" s="748"/>
      <c r="K382" s="1064"/>
      <c r="L382" s="1064"/>
      <c r="M382" s="18"/>
      <c r="N382" s="991"/>
    </row>
    <row r="383" spans="1:14" ht="17.25" customHeight="1">
      <c r="A383" s="170" t="s">
        <v>585</v>
      </c>
      <c r="B383" s="54"/>
      <c r="C383" s="656"/>
      <c r="D383" s="656"/>
      <c r="E383" s="656"/>
      <c r="F383" s="656"/>
      <c r="G383" s="656"/>
      <c r="H383" s="656"/>
      <c r="I383" s="656"/>
      <c r="J383" s="656"/>
      <c r="K383" s="1064"/>
      <c r="L383" s="1064"/>
      <c r="M383" s="18"/>
      <c r="N383" s="991"/>
    </row>
    <row r="384" spans="1:14" ht="23.25" customHeight="1">
      <c r="A384" s="696" t="s">
        <v>49</v>
      </c>
      <c r="B384" s="578" t="s">
        <v>111</v>
      </c>
      <c r="C384" s="775" t="s">
        <v>884</v>
      </c>
      <c r="D384" s="776"/>
      <c r="E384" s="722" t="s">
        <v>885</v>
      </c>
      <c r="F384" s="723"/>
      <c r="G384" s="732" t="s">
        <v>956</v>
      </c>
      <c r="H384" s="733"/>
      <c r="I384" s="822"/>
      <c r="J384" s="823"/>
      <c r="K384" s="679"/>
      <c r="L384" s="679"/>
      <c r="M384" s="18"/>
      <c r="N384" s="991"/>
    </row>
    <row r="385" spans="1:14" ht="17.25" customHeight="1">
      <c r="A385" s="1074" t="s">
        <v>368</v>
      </c>
      <c r="B385" s="84" t="s">
        <v>72</v>
      </c>
      <c r="C385" s="703">
        <f>CEILING(35*$Z$1,0.1)</f>
        <v>43.800000000000004</v>
      </c>
      <c r="D385" s="764"/>
      <c r="E385" s="703">
        <f>CEILING(60*$Z$1,0.1)</f>
        <v>75</v>
      </c>
      <c r="F385" s="704"/>
      <c r="G385" s="703">
        <f>CEILING(45*$Z$1,0.1)</f>
        <v>56.300000000000004</v>
      </c>
      <c r="H385" s="704"/>
      <c r="I385" s="714"/>
      <c r="J385" s="753"/>
      <c r="K385" s="307"/>
      <c r="L385" s="307"/>
      <c r="M385" s="3"/>
      <c r="N385" s="3"/>
    </row>
    <row r="386" spans="1:14" ht="15">
      <c r="A386" s="1076" t="s">
        <v>433</v>
      </c>
      <c r="B386" s="355" t="s">
        <v>73</v>
      </c>
      <c r="C386" s="705">
        <f>CEILING((C385+25*$Z$1),0.1)</f>
        <v>75.10000000000001</v>
      </c>
      <c r="D386" s="706"/>
      <c r="E386" s="705">
        <f>CEILING((E385+25*$Z$1),0.1)</f>
        <v>106.30000000000001</v>
      </c>
      <c r="F386" s="706"/>
      <c r="G386" s="705">
        <f>CEILING((G385+25*$Z$1),0.1)</f>
        <v>87.60000000000001</v>
      </c>
      <c r="H386" s="706"/>
      <c r="I386" s="714"/>
      <c r="J386" s="753"/>
      <c r="K386" s="307"/>
      <c r="L386" s="307"/>
      <c r="M386" s="65"/>
      <c r="N386" s="65"/>
    </row>
    <row r="387" spans="1:14" ht="17.25" customHeight="1">
      <c r="A387" s="728" t="s">
        <v>432</v>
      </c>
      <c r="B387" s="729"/>
      <c r="C387" s="729"/>
      <c r="D387" s="729"/>
      <c r="E387" s="729"/>
      <c r="F387" s="729"/>
      <c r="G387" s="729"/>
      <c r="H387" s="729"/>
      <c r="I387" s="729"/>
      <c r="J387" s="729"/>
      <c r="K387" s="1064"/>
      <c r="L387" s="1064"/>
      <c r="M387" s="18"/>
      <c r="N387" s="991"/>
    </row>
    <row r="388" spans="1:14" ht="17.25" customHeight="1" thickBot="1">
      <c r="A388" s="267"/>
      <c r="B388" s="43"/>
      <c r="C388" s="43"/>
      <c r="D388" s="94"/>
      <c r="E388" s="94"/>
      <c r="F388" s="94"/>
      <c r="G388" s="94"/>
      <c r="H388" s="94"/>
      <c r="I388" s="94"/>
      <c r="J388" s="94"/>
      <c r="K388" s="1064"/>
      <c r="L388" s="1064"/>
      <c r="M388" s="18"/>
      <c r="N388" s="991"/>
    </row>
    <row r="389" spans="1:14" ht="24.75" customHeight="1" thickTop="1">
      <c r="A389" s="700" t="s">
        <v>49</v>
      </c>
      <c r="B389" s="483"/>
      <c r="C389" s="803" t="s">
        <v>884</v>
      </c>
      <c r="D389" s="804"/>
      <c r="E389" s="726" t="s">
        <v>885</v>
      </c>
      <c r="F389" s="727"/>
      <c r="G389" s="730" t="s">
        <v>901</v>
      </c>
      <c r="H389" s="731"/>
      <c r="I389" s="730" t="s">
        <v>888</v>
      </c>
      <c r="J389" s="731"/>
      <c r="K389" s="1077"/>
      <c r="L389" s="1064"/>
      <c r="M389" s="18"/>
      <c r="N389" s="991"/>
    </row>
    <row r="390" spans="1:14" ht="15.75" customHeight="1">
      <c r="A390" s="1074" t="s">
        <v>369</v>
      </c>
      <c r="B390" s="42" t="s">
        <v>102</v>
      </c>
      <c r="C390" s="707">
        <f>CEILING(45*$Z$1,0.1)</f>
        <v>56.300000000000004</v>
      </c>
      <c r="D390" s="747"/>
      <c r="E390" s="703">
        <f>CEILING(75*$Z$1,0.1)</f>
        <v>93.80000000000001</v>
      </c>
      <c r="F390" s="704"/>
      <c r="G390" s="703">
        <f>CEILING(60*$Z$1,0.1)</f>
        <v>75</v>
      </c>
      <c r="H390" s="704"/>
      <c r="I390" s="703">
        <f>CEILING(56*$Z$1,0.1)</f>
        <v>70</v>
      </c>
      <c r="J390" s="704"/>
      <c r="K390" s="1077"/>
      <c r="L390" s="1064"/>
      <c r="M390" s="18"/>
      <c r="N390" s="991"/>
    </row>
    <row r="391" spans="1:14" ht="15.75" customHeight="1">
      <c r="A391" s="177" t="s">
        <v>65</v>
      </c>
      <c r="B391" s="14" t="s">
        <v>58</v>
      </c>
      <c r="C391" s="707">
        <f>CEILING((C390+15*$Z$1),0.1)</f>
        <v>75.10000000000001</v>
      </c>
      <c r="D391" s="708"/>
      <c r="E391" s="707">
        <f>CEILING((E390+15*$Z$1),0.1)</f>
        <v>112.60000000000001</v>
      </c>
      <c r="F391" s="708"/>
      <c r="G391" s="707">
        <f>CEILING((G390+15*$Z$1),0.1)</f>
        <v>93.80000000000001</v>
      </c>
      <c r="H391" s="708"/>
      <c r="I391" s="707">
        <f>CEILING((I390+15*$Z$1),0.1)</f>
        <v>88.80000000000001</v>
      </c>
      <c r="J391" s="708"/>
      <c r="K391" s="1064"/>
      <c r="L391" s="1064"/>
      <c r="M391" s="18"/>
      <c r="N391" s="991"/>
    </row>
    <row r="392" spans="1:14" ht="17.25" customHeight="1">
      <c r="A392" s="16"/>
      <c r="B392" s="14" t="s">
        <v>53</v>
      </c>
      <c r="C392" s="707">
        <f>CEILING((C390*0.85),0.1)</f>
        <v>47.900000000000006</v>
      </c>
      <c r="D392" s="708"/>
      <c r="E392" s="707">
        <f>CEILING((E390*0.85),0.1)</f>
        <v>79.80000000000001</v>
      </c>
      <c r="F392" s="708"/>
      <c r="G392" s="707">
        <f>CEILING((G390*0.85),0.1)</f>
        <v>63.800000000000004</v>
      </c>
      <c r="H392" s="708"/>
      <c r="I392" s="707">
        <f>CEILING((I390*0.85),0.1)</f>
        <v>59.5</v>
      </c>
      <c r="J392" s="708"/>
      <c r="K392" s="1064"/>
      <c r="L392" s="1064"/>
      <c r="M392" s="18"/>
      <c r="N392" s="991"/>
    </row>
    <row r="393" spans="1:14" ht="15" customHeight="1">
      <c r="A393" s="16"/>
      <c r="B393" s="14" t="s">
        <v>78</v>
      </c>
      <c r="C393" s="707">
        <f>CEILING((C390*0.5),0.1)</f>
        <v>28.200000000000003</v>
      </c>
      <c r="D393" s="708"/>
      <c r="E393" s="707">
        <f>CEILING((E390*0.5),0.1)</f>
        <v>46.900000000000006</v>
      </c>
      <c r="F393" s="708"/>
      <c r="G393" s="707">
        <f>CEILING((G390*0.5),0.1)</f>
        <v>37.5</v>
      </c>
      <c r="H393" s="708"/>
      <c r="I393" s="707">
        <f>CEILING((I390*0.5),0.1)</f>
        <v>35</v>
      </c>
      <c r="J393" s="708"/>
      <c r="K393" s="1064"/>
      <c r="L393" s="1064"/>
      <c r="M393" s="18"/>
      <c r="N393" s="991"/>
    </row>
    <row r="394" spans="1:14" ht="17.25" customHeight="1">
      <c r="A394" s="1050"/>
      <c r="B394" s="14" t="s">
        <v>214</v>
      </c>
      <c r="C394" s="707">
        <f>CEILING(58*$Z$1,0.1)</f>
        <v>72.5</v>
      </c>
      <c r="D394" s="708"/>
      <c r="E394" s="707">
        <f>CEILING(88*$Z$1,0.1)</f>
        <v>110</v>
      </c>
      <c r="F394" s="708"/>
      <c r="G394" s="707">
        <f>CEILING(73*$Z$1,0.1)</f>
        <v>91.30000000000001</v>
      </c>
      <c r="H394" s="708"/>
      <c r="I394" s="707">
        <f>CEILING(69*$Z$1,0.1)</f>
        <v>86.30000000000001</v>
      </c>
      <c r="J394" s="708"/>
      <c r="K394" s="1064"/>
      <c r="L394" s="1064"/>
      <c r="M394" s="18"/>
      <c r="N394" s="991"/>
    </row>
    <row r="395" spans="1:14" ht="17.25" customHeight="1" thickBot="1">
      <c r="A395" s="373" t="s">
        <v>525</v>
      </c>
      <c r="B395" s="15" t="s">
        <v>215</v>
      </c>
      <c r="C395" s="720">
        <f>CEILING((C394+15*$Z$1),0.1)</f>
        <v>91.30000000000001</v>
      </c>
      <c r="D395" s="721"/>
      <c r="E395" s="720">
        <f>CEILING((E394+15*$Z$1),0.1)</f>
        <v>128.8</v>
      </c>
      <c r="F395" s="721"/>
      <c r="G395" s="720">
        <f>CEILING((G394+15*$Z$1),0.1)</f>
        <v>110.10000000000001</v>
      </c>
      <c r="H395" s="721"/>
      <c r="I395" s="720">
        <f>CEILING((I394+15*$Z$1),0.1)</f>
        <v>105.10000000000001</v>
      </c>
      <c r="J395" s="721"/>
      <c r="K395" s="1064"/>
      <c r="L395" s="1064"/>
      <c r="M395" s="18"/>
      <c r="N395" s="991"/>
    </row>
    <row r="396" spans="1:14" ht="17.25" customHeight="1" thickTop="1">
      <c r="A396" s="170" t="s">
        <v>585</v>
      </c>
      <c r="B396" s="54"/>
      <c r="C396" s="656"/>
      <c r="D396" s="656"/>
      <c r="E396" s="656"/>
      <c r="F396" s="656"/>
      <c r="G396" s="656"/>
      <c r="H396" s="656"/>
      <c r="I396" s="656"/>
      <c r="J396" s="656"/>
      <c r="K396" s="1064"/>
      <c r="L396" s="1064"/>
      <c r="M396" s="18"/>
      <c r="N396" s="991"/>
    </row>
    <row r="397" spans="1:14" ht="16.5" customHeight="1" thickBot="1">
      <c r="A397" s="117"/>
      <c r="B397" s="141"/>
      <c r="C397" s="3"/>
      <c r="D397" s="3"/>
      <c r="E397" s="3"/>
      <c r="F397" s="3"/>
      <c r="G397" s="3"/>
      <c r="H397" s="3"/>
      <c r="I397" s="3"/>
      <c r="J397" s="3"/>
      <c r="K397" s="265"/>
      <c r="L397" s="265"/>
      <c r="M397" s="22"/>
      <c r="N397" s="22"/>
    </row>
    <row r="398" spans="1:14" ht="20.25" customHeight="1" thickTop="1">
      <c r="A398" s="574" t="s">
        <v>49</v>
      </c>
      <c r="B398" s="576"/>
      <c r="C398" s="429" t="s">
        <v>824</v>
      </c>
      <c r="D398" s="430"/>
      <c r="E398" s="431" t="s">
        <v>1134</v>
      </c>
      <c r="F398" s="432"/>
      <c r="G398" s="431" t="s">
        <v>1136</v>
      </c>
      <c r="H398" s="432"/>
      <c r="I398" s="431" t="s">
        <v>1137</v>
      </c>
      <c r="J398" s="432"/>
      <c r="K398" s="431" t="s">
        <v>828</v>
      </c>
      <c r="L398" s="432"/>
      <c r="M398" s="714"/>
      <c r="N398" s="753"/>
    </row>
    <row r="399" spans="1:14" ht="15">
      <c r="A399" s="66" t="s">
        <v>87</v>
      </c>
      <c r="B399" s="42" t="s">
        <v>229</v>
      </c>
      <c r="C399" s="707">
        <f>CEILING(63*$Z$1,0.1)</f>
        <v>78.80000000000001</v>
      </c>
      <c r="D399" s="747"/>
      <c r="E399" s="703">
        <f>CEILING(110*$Z$1,0.1)</f>
        <v>137.5</v>
      </c>
      <c r="F399" s="704"/>
      <c r="G399" s="703">
        <f>CEILING(80*$Z$1,0.1)</f>
        <v>100</v>
      </c>
      <c r="H399" s="704"/>
      <c r="I399" s="703">
        <f>CEILING(87*$Z$1,0.1)</f>
        <v>108.80000000000001</v>
      </c>
      <c r="J399" s="704"/>
      <c r="K399" s="703">
        <f>CEILING(70*$Z$1,0.1)</f>
        <v>87.5</v>
      </c>
      <c r="L399" s="704"/>
      <c r="M399" s="714"/>
      <c r="N399" s="753"/>
    </row>
    <row r="400" spans="1:14" ht="15">
      <c r="A400" s="37" t="s">
        <v>65</v>
      </c>
      <c r="B400" s="14" t="s">
        <v>230</v>
      </c>
      <c r="C400" s="707">
        <f>CEILING((C399*1.25),0.1)</f>
        <v>98.5</v>
      </c>
      <c r="D400" s="708"/>
      <c r="E400" s="707">
        <f>CEILING((E399*1.25),0.1)</f>
        <v>171.9</v>
      </c>
      <c r="F400" s="708"/>
      <c r="G400" s="707">
        <f>CEILING((G399*1.25),0.1)</f>
        <v>125</v>
      </c>
      <c r="H400" s="708"/>
      <c r="I400" s="707">
        <f>CEILING((I399*1.25),0.1)</f>
        <v>136</v>
      </c>
      <c r="J400" s="708"/>
      <c r="K400" s="707">
        <f>CEILING((K399*1.25),0.1)</f>
        <v>109.4</v>
      </c>
      <c r="L400" s="708"/>
      <c r="M400" s="69"/>
      <c r="N400" s="69"/>
    </row>
    <row r="401" spans="1:14" ht="15">
      <c r="A401" s="37" t="s">
        <v>88</v>
      </c>
      <c r="B401" s="14" t="s">
        <v>53</v>
      </c>
      <c r="C401" s="707">
        <f>CEILING((C399*0.85),0.1)</f>
        <v>67</v>
      </c>
      <c r="D401" s="708"/>
      <c r="E401" s="707">
        <f>CEILING((E399*0.85),0.1)</f>
        <v>116.9</v>
      </c>
      <c r="F401" s="708"/>
      <c r="G401" s="707">
        <f>CEILING((G399*0.85),0.1)</f>
        <v>85</v>
      </c>
      <c r="H401" s="708"/>
      <c r="I401" s="707">
        <f>CEILING((I399*0.85),0.1)</f>
        <v>92.5</v>
      </c>
      <c r="J401" s="708"/>
      <c r="K401" s="707">
        <f>CEILING((K399*0.85),0.1)</f>
        <v>74.4</v>
      </c>
      <c r="L401" s="708"/>
      <c r="M401" s="69"/>
      <c r="N401" s="69"/>
    </row>
    <row r="402" spans="1:13" ht="15">
      <c r="A402" s="1028"/>
      <c r="B402" s="39" t="s">
        <v>85</v>
      </c>
      <c r="C402" s="707">
        <f>CEILING((C399*0.5),0.1)</f>
        <v>39.400000000000006</v>
      </c>
      <c r="D402" s="708"/>
      <c r="E402" s="707">
        <f>CEILING((E399*0.5),0.1)</f>
        <v>68.8</v>
      </c>
      <c r="F402" s="708"/>
      <c r="G402" s="707">
        <f>CEILING((G399*0.5),0.1)</f>
        <v>50</v>
      </c>
      <c r="H402" s="708"/>
      <c r="I402" s="707">
        <f>CEILING((I399*0.5),0.1)</f>
        <v>54.400000000000006</v>
      </c>
      <c r="J402" s="708"/>
      <c r="K402" s="707">
        <f>CEILING((K399*0.5),0.1)</f>
        <v>43.800000000000004</v>
      </c>
      <c r="L402" s="708"/>
      <c r="M402" s="992"/>
    </row>
    <row r="403" spans="1:25" ht="16.5" customHeight="1">
      <c r="A403" s="1068"/>
      <c r="B403" s="39" t="s">
        <v>89</v>
      </c>
      <c r="C403" s="707">
        <f>CEILING(73*$Z$1,0.1)</f>
        <v>91.30000000000001</v>
      </c>
      <c r="D403" s="708"/>
      <c r="E403" s="707">
        <f>CEILING(120*$Z$1,0.1)</f>
        <v>150</v>
      </c>
      <c r="F403" s="708"/>
      <c r="G403" s="707">
        <f>CEILING(90*$Z$1,0.1)</f>
        <v>112.5</v>
      </c>
      <c r="H403" s="708"/>
      <c r="I403" s="707">
        <f>CEILING(97*$Z$1,0.1)</f>
        <v>121.30000000000001</v>
      </c>
      <c r="J403" s="708"/>
      <c r="K403" s="707">
        <f>CEILING(80*$Z$1,0.1)</f>
        <v>100</v>
      </c>
      <c r="L403" s="708"/>
      <c r="M403" s="992"/>
      <c r="W403" s="993"/>
      <c r="X403" s="993"/>
      <c r="Y403" s="993"/>
    </row>
    <row r="404" spans="1:14" ht="15.75" thickBot="1">
      <c r="A404" s="322" t="s">
        <v>539</v>
      </c>
      <c r="B404" s="15" t="s">
        <v>68</v>
      </c>
      <c r="C404" s="720">
        <f>CEILING(83*$Z$1,0.1)</f>
        <v>103.80000000000001</v>
      </c>
      <c r="D404" s="721"/>
      <c r="E404" s="720">
        <f>CEILING(130*$Z$1,0.1)</f>
        <v>162.5</v>
      </c>
      <c r="F404" s="721"/>
      <c r="G404" s="720">
        <f>CEILING(100*$Z$1,0.1)</f>
        <v>125</v>
      </c>
      <c r="H404" s="721"/>
      <c r="I404" s="720">
        <f>CEILING(107*$Z$1,0.1)</f>
        <v>133.8</v>
      </c>
      <c r="J404" s="721"/>
      <c r="K404" s="720">
        <f>CEILING(90*$Z$1,0.1)</f>
        <v>112.5</v>
      </c>
      <c r="L404" s="721"/>
      <c r="M404" s="714"/>
      <c r="N404" s="753"/>
    </row>
    <row r="405" spans="1:14" ht="15.75" thickTop="1">
      <c r="A405" s="174" t="s">
        <v>1143</v>
      </c>
      <c r="B405" s="54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653"/>
      <c r="N405" s="653"/>
    </row>
    <row r="406" spans="1:14" ht="15.75" thickBo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1078"/>
      <c r="L406" s="1078"/>
      <c r="M406" s="753"/>
      <c r="N406" s="753"/>
    </row>
    <row r="407" spans="1:14" ht="23.25" customHeight="1" thickTop="1">
      <c r="A407" s="574" t="s">
        <v>49</v>
      </c>
      <c r="B407" s="576"/>
      <c r="C407" s="429" t="s">
        <v>824</v>
      </c>
      <c r="D407" s="430"/>
      <c r="E407" s="431" t="s">
        <v>1138</v>
      </c>
      <c r="F407" s="432"/>
      <c r="G407" s="431" t="s">
        <v>705</v>
      </c>
      <c r="H407" s="432"/>
      <c r="I407" s="431" t="s">
        <v>644</v>
      </c>
      <c r="J407" s="432"/>
      <c r="K407" s="431" t="s">
        <v>588</v>
      </c>
      <c r="L407" s="432"/>
      <c r="M407" s="714"/>
      <c r="N407" s="753"/>
    </row>
    <row r="408" spans="1:14" ht="15">
      <c r="A408" s="66" t="s">
        <v>228</v>
      </c>
      <c r="B408" s="42" t="s">
        <v>1140</v>
      </c>
      <c r="C408" s="707">
        <f>CEILING(69*$Z$1,0.1)</f>
        <v>86.30000000000001</v>
      </c>
      <c r="D408" s="747"/>
      <c r="E408" s="703">
        <f>CEILING(121*$Z$1,0.1)</f>
        <v>151.3</v>
      </c>
      <c r="F408" s="704"/>
      <c r="G408" s="703">
        <f>CEILING(88*$Z$1,0.1)</f>
        <v>110</v>
      </c>
      <c r="H408" s="704"/>
      <c r="I408" s="703">
        <f>CEILING(96*$Z$1,0.1)</f>
        <v>120</v>
      </c>
      <c r="J408" s="704"/>
      <c r="K408" s="703">
        <f>CEILING(77*$Z$1,0.1)</f>
        <v>96.30000000000001</v>
      </c>
      <c r="L408" s="704"/>
      <c r="M408" s="4"/>
      <c r="N408" s="3"/>
    </row>
    <row r="409" spans="1:14" ht="15">
      <c r="A409" s="37" t="s">
        <v>65</v>
      </c>
      <c r="B409" s="14" t="s">
        <v>1141</v>
      </c>
      <c r="C409" s="707">
        <f>CEILING((C408*1.25),0.1)</f>
        <v>107.9</v>
      </c>
      <c r="D409" s="708"/>
      <c r="E409" s="707">
        <f>CEILING((E408*1.25),0.1)</f>
        <v>189.20000000000002</v>
      </c>
      <c r="F409" s="708"/>
      <c r="G409" s="707">
        <f>CEILING((G408*1.25),0.1)</f>
        <v>137.5</v>
      </c>
      <c r="H409" s="708"/>
      <c r="I409" s="707">
        <f>CEILING((I408*1.25),0.1)</f>
        <v>150</v>
      </c>
      <c r="J409" s="708"/>
      <c r="K409" s="707">
        <f>CEILING((K408*1.25),0.1)</f>
        <v>120.4</v>
      </c>
      <c r="L409" s="708"/>
      <c r="M409" s="4"/>
      <c r="N409" s="3"/>
    </row>
    <row r="410" spans="1:13" ht="15">
      <c r="A410" s="1079" t="s">
        <v>1139</v>
      </c>
      <c r="B410" s="39" t="s">
        <v>85</v>
      </c>
      <c r="C410" s="707">
        <f>CEILING((C408*0.5),0.1)</f>
        <v>43.2</v>
      </c>
      <c r="D410" s="708"/>
      <c r="E410" s="707">
        <f>CEILING((E408*0.5),0.1)</f>
        <v>75.7</v>
      </c>
      <c r="F410" s="708"/>
      <c r="G410" s="707">
        <f>CEILING((G408*0.5),0.1)</f>
        <v>55</v>
      </c>
      <c r="H410" s="708"/>
      <c r="I410" s="707">
        <f>CEILING((I408*0.5),0.1)</f>
        <v>60</v>
      </c>
      <c r="J410" s="708"/>
      <c r="K410" s="707">
        <f>CEILING((K408*0.5),0.1)</f>
        <v>48.2</v>
      </c>
      <c r="L410" s="708"/>
      <c r="M410" s="992"/>
    </row>
    <row r="411" spans="1:25" ht="15.75" customHeight="1" thickBot="1">
      <c r="A411" s="322" t="s">
        <v>539</v>
      </c>
      <c r="B411" s="15" t="s">
        <v>1142</v>
      </c>
      <c r="C411" s="720">
        <f>CEILING(74*$Z$1,0.1)</f>
        <v>92.5</v>
      </c>
      <c r="D411" s="721"/>
      <c r="E411" s="720">
        <f>CEILING(126*$Z$1,0.1)</f>
        <v>157.5</v>
      </c>
      <c r="F411" s="721"/>
      <c r="G411" s="720">
        <f>CEILING(93*$Z$1,0.1)</f>
        <v>116.30000000000001</v>
      </c>
      <c r="H411" s="721"/>
      <c r="I411" s="720">
        <f>CEILING(101*$Z$1,0.1)</f>
        <v>126.30000000000001</v>
      </c>
      <c r="J411" s="721"/>
      <c r="K411" s="720">
        <f>CEILING(82*$Z$1,0.1)</f>
        <v>102.5</v>
      </c>
      <c r="L411" s="721"/>
      <c r="M411" s="992"/>
      <c r="W411" s="993"/>
      <c r="X411" s="993"/>
      <c r="Y411" s="993"/>
    </row>
    <row r="412" spans="1:25" ht="15.75" thickTop="1">
      <c r="A412" s="174" t="s">
        <v>1144</v>
      </c>
      <c r="B412" s="54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653"/>
      <c r="N412" s="653"/>
      <c r="W412" s="993"/>
      <c r="X412" s="993"/>
      <c r="Y412" s="993"/>
    </row>
    <row r="413" spans="1:14" ht="15.75" thickBot="1">
      <c r="A413" s="73"/>
      <c r="B413" s="56"/>
      <c r="C413" s="2"/>
      <c r="D413" s="2"/>
      <c r="E413" s="2"/>
      <c r="F413" s="2"/>
      <c r="G413" s="2"/>
      <c r="H413" s="2"/>
      <c r="I413" s="2"/>
      <c r="J413" s="2"/>
      <c r="K413" s="1078"/>
      <c r="L413" s="1078"/>
      <c r="M413" s="753"/>
      <c r="N413" s="753"/>
    </row>
    <row r="414" spans="1:14" ht="23.25" customHeight="1" thickTop="1">
      <c r="A414" s="574" t="s">
        <v>49</v>
      </c>
      <c r="B414" s="575"/>
      <c r="C414" s="429" t="s">
        <v>824</v>
      </c>
      <c r="D414" s="430"/>
      <c r="E414" s="431" t="s">
        <v>1134</v>
      </c>
      <c r="F414" s="432"/>
      <c r="G414" s="431" t="s">
        <v>1074</v>
      </c>
      <c r="H414" s="432"/>
      <c r="I414" s="431" t="s">
        <v>827</v>
      </c>
      <c r="J414" s="432"/>
      <c r="K414" s="431" t="s">
        <v>828</v>
      </c>
      <c r="L414" s="432"/>
      <c r="M414" s="1040"/>
      <c r="N414" s="3"/>
    </row>
    <row r="415" spans="1:14" ht="15">
      <c r="A415" s="29" t="s">
        <v>704</v>
      </c>
      <c r="B415" s="14" t="s">
        <v>229</v>
      </c>
      <c r="C415" s="707">
        <f>CEILING(57*$Z$1,0.1)</f>
        <v>71.3</v>
      </c>
      <c r="D415" s="747"/>
      <c r="E415" s="703">
        <f>CEILING(99*$Z$1,0.1)</f>
        <v>123.80000000000001</v>
      </c>
      <c r="F415" s="704"/>
      <c r="G415" s="703">
        <f>CEILING(72*$Z$1,0.1)</f>
        <v>90</v>
      </c>
      <c r="H415" s="704"/>
      <c r="I415" s="703">
        <f>CEILING(78*$Z$1,0.1)</f>
        <v>97.5</v>
      </c>
      <c r="J415" s="704"/>
      <c r="K415" s="703">
        <f>CEILING(63*$Z$1,0.1)</f>
        <v>78.80000000000001</v>
      </c>
      <c r="L415" s="704"/>
      <c r="M415" s="714"/>
      <c r="N415" s="753"/>
    </row>
    <row r="416" spans="1:14" ht="15">
      <c r="A416" s="30" t="s">
        <v>65</v>
      </c>
      <c r="B416" s="14" t="s">
        <v>230</v>
      </c>
      <c r="C416" s="707">
        <f>CEILING((C415*1.25),0.1)</f>
        <v>89.2</v>
      </c>
      <c r="D416" s="708"/>
      <c r="E416" s="707">
        <f>CEILING((E415*1.25),0.1)</f>
        <v>154.8</v>
      </c>
      <c r="F416" s="708"/>
      <c r="G416" s="707">
        <f>CEILING((G415*1.25),0.1)</f>
        <v>112.5</v>
      </c>
      <c r="H416" s="708"/>
      <c r="I416" s="707">
        <f>CEILING((I415*1.25),0.1)</f>
        <v>121.9</v>
      </c>
      <c r="J416" s="708"/>
      <c r="K416" s="707">
        <f>CEILING((K415*1.25),0.1)</f>
        <v>98.5</v>
      </c>
      <c r="L416" s="708"/>
      <c r="M416" s="1040"/>
      <c r="N416" s="1032"/>
    </row>
    <row r="417" spans="1:25" ht="15">
      <c r="A417" s="37" t="s">
        <v>88</v>
      </c>
      <c r="B417" s="14" t="s">
        <v>53</v>
      </c>
      <c r="C417" s="707">
        <f>CEILING((C415*0.85),0.1)</f>
        <v>60.7</v>
      </c>
      <c r="D417" s="708"/>
      <c r="E417" s="707">
        <f>CEILING((E415*0.85),0.1)</f>
        <v>105.30000000000001</v>
      </c>
      <c r="F417" s="708"/>
      <c r="G417" s="707">
        <f>CEILING((G415*0.85),0.1)</f>
        <v>76.5</v>
      </c>
      <c r="H417" s="708"/>
      <c r="I417" s="707">
        <f>CEILING((I415*0.85),0.1)</f>
        <v>82.9</v>
      </c>
      <c r="J417" s="708"/>
      <c r="K417" s="707">
        <f>CEILING((K415*0.85),0.1)</f>
        <v>67</v>
      </c>
      <c r="L417" s="708"/>
      <c r="M417" s="992"/>
      <c r="X417" s="993"/>
      <c r="Y417" s="993"/>
    </row>
    <row r="418" spans="1:25" ht="15">
      <c r="A418" s="1080"/>
      <c r="B418" s="39" t="s">
        <v>85</v>
      </c>
      <c r="C418" s="707">
        <f>CEILING((C415*0.5),0.1)</f>
        <v>35.7</v>
      </c>
      <c r="D418" s="708"/>
      <c r="E418" s="707">
        <f>CEILING((E415*0.5),0.1)</f>
        <v>61.900000000000006</v>
      </c>
      <c r="F418" s="708"/>
      <c r="G418" s="707">
        <f>CEILING((G415*0.5),0.1)</f>
        <v>45</v>
      </c>
      <c r="H418" s="708"/>
      <c r="I418" s="707">
        <f>CEILING((I415*0.5),0.1)</f>
        <v>48.800000000000004</v>
      </c>
      <c r="J418" s="708"/>
      <c r="K418" s="707">
        <f>CEILING((K415*0.5),0.1)</f>
        <v>39.400000000000006</v>
      </c>
      <c r="L418" s="708"/>
      <c r="M418" s="992"/>
      <c r="X418" s="993"/>
      <c r="Y418" s="993"/>
    </row>
    <row r="419" spans="1:25" ht="15">
      <c r="A419" s="1068"/>
      <c r="B419" s="39" t="s">
        <v>89</v>
      </c>
      <c r="C419" s="707">
        <f>CEILING(67*$Z$1,0.1)</f>
        <v>83.80000000000001</v>
      </c>
      <c r="D419" s="708"/>
      <c r="E419" s="707">
        <f>CEILING(109*$Z$1,0.1)</f>
        <v>136.3</v>
      </c>
      <c r="F419" s="708"/>
      <c r="G419" s="707">
        <f>CEILING(82*$Z$1,0.1)</f>
        <v>102.5</v>
      </c>
      <c r="H419" s="708"/>
      <c r="I419" s="707">
        <f>CEILING(88*$Z$1,0.1)</f>
        <v>110</v>
      </c>
      <c r="J419" s="708"/>
      <c r="K419" s="707">
        <f>CEILING(73*$Z$1,0.1)</f>
        <v>91.30000000000001</v>
      </c>
      <c r="L419" s="708"/>
      <c r="M419" s="992"/>
      <c r="X419" s="993"/>
      <c r="Y419" s="993"/>
    </row>
    <row r="420" spans="1:13" ht="15.75" thickBot="1">
      <c r="A420" s="322" t="s">
        <v>538</v>
      </c>
      <c r="B420" s="15" t="s">
        <v>68</v>
      </c>
      <c r="C420" s="720">
        <f>CEILING(77*$Z$1,0.1)</f>
        <v>96.30000000000001</v>
      </c>
      <c r="D420" s="721"/>
      <c r="E420" s="720">
        <f>CEILING(119*$Z$1,0.1)</f>
        <v>148.8</v>
      </c>
      <c r="F420" s="721"/>
      <c r="G420" s="720">
        <f>CEILING(92*$Z$1,0.1)</f>
        <v>115</v>
      </c>
      <c r="H420" s="721"/>
      <c r="I420" s="720">
        <f>CEILING(98*$Z$1,0.1)</f>
        <v>122.5</v>
      </c>
      <c r="J420" s="721"/>
      <c r="K420" s="720">
        <f>CEILING(83*$Z$1,0.1)</f>
        <v>103.80000000000001</v>
      </c>
      <c r="L420" s="721"/>
      <c r="M420" s="992"/>
    </row>
    <row r="421" spans="1:25" ht="15.75" thickTop="1">
      <c r="A421" s="174" t="s">
        <v>1135</v>
      </c>
      <c r="B421" s="54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992"/>
      <c r="W421" s="993"/>
      <c r="X421" s="993"/>
      <c r="Y421" s="993"/>
    </row>
    <row r="422" spans="1:25" ht="15.75" thickBot="1">
      <c r="A422" s="174"/>
      <c r="B422" s="54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992"/>
      <c r="W422" s="993"/>
      <c r="X422" s="993"/>
      <c r="Y422" s="993"/>
    </row>
    <row r="423" spans="1:25" ht="21" customHeight="1" thickTop="1">
      <c r="A423" s="574" t="s">
        <v>49</v>
      </c>
      <c r="B423" s="575"/>
      <c r="C423" s="429" t="s">
        <v>824</v>
      </c>
      <c r="D423" s="430"/>
      <c r="E423" s="431" t="s">
        <v>1134</v>
      </c>
      <c r="F423" s="432"/>
      <c r="G423" s="431" t="s">
        <v>1074</v>
      </c>
      <c r="H423" s="432"/>
      <c r="I423" s="431" t="s">
        <v>827</v>
      </c>
      <c r="J423" s="432"/>
      <c r="K423" s="431" t="s">
        <v>828</v>
      </c>
      <c r="L423" s="432"/>
      <c r="M423" s="992"/>
      <c r="W423" s="993"/>
      <c r="X423" s="993"/>
      <c r="Y423" s="993"/>
    </row>
    <row r="424" spans="1:25" ht="15">
      <c r="A424" s="29" t="s">
        <v>706</v>
      </c>
      <c r="B424" s="14" t="s">
        <v>229</v>
      </c>
      <c r="C424" s="707">
        <f>CEILING(43*$Z$1,0.1)</f>
        <v>53.800000000000004</v>
      </c>
      <c r="D424" s="747"/>
      <c r="E424" s="703">
        <f>CEILING(74*$Z$1,0.1)</f>
        <v>92.5</v>
      </c>
      <c r="F424" s="704"/>
      <c r="G424" s="703">
        <f>CEILING(54*$Z$1,0.1)</f>
        <v>67.5</v>
      </c>
      <c r="H424" s="704"/>
      <c r="I424" s="703">
        <f>CEILING(59*$Z$1,0.1)</f>
        <v>73.8</v>
      </c>
      <c r="J424" s="704"/>
      <c r="K424" s="703">
        <f>CEILING(47*$Z$1,0.1)</f>
        <v>58.800000000000004</v>
      </c>
      <c r="L424" s="704"/>
      <c r="M424" s="1040"/>
      <c r="W424" s="993"/>
      <c r="X424" s="993"/>
      <c r="Y424" s="993"/>
    </row>
    <row r="425" spans="1:25" ht="15">
      <c r="A425" s="30" t="s">
        <v>65</v>
      </c>
      <c r="B425" s="14" t="s">
        <v>230</v>
      </c>
      <c r="C425" s="707">
        <f>CEILING((C424*1.25),0.1)</f>
        <v>67.3</v>
      </c>
      <c r="D425" s="708"/>
      <c r="E425" s="707">
        <f>CEILING((E424*1.25),0.1)</f>
        <v>115.7</v>
      </c>
      <c r="F425" s="708"/>
      <c r="G425" s="707">
        <f>CEILING((G424*1.25),0.1)</f>
        <v>84.4</v>
      </c>
      <c r="H425" s="708"/>
      <c r="I425" s="707">
        <f>CEILING((I424*1.25),0.1)</f>
        <v>92.30000000000001</v>
      </c>
      <c r="J425" s="708"/>
      <c r="K425" s="707">
        <f>CEILING((K424*1.25),0.1)</f>
        <v>73.5</v>
      </c>
      <c r="L425" s="708"/>
      <c r="M425" s="992"/>
      <c r="W425" s="993"/>
      <c r="X425" s="993"/>
      <c r="Y425" s="993"/>
    </row>
    <row r="426" spans="1:25" ht="15">
      <c r="A426" s="410" t="s">
        <v>707</v>
      </c>
      <c r="B426" s="14" t="s">
        <v>53</v>
      </c>
      <c r="C426" s="707">
        <f>CEILING((C424*0.85),0.1)</f>
        <v>45.800000000000004</v>
      </c>
      <c r="D426" s="708"/>
      <c r="E426" s="707">
        <f>CEILING((E424*0.85),0.1)</f>
        <v>78.7</v>
      </c>
      <c r="F426" s="708"/>
      <c r="G426" s="707">
        <f>CEILING((G424*0.85),0.1)</f>
        <v>57.400000000000006</v>
      </c>
      <c r="H426" s="708"/>
      <c r="I426" s="707">
        <f>CEILING((I424*0.85),0.1)</f>
        <v>62.800000000000004</v>
      </c>
      <c r="J426" s="708"/>
      <c r="K426" s="707">
        <f>CEILING((K424*0.85),0.1)</f>
        <v>50</v>
      </c>
      <c r="L426" s="708"/>
      <c r="M426" s="992"/>
      <c r="W426" s="993"/>
      <c r="X426" s="993"/>
      <c r="Y426" s="993"/>
    </row>
    <row r="427" spans="1:25" ht="15">
      <c r="A427" s="1080"/>
      <c r="B427" s="39" t="s">
        <v>85</v>
      </c>
      <c r="C427" s="707">
        <f>CEILING((C424*0.5),0.1)</f>
        <v>26.900000000000002</v>
      </c>
      <c r="D427" s="708"/>
      <c r="E427" s="707">
        <f>CEILING((E424*0.5),0.1)</f>
        <v>46.300000000000004</v>
      </c>
      <c r="F427" s="708"/>
      <c r="G427" s="707">
        <f>CEILING((G424*0.5),0.1)</f>
        <v>33.800000000000004</v>
      </c>
      <c r="H427" s="708"/>
      <c r="I427" s="707">
        <f>CEILING((I424*0.5),0.1)</f>
        <v>36.9</v>
      </c>
      <c r="J427" s="708"/>
      <c r="K427" s="707">
        <f>CEILING((K424*0.5),0.1)</f>
        <v>29.400000000000002</v>
      </c>
      <c r="L427" s="708"/>
      <c r="M427" s="992"/>
      <c r="W427" s="993"/>
      <c r="X427" s="993"/>
      <c r="Y427" s="993"/>
    </row>
    <row r="428" spans="1:25" ht="15">
      <c r="A428" s="1068"/>
      <c r="B428" s="39" t="s">
        <v>89</v>
      </c>
      <c r="C428" s="707">
        <f>CEILING(53*$Z$1,0.1)</f>
        <v>66.3</v>
      </c>
      <c r="D428" s="708"/>
      <c r="E428" s="707">
        <f>CEILING(84*$Z$1,0.1)</f>
        <v>105</v>
      </c>
      <c r="F428" s="708"/>
      <c r="G428" s="707">
        <f>CEILING(64*$Z$1,0.1)</f>
        <v>80</v>
      </c>
      <c r="H428" s="708"/>
      <c r="I428" s="707">
        <f>CEILING(69*$Z$1,0.1)</f>
        <v>86.30000000000001</v>
      </c>
      <c r="J428" s="708"/>
      <c r="K428" s="707">
        <f>CEILING(57*$Z$1,0.1)</f>
        <v>71.3</v>
      </c>
      <c r="L428" s="708"/>
      <c r="M428" s="992"/>
      <c r="W428" s="993"/>
      <c r="X428" s="993"/>
      <c r="Y428" s="993"/>
    </row>
    <row r="429" spans="1:25" ht="15.75" thickBot="1">
      <c r="A429" s="322" t="s">
        <v>538</v>
      </c>
      <c r="B429" s="15" t="s">
        <v>260</v>
      </c>
      <c r="C429" s="720">
        <f>CEILING(58*$Z$1,0.1)</f>
        <v>72.5</v>
      </c>
      <c r="D429" s="721"/>
      <c r="E429" s="720">
        <f>CEILING(89*$Z$1,0.1)</f>
        <v>111.30000000000001</v>
      </c>
      <c r="F429" s="721"/>
      <c r="G429" s="720">
        <f>CEILING(69*$Z$1,0.1)</f>
        <v>86.30000000000001</v>
      </c>
      <c r="H429" s="721"/>
      <c r="I429" s="720">
        <f>CEILING(74*$Z$1,0.1)</f>
        <v>92.5</v>
      </c>
      <c r="J429" s="721"/>
      <c r="K429" s="720">
        <f>CEILING(62*$Z$1,0.1)</f>
        <v>77.5</v>
      </c>
      <c r="L429" s="721"/>
      <c r="M429" s="992"/>
      <c r="W429" s="993"/>
      <c r="X429" s="993"/>
      <c r="Y429" s="993"/>
    </row>
    <row r="430" spans="1:25" ht="24.75" customHeight="1" thickTop="1">
      <c r="A430" s="32"/>
      <c r="B430" s="32"/>
      <c r="C430" s="32"/>
      <c r="D430" s="62"/>
      <c r="E430" s="62"/>
      <c r="F430" s="62"/>
      <c r="G430" s="62"/>
      <c r="H430" s="62"/>
      <c r="I430" s="62"/>
      <c r="J430" s="62"/>
      <c r="K430" s="1063"/>
      <c r="L430" s="1063"/>
      <c r="M430" s="992"/>
      <c r="W430" s="993"/>
      <c r="X430" s="993"/>
      <c r="Y430" s="993"/>
    </row>
    <row r="431" spans="1:25" ht="23.25" customHeight="1">
      <c r="A431" s="660" t="s">
        <v>49</v>
      </c>
      <c r="B431" s="447"/>
      <c r="C431" s="722" t="s">
        <v>1072</v>
      </c>
      <c r="D431" s="723"/>
      <c r="E431" s="840" t="s">
        <v>1116</v>
      </c>
      <c r="F431" s="841"/>
      <c r="G431" s="722" t="s">
        <v>1117</v>
      </c>
      <c r="H431" s="723"/>
      <c r="I431" s="842" t="s">
        <v>1118</v>
      </c>
      <c r="J431" s="843"/>
      <c r="K431" s="842" t="s">
        <v>888</v>
      </c>
      <c r="L431" s="843"/>
      <c r="M431" s="714"/>
      <c r="N431" s="753"/>
      <c r="W431" s="993"/>
      <c r="X431" s="993"/>
      <c r="Y431" s="993"/>
    </row>
    <row r="432" spans="1:25" ht="15">
      <c r="A432" s="213" t="s">
        <v>1119</v>
      </c>
      <c r="B432" s="14" t="s">
        <v>229</v>
      </c>
      <c r="C432" s="707">
        <f>CEILING(81.5*$Z$1,0.1)</f>
        <v>101.9</v>
      </c>
      <c r="D432" s="708"/>
      <c r="E432" s="703">
        <f>CEILING(152.9*$Z$1,0.1)</f>
        <v>191.20000000000002</v>
      </c>
      <c r="F432" s="704"/>
      <c r="G432" s="707">
        <f>CEILING(91.7*$Z$1,0.1)</f>
        <v>114.7</v>
      </c>
      <c r="H432" s="708"/>
      <c r="I432" s="707">
        <f>CEILING(117.2*$Z$1,0.1)</f>
        <v>146.5</v>
      </c>
      <c r="J432" s="708"/>
      <c r="K432" s="707">
        <f>CEILING(91.7*$Z$1,0.1)</f>
        <v>114.7</v>
      </c>
      <c r="L432" s="708"/>
      <c r="M432" s="992"/>
      <c r="X432" s="993"/>
      <c r="Y432" s="993"/>
    </row>
    <row r="433" spans="1:25" ht="15">
      <c r="A433" s="213"/>
      <c r="B433" s="14" t="s">
        <v>230</v>
      </c>
      <c r="C433" s="707">
        <v>133.1</v>
      </c>
      <c r="D433" s="708"/>
      <c r="E433" s="707">
        <v>222.4</v>
      </c>
      <c r="F433" s="708"/>
      <c r="G433" s="707">
        <v>146</v>
      </c>
      <c r="H433" s="708"/>
      <c r="I433" s="707">
        <v>177.8</v>
      </c>
      <c r="J433" s="708"/>
      <c r="K433" s="707">
        <v>146</v>
      </c>
      <c r="L433" s="708"/>
      <c r="M433" s="992"/>
      <c r="X433" s="993"/>
      <c r="Y433" s="993"/>
    </row>
    <row r="434" spans="1:25" ht="15">
      <c r="A434" s="213"/>
      <c r="B434" s="14" t="s">
        <v>53</v>
      </c>
      <c r="C434" s="707">
        <v>86.6</v>
      </c>
      <c r="D434" s="708"/>
      <c r="E434" s="707">
        <v>163</v>
      </c>
      <c r="F434" s="708"/>
      <c r="G434" s="707">
        <v>97.4</v>
      </c>
      <c r="H434" s="708"/>
      <c r="I434" s="707">
        <v>125</v>
      </c>
      <c r="J434" s="708"/>
      <c r="K434" s="707">
        <v>97.4</v>
      </c>
      <c r="L434" s="708"/>
      <c r="M434" s="992"/>
      <c r="X434" s="993"/>
      <c r="Y434" s="993"/>
    </row>
    <row r="435" spans="1:25" ht="15">
      <c r="A435" s="213" t="s">
        <v>65</v>
      </c>
      <c r="B435" s="14" t="s">
        <v>590</v>
      </c>
      <c r="C435" s="707">
        <f>CEILING(91.5*$Z$1,0.1)</f>
        <v>114.4</v>
      </c>
      <c r="D435" s="708"/>
      <c r="E435" s="707">
        <v>204</v>
      </c>
      <c r="F435" s="708"/>
      <c r="G435" s="707">
        <f>CEILING(101.7*$Z$1,0.1)</f>
        <v>127.2</v>
      </c>
      <c r="H435" s="708"/>
      <c r="I435" s="707">
        <f>CEILING(127.2*$Z$1,0.1)</f>
        <v>159</v>
      </c>
      <c r="J435" s="708"/>
      <c r="K435" s="707">
        <f>CEILING(101.7*$Z$1,0.1)</f>
        <v>127.2</v>
      </c>
      <c r="L435" s="708"/>
      <c r="M435" s="992"/>
      <c r="X435" s="993"/>
      <c r="Y435" s="993"/>
    </row>
    <row r="436" spans="1:25" ht="16.5">
      <c r="A436" s="213"/>
      <c r="B436" s="14" t="s">
        <v>1120</v>
      </c>
      <c r="C436" s="1081">
        <v>145.6</v>
      </c>
      <c r="D436" s="1082"/>
      <c r="E436" s="707">
        <v>235</v>
      </c>
      <c r="F436" s="708"/>
      <c r="G436" s="707">
        <v>158.4</v>
      </c>
      <c r="H436" s="708"/>
      <c r="I436" s="707">
        <v>190.3</v>
      </c>
      <c r="J436" s="708"/>
      <c r="K436" s="707">
        <v>158.4</v>
      </c>
      <c r="L436" s="708"/>
      <c r="M436" s="992"/>
      <c r="X436" s="993"/>
      <c r="Y436" s="993"/>
    </row>
    <row r="437" spans="1:25" ht="15">
      <c r="A437" s="488" t="s">
        <v>1122</v>
      </c>
      <c r="B437" s="220" t="s">
        <v>1121</v>
      </c>
      <c r="C437" s="705">
        <f>CEILING(96.5*$Z$1,0.1)</f>
        <v>120.7</v>
      </c>
      <c r="D437" s="706"/>
      <c r="E437" s="705">
        <f>CEILING(167.9*$Z$1,0.1)</f>
        <v>209.9</v>
      </c>
      <c r="F437" s="706"/>
      <c r="G437" s="705">
        <f>CEILING(106.7*$Z$1,0.1)</f>
        <v>133.4</v>
      </c>
      <c r="H437" s="706"/>
      <c r="I437" s="705">
        <f>CEILING(132.2*$Z$1,0.1)</f>
        <v>165.3</v>
      </c>
      <c r="J437" s="706"/>
      <c r="K437" s="705">
        <f>CEILING(106.7*$Z$1,0.1)</f>
        <v>133.4</v>
      </c>
      <c r="L437" s="706"/>
      <c r="M437" s="992"/>
      <c r="X437" s="993"/>
      <c r="Y437" s="993"/>
    </row>
    <row r="438" spans="1:25" ht="15">
      <c r="A438" s="24" t="s">
        <v>703</v>
      </c>
      <c r="B438" s="54"/>
      <c r="C438" s="653"/>
      <c r="D438" s="653"/>
      <c r="E438" s="653"/>
      <c r="F438" s="653"/>
      <c r="G438" s="653"/>
      <c r="H438" s="653"/>
      <c r="I438" s="653"/>
      <c r="J438" s="653"/>
      <c r="K438" s="265"/>
      <c r="L438" s="265"/>
      <c r="M438" s="992"/>
      <c r="X438" s="993"/>
      <c r="Y438" s="993"/>
    </row>
    <row r="439" spans="1:25" ht="16.5" customHeight="1">
      <c r="A439" s="336" t="s">
        <v>702</v>
      </c>
      <c r="B439" s="318"/>
      <c r="C439" s="318"/>
      <c r="D439" s="318"/>
      <c r="E439" s="318"/>
      <c r="F439" s="318"/>
      <c r="G439" s="318"/>
      <c r="H439" s="318"/>
      <c r="I439" s="318"/>
      <c r="J439" s="318"/>
      <c r="K439" s="999"/>
      <c r="L439" s="1064"/>
      <c r="M439" s="844"/>
      <c r="N439" s="844"/>
      <c r="X439" s="993"/>
      <c r="Y439" s="993"/>
    </row>
    <row r="440" spans="1:25" ht="16.5" customHeight="1">
      <c r="A440" s="170" t="s">
        <v>585</v>
      </c>
      <c r="B440" s="661"/>
      <c r="C440" s="661"/>
      <c r="D440" s="661"/>
      <c r="E440" s="661"/>
      <c r="F440" s="661"/>
      <c r="G440" s="661"/>
      <c r="H440" s="661"/>
      <c r="I440" s="661"/>
      <c r="J440" s="661"/>
      <c r="K440" s="999"/>
      <c r="L440" s="1064"/>
      <c r="M440" s="678"/>
      <c r="N440" s="678"/>
      <c r="X440" s="993"/>
      <c r="Y440" s="993"/>
    </row>
    <row r="441" spans="1:14" ht="15" customHeight="1" thickBot="1">
      <c r="A441" s="34"/>
      <c r="B441" s="415"/>
      <c r="C441" s="415"/>
      <c r="D441" s="415"/>
      <c r="E441" s="415"/>
      <c r="F441" s="415"/>
      <c r="G441" s="415"/>
      <c r="H441" s="415"/>
      <c r="I441" s="415"/>
      <c r="J441" s="415"/>
      <c r="K441" s="1078"/>
      <c r="L441" s="1078"/>
      <c r="M441" s="753"/>
      <c r="N441" s="753"/>
    </row>
    <row r="442" spans="1:14" ht="22.5" customHeight="1" thickTop="1">
      <c r="A442" s="694" t="s">
        <v>49</v>
      </c>
      <c r="B442" s="586"/>
      <c r="C442" s="864" t="s">
        <v>884</v>
      </c>
      <c r="D442" s="865"/>
      <c r="E442" s="726" t="s">
        <v>885</v>
      </c>
      <c r="F442" s="727"/>
      <c r="G442" s="726" t="s">
        <v>886</v>
      </c>
      <c r="H442" s="727"/>
      <c r="I442" s="837" t="s">
        <v>887</v>
      </c>
      <c r="J442" s="838"/>
      <c r="K442" s="837" t="s">
        <v>888</v>
      </c>
      <c r="L442" s="838"/>
      <c r="M442" s="714"/>
      <c r="N442" s="753"/>
    </row>
    <row r="443" spans="1:14" ht="15.75" customHeight="1">
      <c r="A443" s="66" t="s">
        <v>93</v>
      </c>
      <c r="B443" s="42" t="s">
        <v>57</v>
      </c>
      <c r="C443" s="707">
        <f>CEILING(53*$Z$1,0.1)</f>
        <v>66.3</v>
      </c>
      <c r="D443" s="747"/>
      <c r="E443" s="703">
        <f>CEILING(99*$Z$1,0.1)</f>
        <v>123.80000000000001</v>
      </c>
      <c r="F443" s="704"/>
      <c r="G443" s="703">
        <f>CEILING(66*$Z$1,0.1)</f>
        <v>82.5</v>
      </c>
      <c r="H443" s="704"/>
      <c r="I443" s="703">
        <f>CEILING(80*$Z$1,0.1)</f>
        <v>100</v>
      </c>
      <c r="J443" s="704"/>
      <c r="K443" s="703">
        <f>CEILING(62*$Z$1,0.1)</f>
        <v>77.5</v>
      </c>
      <c r="L443" s="704"/>
      <c r="M443" s="23"/>
      <c r="N443" s="22"/>
    </row>
    <row r="444" spans="1:14" ht="15">
      <c r="A444" s="37" t="s">
        <v>65</v>
      </c>
      <c r="B444" s="14" t="s">
        <v>58</v>
      </c>
      <c r="C444" s="707">
        <f>CEILING((C443+35*$Z$1),0.1)</f>
        <v>110.10000000000001</v>
      </c>
      <c r="D444" s="708"/>
      <c r="E444" s="707">
        <f>CEILING((E443+42*$Z$1),0.1)</f>
        <v>176.3</v>
      </c>
      <c r="F444" s="708"/>
      <c r="G444" s="707">
        <f>CEILING((G443+40*$Z$1),0.1)</f>
        <v>132.5</v>
      </c>
      <c r="H444" s="708"/>
      <c r="I444" s="707">
        <f>CEILING((I443+40*$Z$1),0.1)</f>
        <v>150</v>
      </c>
      <c r="J444" s="708"/>
      <c r="K444" s="707">
        <f>CEILING((K443+35*$Z$1),0.1)</f>
        <v>121.30000000000001</v>
      </c>
      <c r="L444" s="708"/>
      <c r="M444" s="23"/>
      <c r="N444" s="22"/>
    </row>
    <row r="445" spans="1:14" ht="15">
      <c r="A445" s="1072"/>
      <c r="B445" s="14" t="s">
        <v>53</v>
      </c>
      <c r="C445" s="707">
        <f>CEILING((C443*0.85),0.1)</f>
        <v>56.400000000000006</v>
      </c>
      <c r="D445" s="708"/>
      <c r="E445" s="707">
        <f>CEILING((E443*0.85),0.1)</f>
        <v>105.30000000000001</v>
      </c>
      <c r="F445" s="708"/>
      <c r="G445" s="707">
        <f>CEILING((G443*0.85),0.1)</f>
        <v>70.2</v>
      </c>
      <c r="H445" s="708"/>
      <c r="I445" s="707">
        <f>CEILING((I443*0.85),0.1)</f>
        <v>85</v>
      </c>
      <c r="J445" s="708"/>
      <c r="K445" s="707">
        <f>CEILING((K443*0.85),0.1)</f>
        <v>65.9</v>
      </c>
      <c r="L445" s="708"/>
      <c r="M445" s="18"/>
      <c r="N445" s="22"/>
    </row>
    <row r="446" spans="1:14" ht="15">
      <c r="A446" s="1072"/>
      <c r="B446" s="14" t="s">
        <v>94</v>
      </c>
      <c r="C446" s="714">
        <v>33.2</v>
      </c>
      <c r="D446" s="715"/>
      <c r="E446" s="714">
        <v>62</v>
      </c>
      <c r="F446" s="715"/>
      <c r="G446" s="714">
        <v>41.3</v>
      </c>
      <c r="H446" s="715"/>
      <c r="I446" s="714">
        <v>50</v>
      </c>
      <c r="J446" s="715"/>
      <c r="K446" s="714">
        <v>39</v>
      </c>
      <c r="L446" s="715"/>
      <c r="M446" s="18"/>
      <c r="N446" s="22"/>
    </row>
    <row r="447" spans="1:14" ht="15.75" customHeight="1">
      <c r="A447" s="1072"/>
      <c r="B447" s="14" t="s">
        <v>1155</v>
      </c>
      <c r="C447" s="707">
        <v>73</v>
      </c>
      <c r="D447" s="708"/>
      <c r="E447" s="707">
        <v>130</v>
      </c>
      <c r="F447" s="708"/>
      <c r="G447" s="707">
        <v>89</v>
      </c>
      <c r="H447" s="708"/>
      <c r="I447" s="707">
        <v>106.3</v>
      </c>
      <c r="J447" s="708"/>
      <c r="K447" s="707">
        <v>88</v>
      </c>
      <c r="L447" s="708"/>
      <c r="M447" s="18"/>
      <c r="N447" s="22"/>
    </row>
    <row r="448" spans="1:14" ht="16.5" customHeight="1" thickBot="1">
      <c r="A448" s="396" t="s">
        <v>1159</v>
      </c>
      <c r="B448" s="15" t="s">
        <v>1156</v>
      </c>
      <c r="C448" s="720">
        <f>CEILING((C447+35*$Z$1),0.1)</f>
        <v>116.80000000000001</v>
      </c>
      <c r="D448" s="721"/>
      <c r="E448" s="720">
        <v>183</v>
      </c>
      <c r="F448" s="721"/>
      <c r="G448" s="720">
        <f>CEILING((G447+40*$Z$1),0.1)</f>
        <v>139</v>
      </c>
      <c r="H448" s="721"/>
      <c r="I448" s="720">
        <v>156.2</v>
      </c>
      <c r="J448" s="721"/>
      <c r="K448" s="720">
        <v>128</v>
      </c>
      <c r="L448" s="721"/>
      <c r="M448" s="18"/>
      <c r="N448" s="22"/>
    </row>
    <row r="449" spans="1:14" ht="15.75" customHeight="1" thickTop="1">
      <c r="A449" s="153" t="s">
        <v>1157</v>
      </c>
      <c r="B449" s="153"/>
      <c r="C449" s="157"/>
      <c r="D449" s="157"/>
      <c r="E449" s="157"/>
      <c r="F449" s="157"/>
      <c r="G449" s="157"/>
      <c r="H449" s="157"/>
      <c r="I449" s="157"/>
      <c r="J449" s="157"/>
      <c r="K449" s="1083"/>
      <c r="L449" s="1084"/>
      <c r="M449" s="22"/>
      <c r="N449" s="22"/>
    </row>
    <row r="450" spans="1:14" ht="15.75" customHeight="1">
      <c r="A450" s="117" t="s">
        <v>647</v>
      </c>
      <c r="B450" s="117"/>
      <c r="C450" s="117"/>
      <c r="D450" s="117"/>
      <c r="E450" s="117"/>
      <c r="F450" s="117"/>
      <c r="G450" s="117"/>
      <c r="H450" s="117"/>
      <c r="I450" s="117"/>
      <c r="J450" s="117"/>
      <c r="K450" s="1042"/>
      <c r="L450" s="1042"/>
      <c r="M450" s="22"/>
      <c r="N450" s="22"/>
    </row>
    <row r="451" spans="1:25" s="1087" customFormat="1" ht="20.25" customHeight="1" thickBot="1">
      <c r="A451" s="130" t="s">
        <v>1158</v>
      </c>
      <c r="B451" s="587"/>
      <c r="C451" s="587"/>
      <c r="D451" s="587"/>
      <c r="E451" s="587"/>
      <c r="F451" s="587"/>
      <c r="G451" s="587"/>
      <c r="H451" s="587"/>
      <c r="I451" s="587"/>
      <c r="J451" s="587"/>
      <c r="K451" s="1085"/>
      <c r="L451" s="1085"/>
      <c r="M451" s="588"/>
      <c r="N451" s="588"/>
      <c r="O451" s="1086"/>
      <c r="P451" s="1086"/>
      <c r="Q451" s="1086"/>
      <c r="R451" s="1086"/>
      <c r="S451" s="1086"/>
      <c r="T451" s="1086"/>
      <c r="U451" s="1086"/>
      <c r="V451" s="1086"/>
      <c r="W451" s="1086"/>
      <c r="X451" s="1086"/>
      <c r="Y451" s="1086"/>
    </row>
    <row r="452" spans="1:14" ht="22.5" customHeight="1" thickTop="1">
      <c r="A452" s="700" t="s">
        <v>49</v>
      </c>
      <c r="B452" s="586"/>
      <c r="C452" s="864" t="s">
        <v>884</v>
      </c>
      <c r="D452" s="865"/>
      <c r="E452" s="726" t="s">
        <v>885</v>
      </c>
      <c r="F452" s="727"/>
      <c r="G452" s="726" t="s">
        <v>886</v>
      </c>
      <c r="H452" s="727"/>
      <c r="I452" s="837" t="s">
        <v>887</v>
      </c>
      <c r="J452" s="838"/>
      <c r="K452" s="837" t="s">
        <v>888</v>
      </c>
      <c r="L452" s="838"/>
      <c r="M452" s="23"/>
      <c r="N452" s="22"/>
    </row>
    <row r="453" spans="1:14" ht="16.5" customHeight="1">
      <c r="A453" s="85" t="s">
        <v>95</v>
      </c>
      <c r="B453" s="42" t="s">
        <v>57</v>
      </c>
      <c r="C453" s="703">
        <f>CEILING(51*$Z$1,0.1)</f>
        <v>63.800000000000004</v>
      </c>
      <c r="D453" s="764"/>
      <c r="E453" s="703">
        <f>CEILING(97*$Z$1,0.1)</f>
        <v>121.30000000000001</v>
      </c>
      <c r="F453" s="704"/>
      <c r="G453" s="703">
        <f>CEILING(64*$Z$1,0.1)</f>
        <v>80</v>
      </c>
      <c r="H453" s="704"/>
      <c r="I453" s="703">
        <f>CEILING(78*$Z$1,0.1)</f>
        <v>97.5</v>
      </c>
      <c r="J453" s="704"/>
      <c r="K453" s="703">
        <f>CEILING(60*$Z$1,0.1)</f>
        <v>75</v>
      </c>
      <c r="L453" s="704"/>
      <c r="M453" s="23"/>
      <c r="N453" s="22"/>
    </row>
    <row r="454" spans="1:14" ht="16.5" customHeight="1">
      <c r="A454" s="177" t="s">
        <v>65</v>
      </c>
      <c r="B454" s="14" t="s">
        <v>58</v>
      </c>
      <c r="C454" s="707">
        <f>CEILING((C453+32*$Z$1),0.1)</f>
        <v>103.80000000000001</v>
      </c>
      <c r="D454" s="708"/>
      <c r="E454" s="707">
        <f>CEILING((E453+40*$Z$1),0.1)</f>
        <v>171.3</v>
      </c>
      <c r="F454" s="708"/>
      <c r="G454" s="707">
        <f>CEILING((G453+35*$Z$1),0.1)</f>
        <v>123.80000000000001</v>
      </c>
      <c r="H454" s="708"/>
      <c r="I454" s="707">
        <f>CEILING((I453+35*$Z$1),0.1)</f>
        <v>141.3</v>
      </c>
      <c r="J454" s="708"/>
      <c r="K454" s="707">
        <f>CEILING((K453+32*$Z$1),0.1)</f>
        <v>115</v>
      </c>
      <c r="L454" s="708"/>
      <c r="M454" s="23"/>
      <c r="N454" s="22"/>
    </row>
    <row r="455" spans="1:14" ht="17.25" customHeight="1" thickBot="1">
      <c r="A455" s="304" t="s">
        <v>537</v>
      </c>
      <c r="B455" s="15" t="s">
        <v>53</v>
      </c>
      <c r="C455" s="720">
        <f>CEILING((C453*0.85),0.1)</f>
        <v>54.300000000000004</v>
      </c>
      <c r="D455" s="721"/>
      <c r="E455" s="720">
        <f>CEILING((E453*0.85),0.1)</f>
        <v>103.2</v>
      </c>
      <c r="F455" s="721"/>
      <c r="G455" s="720">
        <f>CEILING((G453*0.85),0.1)</f>
        <v>68</v>
      </c>
      <c r="H455" s="721"/>
      <c r="I455" s="720">
        <f>CEILING((I453*0.85),0.1)</f>
        <v>82.9</v>
      </c>
      <c r="J455" s="721"/>
      <c r="K455" s="720">
        <f>CEILING((K453*0.85),0.1)</f>
        <v>63.800000000000004</v>
      </c>
      <c r="L455" s="721"/>
      <c r="M455" s="22"/>
      <c r="N455" s="22"/>
    </row>
    <row r="456" spans="1:14" ht="17.25" customHeight="1" thickTop="1">
      <c r="A456" s="839" t="s">
        <v>227</v>
      </c>
      <c r="B456" s="729"/>
      <c r="C456" s="729"/>
      <c r="D456" s="729"/>
      <c r="E456" s="729"/>
      <c r="F456" s="729"/>
      <c r="G456" s="729"/>
      <c r="H456" s="729"/>
      <c r="I456" s="729"/>
      <c r="J456" s="729"/>
      <c r="K456" s="1063"/>
      <c r="L456" s="1063"/>
      <c r="M456" s="22"/>
      <c r="N456" s="22"/>
    </row>
    <row r="457" spans="1:14" ht="16.5" customHeight="1">
      <c r="A457" s="752" t="s">
        <v>1160</v>
      </c>
      <c r="B457" s="752"/>
      <c r="C457" s="752"/>
      <c r="D457" s="752"/>
      <c r="E457" s="752"/>
      <c r="F457" s="752"/>
      <c r="G457" s="752"/>
      <c r="H457" s="752"/>
      <c r="I457" s="752"/>
      <c r="J457" s="752"/>
      <c r="K457" s="1063"/>
      <c r="L457" s="1064"/>
      <c r="M457" s="22"/>
      <c r="N457" s="22"/>
    </row>
    <row r="458" spans="1:25" s="1087" customFormat="1" ht="20.25" customHeight="1" thickBot="1">
      <c r="A458" s="130" t="s">
        <v>1161</v>
      </c>
      <c r="B458" s="587"/>
      <c r="C458" s="587"/>
      <c r="D458" s="587"/>
      <c r="E458" s="587"/>
      <c r="F458" s="587"/>
      <c r="G458" s="587"/>
      <c r="H458" s="587"/>
      <c r="I458" s="587"/>
      <c r="J458" s="587"/>
      <c r="K458" s="1085"/>
      <c r="L458" s="1085"/>
      <c r="M458" s="588"/>
      <c r="N458" s="588"/>
      <c r="O458" s="1086"/>
      <c r="P458" s="1086"/>
      <c r="Q458" s="1086"/>
      <c r="R458" s="1086"/>
      <c r="S458" s="1086"/>
      <c r="T458" s="1086"/>
      <c r="U458" s="1086"/>
      <c r="V458" s="1086"/>
      <c r="W458" s="1086"/>
      <c r="X458" s="1086"/>
      <c r="Y458" s="1086"/>
    </row>
    <row r="459" spans="1:14" ht="22.5" customHeight="1" thickTop="1">
      <c r="A459" s="598" t="s">
        <v>49</v>
      </c>
      <c r="B459" s="599"/>
      <c r="C459" s="815" t="s">
        <v>1167</v>
      </c>
      <c r="D459" s="816"/>
      <c r="E459" s="726" t="s">
        <v>1171</v>
      </c>
      <c r="F459" s="727"/>
      <c r="G459" s="837" t="s">
        <v>1172</v>
      </c>
      <c r="H459" s="838"/>
      <c r="I459" s="730" t="s">
        <v>955</v>
      </c>
      <c r="J459" s="731"/>
      <c r="K459" s="730" t="s">
        <v>888</v>
      </c>
      <c r="L459" s="731"/>
      <c r="M459" s="23"/>
      <c r="N459" s="22"/>
    </row>
    <row r="460" spans="1:14" ht="17.25" customHeight="1">
      <c r="A460" s="66" t="s">
        <v>410</v>
      </c>
      <c r="B460" s="14" t="s">
        <v>559</v>
      </c>
      <c r="C460" s="707">
        <v>61.2</v>
      </c>
      <c r="D460" s="747"/>
      <c r="E460" s="703">
        <v>112.5</v>
      </c>
      <c r="F460" s="704"/>
      <c r="G460" s="703">
        <v>84</v>
      </c>
      <c r="H460" s="704"/>
      <c r="I460" s="703">
        <v>95</v>
      </c>
      <c r="J460" s="704"/>
      <c r="K460" s="707">
        <v>61.2</v>
      </c>
      <c r="L460" s="747"/>
      <c r="M460" s="23"/>
      <c r="N460" s="22"/>
    </row>
    <row r="461" spans="1:14" ht="19.5" customHeight="1">
      <c r="A461" s="37" t="s">
        <v>65</v>
      </c>
      <c r="B461" s="14" t="s">
        <v>560</v>
      </c>
      <c r="C461" s="707">
        <v>89</v>
      </c>
      <c r="D461" s="708"/>
      <c r="E461" s="707">
        <v>140</v>
      </c>
      <c r="F461" s="708"/>
      <c r="G461" s="707">
        <v>111.2</v>
      </c>
      <c r="H461" s="708"/>
      <c r="I461" s="707">
        <v>122.5</v>
      </c>
      <c r="J461" s="708"/>
      <c r="K461" s="707">
        <v>89</v>
      </c>
      <c r="L461" s="708"/>
      <c r="M461" s="65"/>
      <c r="N461" s="27"/>
    </row>
    <row r="462" spans="1:14" ht="17.25" customHeight="1">
      <c r="A462" s="37" t="s">
        <v>411</v>
      </c>
      <c r="B462" s="14" t="s">
        <v>53</v>
      </c>
      <c r="C462" s="707">
        <v>52</v>
      </c>
      <c r="D462" s="708"/>
      <c r="E462" s="707">
        <v>95.7</v>
      </c>
      <c r="F462" s="708"/>
      <c r="G462" s="707">
        <v>71.2</v>
      </c>
      <c r="H462" s="708"/>
      <c r="I462" s="707">
        <v>80.8</v>
      </c>
      <c r="J462" s="708"/>
      <c r="K462" s="707">
        <v>52</v>
      </c>
      <c r="L462" s="708"/>
      <c r="M462" s="18"/>
      <c r="N462" s="22"/>
    </row>
    <row r="463" spans="1:14" ht="17.25" customHeight="1">
      <c r="A463" s="92"/>
      <c r="B463" s="14" t="s">
        <v>94</v>
      </c>
      <c r="C463" s="707">
        <v>30.6</v>
      </c>
      <c r="D463" s="708"/>
      <c r="E463" s="707">
        <v>56.3</v>
      </c>
      <c r="F463" s="708"/>
      <c r="G463" s="707">
        <v>42</v>
      </c>
      <c r="H463" s="708"/>
      <c r="I463" s="707">
        <v>47.5</v>
      </c>
      <c r="J463" s="708"/>
      <c r="K463" s="707">
        <v>30.6</v>
      </c>
      <c r="L463" s="708"/>
      <c r="M463" s="18"/>
      <c r="N463" s="22"/>
    </row>
    <row r="464" spans="1:14" ht="17.25" customHeight="1">
      <c r="A464" s="92"/>
      <c r="B464" s="14" t="s">
        <v>1168</v>
      </c>
      <c r="C464" s="707">
        <v>67.5</v>
      </c>
      <c r="D464" s="708"/>
      <c r="E464" s="707">
        <v>119</v>
      </c>
      <c r="F464" s="708"/>
      <c r="G464" s="707">
        <v>90</v>
      </c>
      <c r="H464" s="708"/>
      <c r="I464" s="707">
        <v>101.3</v>
      </c>
      <c r="J464" s="708"/>
      <c r="K464" s="707">
        <v>67.5</v>
      </c>
      <c r="L464" s="708"/>
      <c r="M464" s="18"/>
      <c r="N464" s="22"/>
    </row>
    <row r="465" spans="1:14" ht="17.25" customHeight="1">
      <c r="A465" s="92"/>
      <c r="B465" s="14" t="s">
        <v>1169</v>
      </c>
      <c r="C465" s="707">
        <v>95</v>
      </c>
      <c r="D465" s="708"/>
      <c r="E465" s="707">
        <v>176.3</v>
      </c>
      <c r="F465" s="708"/>
      <c r="G465" s="707">
        <v>118</v>
      </c>
      <c r="H465" s="708"/>
      <c r="I465" s="707">
        <v>129</v>
      </c>
      <c r="J465" s="708"/>
      <c r="K465" s="707">
        <v>95</v>
      </c>
      <c r="L465" s="708"/>
      <c r="M465" s="18"/>
      <c r="N465" s="22"/>
    </row>
    <row r="466" spans="1:14" ht="17.25" customHeight="1">
      <c r="A466" s="92"/>
      <c r="B466" s="14" t="s">
        <v>53</v>
      </c>
      <c r="C466" s="707">
        <v>57.4</v>
      </c>
      <c r="D466" s="708"/>
      <c r="E466" s="707">
        <v>101</v>
      </c>
      <c r="F466" s="708"/>
      <c r="G466" s="707">
        <v>71.2</v>
      </c>
      <c r="H466" s="708"/>
      <c r="I466" s="707">
        <v>86</v>
      </c>
      <c r="J466" s="708"/>
      <c r="K466" s="707">
        <v>57.4</v>
      </c>
      <c r="L466" s="708"/>
      <c r="M466" s="18"/>
      <c r="N466" s="22"/>
    </row>
    <row r="467" spans="1:14" ht="18" customHeight="1" thickBot="1">
      <c r="A467" s="115" t="s">
        <v>1170</v>
      </c>
      <c r="B467" s="15" t="s">
        <v>85</v>
      </c>
      <c r="C467" s="720">
        <v>33.8</v>
      </c>
      <c r="D467" s="721"/>
      <c r="E467" s="720">
        <v>59.4</v>
      </c>
      <c r="F467" s="721"/>
      <c r="G467" s="720">
        <v>45</v>
      </c>
      <c r="H467" s="721"/>
      <c r="I467" s="720">
        <v>50.6</v>
      </c>
      <c r="J467" s="721"/>
      <c r="K467" s="720">
        <v>33.8</v>
      </c>
      <c r="L467" s="721"/>
      <c r="M467" s="18"/>
      <c r="N467" s="22"/>
    </row>
    <row r="468" spans="1:14" ht="15.75" thickTop="1">
      <c r="A468" s="117" t="s">
        <v>1173</v>
      </c>
      <c r="B468" s="62"/>
      <c r="C468" s="62"/>
      <c r="D468" s="62"/>
      <c r="E468" s="62"/>
      <c r="F468" s="62"/>
      <c r="G468" s="62"/>
      <c r="H468" s="62"/>
      <c r="I468" s="62"/>
      <c r="J468" s="62"/>
      <c r="K468" s="104"/>
      <c r="L468" s="282"/>
      <c r="M468" s="18"/>
      <c r="N468" s="22"/>
    </row>
    <row r="469" spans="1:14" ht="17.25" customHeight="1" thickBot="1">
      <c r="A469" s="458" t="s">
        <v>1174</v>
      </c>
      <c r="B469" s="560"/>
      <c r="C469" s="62"/>
      <c r="D469" s="62"/>
      <c r="E469" s="62"/>
      <c r="F469" s="62"/>
      <c r="G469" s="62"/>
      <c r="H469" s="62"/>
      <c r="I469" s="62"/>
      <c r="J469" s="62"/>
      <c r="K469" s="653"/>
      <c r="L469" s="653"/>
      <c r="M469" s="22"/>
      <c r="N469" s="22"/>
    </row>
    <row r="470" spans="1:14" ht="24.75" customHeight="1" thickTop="1">
      <c r="A470" s="598" t="s">
        <v>49</v>
      </c>
      <c r="B470" s="599"/>
      <c r="C470" s="815" t="s">
        <v>884</v>
      </c>
      <c r="D470" s="816"/>
      <c r="E470" s="726" t="s">
        <v>1166</v>
      </c>
      <c r="F470" s="727"/>
      <c r="G470" s="837" t="s">
        <v>1175</v>
      </c>
      <c r="H470" s="838"/>
      <c r="I470" s="730" t="s">
        <v>1176</v>
      </c>
      <c r="J470" s="731"/>
      <c r="K470" s="730" t="s">
        <v>888</v>
      </c>
      <c r="L470" s="731"/>
      <c r="M470" s="23"/>
      <c r="N470" s="22"/>
    </row>
    <row r="471" spans="1:14" ht="15">
      <c r="A471" s="66" t="s">
        <v>409</v>
      </c>
      <c r="B471" s="14" t="s">
        <v>57</v>
      </c>
      <c r="C471" s="707">
        <v>65</v>
      </c>
      <c r="D471" s="747"/>
      <c r="E471" s="703">
        <v>124</v>
      </c>
      <c r="F471" s="704"/>
      <c r="G471" s="703">
        <v>90</v>
      </c>
      <c r="H471" s="704"/>
      <c r="I471" s="703">
        <v>105</v>
      </c>
      <c r="J471" s="704"/>
      <c r="K471" s="703">
        <v>69</v>
      </c>
      <c r="L471" s="704"/>
      <c r="M471" s="23"/>
      <c r="N471" s="22"/>
    </row>
    <row r="472" spans="1:14" ht="15">
      <c r="A472" s="37" t="s">
        <v>65</v>
      </c>
      <c r="B472" s="14" t="s">
        <v>58</v>
      </c>
      <c r="C472" s="707">
        <v>96.3</v>
      </c>
      <c r="D472" s="708"/>
      <c r="E472" s="707">
        <v>155</v>
      </c>
      <c r="F472" s="708"/>
      <c r="G472" s="707">
        <v>121.3</v>
      </c>
      <c r="H472" s="708"/>
      <c r="I472" s="707">
        <v>136.3</v>
      </c>
      <c r="J472" s="708"/>
      <c r="K472" s="707">
        <v>100</v>
      </c>
      <c r="L472" s="708"/>
      <c r="M472" s="22"/>
      <c r="N472" s="22"/>
    </row>
    <row r="473" spans="1:14" ht="15.75" customHeight="1">
      <c r="A473" s="37"/>
      <c r="B473" s="14" t="s">
        <v>53</v>
      </c>
      <c r="C473" s="707">
        <v>55.3</v>
      </c>
      <c r="D473" s="708"/>
      <c r="E473" s="707">
        <v>105</v>
      </c>
      <c r="F473" s="708"/>
      <c r="G473" s="707">
        <v>76.5</v>
      </c>
      <c r="H473" s="708"/>
      <c r="I473" s="707">
        <v>89.3</v>
      </c>
      <c r="J473" s="708"/>
      <c r="K473" s="707">
        <v>58.4</v>
      </c>
      <c r="L473" s="708"/>
      <c r="M473" s="22"/>
      <c r="N473" s="22"/>
    </row>
    <row r="474" spans="1:14" ht="15.75" thickBot="1">
      <c r="A474" s="115" t="s">
        <v>1178</v>
      </c>
      <c r="B474" s="15" t="s">
        <v>85</v>
      </c>
      <c r="C474" s="720">
        <v>32.5</v>
      </c>
      <c r="D474" s="721"/>
      <c r="E474" s="720">
        <v>62</v>
      </c>
      <c r="F474" s="721"/>
      <c r="G474" s="720">
        <v>45</v>
      </c>
      <c r="H474" s="721"/>
      <c r="I474" s="720">
        <v>52.5</v>
      </c>
      <c r="J474" s="721"/>
      <c r="K474" s="720">
        <v>34.5</v>
      </c>
      <c r="L474" s="721"/>
      <c r="M474" s="22"/>
      <c r="N474" s="22"/>
    </row>
    <row r="475" spans="1:14" ht="15.75" thickTop="1">
      <c r="A475" s="82" t="s">
        <v>1179</v>
      </c>
      <c r="B475" s="54"/>
      <c r="C475" s="656"/>
      <c r="D475" s="656"/>
      <c r="E475" s="656"/>
      <c r="F475" s="656"/>
      <c r="G475" s="656"/>
      <c r="H475" s="656"/>
      <c r="I475" s="656"/>
      <c r="J475" s="656"/>
      <c r="K475" s="656"/>
      <c r="L475" s="656"/>
      <c r="M475" s="22"/>
      <c r="N475" s="22"/>
    </row>
    <row r="476" spans="1:25" s="1089" customFormat="1" ht="15">
      <c r="A476" s="600" t="s">
        <v>1177</v>
      </c>
      <c r="B476" s="601"/>
      <c r="C476" s="602"/>
      <c r="D476" s="602"/>
      <c r="E476" s="602"/>
      <c r="F476" s="602"/>
      <c r="G476" s="602"/>
      <c r="H476" s="602"/>
      <c r="I476" s="602"/>
      <c r="J476" s="602"/>
      <c r="K476" s="602"/>
      <c r="L476" s="602"/>
      <c r="M476" s="603"/>
      <c r="N476" s="603"/>
      <c r="O476" s="1088"/>
      <c r="P476" s="1088"/>
      <c r="Q476" s="1088"/>
      <c r="R476" s="1088"/>
      <c r="S476" s="1088"/>
      <c r="T476" s="1088"/>
      <c r="U476" s="1088"/>
      <c r="V476" s="1088"/>
      <c r="W476" s="1088"/>
      <c r="X476" s="1088"/>
      <c r="Y476" s="1088"/>
    </row>
    <row r="477" spans="1:14" ht="15">
      <c r="A477" s="117" t="s">
        <v>1180</v>
      </c>
      <c r="B477" s="62"/>
      <c r="C477" s="62"/>
      <c r="D477" s="62"/>
      <c r="E477" s="62"/>
      <c r="F477" s="62"/>
      <c r="G477" s="62"/>
      <c r="H477" s="62"/>
      <c r="I477" s="62"/>
      <c r="J477" s="62"/>
      <c r="K477" s="104"/>
      <c r="L477" s="282"/>
      <c r="M477" s="22"/>
      <c r="N477" s="22"/>
    </row>
    <row r="478" spans="1:14" ht="24" customHeight="1">
      <c r="A478" s="696" t="s">
        <v>49</v>
      </c>
      <c r="B478" s="544"/>
      <c r="C478" s="775" t="s">
        <v>884</v>
      </c>
      <c r="D478" s="776"/>
      <c r="E478" s="722" t="s">
        <v>885</v>
      </c>
      <c r="F478" s="723"/>
      <c r="G478" s="732" t="s">
        <v>886</v>
      </c>
      <c r="H478" s="733"/>
      <c r="I478" s="732" t="s">
        <v>887</v>
      </c>
      <c r="J478" s="733"/>
      <c r="K478" s="732" t="s">
        <v>888</v>
      </c>
      <c r="L478" s="733"/>
      <c r="M478" s="23"/>
      <c r="N478" s="22"/>
    </row>
    <row r="479" spans="1:14" ht="17.25" customHeight="1">
      <c r="A479" s="66" t="s">
        <v>758</v>
      </c>
      <c r="B479" s="31" t="s">
        <v>882</v>
      </c>
      <c r="C479" s="707">
        <f>CEILING(41*$Z$1,0.1)</f>
        <v>51.300000000000004</v>
      </c>
      <c r="D479" s="747"/>
      <c r="E479" s="703">
        <v>110</v>
      </c>
      <c r="F479" s="704"/>
      <c r="G479" s="703">
        <v>60</v>
      </c>
      <c r="H479" s="704"/>
      <c r="I479" s="703">
        <v>75</v>
      </c>
      <c r="J479" s="704"/>
      <c r="K479" s="703">
        <v>54</v>
      </c>
      <c r="L479" s="704"/>
      <c r="M479" s="23"/>
      <c r="N479" s="22"/>
    </row>
    <row r="480" spans="1:14" ht="17.25" customHeight="1">
      <c r="A480" s="37" t="s">
        <v>65</v>
      </c>
      <c r="B480" s="31" t="s">
        <v>883</v>
      </c>
      <c r="C480" s="707">
        <v>95</v>
      </c>
      <c r="D480" s="708"/>
      <c r="E480" s="707">
        <v>141.2</v>
      </c>
      <c r="F480" s="708"/>
      <c r="G480" s="707">
        <v>91.3</v>
      </c>
      <c r="H480" s="708"/>
      <c r="I480" s="707">
        <v>106.3</v>
      </c>
      <c r="J480" s="708"/>
      <c r="K480" s="707">
        <v>85</v>
      </c>
      <c r="L480" s="708"/>
      <c r="M480" s="23"/>
      <c r="N480" s="22"/>
    </row>
    <row r="481" spans="1:14" ht="17.25" customHeight="1">
      <c r="A481" s="88" t="s">
        <v>759</v>
      </c>
      <c r="B481" s="31" t="s">
        <v>53</v>
      </c>
      <c r="C481" s="707">
        <v>44</v>
      </c>
      <c r="D481" s="708"/>
      <c r="E481" s="707">
        <v>94</v>
      </c>
      <c r="F481" s="708"/>
      <c r="G481" s="707">
        <v>94.4</v>
      </c>
      <c r="H481" s="708"/>
      <c r="I481" s="707">
        <v>64</v>
      </c>
      <c r="J481" s="708"/>
      <c r="K481" s="707">
        <v>46</v>
      </c>
      <c r="L481" s="708"/>
      <c r="M481" s="22"/>
      <c r="N481" s="22"/>
    </row>
    <row r="482" spans="1:14" ht="17.25" customHeight="1" thickBot="1">
      <c r="A482" s="86" t="s">
        <v>760</v>
      </c>
      <c r="B482" s="15" t="s">
        <v>889</v>
      </c>
      <c r="C482" s="799">
        <v>0</v>
      </c>
      <c r="D482" s="810"/>
      <c r="E482" s="718">
        <v>0</v>
      </c>
      <c r="F482" s="719"/>
      <c r="G482" s="718">
        <v>0</v>
      </c>
      <c r="H482" s="719"/>
      <c r="I482" s="718">
        <v>0</v>
      </c>
      <c r="J482" s="719"/>
      <c r="K482" s="718">
        <v>0</v>
      </c>
      <c r="L482" s="719"/>
      <c r="M482" s="22"/>
      <c r="N482" s="22"/>
    </row>
    <row r="483" spans="1:14" ht="17.25" customHeight="1" thickTop="1">
      <c r="A483" s="117" t="s">
        <v>881</v>
      </c>
      <c r="B483" s="62"/>
      <c r="C483" s="62"/>
      <c r="D483" s="62"/>
      <c r="E483" s="62"/>
      <c r="F483" s="62"/>
      <c r="G483" s="62"/>
      <c r="H483" s="62"/>
      <c r="I483" s="62"/>
      <c r="J483" s="62"/>
      <c r="K483" s="653"/>
      <c r="L483" s="653"/>
      <c r="M483" s="22"/>
      <c r="N483" s="22"/>
    </row>
    <row r="484" spans="1:14" ht="17.25" customHeight="1">
      <c r="A484" s="458" t="s">
        <v>890</v>
      </c>
      <c r="B484" s="560"/>
      <c r="C484" s="62"/>
      <c r="D484" s="62"/>
      <c r="E484" s="62"/>
      <c r="F484" s="62"/>
      <c r="G484" s="62"/>
      <c r="H484" s="62"/>
      <c r="I484" s="62"/>
      <c r="J484" s="62"/>
      <c r="K484" s="653"/>
      <c r="L484" s="653"/>
      <c r="M484" s="22"/>
      <c r="N484" s="22"/>
    </row>
    <row r="485" spans="1:25" s="1092" customFormat="1" ht="17.25" customHeight="1">
      <c r="A485" s="1090" t="s">
        <v>891</v>
      </c>
      <c r="B485" s="561"/>
      <c r="C485" s="543"/>
      <c r="D485" s="543"/>
      <c r="E485" s="543"/>
      <c r="F485" s="543"/>
      <c r="G485" s="543"/>
      <c r="H485" s="543"/>
      <c r="I485" s="543"/>
      <c r="J485" s="543"/>
      <c r="K485" s="456"/>
      <c r="L485" s="456"/>
      <c r="M485" s="457"/>
      <c r="N485" s="457"/>
      <c r="O485" s="1091"/>
      <c r="P485" s="1091"/>
      <c r="Q485" s="1091"/>
      <c r="R485" s="1091"/>
      <c r="S485" s="1091"/>
      <c r="T485" s="1091"/>
      <c r="U485" s="1091"/>
      <c r="V485" s="1091"/>
      <c r="W485" s="1091"/>
      <c r="X485" s="1091"/>
      <c r="Y485" s="1091"/>
    </row>
    <row r="486" spans="1:14" ht="23.25" customHeight="1">
      <c r="A486" s="696" t="s">
        <v>49</v>
      </c>
      <c r="B486" s="544"/>
      <c r="C486" s="858" t="s">
        <v>884</v>
      </c>
      <c r="D486" s="858" t="s">
        <v>278</v>
      </c>
      <c r="E486" s="732" t="s">
        <v>885</v>
      </c>
      <c r="F486" s="733"/>
      <c r="G486" s="982" t="s">
        <v>886</v>
      </c>
      <c r="H486" s="982"/>
      <c r="I486" s="982" t="s">
        <v>887</v>
      </c>
      <c r="J486" s="982"/>
      <c r="K486" s="732" t="s">
        <v>888</v>
      </c>
      <c r="L486" s="733"/>
      <c r="M486" s="23"/>
      <c r="N486" s="22"/>
    </row>
    <row r="487" spans="1:14" ht="18" customHeight="1">
      <c r="A487" s="66" t="s">
        <v>740</v>
      </c>
      <c r="B487" s="31" t="s">
        <v>741</v>
      </c>
      <c r="C487" s="707">
        <f>CEILING(40*$Z$1,0.1)</f>
        <v>50</v>
      </c>
      <c r="D487" s="747"/>
      <c r="E487" s="703">
        <f>CEILING(65*$Z$1,0.1)</f>
        <v>81.30000000000001</v>
      </c>
      <c r="F487" s="704"/>
      <c r="G487" s="707">
        <f>CEILING(48*$Z$1,0.1)</f>
        <v>60</v>
      </c>
      <c r="H487" s="708"/>
      <c r="I487" s="707">
        <f>CEILING(55*$Z$1,0.1)</f>
        <v>68.8</v>
      </c>
      <c r="J487" s="708"/>
      <c r="K487" s="703">
        <f>CEILING(39*$Z$1,0.1)</f>
        <v>48.800000000000004</v>
      </c>
      <c r="L487" s="704"/>
      <c r="M487" s="23"/>
      <c r="N487" s="22"/>
    </row>
    <row r="488" spans="1:14" ht="17.25" customHeight="1">
      <c r="A488" s="71" t="s">
        <v>65</v>
      </c>
      <c r="B488" s="31" t="s">
        <v>742</v>
      </c>
      <c r="C488" s="707">
        <f>CEILING((C487+15*$Z$1),0.1)</f>
        <v>68.8</v>
      </c>
      <c r="D488" s="708"/>
      <c r="E488" s="707">
        <f>CEILING((E487+25*$Z$1),0.1)</f>
        <v>112.60000000000001</v>
      </c>
      <c r="F488" s="708"/>
      <c r="G488" s="707">
        <f>CEILING((G487+15*$Z$1),0.1)</f>
        <v>78.80000000000001</v>
      </c>
      <c r="H488" s="708"/>
      <c r="I488" s="707">
        <f>CEILING((I487+15*$Z$1),0.1)</f>
        <v>87.60000000000001</v>
      </c>
      <c r="J488" s="708"/>
      <c r="K488" s="707">
        <f>CEILING((K487+18*$Z$1),0.1)</f>
        <v>71.3</v>
      </c>
      <c r="L488" s="708"/>
      <c r="M488" s="23"/>
      <c r="N488" s="22"/>
    </row>
    <row r="489" spans="1:14" ht="18" customHeight="1">
      <c r="A489" s="1034"/>
      <c r="B489" s="31" t="s">
        <v>379</v>
      </c>
      <c r="C489" s="707">
        <f>CEILING((C487*0.85),0.1)</f>
        <v>42.5</v>
      </c>
      <c r="D489" s="708"/>
      <c r="E489" s="707">
        <f>CEILING((E487*0.85),0.1)</f>
        <v>69.2</v>
      </c>
      <c r="F489" s="708"/>
      <c r="G489" s="707">
        <f>CEILING((G487*0.85),0.1)</f>
        <v>51</v>
      </c>
      <c r="H489" s="708"/>
      <c r="I489" s="707">
        <f>CEILING((I487*0.85),0.1)</f>
        <v>58.5</v>
      </c>
      <c r="J489" s="708"/>
      <c r="K489" s="707">
        <f>CEILING((K487*0.85),0.1)</f>
        <v>41.5</v>
      </c>
      <c r="L489" s="708"/>
      <c r="M489" s="23"/>
      <c r="N489" s="22"/>
    </row>
    <row r="490" spans="1:14" ht="17.25" customHeight="1">
      <c r="A490" s="71"/>
      <c r="B490" s="31" t="s">
        <v>78</v>
      </c>
      <c r="C490" s="736">
        <v>0</v>
      </c>
      <c r="D490" s="737"/>
      <c r="E490" s="707">
        <v>0</v>
      </c>
      <c r="F490" s="708"/>
      <c r="G490" s="707">
        <v>0</v>
      </c>
      <c r="H490" s="708"/>
      <c r="I490" s="707">
        <v>0</v>
      </c>
      <c r="J490" s="708"/>
      <c r="K490" s="707">
        <v>0</v>
      </c>
      <c r="L490" s="708"/>
      <c r="M490" s="23"/>
      <c r="N490" s="22"/>
    </row>
    <row r="491" spans="1:14" ht="18" customHeight="1">
      <c r="A491" s="71"/>
      <c r="B491" s="31" t="s">
        <v>74</v>
      </c>
      <c r="C491" s="736">
        <f>CEILING(45*$Z$1,0.1)</f>
        <v>56.300000000000004</v>
      </c>
      <c r="D491" s="737"/>
      <c r="E491" s="736">
        <f>CEILING(70*$Z$1,0.1)</f>
        <v>87.5</v>
      </c>
      <c r="F491" s="737"/>
      <c r="G491" s="736">
        <f>CEILING(53*$Z$1,0.1)</f>
        <v>66.3</v>
      </c>
      <c r="H491" s="737"/>
      <c r="I491" s="736">
        <f>CEILING(60*$Z$1,0.1)</f>
        <v>75</v>
      </c>
      <c r="J491" s="737"/>
      <c r="K491" s="736">
        <f>CEILING(44*$Z$1,0.1)</f>
        <v>55</v>
      </c>
      <c r="L491" s="737"/>
      <c r="M491" s="23"/>
      <c r="N491" s="22"/>
    </row>
    <row r="492" spans="1:14" ht="16.5" customHeight="1" thickBot="1">
      <c r="A492" s="86" t="s">
        <v>536</v>
      </c>
      <c r="B492" s="15" t="s">
        <v>75</v>
      </c>
      <c r="C492" s="720">
        <f>CEILING((C491+15*$Z$1),0.1)</f>
        <v>75.10000000000001</v>
      </c>
      <c r="D492" s="721"/>
      <c r="E492" s="720">
        <f>CEILING((E491+15*$Z$1),0.1)</f>
        <v>106.30000000000001</v>
      </c>
      <c r="F492" s="721"/>
      <c r="G492" s="720">
        <f>CEILING((G491+15*$Z$1),0.1)</f>
        <v>85.10000000000001</v>
      </c>
      <c r="H492" s="721"/>
      <c r="I492" s="720">
        <f>CEILING((I491+15*$Z$1),0.1)</f>
        <v>93.80000000000001</v>
      </c>
      <c r="J492" s="721"/>
      <c r="K492" s="720">
        <f>CEILING((K491+15*$Z$1),0.1)</f>
        <v>73.8</v>
      </c>
      <c r="L492" s="721"/>
      <c r="M492" s="23"/>
      <c r="N492" s="22"/>
    </row>
    <row r="493" spans="1:25" ht="15.75" customHeight="1" thickTop="1">
      <c r="A493" s="334" t="s">
        <v>96</v>
      </c>
      <c r="B493" s="31" t="s">
        <v>42</v>
      </c>
      <c r="C493" s="707">
        <f>CEILING(40*$Z$1,0.1)</f>
        <v>50</v>
      </c>
      <c r="D493" s="747"/>
      <c r="E493" s="734">
        <f>CEILING(66*$Z$1,0.1)</f>
        <v>82.5</v>
      </c>
      <c r="F493" s="735"/>
      <c r="G493" s="734">
        <f>CEILING(53*$Z$1,0.1)</f>
        <v>66.3</v>
      </c>
      <c r="H493" s="735"/>
      <c r="I493" s="734">
        <f>CEILING(55*$Z$1,0.1)</f>
        <v>68.8</v>
      </c>
      <c r="J493" s="735"/>
      <c r="K493" s="734">
        <f>CEILING(40*$Z$1,0.1)</f>
        <v>50</v>
      </c>
      <c r="L493" s="735"/>
      <c r="M493" s="1040"/>
      <c r="X493" s="993"/>
      <c r="Y493" s="993"/>
    </row>
    <row r="494" spans="1:25" ht="15.75" customHeight="1">
      <c r="A494" s="161" t="s">
        <v>41</v>
      </c>
      <c r="B494" s="31" t="s">
        <v>43</v>
      </c>
      <c r="C494" s="707">
        <f>CEILING((C493+14*$Z$1),0.1)</f>
        <v>67.5</v>
      </c>
      <c r="D494" s="708"/>
      <c r="E494" s="707">
        <f>CEILING((E493+14*$Z$1),0.1)</f>
        <v>100</v>
      </c>
      <c r="F494" s="708"/>
      <c r="G494" s="707">
        <f>CEILING((G493+14*$Z$1),0.1)</f>
        <v>83.80000000000001</v>
      </c>
      <c r="H494" s="708"/>
      <c r="I494" s="707">
        <f>CEILING((I493+14*$Z$1),0.1)</f>
        <v>86.30000000000001</v>
      </c>
      <c r="J494" s="708"/>
      <c r="K494" s="707">
        <f>CEILING((K493+14*$Z$1),0.1)</f>
        <v>67.5</v>
      </c>
      <c r="L494" s="708"/>
      <c r="M494" s="1040"/>
      <c r="X494" s="993"/>
      <c r="Y494" s="993"/>
    </row>
    <row r="495" spans="1:25" ht="16.5" customHeight="1">
      <c r="A495" s="1034"/>
      <c r="B495" s="31" t="s">
        <v>379</v>
      </c>
      <c r="C495" s="707">
        <f>CEILING((C493*0.85),0.1)</f>
        <v>42.5</v>
      </c>
      <c r="D495" s="708"/>
      <c r="E495" s="707">
        <f>CEILING((E493*0.85),0.1)</f>
        <v>70.2</v>
      </c>
      <c r="F495" s="708"/>
      <c r="G495" s="707">
        <f>CEILING((G493*0.85),0.1)</f>
        <v>56.400000000000006</v>
      </c>
      <c r="H495" s="708"/>
      <c r="I495" s="707">
        <f>CEILING((I493*0.85),0.1)</f>
        <v>58.5</v>
      </c>
      <c r="J495" s="708"/>
      <c r="K495" s="707">
        <f>CEILING((K493*0.85),0.1)</f>
        <v>42.5</v>
      </c>
      <c r="L495" s="708"/>
      <c r="M495" s="1040"/>
      <c r="X495" s="993"/>
      <c r="Y495" s="993"/>
    </row>
    <row r="496" spans="1:25" ht="15" customHeight="1">
      <c r="A496" s="161"/>
      <c r="B496" s="31" t="s">
        <v>78</v>
      </c>
      <c r="C496" s="736">
        <v>0</v>
      </c>
      <c r="D496" s="737"/>
      <c r="E496" s="707">
        <v>0</v>
      </c>
      <c r="F496" s="708"/>
      <c r="G496" s="707">
        <v>0</v>
      </c>
      <c r="H496" s="708"/>
      <c r="I496" s="707">
        <v>0</v>
      </c>
      <c r="J496" s="708"/>
      <c r="K496" s="707">
        <v>0</v>
      </c>
      <c r="L496" s="708"/>
      <c r="M496" s="1040"/>
      <c r="X496" s="993"/>
      <c r="Y496" s="993"/>
    </row>
    <row r="497" spans="1:25" ht="16.5" customHeight="1">
      <c r="A497" s="161"/>
      <c r="B497" s="31" t="s">
        <v>229</v>
      </c>
      <c r="C497" s="736">
        <f>CEILING(55*$Z$1,0.1)</f>
        <v>68.8</v>
      </c>
      <c r="D497" s="737"/>
      <c r="E497" s="736">
        <f>CEILING(81*$Z$1,0.1)</f>
        <v>101.30000000000001</v>
      </c>
      <c r="F497" s="737"/>
      <c r="G497" s="736">
        <f>CEILING(63*$Z$1,0.1)</f>
        <v>78.80000000000001</v>
      </c>
      <c r="H497" s="737"/>
      <c r="I497" s="736">
        <f>CEILING(65*$Z$1,0.1)</f>
        <v>81.30000000000001</v>
      </c>
      <c r="J497" s="737"/>
      <c r="K497" s="736">
        <f>CEILING(50*$Z$1,0.1)</f>
        <v>62.5</v>
      </c>
      <c r="L497" s="737"/>
      <c r="M497" s="1040"/>
      <c r="X497" s="993"/>
      <c r="Y497" s="993"/>
    </row>
    <row r="498" spans="1:25" ht="18" customHeight="1" thickBot="1">
      <c r="A498" s="86" t="s">
        <v>536</v>
      </c>
      <c r="B498" s="31" t="s">
        <v>378</v>
      </c>
      <c r="C498" s="720">
        <f>CEILING((C497+17*$Z$1),0.1)</f>
        <v>90.10000000000001</v>
      </c>
      <c r="D498" s="721"/>
      <c r="E498" s="720">
        <f>CEILING((E497+17*$Z$1),0.1)</f>
        <v>122.60000000000001</v>
      </c>
      <c r="F498" s="721"/>
      <c r="G498" s="720">
        <f>CEILING((G497+17*$Z$1),0.1)</f>
        <v>100.10000000000001</v>
      </c>
      <c r="H498" s="721"/>
      <c r="I498" s="720">
        <f>CEILING((I497+17*$Z$1),0.1)</f>
        <v>102.60000000000001</v>
      </c>
      <c r="J498" s="721"/>
      <c r="K498" s="720">
        <f>CEILING((K497+17*$Z$1),0.1)</f>
        <v>83.80000000000001</v>
      </c>
      <c r="L498" s="721"/>
      <c r="M498" s="1040"/>
      <c r="X498" s="993"/>
      <c r="Y498" s="993"/>
    </row>
    <row r="499" spans="1:25" ht="15.75" customHeight="1" thickTop="1">
      <c r="A499" s="66" t="s">
        <v>97</v>
      </c>
      <c r="B499" s="229" t="s">
        <v>57</v>
      </c>
      <c r="C499" s="707">
        <f>CEILING(40*$Z$1,0.1)</f>
        <v>50</v>
      </c>
      <c r="D499" s="747"/>
      <c r="E499" s="734">
        <f>CEILING(66*$Z$1,0.1)</f>
        <v>82.5</v>
      </c>
      <c r="F499" s="735"/>
      <c r="G499" s="734">
        <f>CEILING(53*$Z$1,0.1)</f>
        <v>66.3</v>
      </c>
      <c r="H499" s="735"/>
      <c r="I499" s="734">
        <f>CEILING(55*$Z$1,0.1)</f>
        <v>68.8</v>
      </c>
      <c r="J499" s="735"/>
      <c r="K499" s="734">
        <f>CEILING(40*$Z$1,0.1)</f>
        <v>50</v>
      </c>
      <c r="L499" s="735"/>
      <c r="M499" s="1040"/>
      <c r="X499" s="993"/>
      <c r="Y499" s="993"/>
    </row>
    <row r="500" spans="1:14" ht="15">
      <c r="A500" s="71" t="s">
        <v>98</v>
      </c>
      <c r="B500" s="31" t="s">
        <v>58</v>
      </c>
      <c r="C500" s="707">
        <f>CEILING((C499+14*$Z$1),0.1)</f>
        <v>67.5</v>
      </c>
      <c r="D500" s="708"/>
      <c r="E500" s="707">
        <f>CEILING((E499+14*$Z$1),0.1)</f>
        <v>100</v>
      </c>
      <c r="F500" s="708"/>
      <c r="G500" s="707">
        <f>CEILING((G499+14*$Z$1),0.1)</f>
        <v>83.80000000000001</v>
      </c>
      <c r="H500" s="708"/>
      <c r="I500" s="707">
        <f>CEILING((I499+14*$Z$1),0.1)</f>
        <v>86.30000000000001</v>
      </c>
      <c r="J500" s="708"/>
      <c r="K500" s="707">
        <f>CEILING((K499+14*$Z$1),0.1)</f>
        <v>67.5</v>
      </c>
      <c r="L500" s="708"/>
      <c r="M500" s="4"/>
      <c r="N500" s="22"/>
    </row>
    <row r="501" spans="1:14" ht="15">
      <c r="A501" s="1034"/>
      <c r="B501" s="31" t="s">
        <v>379</v>
      </c>
      <c r="C501" s="707">
        <f>CEILING((C499*0.85),0.1)</f>
        <v>42.5</v>
      </c>
      <c r="D501" s="708"/>
      <c r="E501" s="707">
        <f>CEILING((E499*0.85),0.1)</f>
        <v>70.2</v>
      </c>
      <c r="F501" s="708"/>
      <c r="G501" s="707">
        <f>CEILING((G499*0.85),0.1)</f>
        <v>56.400000000000006</v>
      </c>
      <c r="H501" s="708"/>
      <c r="I501" s="707">
        <f>CEILING((I499*0.85),0.1)</f>
        <v>58.5</v>
      </c>
      <c r="J501" s="708"/>
      <c r="K501" s="707">
        <f>CEILING((K499*0.85),0.1)</f>
        <v>42.5</v>
      </c>
      <c r="L501" s="708"/>
      <c r="M501" s="4"/>
      <c r="N501" s="22"/>
    </row>
    <row r="502" spans="1:14" ht="15.75" customHeight="1">
      <c r="A502" s="71"/>
      <c r="B502" s="31" t="s">
        <v>78</v>
      </c>
      <c r="C502" s="736">
        <v>0</v>
      </c>
      <c r="D502" s="737"/>
      <c r="E502" s="707">
        <v>0</v>
      </c>
      <c r="F502" s="708"/>
      <c r="G502" s="707">
        <v>0</v>
      </c>
      <c r="H502" s="708"/>
      <c r="I502" s="707">
        <v>0</v>
      </c>
      <c r="J502" s="708"/>
      <c r="K502" s="707">
        <v>0</v>
      </c>
      <c r="L502" s="708"/>
      <c r="M502" s="4"/>
      <c r="N502" s="22"/>
    </row>
    <row r="503" spans="1:14" ht="15">
      <c r="A503" s="71"/>
      <c r="B503" s="31" t="s">
        <v>229</v>
      </c>
      <c r="C503" s="736">
        <f>CEILING(55*$Z$1,0.1)</f>
        <v>68.8</v>
      </c>
      <c r="D503" s="737"/>
      <c r="E503" s="736">
        <f>CEILING(81*$Z$1,0.1)</f>
        <v>101.30000000000001</v>
      </c>
      <c r="F503" s="737"/>
      <c r="G503" s="736">
        <f>CEILING(63*$Z$1,0.1)</f>
        <v>78.80000000000001</v>
      </c>
      <c r="H503" s="737"/>
      <c r="I503" s="736">
        <f>CEILING(65*$Z$1,0.1)</f>
        <v>81.30000000000001</v>
      </c>
      <c r="J503" s="737"/>
      <c r="K503" s="736">
        <f>CEILING(50*$Z$1,0.1)</f>
        <v>62.5</v>
      </c>
      <c r="L503" s="737"/>
      <c r="M503" s="4"/>
      <c r="N503" s="22"/>
    </row>
    <row r="504" spans="1:14" ht="16.5" customHeight="1" thickBot="1">
      <c r="A504" s="86" t="s">
        <v>536</v>
      </c>
      <c r="B504" s="31" t="s">
        <v>378</v>
      </c>
      <c r="C504" s="720">
        <f>CEILING((C503+17*$Z$1),0.1)</f>
        <v>90.10000000000001</v>
      </c>
      <c r="D504" s="721"/>
      <c r="E504" s="720">
        <f>CEILING((E503+17*$Z$1),0.1)</f>
        <v>122.60000000000001</v>
      </c>
      <c r="F504" s="721"/>
      <c r="G504" s="720">
        <f>CEILING((G503+17*$Z$1),0.1)</f>
        <v>100.10000000000001</v>
      </c>
      <c r="H504" s="721"/>
      <c r="I504" s="720">
        <f>CEILING((I503+17*$Z$1),0.1)</f>
        <v>102.60000000000001</v>
      </c>
      <c r="J504" s="721"/>
      <c r="K504" s="720">
        <f>CEILING((K503+17*$Z$1),0.1)</f>
        <v>83.80000000000001</v>
      </c>
      <c r="L504" s="721"/>
      <c r="M504" s="23"/>
      <c r="N504" s="22"/>
    </row>
    <row r="505" spans="1:14" ht="17.25" customHeight="1" thickTop="1">
      <c r="A505" s="66" t="s">
        <v>46</v>
      </c>
      <c r="B505" s="229" t="s">
        <v>57</v>
      </c>
      <c r="C505" s="734">
        <f>CEILING(35*$Z$1,0.1)</f>
        <v>43.800000000000004</v>
      </c>
      <c r="D505" s="859"/>
      <c r="E505" s="734">
        <f>CEILING(60*$Z$1,0.1)</f>
        <v>75</v>
      </c>
      <c r="F505" s="735"/>
      <c r="G505" s="734">
        <f>CEILING(48*$Z$1,0.1)</f>
        <v>60</v>
      </c>
      <c r="H505" s="735"/>
      <c r="I505" s="734">
        <f>CEILING(50*$Z$1,0.1)</f>
        <v>62.5</v>
      </c>
      <c r="J505" s="735"/>
      <c r="K505" s="734">
        <f>CEILING(35*$Z$1,0.1)</f>
        <v>43.800000000000004</v>
      </c>
      <c r="L505" s="735"/>
      <c r="M505" s="335"/>
      <c r="N505" s="27"/>
    </row>
    <row r="506" spans="1:14" ht="18" customHeight="1">
      <c r="A506" s="71" t="s">
        <v>98</v>
      </c>
      <c r="B506" s="31" t="s">
        <v>58</v>
      </c>
      <c r="C506" s="707">
        <f>CEILING((C505+14*$Z$1),0.1)</f>
        <v>61.300000000000004</v>
      </c>
      <c r="D506" s="708"/>
      <c r="E506" s="707">
        <f>CEILING((E505+14*$Z$1),0.1)</f>
        <v>92.5</v>
      </c>
      <c r="F506" s="708"/>
      <c r="G506" s="707">
        <f>CEILING((G505+14*$Z$1),0.1)</f>
        <v>77.5</v>
      </c>
      <c r="H506" s="708"/>
      <c r="I506" s="707">
        <f>CEILING((I505+14*$Z$1),0.1)</f>
        <v>80</v>
      </c>
      <c r="J506" s="708"/>
      <c r="K506" s="707">
        <f>CEILING((K505+14*$Z$1),0.1)</f>
        <v>61.300000000000004</v>
      </c>
      <c r="L506" s="708"/>
      <c r="M506" s="23"/>
      <c r="N506" s="22"/>
    </row>
    <row r="507" spans="1:14" ht="18" customHeight="1">
      <c r="A507" s="1034"/>
      <c r="B507" s="31" t="s">
        <v>53</v>
      </c>
      <c r="C507" s="707">
        <f>CEILING((C505*0.85),0.1)</f>
        <v>37.300000000000004</v>
      </c>
      <c r="D507" s="708"/>
      <c r="E507" s="707">
        <f>CEILING((E505*0.85),0.1)</f>
        <v>63.800000000000004</v>
      </c>
      <c r="F507" s="708"/>
      <c r="G507" s="707">
        <f>CEILING((G505*0.85),0.1)</f>
        <v>51</v>
      </c>
      <c r="H507" s="708"/>
      <c r="I507" s="707">
        <f>CEILING((I505*0.85),0.1)</f>
        <v>53.2</v>
      </c>
      <c r="J507" s="708"/>
      <c r="K507" s="707">
        <f>CEILING((K505*0.85),0.1)</f>
        <v>37.300000000000004</v>
      </c>
      <c r="L507" s="708"/>
      <c r="M507" s="23"/>
      <c r="N507" s="22"/>
    </row>
    <row r="508" spans="1:14" ht="18" customHeight="1" thickBot="1">
      <c r="A508" s="86" t="s">
        <v>535</v>
      </c>
      <c r="B508" s="15" t="s">
        <v>78</v>
      </c>
      <c r="C508" s="944">
        <v>0</v>
      </c>
      <c r="D508" s="945"/>
      <c r="E508" s="720">
        <v>0</v>
      </c>
      <c r="F508" s="721"/>
      <c r="G508" s="720">
        <v>0</v>
      </c>
      <c r="H508" s="721"/>
      <c r="I508" s="705">
        <v>0</v>
      </c>
      <c r="J508" s="706"/>
      <c r="K508" s="705">
        <v>0</v>
      </c>
      <c r="L508" s="706"/>
      <c r="M508" s="23"/>
      <c r="N508" s="22"/>
    </row>
    <row r="509" spans="1:14" ht="18" customHeight="1" thickTop="1">
      <c r="A509" s="794" t="s">
        <v>743</v>
      </c>
      <c r="B509" s="794"/>
      <c r="C509" s="794"/>
      <c r="D509" s="794"/>
      <c r="E509" s="794"/>
      <c r="F509" s="794"/>
      <c r="G509" s="794"/>
      <c r="H509" s="794"/>
      <c r="I509" s="747"/>
      <c r="J509" s="747"/>
      <c r="K509" s="764"/>
      <c r="L509" s="764"/>
      <c r="M509" s="22"/>
      <c r="N509" s="22"/>
    </row>
    <row r="510" spans="1:19" ht="15">
      <c r="A510" s="170" t="s">
        <v>1067</v>
      </c>
      <c r="B510" s="54"/>
      <c r="C510" s="3"/>
      <c r="D510" s="3"/>
      <c r="E510" s="3"/>
      <c r="F510" s="3"/>
      <c r="G510" s="3"/>
      <c r="H510" s="3"/>
      <c r="I510" s="653"/>
      <c r="J510" s="653"/>
      <c r="K510" s="653"/>
      <c r="L510" s="653"/>
      <c r="M510" s="22"/>
      <c r="Q510" s="3"/>
      <c r="R510" s="3"/>
      <c r="S510" s="1032"/>
    </row>
    <row r="511" spans="1:19" ht="15">
      <c r="A511" s="170" t="s">
        <v>1057</v>
      </c>
      <c r="B511" s="54"/>
      <c r="C511" s="3"/>
      <c r="D511" s="3"/>
      <c r="E511" s="3"/>
      <c r="F511" s="3"/>
      <c r="G511" s="3"/>
      <c r="H511" s="3"/>
      <c r="I511" s="653"/>
      <c r="J511" s="653"/>
      <c r="K511" s="653"/>
      <c r="L511" s="653"/>
      <c r="M511" s="22"/>
      <c r="Q511" s="3"/>
      <c r="R511" s="3"/>
      <c r="S511" s="1032"/>
    </row>
    <row r="512" spans="1:19" ht="15">
      <c r="A512" s="170" t="s">
        <v>1060</v>
      </c>
      <c r="B512" s="54"/>
      <c r="C512" s="3"/>
      <c r="D512" s="3"/>
      <c r="E512" s="3"/>
      <c r="F512" s="3"/>
      <c r="G512" s="3"/>
      <c r="H512" s="3"/>
      <c r="I512" s="653"/>
      <c r="J512" s="653"/>
      <c r="K512" s="653"/>
      <c r="L512" s="653"/>
      <c r="M512" s="22"/>
      <c r="Q512" s="3"/>
      <c r="R512" s="3"/>
      <c r="S512" s="1032"/>
    </row>
    <row r="513" spans="1:14" ht="18" customHeight="1">
      <c r="A513" s="752"/>
      <c r="B513" s="752"/>
      <c r="C513" s="752"/>
      <c r="D513" s="752"/>
      <c r="E513" s="752"/>
      <c r="F513" s="752"/>
      <c r="G513" s="752"/>
      <c r="H513" s="752"/>
      <c r="I513" s="747"/>
      <c r="J513" s="747"/>
      <c r="K513" s="747"/>
      <c r="L513" s="747"/>
      <c r="M513" s="22"/>
      <c r="N513" s="22"/>
    </row>
    <row r="514" spans="1:14" ht="23.25" customHeight="1">
      <c r="A514" s="696" t="s">
        <v>49</v>
      </c>
      <c r="B514" s="531"/>
      <c r="C514" s="775" t="s">
        <v>884</v>
      </c>
      <c r="D514" s="776"/>
      <c r="E514" s="722" t="s">
        <v>885</v>
      </c>
      <c r="F514" s="723"/>
      <c r="G514" s="732" t="s">
        <v>886</v>
      </c>
      <c r="H514" s="733"/>
      <c r="I514" s="732" t="s">
        <v>887</v>
      </c>
      <c r="J514" s="733"/>
      <c r="K514" s="732" t="s">
        <v>888</v>
      </c>
      <c r="L514" s="733"/>
      <c r="M514" s="22"/>
      <c r="N514" s="22"/>
    </row>
    <row r="515" spans="1:14" ht="18" customHeight="1">
      <c r="A515" s="191" t="s">
        <v>435</v>
      </c>
      <c r="B515" s="42" t="s">
        <v>423</v>
      </c>
      <c r="C515" s="707">
        <f>CEILING(65*$Z$1,0.1)</f>
        <v>81.30000000000001</v>
      </c>
      <c r="D515" s="747"/>
      <c r="E515" s="703">
        <f>CEILING(108*$Z$1,0.1)</f>
        <v>135</v>
      </c>
      <c r="F515" s="704"/>
      <c r="G515" s="703">
        <f>CEILING(75*$Z$1,0.1)</f>
        <v>93.80000000000001</v>
      </c>
      <c r="H515" s="704"/>
      <c r="I515" s="703">
        <f>CEILING(85*$Z$1,0.1)</f>
        <v>106.30000000000001</v>
      </c>
      <c r="J515" s="704"/>
      <c r="K515" s="707">
        <f>CEILING(65*$Z$1,0.1)</f>
        <v>81.30000000000001</v>
      </c>
      <c r="L515" s="708"/>
      <c r="M515" s="22"/>
      <c r="N515" s="22"/>
    </row>
    <row r="516" spans="1:14" ht="18" customHeight="1">
      <c r="A516" s="177" t="s">
        <v>65</v>
      </c>
      <c r="B516" s="14" t="s">
        <v>1181</v>
      </c>
      <c r="C516" s="707">
        <f>CEILING(90*$Z$1,0.1)</f>
        <v>112.5</v>
      </c>
      <c r="D516" s="747"/>
      <c r="E516" s="707">
        <f>CEILING(133*$Z$1,0.1)</f>
        <v>166.3</v>
      </c>
      <c r="F516" s="708"/>
      <c r="G516" s="707">
        <f>CEILING(100*$Z$1,0.1)</f>
        <v>125</v>
      </c>
      <c r="H516" s="708"/>
      <c r="I516" s="707">
        <f>CEILING(110*$Z$1,0.1)</f>
        <v>137.5</v>
      </c>
      <c r="J516" s="708"/>
      <c r="K516" s="707">
        <f>CEILING(90*$Z$1,0.1)</f>
        <v>112.5</v>
      </c>
      <c r="L516" s="708"/>
      <c r="M516" s="22"/>
      <c r="N516" s="22"/>
    </row>
    <row r="517" spans="1:14" ht="18" customHeight="1">
      <c r="A517" s="177"/>
      <c r="B517" s="38" t="s">
        <v>250</v>
      </c>
      <c r="C517" s="707">
        <f>CEILING(70*$Z$1,0.1)</f>
        <v>87.5</v>
      </c>
      <c r="D517" s="708"/>
      <c r="E517" s="707">
        <f>CEILING(113*$Z$1,0.1)</f>
        <v>141.3</v>
      </c>
      <c r="F517" s="708"/>
      <c r="G517" s="707">
        <f>CEILING(80*$Z$1,0.1)</f>
        <v>100</v>
      </c>
      <c r="H517" s="708"/>
      <c r="I517" s="707">
        <f>CEILING(90*$Z$1,0.1)</f>
        <v>112.5</v>
      </c>
      <c r="J517" s="708"/>
      <c r="K517" s="707">
        <f>CEILING(70*$Z$1,0.1)</f>
        <v>87.5</v>
      </c>
      <c r="L517" s="708"/>
      <c r="M517" s="22"/>
      <c r="N517" s="22"/>
    </row>
    <row r="518" spans="1:14" ht="18" customHeight="1">
      <c r="A518" s="177"/>
      <c r="B518" s="14" t="s">
        <v>251</v>
      </c>
      <c r="C518" s="707">
        <f>CEILING(95*$Z$1,0.1)</f>
        <v>118.80000000000001</v>
      </c>
      <c r="D518" s="747"/>
      <c r="E518" s="707">
        <f>CEILING(138*$Z$1,0.1)</f>
        <v>172.5</v>
      </c>
      <c r="F518" s="708"/>
      <c r="G518" s="707">
        <f>CEILING(105*$Z$1,0.1)</f>
        <v>131.3</v>
      </c>
      <c r="H518" s="708"/>
      <c r="I518" s="707">
        <f>CEILING(115*$Z$1,0.1)</f>
        <v>143.8</v>
      </c>
      <c r="J518" s="708"/>
      <c r="K518" s="707">
        <f>CEILING(95*$Z$1,0.1)</f>
        <v>118.80000000000001</v>
      </c>
      <c r="L518" s="708"/>
      <c r="M518" s="22"/>
      <c r="N518" s="22"/>
    </row>
    <row r="519" spans="1:14" ht="18" customHeight="1">
      <c r="A519" s="177"/>
      <c r="B519" s="14" t="s">
        <v>436</v>
      </c>
      <c r="C519" s="707">
        <f>CEILING(75*$Z$1,0.1)</f>
        <v>93.80000000000001</v>
      </c>
      <c r="D519" s="708"/>
      <c r="E519" s="707">
        <f>CEILING(118*$Z$1,0.1)</f>
        <v>147.5</v>
      </c>
      <c r="F519" s="708"/>
      <c r="G519" s="707">
        <f>CEILING(85*$Z$1,0.1)</f>
        <v>106.30000000000001</v>
      </c>
      <c r="H519" s="708"/>
      <c r="I519" s="707">
        <f>CEILING(95*$Z$1,0.1)</f>
        <v>118.80000000000001</v>
      </c>
      <c r="J519" s="708"/>
      <c r="K519" s="707">
        <f>CEILING(75*$Z$1,0.1)</f>
        <v>93.80000000000001</v>
      </c>
      <c r="L519" s="708"/>
      <c r="M519" s="22"/>
      <c r="N519" s="22"/>
    </row>
    <row r="520" spans="1:14" ht="18.75" customHeight="1">
      <c r="A520" s="177"/>
      <c r="B520" s="14" t="s">
        <v>437</v>
      </c>
      <c r="C520" s="707">
        <f>CEILING(100*$Z$1,0.1)</f>
        <v>125</v>
      </c>
      <c r="D520" s="747"/>
      <c r="E520" s="707">
        <f>CEILING(143*$Z$1,0.1)</f>
        <v>178.8</v>
      </c>
      <c r="F520" s="708"/>
      <c r="G520" s="707">
        <f>CEILING(110*$Z$1,0.1)</f>
        <v>137.5</v>
      </c>
      <c r="H520" s="708"/>
      <c r="I520" s="707">
        <f>CEILING(120*$Z$1,0.1)</f>
        <v>150</v>
      </c>
      <c r="J520" s="708"/>
      <c r="K520" s="707">
        <f>CEILING(100*$Z$1,0.1)</f>
        <v>125</v>
      </c>
      <c r="L520" s="708"/>
      <c r="M520" s="22"/>
      <c r="N520" s="22"/>
    </row>
    <row r="521" spans="1:14" ht="18" customHeight="1">
      <c r="A521" s="177"/>
      <c r="B521" s="14" t="s">
        <v>1182</v>
      </c>
      <c r="C521" s="707">
        <f>CEILING(85*$Z$1,0.1)</f>
        <v>106.30000000000001</v>
      </c>
      <c r="D521" s="708"/>
      <c r="E521" s="707">
        <f>CEILING(128*$Z$1,0.1)</f>
        <v>160</v>
      </c>
      <c r="F521" s="708"/>
      <c r="G521" s="707">
        <f>CEILING(95*$Z$1,0.1)</f>
        <v>118.80000000000001</v>
      </c>
      <c r="H521" s="708"/>
      <c r="I521" s="707">
        <f>CEILING(105*$Z$1,0.1)</f>
        <v>131.3</v>
      </c>
      <c r="J521" s="708"/>
      <c r="K521" s="707">
        <f>CEILING(85*$Z$1,0.1)</f>
        <v>106.30000000000001</v>
      </c>
      <c r="L521" s="708"/>
      <c r="M521" s="22"/>
      <c r="N521" s="22"/>
    </row>
    <row r="522" spans="1:14" ht="18" customHeight="1" thickBot="1">
      <c r="A522" s="115" t="s">
        <v>1178</v>
      </c>
      <c r="B522" s="15" t="s">
        <v>1183</v>
      </c>
      <c r="C522" s="720">
        <f>CEILING(110*$Z$1,0.1)</f>
        <v>137.5</v>
      </c>
      <c r="D522" s="721"/>
      <c r="E522" s="720">
        <f>CEILING(153*$Z$1,0.1)</f>
        <v>191.3</v>
      </c>
      <c r="F522" s="721"/>
      <c r="G522" s="720">
        <f>CEILING(120*$Z$1,0.1)</f>
        <v>150</v>
      </c>
      <c r="H522" s="721"/>
      <c r="I522" s="720">
        <f>CEILING(130*$Z$1,0.1)</f>
        <v>162.5</v>
      </c>
      <c r="J522" s="721"/>
      <c r="K522" s="705">
        <f>CEILING(110*$Z$1,0.1)</f>
        <v>137.5</v>
      </c>
      <c r="L522" s="706"/>
      <c r="M522" s="22"/>
      <c r="N522" s="22"/>
    </row>
    <row r="523" spans="1:14" ht="18" customHeight="1" thickTop="1">
      <c r="A523" s="861" t="s">
        <v>865</v>
      </c>
      <c r="B523" s="752"/>
      <c r="C523" s="752"/>
      <c r="D523" s="752"/>
      <c r="E523" s="752"/>
      <c r="F523" s="752"/>
      <c r="G523" s="752"/>
      <c r="H523" s="752"/>
      <c r="I523" s="366"/>
      <c r="J523" s="366"/>
      <c r="K523" s="366"/>
      <c r="L523" s="366"/>
      <c r="M523" s="22"/>
      <c r="N523" s="22"/>
    </row>
    <row r="524" spans="1:25" s="1089" customFormat="1" ht="15">
      <c r="A524" s="600" t="s">
        <v>1177</v>
      </c>
      <c r="B524" s="601"/>
      <c r="C524" s="602"/>
      <c r="D524" s="602"/>
      <c r="E524" s="602"/>
      <c r="F524" s="602"/>
      <c r="G524" s="602"/>
      <c r="H524" s="602"/>
      <c r="I524" s="602"/>
      <c r="J524" s="602"/>
      <c r="K524" s="602"/>
      <c r="L524" s="602"/>
      <c r="M524" s="603"/>
      <c r="N524" s="603"/>
      <c r="O524" s="1088"/>
      <c r="P524" s="1088"/>
      <c r="Q524" s="1088"/>
      <c r="R524" s="1088"/>
      <c r="S524" s="1088"/>
      <c r="T524" s="1088"/>
      <c r="U524" s="1088"/>
      <c r="V524" s="1088"/>
      <c r="W524" s="1088"/>
      <c r="X524" s="1088"/>
      <c r="Y524" s="1088"/>
    </row>
    <row r="525" spans="1:14" ht="18" customHeight="1">
      <c r="A525" s="847" t="s">
        <v>1184</v>
      </c>
      <c r="B525" s="847"/>
      <c r="C525" s="847"/>
      <c r="D525" s="847"/>
      <c r="E525" s="847"/>
      <c r="F525" s="847"/>
      <c r="G525" s="847"/>
      <c r="H525" s="847"/>
      <c r="I525" s="653"/>
      <c r="J525" s="653"/>
      <c r="K525" s="104"/>
      <c r="L525" s="282"/>
      <c r="M525" s="65"/>
      <c r="N525" s="65"/>
    </row>
    <row r="526" spans="1:14" ht="18" customHeight="1" thickBot="1">
      <c r="A526" s="86"/>
      <c r="B526" s="56"/>
      <c r="C526" s="667"/>
      <c r="D526" s="667"/>
      <c r="E526" s="662"/>
      <c r="F526" s="662"/>
      <c r="G526" s="662"/>
      <c r="H526" s="662"/>
      <c r="I526" s="366"/>
      <c r="J526" s="366"/>
      <c r="K526" s="366"/>
      <c r="L526" s="366"/>
      <c r="M526" s="22"/>
      <c r="N526" s="22"/>
    </row>
    <row r="527" spans="1:14" ht="22.5" customHeight="1" thickTop="1">
      <c r="A527" s="476" t="s">
        <v>49</v>
      </c>
      <c r="B527" s="519"/>
      <c r="C527" s="815" t="s">
        <v>884</v>
      </c>
      <c r="D527" s="816"/>
      <c r="E527" s="726" t="s">
        <v>981</v>
      </c>
      <c r="F527" s="727"/>
      <c r="G527" s="730" t="s">
        <v>982</v>
      </c>
      <c r="H527" s="731"/>
      <c r="I527" s="732" t="s">
        <v>888</v>
      </c>
      <c r="J527" s="733"/>
      <c r="K527" s="265"/>
      <c r="L527" s="265"/>
      <c r="M527" s="18"/>
      <c r="N527" s="991"/>
    </row>
    <row r="528" spans="1:14" ht="16.5" customHeight="1">
      <c r="A528" s="66" t="s">
        <v>101</v>
      </c>
      <c r="B528" s="231" t="s">
        <v>302</v>
      </c>
      <c r="C528" s="707">
        <f>CEILING(58*$Z$1,0.1)</f>
        <v>72.5</v>
      </c>
      <c r="D528" s="747"/>
      <c r="E528" s="703">
        <f>CEILING(68*$Z$1,0.1)</f>
        <v>85</v>
      </c>
      <c r="F528" s="704"/>
      <c r="G528" s="703">
        <f>CEILING(58*$Z$1,0.1)</f>
        <v>72.5</v>
      </c>
      <c r="H528" s="704"/>
      <c r="I528" s="703">
        <f>CEILING(53*$Z$1,0.1)</f>
        <v>66.3</v>
      </c>
      <c r="J528" s="704"/>
      <c r="K528" s="93"/>
      <c r="L528" s="93"/>
      <c r="M528" s="18"/>
      <c r="N528" s="991"/>
    </row>
    <row r="529" spans="1:14" ht="17.25" customHeight="1">
      <c r="A529" s="37" t="s">
        <v>65</v>
      </c>
      <c r="B529" s="39" t="s">
        <v>303</v>
      </c>
      <c r="C529" s="707">
        <f>CEILING(73*$Z$1,0.1)</f>
        <v>91.30000000000001</v>
      </c>
      <c r="D529" s="747"/>
      <c r="E529" s="707">
        <f>CEILING(83*$Z$1,0.1)</f>
        <v>103.80000000000001</v>
      </c>
      <c r="F529" s="708"/>
      <c r="G529" s="707">
        <f>CEILING(73*$Z$1,0.1)</f>
        <v>91.30000000000001</v>
      </c>
      <c r="H529" s="708"/>
      <c r="I529" s="707">
        <f>CEILING(66*$Z$1,0.1)</f>
        <v>82.5</v>
      </c>
      <c r="J529" s="708"/>
      <c r="K529" s="971"/>
      <c r="L529" s="76"/>
      <c r="M529" s="18"/>
      <c r="N529" s="991"/>
    </row>
    <row r="530" spans="1:14" ht="18.75" customHeight="1">
      <c r="A530" s="1093"/>
      <c r="B530" s="14" t="s">
        <v>304</v>
      </c>
      <c r="C530" s="707">
        <f>CEILING(46*$Z$1,0.1)</f>
        <v>57.5</v>
      </c>
      <c r="D530" s="747"/>
      <c r="E530" s="707">
        <f>CEILING(56*$Z$1,0.1)</f>
        <v>70</v>
      </c>
      <c r="F530" s="708"/>
      <c r="G530" s="707">
        <f>CEILING(46*$Z$1,0.1)</f>
        <v>57.5</v>
      </c>
      <c r="H530" s="708"/>
      <c r="I530" s="707">
        <f>CEILING(42*$Z$1,0.1)</f>
        <v>52.5</v>
      </c>
      <c r="J530" s="708"/>
      <c r="K530" s="971"/>
      <c r="L530" s="282"/>
      <c r="M530" s="27"/>
      <c r="N530" s="27"/>
    </row>
    <row r="531" spans="1:14" ht="17.25" customHeight="1">
      <c r="A531" s="1093"/>
      <c r="B531" s="138" t="s">
        <v>962</v>
      </c>
      <c r="C531" s="714">
        <v>0</v>
      </c>
      <c r="D531" s="1069"/>
      <c r="E531" s="714">
        <v>0</v>
      </c>
      <c r="F531" s="715"/>
      <c r="G531" s="714">
        <v>0</v>
      </c>
      <c r="H531" s="715"/>
      <c r="I531" s="714">
        <v>0</v>
      </c>
      <c r="J531" s="715"/>
      <c r="K531" s="971"/>
      <c r="L531" s="282"/>
      <c r="M531" s="22"/>
      <c r="N531" s="22"/>
    </row>
    <row r="532" spans="1:14" ht="17.25" customHeight="1">
      <c r="A532" s="1093"/>
      <c r="B532" s="138" t="s">
        <v>983</v>
      </c>
      <c r="C532" s="705">
        <f>CEILING((C528*0.5),0.1)</f>
        <v>36.300000000000004</v>
      </c>
      <c r="D532" s="706"/>
      <c r="E532" s="705">
        <f>CEILING((E528*0.5),0.1)</f>
        <v>42.5</v>
      </c>
      <c r="F532" s="706"/>
      <c r="G532" s="705">
        <f>CEILING((G528*0.5),0.1)</f>
        <v>36.300000000000004</v>
      </c>
      <c r="H532" s="706"/>
      <c r="I532" s="705">
        <f>CEILING((I528*0.5),0.1)</f>
        <v>33.2</v>
      </c>
      <c r="J532" s="706"/>
      <c r="K532" s="971"/>
      <c r="L532" s="282"/>
      <c r="M532" s="22"/>
      <c r="N532" s="22"/>
    </row>
    <row r="533" spans="1:14" ht="17.25" customHeight="1">
      <c r="A533" s="1093"/>
      <c r="B533" s="231" t="s">
        <v>305</v>
      </c>
      <c r="C533" s="703">
        <f>CEILING(63*$Z$1,0.1)</f>
        <v>78.80000000000001</v>
      </c>
      <c r="D533" s="764"/>
      <c r="E533" s="703">
        <f>CEILING(73*$Z$1,0.1)</f>
        <v>91.30000000000001</v>
      </c>
      <c r="F533" s="704"/>
      <c r="G533" s="703">
        <f>CEILING(63*$Z$1,0.1)</f>
        <v>78.80000000000001</v>
      </c>
      <c r="H533" s="704"/>
      <c r="I533" s="703">
        <f>CEILING(58*$Z$1,0.1)</f>
        <v>72.5</v>
      </c>
      <c r="J533" s="704"/>
      <c r="K533" s="971"/>
      <c r="L533" s="282"/>
      <c r="M533" s="22"/>
      <c r="N533" s="22"/>
    </row>
    <row r="534" spans="1:14" ht="17.25" customHeight="1">
      <c r="A534" s="1093"/>
      <c r="B534" s="39" t="s">
        <v>306</v>
      </c>
      <c r="C534" s="707">
        <f>CEILING(78*$Z$1,0.1)</f>
        <v>97.5</v>
      </c>
      <c r="D534" s="747"/>
      <c r="E534" s="707">
        <f>CEILING(88*$Z$1,0.1)</f>
        <v>110</v>
      </c>
      <c r="F534" s="708"/>
      <c r="G534" s="707">
        <f>CEILING(78*$Z$1,0.1)</f>
        <v>97.5</v>
      </c>
      <c r="H534" s="708"/>
      <c r="I534" s="707">
        <f>CEILING(71*$Z$1,0.1)</f>
        <v>88.80000000000001</v>
      </c>
      <c r="J534" s="708"/>
      <c r="K534" s="971"/>
      <c r="L534" s="282"/>
      <c r="M534" s="22"/>
      <c r="N534" s="22"/>
    </row>
    <row r="535" spans="1:14" ht="17.25" customHeight="1">
      <c r="A535" s="1093"/>
      <c r="B535" s="39" t="s">
        <v>307</v>
      </c>
      <c r="C535" s="707">
        <f>CEILING(50*$Z$1,0.1)</f>
        <v>62.5</v>
      </c>
      <c r="D535" s="1094"/>
      <c r="E535" s="707">
        <f>CEILING(60*$Z$1,0.1)</f>
        <v>75</v>
      </c>
      <c r="F535" s="708"/>
      <c r="G535" s="707">
        <f>CEILING(50*$Z$1,0.1)</f>
        <v>62.5</v>
      </c>
      <c r="H535" s="708"/>
      <c r="I535" s="707">
        <f>CEILING(46*$Z$1,0.1)</f>
        <v>57.5</v>
      </c>
      <c r="J535" s="708"/>
      <c r="K535" s="971"/>
      <c r="L535" s="282"/>
      <c r="M535" s="22"/>
      <c r="N535" s="22"/>
    </row>
    <row r="536" spans="1:14" ht="16.5" customHeight="1">
      <c r="A536" s="1093"/>
      <c r="B536" s="138" t="s">
        <v>91</v>
      </c>
      <c r="C536" s="714">
        <v>0</v>
      </c>
      <c r="D536" s="1069"/>
      <c r="E536" s="714">
        <v>0</v>
      </c>
      <c r="F536" s="715"/>
      <c r="G536" s="714">
        <v>0</v>
      </c>
      <c r="H536" s="715"/>
      <c r="I536" s="714">
        <v>0</v>
      </c>
      <c r="J536" s="715"/>
      <c r="K536" s="971"/>
      <c r="L536" s="282"/>
      <c r="M536" s="18"/>
      <c r="N536" s="991"/>
    </row>
    <row r="537" spans="1:14" ht="16.5" customHeight="1" thickBot="1">
      <c r="A537" s="86" t="s">
        <v>534</v>
      </c>
      <c r="B537" s="328" t="s">
        <v>92</v>
      </c>
      <c r="C537" s="720">
        <f>CEILING((C533*0.5),0.1)</f>
        <v>39.400000000000006</v>
      </c>
      <c r="D537" s="721"/>
      <c r="E537" s="720">
        <f>CEILING((E533*0.5),0.1)</f>
        <v>45.7</v>
      </c>
      <c r="F537" s="721"/>
      <c r="G537" s="720">
        <f>CEILING((G533*0.5),0.1)</f>
        <v>39.400000000000006</v>
      </c>
      <c r="H537" s="721"/>
      <c r="I537" s="705">
        <f>CEILING((I533*0.5),0.1)</f>
        <v>36.300000000000004</v>
      </c>
      <c r="J537" s="706"/>
      <c r="K537" s="971"/>
      <c r="L537" s="282"/>
      <c r="M537" s="18"/>
      <c r="N537" s="991"/>
    </row>
    <row r="538" spans="1:14" ht="18" customHeight="1" thickTop="1">
      <c r="A538" s="752" t="s">
        <v>761</v>
      </c>
      <c r="B538" s="752"/>
      <c r="C538" s="752"/>
      <c r="D538" s="752"/>
      <c r="E538" s="752"/>
      <c r="F538" s="752"/>
      <c r="G538" s="752"/>
      <c r="H538" s="752"/>
      <c r="I538" s="653"/>
      <c r="J538" s="653"/>
      <c r="K538" s="104"/>
      <c r="L538" s="282"/>
      <c r="M538" s="65"/>
      <c r="N538" s="65"/>
    </row>
    <row r="539" spans="1:14" ht="18.75" customHeight="1" thickBot="1">
      <c r="A539" s="86"/>
      <c r="B539" s="56"/>
      <c r="C539" s="800"/>
      <c r="D539" s="800"/>
      <c r="E539" s="961"/>
      <c r="F539" s="961"/>
      <c r="G539" s="961"/>
      <c r="H539" s="961"/>
      <c r="I539" s="753"/>
      <c r="J539" s="753"/>
      <c r="K539" s="104"/>
      <c r="L539" s="104"/>
      <c r="M539" s="18"/>
      <c r="N539" s="991"/>
    </row>
    <row r="540" spans="1:14" ht="22.5" customHeight="1" thickTop="1">
      <c r="A540" s="476" t="s">
        <v>49</v>
      </c>
      <c r="B540" s="604"/>
      <c r="C540" s="815" t="s">
        <v>884</v>
      </c>
      <c r="D540" s="816"/>
      <c r="E540" s="726" t="s">
        <v>885</v>
      </c>
      <c r="F540" s="727"/>
      <c r="G540" s="730" t="s">
        <v>954</v>
      </c>
      <c r="H540" s="731"/>
      <c r="I540" s="730" t="s">
        <v>887</v>
      </c>
      <c r="J540" s="731"/>
      <c r="K540" s="730" t="s">
        <v>888</v>
      </c>
      <c r="L540" s="731"/>
      <c r="M540" s="18"/>
      <c r="N540" s="991"/>
    </row>
    <row r="541" spans="1:14" ht="16.5" customHeight="1">
      <c r="A541" s="85" t="s">
        <v>99</v>
      </c>
      <c r="B541" s="31" t="s">
        <v>1185</v>
      </c>
      <c r="C541" s="707">
        <f>CEILING(51*$Z$1,0.1)</f>
        <v>63.800000000000004</v>
      </c>
      <c r="D541" s="747"/>
      <c r="E541" s="703">
        <f>CEILING(70*$Z$1,0.1)</f>
        <v>87.5</v>
      </c>
      <c r="F541" s="704"/>
      <c r="G541" s="707">
        <f>CEILING(62*$Z$1,0.1)</f>
        <v>77.5</v>
      </c>
      <c r="H541" s="747"/>
      <c r="I541" s="703">
        <f>CEILING(68*$Z$1,0.1)</f>
        <v>85</v>
      </c>
      <c r="J541" s="704"/>
      <c r="K541" s="703">
        <f>CEILING(52*$Z$1,0.1)</f>
        <v>65</v>
      </c>
      <c r="L541" s="704"/>
      <c r="M541" s="18"/>
      <c r="N541" s="991"/>
    </row>
    <row r="542" spans="1:14" ht="18" customHeight="1">
      <c r="A542" s="30" t="s">
        <v>65</v>
      </c>
      <c r="B542" s="68" t="s">
        <v>1186</v>
      </c>
      <c r="C542" s="707">
        <f>CEILING(73*$Z$1,0.1)</f>
        <v>91.30000000000001</v>
      </c>
      <c r="D542" s="747"/>
      <c r="E542" s="707">
        <f>CEILING(92*$Z$1,0.1)</f>
        <v>115</v>
      </c>
      <c r="F542" s="708"/>
      <c r="G542" s="707">
        <f>CEILING(84*$Z$1,0.1)</f>
        <v>105</v>
      </c>
      <c r="H542" s="747"/>
      <c r="I542" s="707">
        <f>CEILING(90*$Z$1,0.1)</f>
        <v>112.5</v>
      </c>
      <c r="J542" s="708"/>
      <c r="K542" s="707">
        <f>CEILING(74*$Z$1,0.1)</f>
        <v>92.5</v>
      </c>
      <c r="L542" s="708"/>
      <c r="M542" s="18"/>
      <c r="N542" s="991"/>
    </row>
    <row r="543" spans="1:14" ht="18" customHeight="1">
      <c r="A543" s="30"/>
      <c r="B543" s="138" t="s">
        <v>53</v>
      </c>
      <c r="C543" s="714">
        <v>54.2</v>
      </c>
      <c r="D543" s="1069"/>
      <c r="E543" s="714">
        <v>74.4</v>
      </c>
      <c r="F543" s="715"/>
      <c r="G543" s="714">
        <v>66</v>
      </c>
      <c r="H543" s="1069"/>
      <c r="I543" s="714">
        <v>72.2</v>
      </c>
      <c r="J543" s="715"/>
      <c r="K543" s="714">
        <v>55.3</v>
      </c>
      <c r="L543" s="715"/>
      <c r="M543" s="18"/>
      <c r="N543" s="991"/>
    </row>
    <row r="544" spans="1:14" ht="18" customHeight="1">
      <c r="A544" s="30"/>
      <c r="B544" s="138" t="s">
        <v>78</v>
      </c>
      <c r="C544" s="707">
        <f>CEILING((C541*0.5),0.1)</f>
        <v>31.900000000000002</v>
      </c>
      <c r="D544" s="747"/>
      <c r="E544" s="707">
        <f>CEILING((E541*0.5),0.1)</f>
        <v>43.800000000000004</v>
      </c>
      <c r="F544" s="708"/>
      <c r="G544" s="707">
        <f>CEILING((G541*0.5),0.1)</f>
        <v>38.800000000000004</v>
      </c>
      <c r="H544" s="747"/>
      <c r="I544" s="707">
        <f>CEILING((I541*0.5),0.1)</f>
        <v>42.5</v>
      </c>
      <c r="J544" s="708"/>
      <c r="K544" s="707">
        <f>CEILING((K541*0.5),0.1)</f>
        <v>32.5</v>
      </c>
      <c r="L544" s="708"/>
      <c r="M544" s="18"/>
      <c r="N544" s="991"/>
    </row>
    <row r="545" spans="1:14" ht="15.75" customHeight="1">
      <c r="A545" s="30"/>
      <c r="B545" s="14" t="s">
        <v>1187</v>
      </c>
      <c r="C545" s="707">
        <f>CEILING(53*$Z$1,0.1)</f>
        <v>66.3</v>
      </c>
      <c r="D545" s="708"/>
      <c r="E545" s="707">
        <f>CEILING(72*$Z$1,0.1)</f>
        <v>90</v>
      </c>
      <c r="F545" s="708"/>
      <c r="G545" s="707">
        <f>CEILING(64*$Z$1,0.1)</f>
        <v>80</v>
      </c>
      <c r="H545" s="708"/>
      <c r="I545" s="707">
        <f>CEILING(70*$Z$1,0.1)</f>
        <v>87.5</v>
      </c>
      <c r="J545" s="708"/>
      <c r="K545" s="707">
        <f>CEILING(54*$Z$1,0.1)</f>
        <v>67.5</v>
      </c>
      <c r="L545" s="708"/>
      <c r="M545" s="18"/>
      <c r="N545" s="991"/>
    </row>
    <row r="546" spans="1:14" ht="18" customHeight="1" thickBot="1">
      <c r="A546" s="115" t="s">
        <v>1178</v>
      </c>
      <c r="B546" s="15" t="s">
        <v>1188</v>
      </c>
      <c r="C546" s="720">
        <f>CEILING(75*$Z$1,0.1)</f>
        <v>93.80000000000001</v>
      </c>
      <c r="D546" s="824"/>
      <c r="E546" s="720">
        <f>CEILING(94*$Z$1,0.1)</f>
        <v>117.5</v>
      </c>
      <c r="F546" s="721"/>
      <c r="G546" s="720">
        <f>CEILING(86*$Z$1,0.1)</f>
        <v>107.5</v>
      </c>
      <c r="H546" s="824"/>
      <c r="I546" s="720">
        <f>CEILING(92*$Z$1,0.1)</f>
        <v>115</v>
      </c>
      <c r="J546" s="721"/>
      <c r="K546" s="720">
        <f>CEILING(76*$Z$1,0.1)</f>
        <v>95</v>
      </c>
      <c r="L546" s="721"/>
      <c r="M546" s="18"/>
      <c r="N546" s="991"/>
    </row>
    <row r="547" spans="1:14" ht="15.75" customHeight="1" thickTop="1">
      <c r="A547" s="752" t="s">
        <v>1189</v>
      </c>
      <c r="B547" s="752"/>
      <c r="C547" s="752"/>
      <c r="D547" s="752"/>
      <c r="E547" s="752"/>
      <c r="F547" s="752"/>
      <c r="G547" s="752"/>
      <c r="H547" s="752"/>
      <c r="I547" s="653"/>
      <c r="J547" s="653"/>
      <c r="K547" s="265"/>
      <c r="L547" s="265"/>
      <c r="M547" s="18"/>
      <c r="N547" s="991"/>
    </row>
    <row r="548" spans="1:14" ht="15.75" customHeight="1" thickBot="1">
      <c r="A548" s="600" t="s">
        <v>1177</v>
      </c>
      <c r="B548" s="601"/>
      <c r="C548" s="602"/>
      <c r="D548" s="602"/>
      <c r="E548" s="94"/>
      <c r="F548" s="94"/>
      <c r="G548" s="94"/>
      <c r="H548" s="94"/>
      <c r="I548" s="93"/>
      <c r="J548" s="93"/>
      <c r="K548" s="1064"/>
      <c r="L548" s="1064"/>
      <c r="M548" s="18"/>
      <c r="N548" s="991"/>
    </row>
    <row r="549" spans="1:14" ht="21" customHeight="1" thickTop="1">
      <c r="A549" s="700" t="s">
        <v>49</v>
      </c>
      <c r="B549" s="495"/>
      <c r="C549" s="722" t="s">
        <v>884</v>
      </c>
      <c r="D549" s="723"/>
      <c r="E549" s="726" t="s">
        <v>970</v>
      </c>
      <c r="F549" s="727"/>
      <c r="G549" s="837" t="s">
        <v>888</v>
      </c>
      <c r="H549" s="838"/>
      <c r="I549" s="835"/>
      <c r="J549" s="836"/>
      <c r="K549" s="293"/>
      <c r="L549" s="293"/>
      <c r="M549" s="18"/>
      <c r="N549" s="991"/>
    </row>
    <row r="550" spans="1:14" ht="16.5" customHeight="1">
      <c r="A550" s="90" t="s">
        <v>110</v>
      </c>
      <c r="B550" s="84" t="s">
        <v>57</v>
      </c>
      <c r="C550" s="707">
        <f>CEILING(48*$Z$1,0.1)</f>
        <v>60</v>
      </c>
      <c r="D550" s="747"/>
      <c r="E550" s="703">
        <f>CEILING(54*$Z$1,0.1)</f>
        <v>67.5</v>
      </c>
      <c r="F550" s="704"/>
      <c r="G550" s="703">
        <f>CEILING(48*$Z$1,0.1)</f>
        <v>60</v>
      </c>
      <c r="H550" s="704"/>
      <c r="I550" s="714"/>
      <c r="J550" s="753"/>
      <c r="K550" s="293"/>
      <c r="L550" s="293"/>
      <c r="M550" s="18"/>
      <c r="N550" s="991"/>
    </row>
    <row r="551" spans="1:14" ht="18" customHeight="1">
      <c r="A551" s="88"/>
      <c r="B551" s="31" t="s">
        <v>58</v>
      </c>
      <c r="C551" s="707">
        <f>CEILING(56*$Z$1,0.1)</f>
        <v>70</v>
      </c>
      <c r="D551" s="708"/>
      <c r="E551" s="707">
        <f>CEILING(62*$Z$1,0.1)</f>
        <v>77.5</v>
      </c>
      <c r="F551" s="708"/>
      <c r="G551" s="707">
        <f>CEILING(56*$Z$1,0.1)</f>
        <v>70</v>
      </c>
      <c r="H551" s="708"/>
      <c r="I551" s="714"/>
      <c r="J551" s="753"/>
      <c r="K551" s="293"/>
      <c r="L551" s="293"/>
      <c r="M551" s="3"/>
      <c r="N551" s="3"/>
    </row>
    <row r="552" spans="1:14" ht="15.75" customHeight="1">
      <c r="A552" s="88"/>
      <c r="B552" s="31" t="s">
        <v>728</v>
      </c>
      <c r="C552" s="714">
        <v>0</v>
      </c>
      <c r="D552" s="715"/>
      <c r="E552" s="714">
        <v>0</v>
      </c>
      <c r="F552" s="715"/>
      <c r="G552" s="714">
        <v>0</v>
      </c>
      <c r="H552" s="715"/>
      <c r="I552" s="3"/>
      <c r="J552" s="3"/>
      <c r="K552" s="104"/>
      <c r="L552" s="282"/>
      <c r="M552" s="3"/>
      <c r="N552" s="3"/>
    </row>
    <row r="553" spans="1:14" ht="15.75" thickBot="1">
      <c r="A553" s="163" t="s">
        <v>533</v>
      </c>
      <c r="B553" s="125" t="s">
        <v>729</v>
      </c>
      <c r="C553" s="720">
        <f>CEILING((C550*0.7),0.1)</f>
        <v>42</v>
      </c>
      <c r="D553" s="721"/>
      <c r="E553" s="720">
        <f>CEILING((E550*0.7),0.1)</f>
        <v>47.300000000000004</v>
      </c>
      <c r="F553" s="721"/>
      <c r="G553" s="720">
        <f>CEILING((G550*0.7),0.1)</f>
        <v>42</v>
      </c>
      <c r="H553" s="721"/>
      <c r="I553" s="714"/>
      <c r="J553" s="753"/>
      <c r="K553" s="282"/>
      <c r="L553" s="282"/>
      <c r="M553" s="3"/>
      <c r="N553" s="3"/>
    </row>
    <row r="554" spans="1:14" ht="15.75" thickTop="1">
      <c r="A554" s="239" t="s">
        <v>731</v>
      </c>
      <c r="B554" s="240"/>
      <c r="C554" s="240"/>
      <c r="D554" s="240"/>
      <c r="E554" s="240"/>
      <c r="F554" s="240"/>
      <c r="G554" s="240"/>
      <c r="H554" s="240"/>
      <c r="I554" s="62"/>
      <c r="J554" s="62"/>
      <c r="K554" s="282"/>
      <c r="L554" s="282"/>
      <c r="M554" s="3"/>
      <c r="N554" s="3"/>
    </row>
    <row r="555" spans="1:14" ht="15.75" customHeight="1" thickBot="1">
      <c r="A555" s="50"/>
      <c r="B555" s="50"/>
      <c r="C555" s="50"/>
      <c r="D555" s="50"/>
      <c r="E555" s="50"/>
      <c r="F555" s="50"/>
      <c r="G555" s="276"/>
      <c r="H555" s="276"/>
      <c r="I555" s="20"/>
      <c r="J555" s="20"/>
      <c r="K555" s="282"/>
      <c r="L555" s="282"/>
      <c r="M555" s="18"/>
      <c r="N555" s="991"/>
    </row>
    <row r="556" spans="1:14" s="1096" customFormat="1" ht="21.75" customHeight="1" thickTop="1">
      <c r="A556" s="700" t="s">
        <v>49</v>
      </c>
      <c r="B556" s="496"/>
      <c r="C556" s="722" t="s">
        <v>884</v>
      </c>
      <c r="D556" s="723"/>
      <c r="E556" s="726" t="s">
        <v>970</v>
      </c>
      <c r="F556" s="727"/>
      <c r="G556" s="837" t="s">
        <v>888</v>
      </c>
      <c r="H556" s="838"/>
      <c r="I556" s="822"/>
      <c r="J556" s="823"/>
      <c r="K556" s="497"/>
      <c r="L556" s="497"/>
      <c r="M556" s="498"/>
      <c r="N556" s="1095"/>
    </row>
    <row r="557" spans="1:14" ht="15">
      <c r="A557" s="85" t="s">
        <v>104</v>
      </c>
      <c r="B557" s="42" t="s">
        <v>57</v>
      </c>
      <c r="C557" s="707">
        <f>CEILING(40*$Z$1,0.1)</f>
        <v>50</v>
      </c>
      <c r="D557" s="747"/>
      <c r="E557" s="703">
        <f>CEILING(50*$Z$1,0.1)</f>
        <v>62.5</v>
      </c>
      <c r="F557" s="704"/>
      <c r="G557" s="703">
        <f>CEILING(40*$Z$1,0.1)</f>
        <v>50</v>
      </c>
      <c r="H557" s="704"/>
      <c r="I557" s="714"/>
      <c r="J557" s="753"/>
      <c r="K557" s="293"/>
      <c r="L557" s="293"/>
      <c r="M557" s="18"/>
      <c r="N557" s="991"/>
    </row>
    <row r="558" spans="1:14" ht="15">
      <c r="A558" s="37" t="s">
        <v>98</v>
      </c>
      <c r="B558" s="14" t="s">
        <v>58</v>
      </c>
      <c r="C558" s="707">
        <f>CEILING(49*$Z$1,0.1)</f>
        <v>61.300000000000004</v>
      </c>
      <c r="D558" s="708"/>
      <c r="E558" s="707">
        <f>CEILING(62*$Z$1,0.1)</f>
        <v>77.5</v>
      </c>
      <c r="F558" s="708"/>
      <c r="G558" s="707">
        <f>CEILING(49*$Z$1,0.1)</f>
        <v>61.300000000000004</v>
      </c>
      <c r="H558" s="708"/>
      <c r="I558" s="714"/>
      <c r="J558" s="753"/>
      <c r="K558" s="293"/>
      <c r="L558" s="293"/>
      <c r="M558" s="18"/>
      <c r="N558" s="991"/>
    </row>
    <row r="559" spans="1:14" ht="16.5" customHeight="1">
      <c r="A559" s="37"/>
      <c r="B559" s="14" t="s">
        <v>53</v>
      </c>
      <c r="C559" s="707">
        <f>CEILING((C557*0.85),0.1)</f>
        <v>42.5</v>
      </c>
      <c r="D559" s="708"/>
      <c r="E559" s="707">
        <f>CEILING((E557*0.85),0.1)</f>
        <v>53.2</v>
      </c>
      <c r="F559" s="708"/>
      <c r="G559" s="707">
        <f>CEILING((G557*0.85),0.1)</f>
        <v>42.5</v>
      </c>
      <c r="H559" s="708"/>
      <c r="I559" s="714"/>
      <c r="J559" s="753"/>
      <c r="K559" s="104"/>
      <c r="L559" s="282"/>
      <c r="M559" s="18"/>
      <c r="N559" s="991"/>
    </row>
    <row r="560" spans="1:14" ht="15.75" customHeight="1">
      <c r="A560" s="37"/>
      <c r="B560" s="31" t="s">
        <v>728</v>
      </c>
      <c r="C560" s="714">
        <v>0</v>
      </c>
      <c r="D560" s="715"/>
      <c r="E560" s="714">
        <v>0</v>
      </c>
      <c r="F560" s="715"/>
      <c r="G560" s="714">
        <v>0</v>
      </c>
      <c r="H560" s="715"/>
      <c r="I560" s="4"/>
      <c r="J560" s="3"/>
      <c r="K560" s="282"/>
      <c r="L560" s="282"/>
      <c r="M560" s="18"/>
      <c r="N560" s="991"/>
    </row>
    <row r="561" spans="1:14" ht="15.75" customHeight="1" thickBot="1">
      <c r="A561" s="63" t="s">
        <v>532</v>
      </c>
      <c r="B561" s="125" t="s">
        <v>729</v>
      </c>
      <c r="C561" s="720">
        <f>CEILING((C557*0.7),0.1)</f>
        <v>35</v>
      </c>
      <c r="D561" s="721"/>
      <c r="E561" s="720">
        <f>CEILING((E557*0.7),0.1)</f>
        <v>43.800000000000004</v>
      </c>
      <c r="F561" s="721"/>
      <c r="G561" s="720">
        <f>CEILING((G557*0.7),0.1)</f>
        <v>35</v>
      </c>
      <c r="H561" s="721"/>
      <c r="I561" s="714"/>
      <c r="J561" s="753"/>
      <c r="K561" s="282"/>
      <c r="L561" s="282"/>
      <c r="M561" s="65"/>
      <c r="N561" s="65"/>
    </row>
    <row r="562" spans="1:14" ht="17.25" customHeight="1" thickTop="1">
      <c r="A562" s="239" t="s">
        <v>731</v>
      </c>
      <c r="B562" s="159"/>
      <c r="C562" s="159"/>
      <c r="D562" s="159"/>
      <c r="E562" s="159"/>
      <c r="F562" s="159"/>
      <c r="G562" s="159"/>
      <c r="H562" s="159"/>
      <c r="I562" s="62"/>
      <c r="J562" s="62"/>
      <c r="K562" s="282"/>
      <c r="L562" s="282"/>
      <c r="M562" s="18"/>
      <c r="N562" s="991"/>
    </row>
    <row r="563" spans="1:14" ht="16.5" customHeight="1" thickBot="1">
      <c r="A563" s="50"/>
      <c r="B563" s="50"/>
      <c r="C563" s="50"/>
      <c r="D563" s="50"/>
      <c r="E563" s="50"/>
      <c r="F563" s="50"/>
      <c r="G563" s="50"/>
      <c r="H563" s="50"/>
      <c r="I563" s="20"/>
      <c r="J563" s="20"/>
      <c r="K563" s="282"/>
      <c r="L563" s="282"/>
      <c r="M563" s="91"/>
      <c r="N563" s="91"/>
    </row>
    <row r="564" spans="1:14" ht="24.75" customHeight="1" thickTop="1">
      <c r="A564" s="700" t="s">
        <v>49</v>
      </c>
      <c r="B564" s="496"/>
      <c r="C564" s="722" t="s">
        <v>884</v>
      </c>
      <c r="D564" s="723"/>
      <c r="E564" s="726" t="s">
        <v>970</v>
      </c>
      <c r="F564" s="727"/>
      <c r="G564" s="837" t="s">
        <v>888</v>
      </c>
      <c r="H564" s="838"/>
      <c r="I564" s="822"/>
      <c r="J564" s="823"/>
      <c r="K564" s="282"/>
      <c r="L564" s="282"/>
      <c r="M564" s="46"/>
      <c r="N564" s="46"/>
    </row>
    <row r="565" spans="1:14" ht="15.75" customHeight="1">
      <c r="A565" s="85" t="s">
        <v>105</v>
      </c>
      <c r="B565" s="42" t="s">
        <v>57</v>
      </c>
      <c r="C565" s="707">
        <f>CEILING(48*$Z$1,0.1)</f>
        <v>60</v>
      </c>
      <c r="D565" s="747"/>
      <c r="E565" s="703">
        <f>CEILING(54*$Z$1,0.1)</f>
        <v>67.5</v>
      </c>
      <c r="F565" s="704"/>
      <c r="G565" s="703">
        <f>CEILING(48*$Z$1,0.1)</f>
        <v>60</v>
      </c>
      <c r="H565" s="704"/>
      <c r="I565" s="714"/>
      <c r="J565" s="753"/>
      <c r="K565" s="282"/>
      <c r="L565" s="282"/>
      <c r="M565" s="46"/>
      <c r="N565" s="46"/>
    </row>
    <row r="566" spans="1:14" ht="17.25" customHeight="1">
      <c r="A566" s="37" t="s">
        <v>98</v>
      </c>
      <c r="B566" s="14" t="s">
        <v>58</v>
      </c>
      <c r="C566" s="707">
        <f>CEILING(56*$Z$1,0.1)</f>
        <v>70</v>
      </c>
      <c r="D566" s="708"/>
      <c r="E566" s="707">
        <f>CEILING(62*$Z$1,0.1)</f>
        <v>77.5</v>
      </c>
      <c r="F566" s="708"/>
      <c r="G566" s="707">
        <f>CEILING(56*$Z$1,0.1)</f>
        <v>70</v>
      </c>
      <c r="H566" s="708"/>
      <c r="I566" s="714"/>
      <c r="J566" s="753"/>
      <c r="K566" s="293"/>
      <c r="L566" s="293"/>
      <c r="M566" s="46"/>
      <c r="N566" s="46"/>
    </row>
    <row r="567" spans="1:14" ht="18.75" customHeight="1">
      <c r="A567" s="72"/>
      <c r="B567" s="14" t="s">
        <v>53</v>
      </c>
      <c r="C567" s="707">
        <f>CEILING((C565*0.85),0.1)</f>
        <v>51</v>
      </c>
      <c r="D567" s="708"/>
      <c r="E567" s="707">
        <f>CEILING((E565*0.85),0.1)</f>
        <v>57.400000000000006</v>
      </c>
      <c r="F567" s="708"/>
      <c r="G567" s="707">
        <f>CEILING((G565*0.85),0.1)</f>
        <v>51</v>
      </c>
      <c r="H567" s="708"/>
      <c r="I567" s="714"/>
      <c r="J567" s="753"/>
      <c r="K567" s="293"/>
      <c r="L567" s="293"/>
      <c r="M567" s="46"/>
      <c r="N567" s="46"/>
    </row>
    <row r="568" spans="1:14" ht="15" customHeight="1">
      <c r="A568" s="72"/>
      <c r="B568" s="31" t="s">
        <v>728</v>
      </c>
      <c r="C568" s="714">
        <v>0</v>
      </c>
      <c r="D568" s="715"/>
      <c r="E568" s="714">
        <v>0</v>
      </c>
      <c r="F568" s="715"/>
      <c r="G568" s="714">
        <v>0</v>
      </c>
      <c r="H568" s="715"/>
      <c r="I568" s="4"/>
      <c r="J568" s="3"/>
      <c r="K568" s="265"/>
      <c r="L568" s="265"/>
      <c r="M568" s="65"/>
      <c r="N568" s="65"/>
    </row>
    <row r="569" spans="1:14" ht="15" customHeight="1">
      <c r="A569" s="72"/>
      <c r="B569" s="13" t="s">
        <v>729</v>
      </c>
      <c r="C569" s="707">
        <f>CEILING((C565*0.7),0.1)</f>
        <v>42</v>
      </c>
      <c r="D569" s="708"/>
      <c r="E569" s="707">
        <f>CEILING((E565*0.7),0.1)</f>
        <v>47.300000000000004</v>
      </c>
      <c r="F569" s="708"/>
      <c r="G569" s="707">
        <f>CEILING((G565*0.7),0.1)</f>
        <v>42</v>
      </c>
      <c r="H569" s="708"/>
      <c r="I569" s="4"/>
      <c r="J569" s="3"/>
      <c r="K569" s="265"/>
      <c r="L569" s="265"/>
      <c r="M569" s="65"/>
      <c r="N569" s="65"/>
    </row>
    <row r="570" spans="1:14" ht="16.5" customHeight="1">
      <c r="A570" s="72"/>
      <c r="B570" s="31" t="s">
        <v>229</v>
      </c>
      <c r="C570" s="707">
        <f>CEILING(50*$Z$1,0.1)</f>
        <v>62.5</v>
      </c>
      <c r="D570" s="708"/>
      <c r="E570" s="707">
        <f>CEILING(58*$Z$1,0.1)</f>
        <v>72.5</v>
      </c>
      <c r="F570" s="708"/>
      <c r="G570" s="707">
        <f>CEILING(50*$Z$1,0.1)</f>
        <v>62.5</v>
      </c>
      <c r="H570" s="708"/>
      <c r="I570" s="4"/>
      <c r="J570" s="3"/>
      <c r="K570" s="265"/>
      <c r="L570" s="265"/>
      <c r="M570" s="65"/>
      <c r="N570" s="65"/>
    </row>
    <row r="571" spans="1:14" ht="17.25" customHeight="1" thickBot="1">
      <c r="A571" s="63" t="s">
        <v>532</v>
      </c>
      <c r="B571" s="125" t="s">
        <v>230</v>
      </c>
      <c r="C571" s="720">
        <f>CEILING(60*$Z$1,0.1)</f>
        <v>75</v>
      </c>
      <c r="D571" s="721"/>
      <c r="E571" s="720">
        <f>CEILING(68*$Z$1,0.1)</f>
        <v>85</v>
      </c>
      <c r="F571" s="721"/>
      <c r="G571" s="720">
        <f>CEILING(60*$Z$1,0.1)</f>
        <v>75</v>
      </c>
      <c r="H571" s="721"/>
      <c r="I571" s="714"/>
      <c r="J571" s="753"/>
      <c r="K571" s="282"/>
      <c r="L571" s="282"/>
      <c r="M571" s="3"/>
      <c r="N571" s="3"/>
    </row>
    <row r="572" spans="1:14" ht="15.75" thickTop="1">
      <c r="A572" s="738" t="s">
        <v>732</v>
      </c>
      <c r="B572" s="739"/>
      <c r="C572" s="739"/>
      <c r="D572" s="739"/>
      <c r="E572" s="739"/>
      <c r="F572" s="739"/>
      <c r="G572" s="739"/>
      <c r="H572" s="739"/>
      <c r="I572" s="740"/>
      <c r="J572" s="741"/>
      <c r="K572" s="282"/>
      <c r="L572" s="282"/>
      <c r="M572" s="91"/>
      <c r="N572" s="91"/>
    </row>
    <row r="573" spans="1:14" ht="19.5" customHeight="1" thickBot="1">
      <c r="A573" s="50"/>
      <c r="B573" s="50"/>
      <c r="C573" s="50"/>
      <c r="D573" s="50"/>
      <c r="E573" s="50"/>
      <c r="F573" s="50"/>
      <c r="G573" s="50"/>
      <c r="H573" s="50"/>
      <c r="I573" s="20"/>
      <c r="J573" s="20"/>
      <c r="K573" s="282"/>
      <c r="L573" s="282"/>
      <c r="M573" s="91"/>
      <c r="N573" s="91"/>
    </row>
    <row r="574" spans="1:14" ht="21.75" customHeight="1" thickTop="1">
      <c r="A574" s="700" t="s">
        <v>49</v>
      </c>
      <c r="B574" s="496"/>
      <c r="C574" s="722" t="s">
        <v>884</v>
      </c>
      <c r="D574" s="723"/>
      <c r="E574" s="726" t="s">
        <v>970</v>
      </c>
      <c r="F574" s="727"/>
      <c r="G574" s="837" t="s">
        <v>888</v>
      </c>
      <c r="H574" s="838"/>
      <c r="I574" s="835"/>
      <c r="J574" s="836"/>
      <c r="K574" s="282"/>
      <c r="L574" s="282"/>
      <c r="M574" s="91"/>
      <c r="N574" s="91"/>
    </row>
    <row r="575" spans="1:14" ht="16.5" customHeight="1">
      <c r="A575" s="90" t="s">
        <v>106</v>
      </c>
      <c r="B575" s="84" t="s">
        <v>57</v>
      </c>
      <c r="C575" s="703">
        <f>CEILING(36*$Z$1,0.1)</f>
        <v>45</v>
      </c>
      <c r="D575" s="764"/>
      <c r="E575" s="703">
        <f>CEILING(43*$Z$1,0.1)</f>
        <v>53.800000000000004</v>
      </c>
      <c r="F575" s="704"/>
      <c r="G575" s="703">
        <f>CEILING(36*$Z$1,0.1)</f>
        <v>45</v>
      </c>
      <c r="H575" s="704"/>
      <c r="I575" s="714"/>
      <c r="J575" s="753"/>
      <c r="K575" s="282"/>
      <c r="L575" s="282"/>
      <c r="M575" s="46"/>
      <c r="N575" s="46"/>
    </row>
    <row r="576" spans="1:14" ht="16.5" customHeight="1">
      <c r="A576" s="88" t="s">
        <v>103</v>
      </c>
      <c r="B576" s="31" t="s">
        <v>58</v>
      </c>
      <c r="C576" s="707">
        <f>CEILING(45*$Z$1,0.1)</f>
        <v>56.300000000000004</v>
      </c>
      <c r="D576" s="708"/>
      <c r="E576" s="707">
        <f>CEILING(54*$Z$1,0.1)</f>
        <v>67.5</v>
      </c>
      <c r="F576" s="708"/>
      <c r="G576" s="707">
        <f>CEILING(45*$Z$1,0.1)</f>
        <v>56.300000000000004</v>
      </c>
      <c r="H576" s="708"/>
      <c r="I576" s="714"/>
      <c r="J576" s="753"/>
      <c r="K576" s="282"/>
      <c r="L576" s="282"/>
      <c r="M576" s="46"/>
      <c r="N576" s="46"/>
    </row>
    <row r="577" spans="1:14" ht="15">
      <c r="A577" s="182"/>
      <c r="B577" s="31" t="s">
        <v>728</v>
      </c>
      <c r="C577" s="714">
        <v>0</v>
      </c>
      <c r="D577" s="715"/>
      <c r="E577" s="714">
        <v>0</v>
      </c>
      <c r="F577" s="715"/>
      <c r="G577" s="714">
        <v>0</v>
      </c>
      <c r="H577" s="715"/>
      <c r="I577" s="4"/>
      <c r="J577" s="3"/>
      <c r="K577" s="282"/>
      <c r="L577" s="282"/>
      <c r="M577" s="46"/>
      <c r="N577" s="46"/>
    </row>
    <row r="578" spans="1:14" ht="14.25" customHeight="1" thickBot="1">
      <c r="A578" s="63" t="s">
        <v>531</v>
      </c>
      <c r="B578" s="125" t="s">
        <v>729</v>
      </c>
      <c r="C578" s="720">
        <f>CEILING((C575*0.7),0.1)</f>
        <v>31.5</v>
      </c>
      <c r="D578" s="721"/>
      <c r="E578" s="720">
        <f>CEILING((E575*0.7),0.1)</f>
        <v>37.7</v>
      </c>
      <c r="F578" s="721"/>
      <c r="G578" s="720">
        <f>CEILING((G575*0.7),0.1)</f>
        <v>31.5</v>
      </c>
      <c r="H578" s="721"/>
      <c r="I578" s="714"/>
      <c r="J578" s="753"/>
      <c r="K578" s="285"/>
      <c r="L578" s="285"/>
      <c r="M578" s="65"/>
      <c r="N578" s="65"/>
    </row>
    <row r="579" spans="1:14" ht="16.5" customHeight="1" thickTop="1">
      <c r="A579" s="738" t="s">
        <v>732</v>
      </c>
      <c r="B579" s="739"/>
      <c r="C579" s="739"/>
      <c r="D579" s="739"/>
      <c r="E579" s="739"/>
      <c r="F579" s="739"/>
      <c r="G579" s="739"/>
      <c r="H579" s="739"/>
      <c r="I579" s="740"/>
      <c r="J579" s="741"/>
      <c r="K579" s="285"/>
      <c r="L579" s="285"/>
      <c r="M579" s="18"/>
      <c r="N579" s="991"/>
    </row>
    <row r="580" spans="1:14" ht="18" customHeight="1" thickBot="1">
      <c r="A580" s="43"/>
      <c r="B580" s="50"/>
      <c r="C580" s="94"/>
      <c r="D580" s="94"/>
      <c r="E580" s="94"/>
      <c r="F580" s="94"/>
      <c r="G580" s="277"/>
      <c r="H580" s="277"/>
      <c r="I580" s="850"/>
      <c r="J580" s="850"/>
      <c r="K580" s="122"/>
      <c r="L580" s="122"/>
      <c r="M580" s="91"/>
      <c r="N580" s="91"/>
    </row>
    <row r="581" spans="1:14" ht="22.5" customHeight="1" thickTop="1">
      <c r="A581" s="700" t="s">
        <v>49</v>
      </c>
      <c r="B581" s="499" t="s">
        <v>735</v>
      </c>
      <c r="C581" s="722" t="s">
        <v>884</v>
      </c>
      <c r="D581" s="723"/>
      <c r="E581" s="726" t="s">
        <v>970</v>
      </c>
      <c r="F581" s="727"/>
      <c r="G581" s="837" t="s">
        <v>888</v>
      </c>
      <c r="H581" s="838"/>
      <c r="I581" s="835"/>
      <c r="J581" s="836"/>
      <c r="K581" s="122"/>
      <c r="L581" s="122"/>
      <c r="M581" s="46"/>
      <c r="N581" s="46"/>
    </row>
    <row r="582" spans="1:14" ht="16.5" customHeight="1">
      <c r="A582" s="162" t="s">
        <v>734</v>
      </c>
      <c r="B582" s="31" t="s">
        <v>57</v>
      </c>
      <c r="C582" s="703">
        <f>CEILING(26*$Z$1,0.1)</f>
        <v>32.5</v>
      </c>
      <c r="D582" s="764"/>
      <c r="E582" s="703">
        <f>CEILING(30*$Z$1,0.1)</f>
        <v>37.5</v>
      </c>
      <c r="F582" s="704"/>
      <c r="G582" s="703">
        <f>CEILING(26*$Z$1,0.1)</f>
        <v>32.5</v>
      </c>
      <c r="H582" s="704"/>
      <c r="I582" s="4"/>
      <c r="J582" s="3"/>
      <c r="K582" s="122"/>
      <c r="L582" s="122"/>
      <c r="M582" s="46"/>
      <c r="N582" s="46"/>
    </row>
    <row r="583" spans="1:14" ht="16.5" customHeight="1">
      <c r="A583" s="88"/>
      <c r="B583" s="31" t="s">
        <v>58</v>
      </c>
      <c r="C583" s="707">
        <f>CEILING(30*$Z$1,0.1)</f>
        <v>37.5</v>
      </c>
      <c r="D583" s="708"/>
      <c r="E583" s="707">
        <f>CEILING(36*$Z$1,0.1)</f>
        <v>45</v>
      </c>
      <c r="F583" s="708"/>
      <c r="G583" s="707">
        <f>CEILING(30*$Z$1,0.1)</f>
        <v>37.5</v>
      </c>
      <c r="H583" s="708"/>
      <c r="I583" s="714"/>
      <c r="J583" s="753"/>
      <c r="K583" s="282"/>
      <c r="L583" s="282"/>
      <c r="M583" s="46"/>
      <c r="N583" s="46"/>
    </row>
    <row r="584" spans="1:14" ht="15.75" customHeight="1">
      <c r="A584" s="182"/>
      <c r="B584" s="31" t="s">
        <v>728</v>
      </c>
      <c r="C584" s="714">
        <v>0</v>
      </c>
      <c r="D584" s="715"/>
      <c r="E584" s="714">
        <v>0</v>
      </c>
      <c r="F584" s="715"/>
      <c r="G584" s="714">
        <v>0</v>
      </c>
      <c r="H584" s="715"/>
      <c r="I584" s="3"/>
      <c r="J584" s="3"/>
      <c r="K584" s="282"/>
      <c r="L584" s="282"/>
      <c r="M584" s="46"/>
      <c r="N584" s="46"/>
    </row>
    <row r="585" spans="1:14" ht="17.25" customHeight="1" thickBot="1">
      <c r="A585" s="63" t="s">
        <v>532</v>
      </c>
      <c r="B585" s="125" t="s">
        <v>729</v>
      </c>
      <c r="C585" s="720">
        <f>CEILING((C582*0.7),0.1)</f>
        <v>22.8</v>
      </c>
      <c r="D585" s="721"/>
      <c r="E585" s="720">
        <f>CEILING((E582*0.7),0.1)</f>
        <v>26.3</v>
      </c>
      <c r="F585" s="721"/>
      <c r="G585" s="720">
        <f>CEILING((G582*0.7),0.1)</f>
        <v>22.8</v>
      </c>
      <c r="H585" s="721"/>
      <c r="I585" s="714"/>
      <c r="J585" s="753"/>
      <c r="K585" s="285"/>
      <c r="L585" s="285"/>
      <c r="M585" s="46"/>
      <c r="N585" s="46"/>
    </row>
    <row r="586" spans="1:14" ht="15.75" thickTop="1">
      <c r="A586" s="738" t="s">
        <v>733</v>
      </c>
      <c r="B586" s="739"/>
      <c r="C586" s="739"/>
      <c r="D586" s="739"/>
      <c r="E586" s="739"/>
      <c r="F586" s="739"/>
      <c r="G586" s="739"/>
      <c r="H586" s="739"/>
      <c r="I586" s="740"/>
      <c r="J586" s="741"/>
      <c r="K586" s="285"/>
      <c r="L586" s="285"/>
      <c r="M586" s="18"/>
      <c r="N586" s="991"/>
    </row>
    <row r="587" spans="1:14" ht="15.75" thickBot="1">
      <c r="A587" s="95"/>
      <c r="B587" s="56"/>
      <c r="C587" s="2"/>
      <c r="D587" s="2"/>
      <c r="E587" s="2"/>
      <c r="F587" s="2"/>
      <c r="G587" s="2"/>
      <c r="H587" s="2"/>
      <c r="I587" s="3"/>
      <c r="J587" s="3"/>
      <c r="K587" s="285"/>
      <c r="L587" s="285"/>
      <c r="M587" s="18"/>
      <c r="N587" s="991"/>
    </row>
    <row r="588" spans="1:14" ht="24.75" customHeight="1" thickTop="1">
      <c r="A588" s="427" t="s">
        <v>49</v>
      </c>
      <c r="B588" s="453"/>
      <c r="C588" s="722" t="s">
        <v>884</v>
      </c>
      <c r="D588" s="723"/>
      <c r="E588" s="726" t="s">
        <v>970</v>
      </c>
      <c r="F588" s="727"/>
      <c r="G588" s="837" t="s">
        <v>888</v>
      </c>
      <c r="H588" s="838"/>
      <c r="I588" s="835"/>
      <c r="J588" s="836"/>
      <c r="K588" s="285"/>
      <c r="L588" s="285"/>
      <c r="M588" s="18"/>
      <c r="N588" s="991"/>
    </row>
    <row r="589" spans="1:14" ht="15">
      <c r="A589" s="162" t="s">
        <v>107</v>
      </c>
      <c r="B589" s="31" t="s">
        <v>57</v>
      </c>
      <c r="C589" s="707">
        <f>CEILING(34*$Z$1,0.1)</f>
        <v>42.5</v>
      </c>
      <c r="D589" s="747"/>
      <c r="E589" s="703">
        <f>CEILING(37*$Z$1,0.1)</f>
        <v>46.300000000000004</v>
      </c>
      <c r="F589" s="704"/>
      <c r="G589" s="703">
        <f>CEILING(34*$Z$1,0.1)</f>
        <v>42.5</v>
      </c>
      <c r="H589" s="704"/>
      <c r="I589" s="714"/>
      <c r="J589" s="753"/>
      <c r="K589" s="122"/>
      <c r="L589" s="122"/>
      <c r="M589" s="18"/>
      <c r="N589" s="991"/>
    </row>
    <row r="590" spans="1:14" ht="15">
      <c r="A590" s="88" t="s">
        <v>103</v>
      </c>
      <c r="B590" s="31" t="s">
        <v>58</v>
      </c>
      <c r="C590" s="707">
        <f>CEILING(39*$Z$1,0.1)</f>
        <v>48.800000000000004</v>
      </c>
      <c r="D590" s="708"/>
      <c r="E590" s="707">
        <f>CEILING(43*$Z$1,0.1)</f>
        <v>53.800000000000004</v>
      </c>
      <c r="F590" s="708"/>
      <c r="G590" s="707">
        <f>CEILING(39*$Z$1,0.1)</f>
        <v>48.800000000000004</v>
      </c>
      <c r="H590" s="708"/>
      <c r="I590" s="714"/>
      <c r="J590" s="753"/>
      <c r="K590" s="122"/>
      <c r="L590" s="122"/>
      <c r="M590" s="18"/>
      <c r="N590" s="991"/>
    </row>
    <row r="591" spans="1:14" ht="15">
      <c r="A591" s="88"/>
      <c r="B591" s="31" t="s">
        <v>728</v>
      </c>
      <c r="C591" s="714">
        <v>0</v>
      </c>
      <c r="D591" s="715"/>
      <c r="E591" s="714">
        <v>0</v>
      </c>
      <c r="F591" s="715"/>
      <c r="G591" s="714">
        <v>0</v>
      </c>
      <c r="H591" s="715"/>
      <c r="I591" s="4"/>
      <c r="J591" s="3"/>
      <c r="K591" s="122"/>
      <c r="L591" s="122"/>
      <c r="M591" s="18"/>
      <c r="N591" s="991"/>
    </row>
    <row r="592" spans="1:14" ht="15">
      <c r="A592" s="88"/>
      <c r="B592" s="13" t="s">
        <v>729</v>
      </c>
      <c r="C592" s="707">
        <f>CEILING((C589*0.7),0.1)</f>
        <v>29.8</v>
      </c>
      <c r="D592" s="708"/>
      <c r="E592" s="707">
        <f>CEILING((E589*0.7),0.1)</f>
        <v>32.5</v>
      </c>
      <c r="F592" s="708"/>
      <c r="G592" s="707">
        <f>CEILING((G589*0.7),0.1)</f>
        <v>29.8</v>
      </c>
      <c r="H592" s="708"/>
      <c r="I592" s="4"/>
      <c r="J592" s="3"/>
      <c r="K592" s="282"/>
      <c r="L592" s="282"/>
      <c r="M592" s="18"/>
      <c r="N592" s="991"/>
    </row>
    <row r="593" spans="1:14" ht="15">
      <c r="A593" s="88"/>
      <c r="B593" s="23" t="s">
        <v>108</v>
      </c>
      <c r="C593" s="707">
        <f>CEILING(78*$Z$1,0.1)</f>
        <v>97.5</v>
      </c>
      <c r="D593" s="708"/>
      <c r="E593" s="707">
        <f>CEILING(78*$Z$1,0.1)</f>
        <v>97.5</v>
      </c>
      <c r="F593" s="708"/>
      <c r="G593" s="707">
        <f>CEILING(78*$Z$1,0.1)</f>
        <v>97.5</v>
      </c>
      <c r="H593" s="708"/>
      <c r="I593" s="4"/>
      <c r="J593" s="3"/>
      <c r="K593" s="282"/>
      <c r="L593" s="282"/>
      <c r="M593" s="18"/>
      <c r="N593" s="991"/>
    </row>
    <row r="594" spans="1:14" ht="15.75" thickBot="1">
      <c r="A594" s="163" t="s">
        <v>531</v>
      </c>
      <c r="B594" s="164" t="s">
        <v>109</v>
      </c>
      <c r="C594" s="720">
        <f>CEILING(130*$Z$1,0.1)</f>
        <v>162.5</v>
      </c>
      <c r="D594" s="721"/>
      <c r="E594" s="720">
        <f>CEILING(130*$Z$1,0.1)</f>
        <v>162.5</v>
      </c>
      <c r="F594" s="721"/>
      <c r="G594" s="720">
        <f>CEILING(130*$Z$1,0.1)</f>
        <v>162.5</v>
      </c>
      <c r="H594" s="721"/>
      <c r="I594" s="714"/>
      <c r="J594" s="753"/>
      <c r="K594" s="285"/>
      <c r="L594" s="285"/>
      <c r="M594" s="18"/>
      <c r="N594" s="991"/>
    </row>
    <row r="595" spans="1:14" ht="15.75" thickTop="1">
      <c r="A595" s="738" t="s">
        <v>732</v>
      </c>
      <c r="B595" s="739"/>
      <c r="C595" s="739"/>
      <c r="D595" s="739"/>
      <c r="E595" s="739"/>
      <c r="F595" s="739"/>
      <c r="G595" s="739"/>
      <c r="H595" s="739"/>
      <c r="I595" s="740"/>
      <c r="J595" s="741"/>
      <c r="K595" s="285"/>
      <c r="L595" s="285"/>
      <c r="M595" s="18"/>
      <c r="N595" s="991"/>
    </row>
    <row r="596" spans="1:14" ht="15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122"/>
      <c r="L596" s="122"/>
      <c r="M596" s="18"/>
      <c r="N596" s="991"/>
    </row>
    <row r="597" spans="1:14" ht="15">
      <c r="A597" s="46"/>
      <c r="B597" s="96"/>
      <c r="C597" s="3"/>
      <c r="D597" s="3"/>
      <c r="E597" s="3"/>
      <c r="F597" s="3"/>
      <c r="G597" s="3"/>
      <c r="H597" s="3"/>
      <c r="I597" s="3"/>
      <c r="J597" s="3"/>
      <c r="K597" s="104"/>
      <c r="L597" s="282"/>
      <c r="M597" s="65"/>
      <c r="N597" s="65"/>
    </row>
    <row r="598" spans="1:14" ht="21" customHeight="1">
      <c r="A598" s="834" t="s">
        <v>112</v>
      </c>
      <c r="B598" s="834"/>
      <c r="C598" s="834"/>
      <c r="D598" s="834"/>
      <c r="E598" s="834"/>
      <c r="F598" s="834"/>
      <c r="G598" s="834"/>
      <c r="H598" s="834"/>
      <c r="I598" s="834"/>
      <c r="J598" s="834"/>
      <c r="K598" s="104"/>
      <c r="L598" s="282"/>
      <c r="M598" s="18"/>
      <c r="N598" s="991"/>
    </row>
    <row r="599" spans="1:14" ht="19.5" customHeight="1" thickBot="1">
      <c r="A599" s="860"/>
      <c r="B599" s="860"/>
      <c r="C599" s="860"/>
      <c r="D599" s="860"/>
      <c r="E599" s="860"/>
      <c r="F599" s="860"/>
      <c r="G599" s="860"/>
      <c r="H599" s="860"/>
      <c r="I599" s="97"/>
      <c r="J599" s="98"/>
      <c r="K599" s="282"/>
      <c r="L599" s="282"/>
      <c r="M599" s="18"/>
      <c r="N599" s="991"/>
    </row>
    <row r="600" spans="1:14" ht="15.75" thickTop="1">
      <c r="A600" s="742"/>
      <c r="B600" s="689"/>
      <c r="C600" s="801" t="s">
        <v>884</v>
      </c>
      <c r="D600" s="857"/>
      <c r="E600" s="726" t="s">
        <v>885</v>
      </c>
      <c r="F600" s="727"/>
      <c r="G600" s="769" t="s">
        <v>581</v>
      </c>
      <c r="H600" s="770"/>
      <c r="I600" s="489" t="s">
        <v>606</v>
      </c>
      <c r="J600" s="490"/>
      <c r="K600" s="282"/>
      <c r="L600" s="282"/>
      <c r="M600" s="18"/>
      <c r="N600" s="991"/>
    </row>
    <row r="601" spans="1:14" ht="15">
      <c r="A601" s="743"/>
      <c r="B601" s="689"/>
      <c r="C601" s="491" t="s">
        <v>111</v>
      </c>
      <c r="D601" s="492" t="s">
        <v>113</v>
      </c>
      <c r="E601" s="491" t="s">
        <v>111</v>
      </c>
      <c r="F601" s="493" t="s">
        <v>113</v>
      </c>
      <c r="G601" s="491" t="s">
        <v>111</v>
      </c>
      <c r="H601" s="493" t="s">
        <v>113</v>
      </c>
      <c r="I601" s="491" t="s">
        <v>111</v>
      </c>
      <c r="J601" s="494" t="s">
        <v>113</v>
      </c>
      <c r="K601" s="282"/>
      <c r="L601" s="282"/>
      <c r="M601" s="18"/>
      <c r="N601" s="991"/>
    </row>
    <row r="602" spans="1:14" ht="17.25" customHeight="1">
      <c r="A602" s="85" t="s">
        <v>114</v>
      </c>
      <c r="B602" s="42" t="s">
        <v>57</v>
      </c>
      <c r="C602" s="647">
        <f>CEILING(125*$Z$1,0.1)</f>
        <v>156.3</v>
      </c>
      <c r="D602" s="9"/>
      <c r="E602" s="647">
        <f>CEILING(195*$Z$1,0.1)</f>
        <v>243.8</v>
      </c>
      <c r="F602" s="5"/>
      <c r="G602" s="647">
        <f>CEILING(165*$Z$1,0.1)</f>
        <v>206.3</v>
      </c>
      <c r="H602" s="4"/>
      <c r="I602" s="647">
        <f>CEILING(150*$Z$1,0.1)</f>
        <v>187.5</v>
      </c>
      <c r="J602" s="9"/>
      <c r="K602" s="282"/>
      <c r="L602" s="282"/>
      <c r="M602" s="18"/>
      <c r="N602" s="991"/>
    </row>
    <row r="603" spans="1:14" ht="15.75" customHeight="1">
      <c r="A603" s="213" t="s">
        <v>51</v>
      </c>
      <c r="B603" s="14" t="s">
        <v>58</v>
      </c>
      <c r="C603" s="647">
        <f>CEILING((C602+50*$Z$1),0.1)</f>
        <v>218.8</v>
      </c>
      <c r="D603" s="5"/>
      <c r="E603" s="647">
        <f>CEILING((E602+71*$Z$1),0.1)</f>
        <v>332.6</v>
      </c>
      <c r="F603" s="5"/>
      <c r="G603" s="647">
        <f>CEILING((G602+66*$Z$1),0.1)</f>
        <v>288.8</v>
      </c>
      <c r="H603" s="4"/>
      <c r="I603" s="647">
        <f>CEILING((I602+60*$Z$1),0.1)</f>
        <v>262.5</v>
      </c>
      <c r="J603" s="5"/>
      <c r="K603" s="282"/>
      <c r="L603" s="282"/>
      <c r="M603" s="18"/>
      <c r="N603" s="991"/>
    </row>
    <row r="604" spans="1:14" ht="15.75" customHeight="1">
      <c r="A604" s="156"/>
      <c r="B604" s="38" t="s">
        <v>53</v>
      </c>
      <c r="C604" s="647">
        <f>CEILING((C602*0.85),0.1)</f>
        <v>132.9</v>
      </c>
      <c r="D604" s="5"/>
      <c r="E604" s="647">
        <f>CEILING((E602*0.85),0.1)</f>
        <v>207.3</v>
      </c>
      <c r="F604" s="5"/>
      <c r="G604" s="647">
        <f>CEILING((G602*0.85),0.1)</f>
        <v>175.4</v>
      </c>
      <c r="H604" s="5"/>
      <c r="I604" s="647">
        <f>CEILING((I602*0.85),0.1)</f>
        <v>159.4</v>
      </c>
      <c r="J604" s="5"/>
      <c r="K604" s="282"/>
      <c r="L604" s="282"/>
      <c r="M604" s="18"/>
      <c r="N604" s="991"/>
    </row>
    <row r="605" spans="1:14" ht="15.75" customHeight="1">
      <c r="A605" s="156"/>
      <c r="B605" s="38" t="s">
        <v>967</v>
      </c>
      <c r="C605" s="648">
        <f>CEILING(134*$Z$1,0.1)</f>
        <v>167.5</v>
      </c>
      <c r="D605" s="5"/>
      <c r="E605" s="648">
        <f>CEILING(203*$Z$1,0.1)</f>
        <v>253.8</v>
      </c>
      <c r="F605" s="5"/>
      <c r="G605" s="648">
        <f>CEILING(177*$Z$1,0.1)</f>
        <v>221.3</v>
      </c>
      <c r="H605" s="5"/>
      <c r="I605" s="648">
        <f>CEILING(161*$Z$1,0.1)</f>
        <v>201.3</v>
      </c>
      <c r="J605" s="5"/>
      <c r="K605" s="282"/>
      <c r="L605" s="282"/>
      <c r="M605" s="18"/>
      <c r="N605" s="991"/>
    </row>
    <row r="606" spans="1:14" ht="15.75" customHeight="1">
      <c r="A606" s="156"/>
      <c r="B606" s="14" t="s">
        <v>968</v>
      </c>
      <c r="C606" s="647">
        <f>CEILING((C605+54*$Z$1),0.1)</f>
        <v>235</v>
      </c>
      <c r="D606" s="5"/>
      <c r="E606" s="647">
        <f>CEILING((E605+81*$Z$1),0.1)</f>
        <v>355.1</v>
      </c>
      <c r="F606" s="5"/>
      <c r="G606" s="647">
        <f>CEILING((G605+71*$Z$1),0.1)</f>
        <v>310.1</v>
      </c>
      <c r="H606" s="5"/>
      <c r="I606" s="647">
        <f>CEILING((I605+64*$Z$1),0.1)</f>
        <v>281.3</v>
      </c>
      <c r="J606" s="5"/>
      <c r="K606" s="282"/>
      <c r="L606" s="282"/>
      <c r="M606" s="18"/>
      <c r="N606" s="991"/>
    </row>
    <row r="607" spans="1:14" ht="16.5" customHeight="1">
      <c r="A607" s="176"/>
      <c r="B607" s="12" t="s">
        <v>50</v>
      </c>
      <c r="C607" s="648">
        <f>CEILING(138*$Z$1,0.1)</f>
        <v>172.5</v>
      </c>
      <c r="D607" s="5"/>
      <c r="E607" s="648">
        <f>CEILING(215*$Z$1,0.1)</f>
        <v>268.8</v>
      </c>
      <c r="F607" s="5"/>
      <c r="G607" s="648">
        <f>CEILING(182*$Z$1,0.1)</f>
        <v>227.5</v>
      </c>
      <c r="H607" s="5"/>
      <c r="I607" s="648">
        <f>CEILING(165*$Z$1,0.1)</f>
        <v>206.3</v>
      </c>
      <c r="J607" s="5"/>
      <c r="K607" s="104"/>
      <c r="L607" s="282"/>
      <c r="M607" s="18"/>
      <c r="N607" s="991"/>
    </row>
    <row r="608" spans="1:14" ht="18" customHeight="1" thickBot="1">
      <c r="A608" s="86" t="s">
        <v>530</v>
      </c>
      <c r="B608" s="45" t="s">
        <v>52</v>
      </c>
      <c r="C608" s="651">
        <f>CEILING((C607+55*$Z$1),0.1)</f>
        <v>241.3</v>
      </c>
      <c r="D608" s="6"/>
      <c r="E608" s="651">
        <f>CEILING((E607+86*$Z$1),0.1)</f>
        <v>376.3</v>
      </c>
      <c r="F608" s="6"/>
      <c r="G608" s="651">
        <v>318.5</v>
      </c>
      <c r="H608" s="6"/>
      <c r="I608" s="651">
        <f>CEILING((I607+66*$Z$1),0.1)</f>
        <v>288.8</v>
      </c>
      <c r="J608" s="6"/>
      <c r="K608" s="104"/>
      <c r="L608" s="282"/>
      <c r="M608" s="18"/>
      <c r="N608" s="991"/>
    </row>
    <row r="609" spans="1:14" ht="17.25" customHeight="1" thickTop="1">
      <c r="A609" s="170" t="s">
        <v>969</v>
      </c>
      <c r="B609" s="54"/>
      <c r="C609" s="656"/>
      <c r="D609" s="656"/>
      <c r="E609" s="656"/>
      <c r="F609" s="656"/>
      <c r="G609" s="656"/>
      <c r="H609" s="656"/>
      <c r="I609" s="656"/>
      <c r="J609" s="656"/>
      <c r="K609" s="1064"/>
      <c r="L609" s="1064"/>
      <c r="M609" s="18"/>
      <c r="N609" s="991"/>
    </row>
    <row r="610" spans="1:14" ht="15">
      <c r="A610" s="748" t="s">
        <v>263</v>
      </c>
      <c r="B610" s="748"/>
      <c r="C610" s="748"/>
      <c r="D610" s="748"/>
      <c r="E610" s="748"/>
      <c r="F610" s="748"/>
      <c r="G610" s="748"/>
      <c r="H610" s="748"/>
      <c r="I610" s="748"/>
      <c r="J610" s="748"/>
      <c r="K610" s="104"/>
      <c r="L610" s="282"/>
      <c r="M610" s="18"/>
      <c r="N610" s="991"/>
    </row>
    <row r="611" spans="1:14" ht="24.75" customHeight="1">
      <c r="A611" s="657" t="s">
        <v>49</v>
      </c>
      <c r="B611" s="487" t="s">
        <v>111</v>
      </c>
      <c r="C611" s="775" t="s">
        <v>965</v>
      </c>
      <c r="D611" s="776"/>
      <c r="E611" s="732" t="s">
        <v>901</v>
      </c>
      <c r="F611" s="733"/>
      <c r="G611" s="732" t="s">
        <v>888</v>
      </c>
      <c r="H611" s="733"/>
      <c r="I611" s="822"/>
      <c r="J611" s="823"/>
      <c r="K611" s="282"/>
      <c r="L611" s="282"/>
      <c r="M611" s="18"/>
      <c r="N611" s="991"/>
    </row>
    <row r="612" spans="1:14" ht="17.25" customHeight="1">
      <c r="A612" s="85" t="s">
        <v>964</v>
      </c>
      <c r="B612" s="138" t="s">
        <v>960</v>
      </c>
      <c r="C612" s="703">
        <f>CEILING(170*$Z$1,0.1)</f>
        <v>212.5</v>
      </c>
      <c r="D612" s="704"/>
      <c r="E612" s="703">
        <f>CEILING(150*$Z$1,0.1)</f>
        <v>187.5</v>
      </c>
      <c r="F612" s="704"/>
      <c r="G612" s="703">
        <f>CEILING(115*$Z$1,0.1)</f>
        <v>143.8</v>
      </c>
      <c r="H612" s="704"/>
      <c r="I612" s="714"/>
      <c r="J612" s="753"/>
      <c r="K612" s="282"/>
      <c r="L612" s="282"/>
      <c r="M612" s="18"/>
      <c r="N612" s="991"/>
    </row>
    <row r="613" spans="1:14" ht="30" customHeight="1">
      <c r="A613" s="488" t="s">
        <v>966</v>
      </c>
      <c r="B613" s="355" t="s">
        <v>961</v>
      </c>
      <c r="C613" s="705">
        <v>275</v>
      </c>
      <c r="D613" s="890"/>
      <c r="E613" s="705">
        <v>250</v>
      </c>
      <c r="F613" s="706"/>
      <c r="G613" s="705">
        <v>207</v>
      </c>
      <c r="H613" s="706"/>
      <c r="I613" s="714"/>
      <c r="J613" s="753"/>
      <c r="K613" s="282"/>
      <c r="L613" s="282"/>
      <c r="M613" s="65"/>
      <c r="N613" s="65"/>
    </row>
    <row r="614" spans="1:14" ht="15">
      <c r="A614" s="26" t="s">
        <v>959</v>
      </c>
      <c r="B614" s="54"/>
      <c r="C614" s="656"/>
      <c r="D614" s="656"/>
      <c r="E614" s="656"/>
      <c r="F614" s="656"/>
      <c r="G614" s="656"/>
      <c r="H614" s="656"/>
      <c r="I614" s="653"/>
      <c r="J614" s="653"/>
      <c r="K614" s="282"/>
      <c r="L614" s="282"/>
      <c r="M614" s="65"/>
      <c r="N614" s="65"/>
    </row>
    <row r="615" spans="1:14" ht="17.25" customHeight="1" thickBot="1">
      <c r="A615" s="170" t="s">
        <v>585</v>
      </c>
      <c r="B615" s="54"/>
      <c r="C615" s="656"/>
      <c r="D615" s="656"/>
      <c r="E615" s="656"/>
      <c r="F615" s="656"/>
      <c r="G615" s="656"/>
      <c r="H615" s="656"/>
      <c r="I615" s="656"/>
      <c r="J615" s="656"/>
      <c r="K615" s="1064"/>
      <c r="L615" s="1064"/>
      <c r="M615" s="18"/>
      <c r="N615" s="991"/>
    </row>
    <row r="616" spans="1:14" ht="24.75" customHeight="1" thickTop="1">
      <c r="A616" s="476" t="s">
        <v>49</v>
      </c>
      <c r="B616" s="486" t="s">
        <v>115</v>
      </c>
      <c r="C616" s="815" t="s">
        <v>963</v>
      </c>
      <c r="D616" s="816"/>
      <c r="E616" s="730" t="s">
        <v>888</v>
      </c>
      <c r="F616" s="731"/>
      <c r="G616" s="817"/>
      <c r="H616" s="818"/>
      <c r="I616" s="823"/>
      <c r="J616" s="823"/>
      <c r="K616" s="282"/>
      <c r="L616" s="282"/>
      <c r="M616" s="18"/>
      <c r="N616" s="991"/>
    </row>
    <row r="617" spans="1:14" ht="17.25" customHeight="1">
      <c r="A617" s="85" t="s">
        <v>958</v>
      </c>
      <c r="B617" s="138" t="s">
        <v>960</v>
      </c>
      <c r="C617" s="703">
        <f>CEILING(70*$Z$1,0.1)</f>
        <v>87.5</v>
      </c>
      <c r="D617" s="704"/>
      <c r="E617" s="703">
        <f>CEILING(65*$Z$1,0.1)</f>
        <v>81.30000000000001</v>
      </c>
      <c r="F617" s="704"/>
      <c r="G617" s="707"/>
      <c r="H617" s="747"/>
      <c r="I617" s="753"/>
      <c r="J617" s="753"/>
      <c r="K617" s="282"/>
      <c r="L617" s="282"/>
      <c r="M617" s="18"/>
      <c r="N617" s="991"/>
    </row>
    <row r="618" spans="1:14" ht="15">
      <c r="A618" s="67"/>
      <c r="B618" s="31" t="s">
        <v>961</v>
      </c>
      <c r="C618" s="707">
        <v>119</v>
      </c>
      <c r="D618" s="747"/>
      <c r="E618" s="707">
        <v>112.5</v>
      </c>
      <c r="F618" s="708"/>
      <c r="G618" s="707"/>
      <c r="H618" s="747"/>
      <c r="I618" s="753"/>
      <c r="J618" s="753"/>
      <c r="K618" s="282"/>
      <c r="L618" s="282"/>
      <c r="M618" s="65"/>
      <c r="N618" s="65"/>
    </row>
    <row r="619" spans="1:14" ht="17.25" customHeight="1">
      <c r="A619" s="30" t="s">
        <v>65</v>
      </c>
      <c r="B619" s="38" t="s">
        <v>53</v>
      </c>
      <c r="C619" s="707">
        <f>CEILING(50*$Z$1,0.1)</f>
        <v>62.5</v>
      </c>
      <c r="D619" s="747"/>
      <c r="E619" s="707">
        <f>CEILING(42*$Z$1,0.1)</f>
        <v>52.5</v>
      </c>
      <c r="F619" s="708"/>
      <c r="G619" s="707"/>
      <c r="H619" s="747"/>
      <c r="I619" s="753"/>
      <c r="J619" s="753"/>
      <c r="K619" s="282"/>
      <c r="L619" s="282"/>
      <c r="M619" s="18"/>
      <c r="N619" s="991"/>
    </row>
    <row r="620" spans="1:14" ht="16.5" customHeight="1">
      <c r="A620" s="37"/>
      <c r="B620" s="138" t="s">
        <v>962</v>
      </c>
      <c r="C620" s="707">
        <f>CEILING((C617*0.5),0.1)</f>
        <v>43.800000000000004</v>
      </c>
      <c r="D620" s="1094"/>
      <c r="E620" s="707">
        <f>CEILING((E617*0.5),0.1)</f>
        <v>40.7</v>
      </c>
      <c r="F620" s="708"/>
      <c r="G620" s="707"/>
      <c r="H620" s="747"/>
      <c r="I620" s="753"/>
      <c r="J620" s="753"/>
      <c r="K620" s="282"/>
      <c r="L620" s="282"/>
      <c r="M620" s="18"/>
      <c r="N620" s="991"/>
    </row>
    <row r="621" spans="1:14" ht="17.25" customHeight="1">
      <c r="A621" s="30"/>
      <c r="B621" s="31" t="s">
        <v>76</v>
      </c>
      <c r="C621" s="707">
        <f>CEILING(110*$Z$1,0.1)</f>
        <v>137.5</v>
      </c>
      <c r="D621" s="747"/>
      <c r="E621" s="707">
        <f>CEILING(105*$Z$1,0.1)</f>
        <v>131.3</v>
      </c>
      <c r="F621" s="708"/>
      <c r="G621" s="714"/>
      <c r="H621" s="753"/>
      <c r="I621" s="753"/>
      <c r="J621" s="753"/>
      <c r="K621" s="282"/>
      <c r="L621" s="282"/>
      <c r="M621" s="18"/>
      <c r="N621" s="991"/>
    </row>
    <row r="622" spans="1:14" ht="15.75" thickBot="1">
      <c r="A622" s="87" t="s">
        <v>959</v>
      </c>
      <c r="B622" s="178" t="s">
        <v>77</v>
      </c>
      <c r="C622" s="720">
        <v>188</v>
      </c>
      <c r="D622" s="824"/>
      <c r="E622" s="720">
        <v>181.3</v>
      </c>
      <c r="F622" s="721"/>
      <c r="G622" s="714"/>
      <c r="H622" s="753"/>
      <c r="I622" s="753"/>
      <c r="J622" s="753"/>
      <c r="K622" s="282"/>
      <c r="L622" s="282"/>
      <c r="M622" s="18"/>
      <c r="N622" s="991"/>
    </row>
    <row r="623" spans="1:14" ht="17.25" customHeight="1" thickTop="1">
      <c r="A623" s="170" t="s">
        <v>585</v>
      </c>
      <c r="B623" s="54"/>
      <c r="C623" s="656"/>
      <c r="D623" s="656"/>
      <c r="E623" s="656"/>
      <c r="F623" s="656"/>
      <c r="G623" s="656"/>
      <c r="H623" s="656"/>
      <c r="I623" s="656"/>
      <c r="J623" s="656"/>
      <c r="K623" s="1064"/>
      <c r="L623" s="1064"/>
      <c r="M623" s="18"/>
      <c r="N623" s="991"/>
    </row>
    <row r="624" spans="1:14" ht="23.25" customHeight="1" thickBot="1">
      <c r="A624" s="77"/>
      <c r="B624" s="61"/>
      <c r="C624" s="61"/>
      <c r="D624" s="61"/>
      <c r="E624" s="61"/>
      <c r="F624" s="61"/>
      <c r="G624" s="693"/>
      <c r="H624" s="693"/>
      <c r="I624" s="693"/>
      <c r="J624" s="693"/>
      <c r="K624" s="282"/>
      <c r="L624" s="282"/>
      <c r="M624" s="18"/>
      <c r="N624" s="991"/>
    </row>
    <row r="625" spans="1:14" ht="21.75" customHeight="1" thickTop="1">
      <c r="A625" s="476" t="s">
        <v>49</v>
      </c>
      <c r="B625" s="486" t="s">
        <v>115</v>
      </c>
      <c r="C625" s="815" t="s">
        <v>884</v>
      </c>
      <c r="D625" s="816"/>
      <c r="E625" s="730" t="s">
        <v>970</v>
      </c>
      <c r="F625" s="731"/>
      <c r="G625" s="732" t="s">
        <v>888</v>
      </c>
      <c r="H625" s="733"/>
      <c r="I625" s="822"/>
      <c r="J625" s="823"/>
      <c r="K625" s="282"/>
      <c r="L625" s="282"/>
      <c r="M625" s="18"/>
      <c r="N625" s="991"/>
    </row>
    <row r="626" spans="1:14" ht="15">
      <c r="A626" s="85" t="s">
        <v>116</v>
      </c>
      <c r="B626" s="138" t="s">
        <v>57</v>
      </c>
      <c r="C626" s="703">
        <f>CEILING(35*$Z$1,0.1)</f>
        <v>43.800000000000004</v>
      </c>
      <c r="D626" s="764"/>
      <c r="E626" s="703">
        <f>CEILING(40*$Z$1,0.1)</f>
        <v>50</v>
      </c>
      <c r="F626" s="704"/>
      <c r="G626" s="703">
        <f>CEILING(35*$Z$1,0.1)</f>
        <v>43.800000000000004</v>
      </c>
      <c r="H626" s="704"/>
      <c r="I626" s="714"/>
      <c r="J626" s="753"/>
      <c r="K626" s="282"/>
      <c r="L626" s="282"/>
      <c r="M626" s="18"/>
      <c r="N626" s="991"/>
    </row>
    <row r="627" spans="1:14" ht="15">
      <c r="A627" s="67"/>
      <c r="B627" s="31" t="s">
        <v>58</v>
      </c>
      <c r="C627" s="707">
        <f>CEILING(44*$Z$1,0.1)</f>
        <v>55</v>
      </c>
      <c r="D627" s="747"/>
      <c r="E627" s="707">
        <f>CEILING(50*$Z$1,0.1)</f>
        <v>62.5</v>
      </c>
      <c r="F627" s="708"/>
      <c r="G627" s="707">
        <f>CEILING(44*$Z$1,0.1)</f>
        <v>55</v>
      </c>
      <c r="H627" s="708"/>
      <c r="I627" s="714"/>
      <c r="J627" s="753"/>
      <c r="K627" s="282"/>
      <c r="L627" s="282"/>
      <c r="M627" s="18"/>
      <c r="N627" s="991"/>
    </row>
    <row r="628" spans="1:14" ht="15">
      <c r="A628" s="30" t="s">
        <v>98</v>
      </c>
      <c r="B628" s="38" t="s">
        <v>53</v>
      </c>
      <c r="C628" s="707">
        <f>CEILING(28*$Z$1,0.1)</f>
        <v>35</v>
      </c>
      <c r="D628" s="747"/>
      <c r="E628" s="707">
        <f>CEILING(28*$Z$1,0.1)</f>
        <v>35</v>
      </c>
      <c r="F628" s="708"/>
      <c r="G628" s="707">
        <f>CEILING(28*$Z$1,0.1)</f>
        <v>35</v>
      </c>
      <c r="H628" s="708"/>
      <c r="I628" s="714"/>
      <c r="J628" s="753"/>
      <c r="K628" s="282"/>
      <c r="L628" s="282"/>
      <c r="M628" s="18"/>
      <c r="N628" s="991"/>
    </row>
    <row r="629" spans="1:14" ht="15">
      <c r="A629" s="30"/>
      <c r="B629" s="138" t="s">
        <v>91</v>
      </c>
      <c r="C629" s="714">
        <v>0</v>
      </c>
      <c r="D629" s="753"/>
      <c r="E629" s="714">
        <v>0</v>
      </c>
      <c r="F629" s="715"/>
      <c r="G629" s="714">
        <v>0</v>
      </c>
      <c r="H629" s="715"/>
      <c r="I629" s="653"/>
      <c r="J629" s="653"/>
      <c r="K629" s="282"/>
      <c r="L629" s="282"/>
      <c r="M629" s="18"/>
      <c r="N629" s="991"/>
    </row>
    <row r="630" spans="1:14" ht="15">
      <c r="A630" s="30"/>
      <c r="B630" s="138" t="s">
        <v>92</v>
      </c>
      <c r="C630" s="707">
        <f>CEILING((C626*0.5),0.1)</f>
        <v>21.900000000000002</v>
      </c>
      <c r="D630" s="1094"/>
      <c r="E630" s="707">
        <f>CEILING((E626*0.5),0.1)</f>
        <v>25</v>
      </c>
      <c r="F630" s="708"/>
      <c r="G630" s="707">
        <f>CEILING((G626*0.5),0.1)</f>
        <v>21.900000000000002</v>
      </c>
      <c r="H630" s="708"/>
      <c r="I630" s="714"/>
      <c r="J630" s="753"/>
      <c r="K630" s="282"/>
      <c r="L630" s="282"/>
      <c r="M630" s="18"/>
      <c r="N630" s="991"/>
    </row>
    <row r="631" spans="1:14" ht="15.75" customHeight="1">
      <c r="A631" s="30"/>
      <c r="B631" s="12" t="s">
        <v>117</v>
      </c>
      <c r="C631" s="707">
        <f>CEILING(40*$Z$1,0.1)</f>
        <v>50</v>
      </c>
      <c r="D631" s="747"/>
      <c r="E631" s="707">
        <f>CEILING(45*$Z$1,0.1)</f>
        <v>56.300000000000004</v>
      </c>
      <c r="F631" s="708"/>
      <c r="G631" s="707">
        <f>CEILING(40*$Z$1,0.1)</f>
        <v>50</v>
      </c>
      <c r="H631" s="708"/>
      <c r="I631" s="714"/>
      <c r="J631" s="753"/>
      <c r="K631" s="282"/>
      <c r="L631" s="282"/>
      <c r="M631" s="18"/>
      <c r="N631" s="991"/>
    </row>
    <row r="632" spans="1:14" ht="15.75" thickBot="1">
      <c r="A632" s="87" t="s">
        <v>485</v>
      </c>
      <c r="B632" s="45" t="s">
        <v>118</v>
      </c>
      <c r="C632" s="720">
        <f>CEILING(49*$Z$1,0.1)</f>
        <v>61.300000000000004</v>
      </c>
      <c r="D632" s="824"/>
      <c r="E632" s="720">
        <f>CEILING(55*$Z$1,0.1)</f>
        <v>68.8</v>
      </c>
      <c r="F632" s="721"/>
      <c r="G632" s="705">
        <f>CEILING(49*$Z$1,0.1)</f>
        <v>61.300000000000004</v>
      </c>
      <c r="H632" s="706"/>
      <c r="I632" s="714"/>
      <c r="J632" s="753"/>
      <c r="K632" s="282"/>
      <c r="L632" s="282"/>
      <c r="M632" s="18"/>
      <c r="N632" s="991"/>
    </row>
    <row r="633" spans="1:14" ht="15.75" thickTop="1">
      <c r="A633" s="327" t="s">
        <v>762</v>
      </c>
      <c r="B633" s="47"/>
      <c r="C633" s="653"/>
      <c r="D633" s="653"/>
      <c r="E633" s="653"/>
      <c r="F633" s="653"/>
      <c r="G633" s="653"/>
      <c r="H633" s="653"/>
      <c r="I633" s="653"/>
      <c r="J633" s="653"/>
      <c r="K633" s="282"/>
      <c r="L633" s="282"/>
      <c r="M633" s="18"/>
      <c r="N633" s="991"/>
    </row>
    <row r="634" spans="1:14" ht="15.75" customHeight="1" thickBot="1">
      <c r="A634" s="329"/>
      <c r="B634" s="329"/>
      <c r="C634" s="329"/>
      <c r="D634" s="329"/>
      <c r="E634" s="329"/>
      <c r="F634" s="329"/>
      <c r="G634" s="332"/>
      <c r="H634" s="332"/>
      <c r="I634" s="332"/>
      <c r="J634" s="332"/>
      <c r="K634" s="282"/>
      <c r="L634" s="282"/>
      <c r="M634" s="18"/>
      <c r="N634" s="991"/>
    </row>
    <row r="635" spans="1:14" ht="27" customHeight="1" thickTop="1">
      <c r="A635" s="476" t="s">
        <v>49</v>
      </c>
      <c r="B635" s="486" t="s">
        <v>115</v>
      </c>
      <c r="C635" s="815" t="s">
        <v>884</v>
      </c>
      <c r="D635" s="816"/>
      <c r="E635" s="730" t="s">
        <v>885</v>
      </c>
      <c r="F635" s="731"/>
      <c r="G635" s="732" t="s">
        <v>992</v>
      </c>
      <c r="H635" s="733"/>
      <c r="I635" s="822"/>
      <c r="J635" s="823"/>
      <c r="K635" s="282"/>
      <c r="L635" s="282"/>
      <c r="M635" s="22"/>
      <c r="N635" s="18"/>
    </row>
    <row r="636" spans="1:14" ht="15.75" customHeight="1">
      <c r="A636" s="85" t="s">
        <v>993</v>
      </c>
      <c r="B636" s="138" t="s">
        <v>57</v>
      </c>
      <c r="C636" s="703">
        <f>CEILING(35*$Z$1,0.1)</f>
        <v>43.800000000000004</v>
      </c>
      <c r="D636" s="764"/>
      <c r="E636" s="703">
        <f>CEILING(40*$Z$1,0.1)</f>
        <v>50</v>
      </c>
      <c r="F636" s="704"/>
      <c r="G636" s="703">
        <f>CEILING(35*$Z$1,0.1)</f>
        <v>43.800000000000004</v>
      </c>
      <c r="H636" s="704"/>
      <c r="I636" s="714"/>
      <c r="J636" s="753"/>
      <c r="K636" s="282"/>
      <c r="L636" s="282"/>
      <c r="M636" s="22"/>
      <c r="N636" s="18"/>
    </row>
    <row r="637" spans="1:14" ht="15">
      <c r="A637" s="67"/>
      <c r="B637" s="31" t="s">
        <v>58</v>
      </c>
      <c r="C637" s="707">
        <f>CEILING(45*$Z$1,0.1)</f>
        <v>56.300000000000004</v>
      </c>
      <c r="D637" s="747"/>
      <c r="E637" s="707">
        <f>CEILING(50*$Z$1,0.1)</f>
        <v>62.5</v>
      </c>
      <c r="F637" s="708"/>
      <c r="G637" s="707">
        <f>CEILING(45*$Z$1,0.1)</f>
        <v>56.300000000000004</v>
      </c>
      <c r="H637" s="708"/>
      <c r="I637" s="714"/>
      <c r="J637" s="753"/>
      <c r="K637" s="282"/>
      <c r="L637" s="282"/>
      <c r="M637" s="22"/>
      <c r="N637" s="18"/>
    </row>
    <row r="638" spans="1:14" ht="15">
      <c r="A638" s="30" t="s">
        <v>98</v>
      </c>
      <c r="B638" s="138" t="s">
        <v>962</v>
      </c>
      <c r="C638" s="714">
        <v>0</v>
      </c>
      <c r="D638" s="753"/>
      <c r="E638" s="714">
        <v>0</v>
      </c>
      <c r="F638" s="715"/>
      <c r="G638" s="714">
        <v>0</v>
      </c>
      <c r="H638" s="715"/>
      <c r="I638" s="714"/>
      <c r="J638" s="753"/>
      <c r="K638" s="282"/>
      <c r="L638" s="282"/>
      <c r="M638" s="22"/>
      <c r="N638" s="18"/>
    </row>
    <row r="639" spans="1:14" ht="15">
      <c r="A639" s="30"/>
      <c r="B639" s="31" t="s">
        <v>119</v>
      </c>
      <c r="C639" s="707">
        <f>CEILING(37*$Z$1,0.1)</f>
        <v>46.300000000000004</v>
      </c>
      <c r="D639" s="708"/>
      <c r="E639" s="707">
        <f>CEILING(42*$Z$1,0.1)</f>
        <v>52.5</v>
      </c>
      <c r="F639" s="708"/>
      <c r="G639" s="707">
        <f>CEILING(37*$Z$1,0.1)</f>
        <v>46.300000000000004</v>
      </c>
      <c r="H639" s="708"/>
      <c r="I639" s="714"/>
      <c r="J639" s="753"/>
      <c r="K639" s="282"/>
      <c r="L639" s="282"/>
      <c r="M639" s="22"/>
      <c r="N639" s="18"/>
    </row>
    <row r="640" spans="1:14" ht="15">
      <c r="A640" s="30"/>
      <c r="B640" s="31" t="s">
        <v>118</v>
      </c>
      <c r="C640" s="707">
        <f>CEILING(47*$Z$1,0.1)</f>
        <v>58.800000000000004</v>
      </c>
      <c r="D640" s="747"/>
      <c r="E640" s="707">
        <f>CEILING(52*$Z$1,0.1)</f>
        <v>65</v>
      </c>
      <c r="F640" s="708"/>
      <c r="G640" s="707">
        <f>CEILING(47*$Z$1,0.1)</f>
        <v>58.800000000000004</v>
      </c>
      <c r="H640" s="708"/>
      <c r="I640" s="714"/>
      <c r="J640" s="753"/>
      <c r="K640" s="104"/>
      <c r="L640" s="282"/>
      <c r="M640" s="22"/>
      <c r="N640" s="18"/>
    </row>
    <row r="641" spans="1:14" ht="16.5" customHeight="1">
      <c r="A641" s="30"/>
      <c r="B641" s="31" t="s">
        <v>120</v>
      </c>
      <c r="C641" s="707">
        <f>CEILING(42*$Z$1,0.1)</f>
        <v>52.5</v>
      </c>
      <c r="D641" s="708"/>
      <c r="E641" s="707">
        <f>CEILING(47*$Z$1,0.1)</f>
        <v>58.800000000000004</v>
      </c>
      <c r="F641" s="708"/>
      <c r="G641" s="707">
        <f>CEILING(42*$Z$1,0.1)</f>
        <v>52.5</v>
      </c>
      <c r="H641" s="708"/>
      <c r="I641" s="714"/>
      <c r="J641" s="753"/>
      <c r="K641" s="104"/>
      <c r="L641" s="282"/>
      <c r="M641" s="22"/>
      <c r="N641" s="18"/>
    </row>
    <row r="642" spans="1:14" ht="16.5" customHeight="1">
      <c r="A642" s="30"/>
      <c r="B642" s="31" t="s">
        <v>265</v>
      </c>
      <c r="C642" s="707">
        <v>65</v>
      </c>
      <c r="D642" s="708"/>
      <c r="E642" s="707">
        <v>71.3</v>
      </c>
      <c r="F642" s="708"/>
      <c r="G642" s="707">
        <v>65</v>
      </c>
      <c r="H642" s="708"/>
      <c r="I642" s="653"/>
      <c r="J642" s="653"/>
      <c r="K642" s="104"/>
      <c r="L642" s="282"/>
      <c r="M642" s="22"/>
      <c r="N642" s="18"/>
    </row>
    <row r="643" spans="1:14" ht="18" customHeight="1" thickBot="1">
      <c r="A643" s="87" t="s">
        <v>994</v>
      </c>
      <c r="B643" s="178" t="s">
        <v>995</v>
      </c>
      <c r="C643" s="720">
        <v>45</v>
      </c>
      <c r="D643" s="824"/>
      <c r="E643" s="720">
        <v>50</v>
      </c>
      <c r="F643" s="721"/>
      <c r="G643" s="705">
        <v>45</v>
      </c>
      <c r="H643" s="706"/>
      <c r="I643" s="714"/>
      <c r="J643" s="753"/>
      <c r="K643" s="104"/>
      <c r="L643" s="282"/>
      <c r="M643" s="22"/>
      <c r="N643" s="18"/>
    </row>
    <row r="644" spans="1:14" ht="18.75" customHeight="1" thickTop="1">
      <c r="A644" s="327" t="s">
        <v>996</v>
      </c>
      <c r="B644" s="83"/>
      <c r="C644" s="653"/>
      <c r="D644" s="653"/>
      <c r="E644" s="653"/>
      <c r="F644" s="653"/>
      <c r="G644" s="653"/>
      <c r="H644" s="653"/>
      <c r="I644" s="653"/>
      <c r="J644" s="653"/>
      <c r="K644" s="104"/>
      <c r="L644" s="282"/>
      <c r="M644" s="22"/>
      <c r="N644" s="18"/>
    </row>
    <row r="645" spans="1:14" ht="15.75" thickBot="1">
      <c r="A645" s="79"/>
      <c r="B645" s="75"/>
      <c r="C645" s="100"/>
      <c r="D645" s="100"/>
      <c r="E645" s="100"/>
      <c r="F645" s="100"/>
      <c r="G645" s="330"/>
      <c r="H645" s="330"/>
      <c r="I645" s="331"/>
      <c r="J645" s="331"/>
      <c r="K645" s="104"/>
      <c r="L645" s="282"/>
      <c r="M645" s="22"/>
      <c r="N645" s="18"/>
    </row>
    <row r="646" spans="1:14" ht="22.5" customHeight="1" thickTop="1">
      <c r="A646" s="672" t="s">
        <v>49</v>
      </c>
      <c r="B646" s="486"/>
      <c r="C646" s="815" t="s">
        <v>884</v>
      </c>
      <c r="D646" s="816"/>
      <c r="E646" s="730" t="s">
        <v>970</v>
      </c>
      <c r="F646" s="731"/>
      <c r="G646" s="732" t="s">
        <v>888</v>
      </c>
      <c r="H646" s="733"/>
      <c r="I646" s="855"/>
      <c r="J646" s="856"/>
      <c r="K646" s="104"/>
      <c r="L646" s="282"/>
      <c r="M646" s="22"/>
      <c r="N646" s="18"/>
    </row>
    <row r="647" spans="1:14" ht="15">
      <c r="A647" s="171" t="s">
        <v>403</v>
      </c>
      <c r="B647" s="138" t="s">
        <v>442</v>
      </c>
      <c r="C647" s="703">
        <f>CEILING(40*$Z$1,0.1)</f>
        <v>50</v>
      </c>
      <c r="D647" s="764"/>
      <c r="E647" s="703">
        <f>CEILING(44*$Z$1,0.1)</f>
        <v>55</v>
      </c>
      <c r="F647" s="704"/>
      <c r="G647" s="703">
        <f>CEILING(40*$Z$1,0.1)</f>
        <v>50</v>
      </c>
      <c r="H647" s="704"/>
      <c r="I647" s="714"/>
      <c r="J647" s="753"/>
      <c r="K647" s="282"/>
      <c r="L647" s="282"/>
      <c r="M647" s="22"/>
      <c r="N647" s="18"/>
    </row>
    <row r="648" spans="1:14" ht="15.75" customHeight="1">
      <c r="A648" s="268"/>
      <c r="B648" s="31" t="s">
        <v>443</v>
      </c>
      <c r="C648" s="707">
        <f>CEILING(52*$Z$1,0.1)</f>
        <v>65</v>
      </c>
      <c r="D648" s="747"/>
      <c r="E648" s="707">
        <f>CEILING(57*$Z$1,0.1)</f>
        <v>71.3</v>
      </c>
      <c r="F648" s="708"/>
      <c r="G648" s="707">
        <f>CEILING(52*$Z$1,0.1)</f>
        <v>65</v>
      </c>
      <c r="H648" s="708"/>
      <c r="I648" s="714"/>
      <c r="J648" s="753"/>
      <c r="K648" s="104"/>
      <c r="L648" s="104"/>
      <c r="M648" s="22"/>
      <c r="N648" s="18"/>
    </row>
    <row r="649" spans="1:14" ht="15" customHeight="1">
      <c r="A649" s="30" t="s">
        <v>98</v>
      </c>
      <c r="B649" s="38" t="s">
        <v>441</v>
      </c>
      <c r="C649" s="707">
        <f>CEILING(33*$Z$1,0.1)</f>
        <v>41.300000000000004</v>
      </c>
      <c r="D649" s="708"/>
      <c r="E649" s="707">
        <f>CEILING(35*$Z$1,0.1)</f>
        <v>43.800000000000004</v>
      </c>
      <c r="F649" s="708"/>
      <c r="G649" s="707">
        <f>CEILING(32*$Z$1,0.1)</f>
        <v>40</v>
      </c>
      <c r="H649" s="708"/>
      <c r="I649" s="714"/>
      <c r="J649" s="753"/>
      <c r="K649" s="104"/>
      <c r="L649" s="104"/>
      <c r="M649" s="22"/>
      <c r="N649" s="18"/>
    </row>
    <row r="650" spans="1:14" ht="15.75" customHeight="1">
      <c r="A650" s="30"/>
      <c r="B650" s="14" t="s">
        <v>91</v>
      </c>
      <c r="C650" s="714">
        <v>0</v>
      </c>
      <c r="D650" s="715"/>
      <c r="E650" s="714">
        <v>0</v>
      </c>
      <c r="F650" s="715"/>
      <c r="G650" s="714">
        <v>0</v>
      </c>
      <c r="H650" s="715"/>
      <c r="I650" s="714"/>
      <c r="J650" s="753"/>
      <c r="K650" s="104"/>
      <c r="L650" s="104"/>
      <c r="M650" s="22"/>
      <c r="N650" s="18"/>
    </row>
    <row r="651" spans="1:14" ht="15.75" customHeight="1">
      <c r="A651" s="30"/>
      <c r="B651" s="355" t="s">
        <v>92</v>
      </c>
      <c r="C651" s="705">
        <f>CEILING((C647*0.5),0.1)</f>
        <v>25</v>
      </c>
      <c r="D651" s="706"/>
      <c r="E651" s="705">
        <f>CEILING((E647*0.5),0.1)</f>
        <v>27.5</v>
      </c>
      <c r="F651" s="706"/>
      <c r="G651" s="705">
        <f>CEILING((G647*0.5),0.1)</f>
        <v>25</v>
      </c>
      <c r="H651" s="706"/>
      <c r="I651" s="653"/>
      <c r="J651" s="653"/>
      <c r="K651" s="104"/>
      <c r="L651" s="104"/>
      <c r="M651" s="22"/>
      <c r="N651" s="18"/>
    </row>
    <row r="652" spans="1:14" ht="15.75" customHeight="1">
      <c r="A652" s="30"/>
      <c r="B652" s="138" t="s">
        <v>979</v>
      </c>
      <c r="C652" s="703">
        <f>CEILING(55*$Z$1,0.1)</f>
        <v>68.8</v>
      </c>
      <c r="D652" s="764"/>
      <c r="E652" s="703">
        <f>CEILING(59*$Z$1,0.1)</f>
        <v>73.8</v>
      </c>
      <c r="F652" s="704"/>
      <c r="G652" s="703">
        <f>CEILING(55*$Z$1,0.1)</f>
        <v>68.8</v>
      </c>
      <c r="H652" s="704"/>
      <c r="I652" s="653"/>
      <c r="J652" s="653"/>
      <c r="K652" s="104"/>
      <c r="L652" s="104"/>
      <c r="M652" s="22"/>
      <c r="N652" s="18"/>
    </row>
    <row r="653" spans="1:14" ht="15.75" customHeight="1">
      <c r="A653" s="30"/>
      <c r="B653" s="31" t="s">
        <v>980</v>
      </c>
      <c r="C653" s="707">
        <f>CEILING(67*$Z$1,0.1)</f>
        <v>83.80000000000001</v>
      </c>
      <c r="D653" s="747"/>
      <c r="E653" s="707">
        <f>CEILING(72*$Z$1,0.1)</f>
        <v>90</v>
      </c>
      <c r="F653" s="708"/>
      <c r="G653" s="707">
        <f>CEILING(67*$Z$1,0.1)</f>
        <v>83.80000000000001</v>
      </c>
      <c r="H653" s="708"/>
      <c r="I653" s="653"/>
      <c r="J653" s="653"/>
      <c r="K653" s="104"/>
      <c r="L653" s="104"/>
      <c r="M653" s="22"/>
      <c r="N653" s="18"/>
    </row>
    <row r="654" spans="1:14" ht="15.75" customHeight="1">
      <c r="A654" s="30"/>
      <c r="B654" s="38" t="s">
        <v>441</v>
      </c>
      <c r="C654" s="707">
        <f>CEILING(44*$Z$1,0.1)</f>
        <v>55</v>
      </c>
      <c r="D654" s="708"/>
      <c r="E654" s="707">
        <f>CEILING(47*$Z$1,0.1)</f>
        <v>58.800000000000004</v>
      </c>
      <c r="F654" s="708"/>
      <c r="G654" s="707">
        <f>CEILING(44*$Z$1,0.1)</f>
        <v>55</v>
      </c>
      <c r="H654" s="708"/>
      <c r="I654" s="653"/>
      <c r="J654" s="653"/>
      <c r="K654" s="104"/>
      <c r="L654" s="104"/>
      <c r="M654" s="22"/>
      <c r="N654" s="18"/>
    </row>
    <row r="655" spans="1:14" ht="15.75" customHeight="1">
      <c r="A655" s="30"/>
      <c r="B655" s="14" t="s">
        <v>91</v>
      </c>
      <c r="C655" s="714">
        <v>0</v>
      </c>
      <c r="D655" s="715"/>
      <c r="E655" s="714">
        <v>0</v>
      </c>
      <c r="F655" s="715"/>
      <c r="G655" s="714">
        <v>0</v>
      </c>
      <c r="H655" s="715"/>
      <c r="I655" s="653"/>
      <c r="J655" s="653"/>
      <c r="K655" s="104"/>
      <c r="L655" s="104"/>
      <c r="M655" s="22"/>
      <c r="N655" s="18"/>
    </row>
    <row r="656" spans="1:14" ht="15.75" thickBot="1">
      <c r="A656" s="87" t="s">
        <v>485</v>
      </c>
      <c r="B656" s="15" t="s">
        <v>92</v>
      </c>
      <c r="C656" s="720">
        <f>CEILING((C652*0.5),0.1)</f>
        <v>34.4</v>
      </c>
      <c r="D656" s="721"/>
      <c r="E656" s="720">
        <f>CEILING((E652*0.5),0.1)</f>
        <v>36.9</v>
      </c>
      <c r="F656" s="721"/>
      <c r="G656" s="705">
        <f>CEILING((G652*0.5),0.1)</f>
        <v>34.4</v>
      </c>
      <c r="H656" s="706"/>
      <c r="I656" s="714"/>
      <c r="J656" s="753"/>
      <c r="K656" s="104"/>
      <c r="L656" s="104"/>
      <c r="M656" s="22"/>
      <c r="N656" s="18"/>
    </row>
    <row r="657" spans="1:14" ht="15.75" thickTop="1">
      <c r="A657" s="417" t="s">
        <v>763</v>
      </c>
      <c r="B657" s="54"/>
      <c r="C657" s="653"/>
      <c r="D657" s="653"/>
      <c r="E657" s="653"/>
      <c r="F657" s="653"/>
      <c r="G657" s="653"/>
      <c r="H657" s="653"/>
      <c r="I657" s="653"/>
      <c r="J657" s="653"/>
      <c r="K657" s="104"/>
      <c r="L657" s="104"/>
      <c r="M657" s="18"/>
      <c r="N657" s="991"/>
    </row>
    <row r="658" spans="1:14" ht="15.75" thickBot="1">
      <c r="A658" s="347"/>
      <c r="B658" s="56"/>
      <c r="C658" s="653"/>
      <c r="D658" s="653"/>
      <c r="E658" s="653"/>
      <c r="F658" s="653"/>
      <c r="G658" s="653"/>
      <c r="H658" s="653"/>
      <c r="I658" s="653"/>
      <c r="J658" s="653"/>
      <c r="K658" s="104"/>
      <c r="L658" s="104"/>
      <c r="M658" s="18"/>
      <c r="N658" s="991"/>
    </row>
    <row r="659" spans="1:14" ht="24" customHeight="1" thickTop="1">
      <c r="A659" s="672" t="s">
        <v>49</v>
      </c>
      <c r="B659" s="486" t="s">
        <v>113</v>
      </c>
      <c r="C659" s="815" t="s">
        <v>884</v>
      </c>
      <c r="D659" s="816"/>
      <c r="E659" s="730" t="s">
        <v>970</v>
      </c>
      <c r="F659" s="731"/>
      <c r="G659" s="732" t="s">
        <v>888</v>
      </c>
      <c r="H659" s="733"/>
      <c r="I659" s="653"/>
      <c r="J659" s="653"/>
      <c r="K659" s="104"/>
      <c r="L659" s="104"/>
      <c r="M659" s="18"/>
      <c r="N659" s="991"/>
    </row>
    <row r="660" spans="1:14" ht="15">
      <c r="A660" s="171" t="s">
        <v>764</v>
      </c>
      <c r="B660" s="138" t="s">
        <v>57</v>
      </c>
      <c r="C660" s="703">
        <f>CEILING(35*$Z$1,0.1)</f>
        <v>43.800000000000004</v>
      </c>
      <c r="D660" s="764"/>
      <c r="E660" s="703">
        <f>CEILING(40*$Z$1,0.1)</f>
        <v>50</v>
      </c>
      <c r="F660" s="704"/>
      <c r="G660" s="703">
        <f>CEILING(35*$Z$1,0.1)</f>
        <v>43.800000000000004</v>
      </c>
      <c r="H660" s="704"/>
      <c r="I660" s="653"/>
      <c r="J660" s="653"/>
      <c r="K660" s="104"/>
      <c r="L660" s="104"/>
      <c r="M660" s="18"/>
      <c r="N660" s="991"/>
    </row>
    <row r="661" spans="1:14" ht="15">
      <c r="A661" s="30" t="s">
        <v>199</v>
      </c>
      <c r="B661" s="31" t="s">
        <v>58</v>
      </c>
      <c r="C661" s="707">
        <f>CEILING(46*$Z$1,0.1)</f>
        <v>57.5</v>
      </c>
      <c r="D661" s="747"/>
      <c r="E661" s="707">
        <f>CEILING(52*$Z$1,0.1)</f>
        <v>65</v>
      </c>
      <c r="F661" s="708"/>
      <c r="G661" s="707">
        <f>CEILING(46*$Z$1,0.1)</f>
        <v>57.5</v>
      </c>
      <c r="H661" s="708"/>
      <c r="I661" s="653"/>
      <c r="J661" s="653"/>
      <c r="K661" s="104"/>
      <c r="L661" s="104"/>
      <c r="M661" s="18"/>
      <c r="N661" s="991"/>
    </row>
    <row r="662" spans="1:14" ht="15">
      <c r="A662" s="418"/>
      <c r="B662" s="14" t="s">
        <v>91</v>
      </c>
      <c r="C662" s="714">
        <v>0</v>
      </c>
      <c r="D662" s="715"/>
      <c r="E662" s="714">
        <v>0</v>
      </c>
      <c r="F662" s="715"/>
      <c r="G662" s="714">
        <v>0</v>
      </c>
      <c r="H662" s="715"/>
      <c r="I662" s="653"/>
      <c r="J662" s="653"/>
      <c r="K662" s="104"/>
      <c r="L662" s="104"/>
      <c r="M662" s="18"/>
      <c r="N662" s="991"/>
    </row>
    <row r="663" spans="1:14" ht="15.75" thickBot="1">
      <c r="A663" s="419"/>
      <c r="B663" s="178" t="s">
        <v>92</v>
      </c>
      <c r="C663" s="720">
        <f>CEILING((C660*0.5),0.1)</f>
        <v>21.900000000000002</v>
      </c>
      <c r="D663" s="721"/>
      <c r="E663" s="720">
        <f>CEILING((E660*0.5),0.1)</f>
        <v>25</v>
      </c>
      <c r="F663" s="721"/>
      <c r="G663" s="705">
        <f>CEILING((G660*0.5),0.1)</f>
        <v>21.900000000000002</v>
      </c>
      <c r="H663" s="706"/>
      <c r="I663" s="653"/>
      <c r="J663" s="653"/>
      <c r="K663" s="104"/>
      <c r="L663" s="104"/>
      <c r="M663" s="18"/>
      <c r="N663" s="991"/>
    </row>
    <row r="664" spans="1:14" ht="15.75" thickTop="1">
      <c r="A664" s="417" t="s">
        <v>763</v>
      </c>
      <c r="B664" s="420"/>
      <c r="C664" s="421"/>
      <c r="D664" s="421"/>
      <c r="E664" s="421"/>
      <c r="F664" s="653"/>
      <c r="G664" s="653"/>
      <c r="H664" s="653"/>
      <c r="I664" s="653"/>
      <c r="J664" s="653"/>
      <c r="K664" s="104"/>
      <c r="L664" s="104"/>
      <c r="M664" s="18"/>
      <c r="N664" s="991"/>
    </row>
    <row r="665" spans="1:14" ht="15.75" thickBot="1">
      <c r="A665" s="347"/>
      <c r="B665" s="56"/>
      <c r="C665" s="662"/>
      <c r="D665" s="662"/>
      <c r="E665" s="662"/>
      <c r="F665" s="653"/>
      <c r="G665" s="653"/>
      <c r="H665" s="653"/>
      <c r="I665" s="653"/>
      <c r="J665" s="653"/>
      <c r="K665" s="104"/>
      <c r="L665" s="104"/>
      <c r="M665" s="18"/>
      <c r="N665" s="991"/>
    </row>
    <row r="666" spans="1:14" ht="23.25" customHeight="1" thickTop="1">
      <c r="A666" s="672" t="s">
        <v>49</v>
      </c>
      <c r="B666" s="518" t="s">
        <v>111</v>
      </c>
      <c r="C666" s="803" t="s">
        <v>884</v>
      </c>
      <c r="D666" s="804"/>
      <c r="E666" s="730" t="s">
        <v>970</v>
      </c>
      <c r="F666" s="731"/>
      <c r="G666" s="732" t="s">
        <v>888</v>
      </c>
      <c r="H666" s="733"/>
      <c r="I666" s="855"/>
      <c r="J666" s="856"/>
      <c r="K666" s="104"/>
      <c r="L666" s="104"/>
      <c r="M666" s="18"/>
      <c r="N666" s="991"/>
    </row>
    <row r="667" spans="1:14" ht="15">
      <c r="A667" s="85" t="s">
        <v>370</v>
      </c>
      <c r="B667" s="138" t="s">
        <v>439</v>
      </c>
      <c r="C667" s="703">
        <f>CEILING(32*$Z$1,0.1)</f>
        <v>40</v>
      </c>
      <c r="D667" s="764"/>
      <c r="E667" s="703">
        <f>CEILING(35*$Z$1,0.1)</f>
        <v>43.800000000000004</v>
      </c>
      <c r="F667" s="704"/>
      <c r="G667" s="703">
        <f>CEILING(32*$Z$1,0.1)</f>
        <v>40</v>
      </c>
      <c r="H667" s="704"/>
      <c r="I667" s="714"/>
      <c r="J667" s="753"/>
      <c r="K667" s="104"/>
      <c r="L667" s="104"/>
      <c r="M667" s="18"/>
      <c r="N667" s="991"/>
    </row>
    <row r="668" spans="1:14" ht="15">
      <c r="A668" s="213" t="s">
        <v>98</v>
      </c>
      <c r="B668" s="31" t="s">
        <v>440</v>
      </c>
      <c r="C668" s="707">
        <f>CEILING(42*$Z$1,0.1)</f>
        <v>52.5</v>
      </c>
      <c r="D668" s="747"/>
      <c r="E668" s="707">
        <f>CEILING(46*$Z$1,0.1)</f>
        <v>57.5</v>
      </c>
      <c r="F668" s="708"/>
      <c r="G668" s="707">
        <f>CEILING(42*$Z$1,0.1)</f>
        <v>52.5</v>
      </c>
      <c r="H668" s="708"/>
      <c r="I668" s="714"/>
      <c r="J668" s="753"/>
      <c r="K668" s="104"/>
      <c r="L668" s="104"/>
      <c r="M668" s="22"/>
      <c r="N668" s="991"/>
    </row>
    <row r="669" spans="1:14" ht="15">
      <c r="A669" s="30"/>
      <c r="B669" s="14" t="s">
        <v>91</v>
      </c>
      <c r="C669" s="714">
        <v>0</v>
      </c>
      <c r="D669" s="715"/>
      <c r="E669" s="714">
        <v>0</v>
      </c>
      <c r="F669" s="715"/>
      <c r="G669" s="714">
        <v>0</v>
      </c>
      <c r="H669" s="715"/>
      <c r="I669" s="714"/>
      <c r="J669" s="753"/>
      <c r="K669" s="104"/>
      <c r="L669" s="104"/>
      <c r="M669" s="22"/>
      <c r="N669" s="991"/>
    </row>
    <row r="670" spans="1:14" ht="15">
      <c r="A670" s="30"/>
      <c r="B670" s="14" t="s">
        <v>92</v>
      </c>
      <c r="C670" s="707">
        <f>CEILING((C667*0.5),0.1)</f>
        <v>20</v>
      </c>
      <c r="D670" s="1094"/>
      <c r="E670" s="707">
        <f>CEILING((E667*0.5),0.1)</f>
        <v>21.900000000000002</v>
      </c>
      <c r="F670" s="708"/>
      <c r="G670" s="707">
        <f>CEILING((G667*0.5),0.1)</f>
        <v>20</v>
      </c>
      <c r="H670" s="708"/>
      <c r="I670" s="653"/>
      <c r="J670" s="653"/>
      <c r="K670" s="104"/>
      <c r="L670" s="104"/>
      <c r="M670" s="22"/>
      <c r="N670" s="991"/>
    </row>
    <row r="671" spans="1:14" ht="15">
      <c r="A671" s="30"/>
      <c r="B671" s="31" t="s">
        <v>120</v>
      </c>
      <c r="C671" s="707">
        <f>CEILING(37*$Z$1,0.1)</f>
        <v>46.300000000000004</v>
      </c>
      <c r="D671" s="708"/>
      <c r="E671" s="707">
        <f>CEILING(40*$Z$1,0.1)</f>
        <v>50</v>
      </c>
      <c r="F671" s="708"/>
      <c r="G671" s="707">
        <f>CEILING(37*$Z$1,0.1)</f>
        <v>46.300000000000004</v>
      </c>
      <c r="H671" s="708"/>
      <c r="I671" s="653"/>
      <c r="J671" s="653"/>
      <c r="K671" s="104"/>
      <c r="L671" s="104"/>
      <c r="M671" s="22"/>
      <c r="N671" s="991"/>
    </row>
    <row r="672" spans="1:14" ht="15.75" thickBot="1">
      <c r="A672" s="87" t="s">
        <v>497</v>
      </c>
      <c r="B672" s="178" t="s">
        <v>121</v>
      </c>
      <c r="C672" s="720">
        <f>CEILING(47*$Z$1,0.1)</f>
        <v>58.800000000000004</v>
      </c>
      <c r="D672" s="824"/>
      <c r="E672" s="720">
        <f>CEILING(51*$Z$1,0.1)</f>
        <v>63.800000000000004</v>
      </c>
      <c r="F672" s="721"/>
      <c r="G672" s="705">
        <f>CEILING(47*$Z$1,0.1)</f>
        <v>58.800000000000004</v>
      </c>
      <c r="H672" s="706"/>
      <c r="I672" s="714"/>
      <c r="J672" s="753"/>
      <c r="K672" s="104"/>
      <c r="L672" s="104"/>
      <c r="M672" s="22"/>
      <c r="N672" s="991"/>
    </row>
    <row r="673" spans="1:14" ht="15.75" thickTop="1">
      <c r="A673" s="327" t="s">
        <v>762</v>
      </c>
      <c r="B673" s="83"/>
      <c r="C673" s="653"/>
      <c r="D673" s="653"/>
      <c r="E673" s="653"/>
      <c r="F673" s="653"/>
      <c r="G673" s="653"/>
      <c r="H673" s="653"/>
      <c r="I673" s="653"/>
      <c r="J673" s="653"/>
      <c r="K673" s="104"/>
      <c r="L673" s="104"/>
      <c r="M673" s="22"/>
      <c r="N673" s="991"/>
    </row>
    <row r="674" spans="1:16" ht="16.5" customHeight="1">
      <c r="A674" s="748"/>
      <c r="B674" s="748"/>
      <c r="C674" s="748"/>
      <c r="D674" s="748"/>
      <c r="E674" s="748"/>
      <c r="F674" s="748"/>
      <c r="G674" s="748"/>
      <c r="H674" s="748"/>
      <c r="I674" s="3"/>
      <c r="J674" s="3"/>
      <c r="K674" s="104"/>
      <c r="L674" s="104"/>
      <c r="M674" s="992"/>
      <c r="N674" s="3"/>
      <c r="O674" s="3"/>
      <c r="P674" s="3"/>
    </row>
    <row r="675" spans="1:14" ht="15">
      <c r="A675" s="1097" t="s">
        <v>547</v>
      </c>
      <c r="B675" s="1097"/>
      <c r="C675" s="1097"/>
      <c r="D675" s="1097"/>
      <c r="E675" s="1097"/>
      <c r="F675" s="1097"/>
      <c r="G675" s="1052"/>
      <c r="H675" s="1052"/>
      <c r="I675" s="22"/>
      <c r="J675" s="22"/>
      <c r="K675" s="282"/>
      <c r="L675" s="282"/>
      <c r="M675" s="992"/>
      <c r="N675" s="3"/>
    </row>
    <row r="676" spans="1:14" ht="18.75" customHeight="1">
      <c r="A676" s="1097" t="s">
        <v>548</v>
      </c>
      <c r="B676" s="1097"/>
      <c r="C676" s="1097"/>
      <c r="D676" s="1097"/>
      <c r="E676" s="1097"/>
      <c r="F676" s="1097"/>
      <c r="G676" s="1052"/>
      <c r="H676" s="1052"/>
      <c r="I676" s="22"/>
      <c r="J676" s="22"/>
      <c r="K676" s="282"/>
      <c r="L676" s="282"/>
      <c r="M676" s="3"/>
      <c r="N676" s="3"/>
    </row>
    <row r="677" spans="1:14" ht="19.5" customHeight="1">
      <c r="A677" s="1097" t="s">
        <v>549</v>
      </c>
      <c r="B677" s="1052"/>
      <c r="C677" s="1052"/>
      <c r="D677" s="1052"/>
      <c r="E677" s="1052"/>
      <c r="F677" s="1052"/>
      <c r="G677" s="1052"/>
      <c r="H677" s="1052"/>
      <c r="I677" s="22"/>
      <c r="J677" s="22"/>
      <c r="K677" s="1063"/>
      <c r="L677" s="1063"/>
      <c r="M677" s="3"/>
      <c r="N677" s="3"/>
    </row>
    <row r="678" spans="1:14" ht="17.25" customHeight="1">
      <c r="A678" s="1097" t="s">
        <v>550</v>
      </c>
      <c r="B678" s="1097"/>
      <c r="C678" s="1097"/>
      <c r="D678" s="1097"/>
      <c r="E678" s="1097"/>
      <c r="F678" s="1097"/>
      <c r="G678" s="1052"/>
      <c r="H678" s="1052"/>
      <c r="I678" s="22"/>
      <c r="J678" s="22"/>
      <c r="K678" s="1063"/>
      <c r="L678" s="1063"/>
      <c r="M678" s="264"/>
      <c r="N678" s="264"/>
    </row>
    <row r="679" spans="1:17" ht="15">
      <c r="A679" s="135"/>
      <c r="B679" s="135"/>
      <c r="C679" s="135"/>
      <c r="D679" s="135"/>
      <c r="E679" s="135"/>
      <c r="F679" s="135"/>
      <c r="G679" s="136"/>
      <c r="H679" s="136"/>
      <c r="I679" s="22"/>
      <c r="J679" s="22"/>
      <c r="K679" s="1063"/>
      <c r="L679" s="1063"/>
      <c r="M679" s="17"/>
      <c r="N679" s="17"/>
      <c r="P679" s="264"/>
      <c r="Q679" s="264"/>
    </row>
    <row r="680" spans="1:17" ht="15">
      <c r="A680" s="834" t="s">
        <v>308</v>
      </c>
      <c r="B680" s="834"/>
      <c r="C680" s="834"/>
      <c r="D680" s="834"/>
      <c r="E680" s="834"/>
      <c r="F680" s="834"/>
      <c r="G680" s="834"/>
      <c r="H680" s="834"/>
      <c r="I680" s="32"/>
      <c r="J680" s="32"/>
      <c r="K680" s="1063"/>
      <c r="L680" s="1063"/>
      <c r="M680" s="3"/>
      <c r="N680" s="3"/>
      <c r="P680" s="3"/>
      <c r="Q680" s="3"/>
    </row>
    <row r="681" spans="1:17" ht="15.75" thickBot="1">
      <c r="A681" s="408"/>
      <c r="B681" s="408"/>
      <c r="C681" s="404"/>
      <c r="D681" s="404"/>
      <c r="E681" s="404"/>
      <c r="F681" s="404"/>
      <c r="G681" s="404"/>
      <c r="H681" s="404"/>
      <c r="I681" s="32"/>
      <c r="J681" s="32"/>
      <c r="K681" s="1063"/>
      <c r="L681" s="1063"/>
      <c r="M681" s="3"/>
      <c r="N681" s="3"/>
      <c r="P681" s="3"/>
      <c r="Q681" s="3"/>
    </row>
    <row r="682" spans="1:17" ht="15.75" thickTop="1">
      <c r="A682" s="789" t="s">
        <v>49</v>
      </c>
      <c r="B682" s="520"/>
      <c r="C682" s="754" t="s">
        <v>884</v>
      </c>
      <c r="D682" s="755"/>
      <c r="E682" s="726" t="s">
        <v>1018</v>
      </c>
      <c r="F682" s="727"/>
      <c r="G682" s="769" t="s">
        <v>1019</v>
      </c>
      <c r="H682" s="770"/>
      <c r="I682" s="769" t="s">
        <v>888</v>
      </c>
      <c r="J682" s="770"/>
      <c r="K682" s="855"/>
      <c r="L682" s="856"/>
      <c r="M682" s="3"/>
      <c r="N682" s="3"/>
      <c r="P682" s="3"/>
      <c r="Q682" s="3"/>
    </row>
    <row r="683" spans="1:17" ht="15">
      <c r="A683" s="790"/>
      <c r="B683" s="521"/>
      <c r="C683" s="447" t="s">
        <v>111</v>
      </c>
      <c r="D683" s="447" t="s">
        <v>113</v>
      </c>
      <c r="E683" s="447" t="s">
        <v>111</v>
      </c>
      <c r="F683" s="448" t="s">
        <v>113</v>
      </c>
      <c r="G683" s="447" t="s">
        <v>111</v>
      </c>
      <c r="H683" s="448" t="s">
        <v>113</v>
      </c>
      <c r="I683" s="447" t="s">
        <v>111</v>
      </c>
      <c r="J683" s="448" t="s">
        <v>113</v>
      </c>
      <c r="K683" s="312"/>
      <c r="L683" s="309"/>
      <c r="M683" s="3"/>
      <c r="N683" s="3"/>
      <c r="P683" s="3"/>
      <c r="Q683" s="3"/>
    </row>
    <row r="684" spans="1:17" ht="15">
      <c r="A684" s="85" t="s">
        <v>696</v>
      </c>
      <c r="B684" s="42" t="s">
        <v>333</v>
      </c>
      <c r="C684" s="647">
        <f>CEILING(80*$Z$1,0.1)</f>
        <v>100</v>
      </c>
      <c r="D684" s="647"/>
      <c r="E684" s="647">
        <f>CEILING(100*$Z$1,0.1)</f>
        <v>125</v>
      </c>
      <c r="F684" s="647"/>
      <c r="G684" s="647">
        <f>CEILING(80*$Z$1,0.1)</f>
        <v>100</v>
      </c>
      <c r="H684" s="647"/>
      <c r="I684" s="647">
        <f>CEILING(75*$Z$1,0.1)</f>
        <v>93.80000000000001</v>
      </c>
      <c r="J684" s="647"/>
      <c r="K684" s="647"/>
      <c r="L684" s="656"/>
      <c r="M684" s="3"/>
      <c r="N684" s="3"/>
      <c r="P684" s="3"/>
      <c r="Q684" s="3"/>
    </row>
    <row r="685" spans="1:17" ht="15">
      <c r="A685" s="213" t="s">
        <v>65</v>
      </c>
      <c r="B685" s="14" t="s">
        <v>334</v>
      </c>
      <c r="C685" s="647">
        <f>CEILING((C684+50*$Z$1),0.1)</f>
        <v>162.5</v>
      </c>
      <c r="D685" s="358"/>
      <c r="E685" s="647">
        <f>CEILING((E684+50*$Z$1),0.1)</f>
        <v>187.5</v>
      </c>
      <c r="F685" s="358"/>
      <c r="G685" s="647">
        <f>CEILING((G684+50*$Z$1),0.1)</f>
        <v>162.5</v>
      </c>
      <c r="H685" s="358"/>
      <c r="I685" s="647">
        <f>CEILING((I684+50*$Z$1),0.1)</f>
        <v>156.3</v>
      </c>
      <c r="J685" s="647"/>
      <c r="K685" s="647"/>
      <c r="L685" s="656"/>
      <c r="M685" s="3"/>
      <c r="N685" s="3"/>
      <c r="P685" s="3"/>
      <c r="Q685" s="3"/>
    </row>
    <row r="686" spans="1:17" ht="15">
      <c r="A686" s="406"/>
      <c r="B686" s="14" t="s">
        <v>697</v>
      </c>
      <c r="C686" s="647">
        <f>CEILING(90*$Z$1,0.1)</f>
        <v>112.5</v>
      </c>
      <c r="D686" s="647"/>
      <c r="E686" s="647">
        <f>CEILING(110*$Z$1,0.1)</f>
        <v>137.5</v>
      </c>
      <c r="F686" s="647"/>
      <c r="G686" s="647">
        <f>CEILING(90*$Z$1,0.1)</f>
        <v>112.5</v>
      </c>
      <c r="H686" s="647"/>
      <c r="I686" s="363">
        <f>CEILING(85*$Z$1,0.1)</f>
        <v>106.30000000000001</v>
      </c>
      <c r="J686" s="647"/>
      <c r="K686" s="647"/>
      <c r="L686" s="656"/>
      <c r="M686" s="3"/>
      <c r="N686" s="3"/>
      <c r="P686" s="3"/>
      <c r="Q686" s="3"/>
    </row>
    <row r="687" spans="1:17" ht="16.5" thickBot="1">
      <c r="A687" s="238" t="s">
        <v>508</v>
      </c>
      <c r="B687" s="15" t="s">
        <v>654</v>
      </c>
      <c r="C687" s="650">
        <v>0.1</v>
      </c>
      <c r="D687" s="651"/>
      <c r="E687" s="650">
        <v>0.05</v>
      </c>
      <c r="F687" s="651"/>
      <c r="G687" s="650">
        <v>0.05</v>
      </c>
      <c r="H687" s="651"/>
      <c r="I687" s="407">
        <v>0.05</v>
      </c>
      <c r="J687" s="651"/>
      <c r="K687" s="674"/>
      <c r="L687" s="656"/>
      <c r="M687" s="3"/>
      <c r="N687" s="3"/>
      <c r="P687" s="3"/>
      <c r="Q687" s="3"/>
    </row>
    <row r="688" spans="1:17" ht="15.75" thickTop="1">
      <c r="A688" s="170" t="s">
        <v>699</v>
      </c>
      <c r="B688" s="54"/>
      <c r="C688" s="675"/>
      <c r="D688" s="656"/>
      <c r="E688" s="675"/>
      <c r="F688" s="656"/>
      <c r="G688" s="675"/>
      <c r="H688" s="656"/>
      <c r="I688" s="675"/>
      <c r="J688" s="656"/>
      <c r="K688" s="675"/>
      <c r="L688" s="656"/>
      <c r="M688" s="3"/>
      <c r="N688" s="3"/>
      <c r="P688" s="3"/>
      <c r="Q688" s="3"/>
    </row>
    <row r="689" spans="1:25" s="1099" customFormat="1" ht="15">
      <c r="A689" s="321" t="s">
        <v>700</v>
      </c>
      <c r="B689" s="54"/>
      <c r="C689" s="409"/>
      <c r="D689" s="656"/>
      <c r="E689" s="409"/>
      <c r="F689" s="656"/>
      <c r="G689" s="409"/>
      <c r="H689" s="656"/>
      <c r="I689" s="409"/>
      <c r="J689" s="656"/>
      <c r="K689" s="409"/>
      <c r="L689" s="656"/>
      <c r="M689" s="3"/>
      <c r="N689" s="3"/>
      <c r="O689" s="1098"/>
      <c r="P689" s="3"/>
      <c r="Q689" s="3"/>
      <c r="R689" s="1098"/>
      <c r="S689" s="1098"/>
      <c r="T689" s="1098"/>
      <c r="U689" s="1098"/>
      <c r="V689" s="1098"/>
      <c r="W689" s="1098"/>
      <c r="X689" s="1098"/>
      <c r="Y689" s="1098"/>
    </row>
    <row r="690" spans="1:17" ht="16.5" customHeight="1" thickBot="1">
      <c r="A690" s="860"/>
      <c r="B690" s="860"/>
      <c r="C690" s="860"/>
      <c r="D690" s="860"/>
      <c r="E690" s="860"/>
      <c r="F690" s="860"/>
      <c r="G690" s="860"/>
      <c r="H690" s="860"/>
      <c r="I690" s="32"/>
      <c r="J690" s="32"/>
      <c r="K690" s="294"/>
      <c r="L690" s="294"/>
      <c r="M690" s="3"/>
      <c r="N690" s="3"/>
      <c r="P690" s="3"/>
      <c r="Q690" s="3"/>
    </row>
    <row r="691" spans="1:17" ht="15.75" customHeight="1" thickTop="1">
      <c r="A691" s="789" t="s">
        <v>49</v>
      </c>
      <c r="B691" s="520"/>
      <c r="C691" s="754" t="s">
        <v>884</v>
      </c>
      <c r="D691" s="755"/>
      <c r="E691" s="726" t="s">
        <v>1020</v>
      </c>
      <c r="F691" s="727"/>
      <c r="G691" s="769" t="s">
        <v>893</v>
      </c>
      <c r="H691" s="770"/>
      <c r="I691" s="769" t="s">
        <v>887</v>
      </c>
      <c r="J691" s="770"/>
      <c r="K691" s="769" t="s">
        <v>888</v>
      </c>
      <c r="L691" s="770"/>
      <c r="M691" s="4"/>
      <c r="N691" s="3"/>
      <c r="P691" s="3"/>
      <c r="Q691" s="3"/>
    </row>
    <row r="692" spans="1:17" ht="15">
      <c r="A692" s="790"/>
      <c r="B692" s="520"/>
      <c r="C692" s="447" t="s">
        <v>111</v>
      </c>
      <c r="D692" s="447" t="s">
        <v>113</v>
      </c>
      <c r="E692" s="447" t="s">
        <v>111</v>
      </c>
      <c r="F692" s="448" t="s">
        <v>113</v>
      </c>
      <c r="G692" s="447" t="s">
        <v>111</v>
      </c>
      <c r="H692" s="448" t="s">
        <v>113</v>
      </c>
      <c r="I692" s="447" t="s">
        <v>111</v>
      </c>
      <c r="J692" s="448" t="s">
        <v>113</v>
      </c>
      <c r="K692" s="447" t="s">
        <v>111</v>
      </c>
      <c r="L692" s="448" t="s">
        <v>113</v>
      </c>
      <c r="M692" s="23"/>
      <c r="N692" s="991"/>
      <c r="P692" s="3"/>
      <c r="Q692" s="3"/>
    </row>
    <row r="693" spans="1:17" ht="15">
      <c r="A693" s="85" t="s">
        <v>1220</v>
      </c>
      <c r="B693" s="42" t="s">
        <v>57</v>
      </c>
      <c r="C693" s="647">
        <f>CEILING(70*$Z$1,0.1)</f>
        <v>87.5</v>
      </c>
      <c r="D693" s="647"/>
      <c r="E693" s="647">
        <f>CEILING(90*$Z$1,0.1)</f>
        <v>112.5</v>
      </c>
      <c r="F693" s="647"/>
      <c r="G693" s="647">
        <f>CEILING(70*$Z$1,0.1)</f>
        <v>87.5</v>
      </c>
      <c r="H693" s="647"/>
      <c r="I693" s="647">
        <f>CEILING(75*$Z$1,0.1)</f>
        <v>93.80000000000001</v>
      </c>
      <c r="J693" s="647"/>
      <c r="K693" s="647">
        <f>CEILING(70*$Z$1,0.1)</f>
        <v>87.5</v>
      </c>
      <c r="L693" s="647"/>
      <c r="M693" s="23"/>
      <c r="N693" s="991"/>
      <c r="P693" s="823"/>
      <c r="Q693" s="823"/>
    </row>
    <row r="694" spans="1:17" ht="17.25" customHeight="1">
      <c r="A694" s="213" t="s">
        <v>65</v>
      </c>
      <c r="B694" s="14" t="s">
        <v>58</v>
      </c>
      <c r="C694" s="647">
        <f>CEILING((C693+45*$Z$1),0.1)</f>
        <v>143.8</v>
      </c>
      <c r="D694" s="358"/>
      <c r="E694" s="647">
        <f>CEILING((E693+45*$Z$1),0.1)</f>
        <v>168.8</v>
      </c>
      <c r="F694" s="358"/>
      <c r="G694" s="647">
        <f>CEILING((G693+45*$Z$1),0.1)</f>
        <v>143.8</v>
      </c>
      <c r="H694" s="358"/>
      <c r="I694" s="647">
        <f>CEILING((I693+45*$Z$1),0.1)</f>
        <v>150.1</v>
      </c>
      <c r="J694" s="358"/>
      <c r="K694" s="647">
        <f>CEILING((K693+45*$Z$1),0.1)</f>
        <v>143.8</v>
      </c>
      <c r="L694" s="647"/>
      <c r="M694" s="23"/>
      <c r="N694" s="991"/>
      <c r="P694" s="753"/>
      <c r="Q694" s="753"/>
    </row>
    <row r="695" spans="1:17" ht="15" customHeight="1">
      <c r="A695" s="406"/>
      <c r="B695" s="14" t="s">
        <v>78</v>
      </c>
      <c r="C695" s="647">
        <f>CEILING((C693*0.5),0.1)</f>
        <v>43.800000000000004</v>
      </c>
      <c r="D695" s="647"/>
      <c r="E695" s="647">
        <f>CEILING((E693*0.5),0.1)</f>
        <v>56.300000000000004</v>
      </c>
      <c r="F695" s="647"/>
      <c r="G695" s="647">
        <f>CEILING((G693*0.5),0.1)</f>
        <v>43.800000000000004</v>
      </c>
      <c r="H695" s="647"/>
      <c r="I695" s="647">
        <f>CEILING((I693*0.5),0.1)</f>
        <v>46.900000000000006</v>
      </c>
      <c r="J695" s="647"/>
      <c r="K695" s="647">
        <f>CEILING((K693*0.5),0.1)</f>
        <v>43.800000000000004</v>
      </c>
      <c r="L695" s="647"/>
      <c r="M695" s="23"/>
      <c r="N695" s="991"/>
      <c r="P695" s="653"/>
      <c r="Q695" s="653"/>
    </row>
    <row r="696" spans="1:17" ht="15" customHeight="1">
      <c r="A696" s="406"/>
      <c r="B696" s="220" t="s">
        <v>654</v>
      </c>
      <c r="C696" s="659">
        <v>0.1</v>
      </c>
      <c r="D696" s="658"/>
      <c r="E696" s="659">
        <v>0.05</v>
      </c>
      <c r="F696" s="658"/>
      <c r="G696" s="659">
        <v>0.05</v>
      </c>
      <c r="H696" s="658"/>
      <c r="I696" s="659">
        <v>0.05</v>
      </c>
      <c r="J696" s="658"/>
      <c r="K696" s="659">
        <v>0.05</v>
      </c>
      <c r="L696" s="377"/>
      <c r="M696" s="23"/>
      <c r="N696" s="991"/>
      <c r="P696" s="653"/>
      <c r="Q696" s="653"/>
    </row>
    <row r="697" spans="1:17" ht="15" customHeight="1">
      <c r="A697" s="406"/>
      <c r="B697" s="14" t="s">
        <v>689</v>
      </c>
      <c r="C697" s="647">
        <f>CEILING(80*$Z$1,0.1)</f>
        <v>100</v>
      </c>
      <c r="D697" s="647"/>
      <c r="E697" s="647">
        <f>CEILING(100*$Z$1,0.1)</f>
        <v>125</v>
      </c>
      <c r="F697" s="647"/>
      <c r="G697" s="647">
        <f>CEILING(80*$Z$1,0.1)</f>
        <v>100</v>
      </c>
      <c r="H697" s="647"/>
      <c r="I697" s="647">
        <f>CEILING(85*$Z$1,0.1)</f>
        <v>106.30000000000001</v>
      </c>
      <c r="J697" s="647"/>
      <c r="K697" s="647">
        <f>CEILING(80*$Z$1,0.1)</f>
        <v>100</v>
      </c>
      <c r="L697" s="647"/>
      <c r="M697" s="23"/>
      <c r="N697" s="991"/>
      <c r="P697" s="653"/>
      <c r="Q697" s="653"/>
    </row>
    <row r="698" spans="1:17" ht="15" customHeight="1">
      <c r="A698" s="406"/>
      <c r="B698" s="14" t="s">
        <v>690</v>
      </c>
      <c r="C698" s="647">
        <f>CEILING(80*$Z$1,0.1)</f>
        <v>100</v>
      </c>
      <c r="D698" s="647"/>
      <c r="E698" s="647">
        <f>CEILING(105*$Z$1,0.1)</f>
        <v>131.3</v>
      </c>
      <c r="F698" s="647"/>
      <c r="G698" s="647">
        <f>CEILING(85*$Z$1,0.1)</f>
        <v>106.30000000000001</v>
      </c>
      <c r="H698" s="647"/>
      <c r="I698" s="647">
        <f>CEILING(90*$Z$1,0.1)</f>
        <v>112.5</v>
      </c>
      <c r="J698" s="647"/>
      <c r="K698" s="647">
        <f>CEILING(85*$Z$1,0.1)</f>
        <v>106.30000000000001</v>
      </c>
      <c r="L698" s="647"/>
      <c r="M698" s="23"/>
      <c r="N698" s="991"/>
      <c r="P698" s="653"/>
      <c r="Q698" s="653"/>
    </row>
    <row r="699" spans="1:17" ht="15" customHeight="1">
      <c r="A699" s="406"/>
      <c r="B699" s="14" t="s">
        <v>691</v>
      </c>
      <c r="C699" s="647">
        <f>CEILING(85*$Z$1,0.1)</f>
        <v>106.30000000000001</v>
      </c>
      <c r="D699" s="647"/>
      <c r="E699" s="647">
        <f>CEILING(105*$Z$1,0.1)</f>
        <v>131.3</v>
      </c>
      <c r="F699" s="647"/>
      <c r="G699" s="647">
        <f>CEILING(85*$Z$1,0.1)</f>
        <v>106.30000000000001</v>
      </c>
      <c r="H699" s="647"/>
      <c r="I699" s="647">
        <f>CEILING(90*$Z$1,0.1)</f>
        <v>112.5</v>
      </c>
      <c r="J699" s="647"/>
      <c r="K699" s="647">
        <f>CEILING(85*$Z$1,0.1)</f>
        <v>106.30000000000001</v>
      </c>
      <c r="L699" s="647"/>
      <c r="M699" s="23"/>
      <c r="N699" s="991"/>
      <c r="P699" s="653"/>
      <c r="Q699" s="653"/>
    </row>
    <row r="700" spans="1:17" ht="16.5" thickBot="1">
      <c r="A700" s="238" t="s">
        <v>508</v>
      </c>
      <c r="B700" s="40" t="s">
        <v>692</v>
      </c>
      <c r="C700" s="651">
        <f>CEILING(100*$Z$1,0.1)</f>
        <v>125</v>
      </c>
      <c r="D700" s="651"/>
      <c r="E700" s="651">
        <f>CEILING(120*$Z$1,0.1)</f>
        <v>150</v>
      </c>
      <c r="F700" s="651"/>
      <c r="G700" s="651">
        <f>CEILING(100*$Z$1,0.1)</f>
        <v>125</v>
      </c>
      <c r="H700" s="651"/>
      <c r="I700" s="651">
        <f>CEILING(105*$Z$1,0.1)</f>
        <v>131.3</v>
      </c>
      <c r="J700" s="651"/>
      <c r="K700" s="364">
        <f>CEILING(100*$Z$1,0.1)</f>
        <v>125</v>
      </c>
      <c r="L700" s="651"/>
      <c r="M700" s="23"/>
      <c r="N700" s="991"/>
      <c r="P700" s="753"/>
      <c r="Q700" s="753"/>
    </row>
    <row r="701" spans="1:17" ht="15.75" thickTop="1">
      <c r="A701" s="170" t="s">
        <v>693</v>
      </c>
      <c r="B701" s="54"/>
      <c r="C701" s="3"/>
      <c r="D701" s="3"/>
      <c r="E701" s="3"/>
      <c r="F701" s="3"/>
      <c r="G701" s="3"/>
      <c r="H701" s="3"/>
      <c r="I701" s="3"/>
      <c r="J701" s="3"/>
      <c r="K701" s="1063"/>
      <c r="L701" s="1063"/>
      <c r="M701" s="18"/>
      <c r="N701" s="991"/>
      <c r="P701" s="753"/>
      <c r="Q701" s="753"/>
    </row>
    <row r="702" spans="1:25" s="1099" customFormat="1" ht="15">
      <c r="A702" s="321" t="s">
        <v>694</v>
      </c>
      <c r="B702" s="54"/>
      <c r="C702" s="3"/>
      <c r="D702" s="3"/>
      <c r="E702" s="3"/>
      <c r="F702" s="3"/>
      <c r="G702" s="3"/>
      <c r="H702" s="3"/>
      <c r="I702" s="3"/>
      <c r="J702" s="3"/>
      <c r="K702" s="1100"/>
      <c r="L702" s="1100"/>
      <c r="M702" s="18"/>
      <c r="N702" s="1101"/>
      <c r="O702" s="1098"/>
      <c r="P702" s="653"/>
      <c r="Q702" s="653"/>
      <c r="R702" s="1098"/>
      <c r="S702" s="1098"/>
      <c r="T702" s="1098"/>
      <c r="U702" s="1098"/>
      <c r="V702" s="1098"/>
      <c r="W702" s="1098"/>
      <c r="X702" s="1098"/>
      <c r="Y702" s="1098"/>
    </row>
    <row r="703" spans="1:17" ht="15.75" thickBot="1">
      <c r="A703" s="851"/>
      <c r="B703" s="851"/>
      <c r="C703" s="851"/>
      <c r="D703" s="851"/>
      <c r="E703" s="851"/>
      <c r="F703" s="851"/>
      <c r="G703" s="851"/>
      <c r="H703" s="851"/>
      <c r="I703" s="852"/>
      <c r="J703" s="852"/>
      <c r="K703" s="294"/>
      <c r="L703" s="294"/>
      <c r="M703" s="18"/>
      <c r="N703" s="991"/>
      <c r="P703" s="1032"/>
      <c r="Q703" s="1032"/>
    </row>
    <row r="704" spans="1:14" ht="15.75" customHeight="1" thickTop="1">
      <c r="A704" s="789" t="s">
        <v>49</v>
      </c>
      <c r="B704" s="520"/>
      <c r="C704" s="754" t="s">
        <v>884</v>
      </c>
      <c r="D704" s="755"/>
      <c r="E704" s="726" t="s">
        <v>1020</v>
      </c>
      <c r="F704" s="727"/>
      <c r="G704" s="769" t="s">
        <v>893</v>
      </c>
      <c r="H704" s="770"/>
      <c r="I704" s="769" t="s">
        <v>887</v>
      </c>
      <c r="J704" s="770"/>
      <c r="K704" s="769" t="s">
        <v>888</v>
      </c>
      <c r="L704" s="770"/>
      <c r="M704" s="23"/>
      <c r="N704" s="991"/>
    </row>
    <row r="705" spans="1:15" ht="15">
      <c r="A705" s="790"/>
      <c r="B705" s="521"/>
      <c r="C705" s="447" t="s">
        <v>111</v>
      </c>
      <c r="D705" s="447" t="s">
        <v>113</v>
      </c>
      <c r="E705" s="447" t="s">
        <v>111</v>
      </c>
      <c r="F705" s="448" t="s">
        <v>113</v>
      </c>
      <c r="G705" s="447" t="s">
        <v>111</v>
      </c>
      <c r="H705" s="448" t="s">
        <v>113</v>
      </c>
      <c r="I705" s="447" t="s">
        <v>111</v>
      </c>
      <c r="J705" s="448" t="s">
        <v>113</v>
      </c>
      <c r="K705" s="447" t="s">
        <v>111</v>
      </c>
      <c r="L705" s="448" t="s">
        <v>113</v>
      </c>
      <c r="M705" s="23"/>
      <c r="N705" s="264"/>
      <c r="O705" s="264"/>
    </row>
    <row r="706" spans="1:15" ht="15">
      <c r="A706" s="85" t="s">
        <v>1221</v>
      </c>
      <c r="B706" s="42" t="s">
        <v>333</v>
      </c>
      <c r="C706" s="647">
        <f>CEILING(75*$Z$1,0.1)</f>
        <v>93.80000000000001</v>
      </c>
      <c r="D706" s="647"/>
      <c r="E706" s="647">
        <f>CEILING(95*$Z$1,0.1)</f>
        <v>118.80000000000001</v>
      </c>
      <c r="F706" s="647"/>
      <c r="G706" s="647">
        <f>CEILING(75*$Z$1,0.1)</f>
        <v>93.80000000000001</v>
      </c>
      <c r="H706" s="647"/>
      <c r="I706" s="647">
        <f>CEILING(80*$Z$1,0.1)</f>
        <v>100</v>
      </c>
      <c r="J706" s="647"/>
      <c r="K706" s="647">
        <f>CEILING(75*$Z$1,0.1)</f>
        <v>93.80000000000001</v>
      </c>
      <c r="L706" s="647"/>
      <c r="M706" s="1040"/>
      <c r="N706" s="17"/>
      <c r="O706" s="17"/>
    </row>
    <row r="707" spans="1:25" ht="14.25" customHeight="1">
      <c r="A707" s="213" t="s">
        <v>65</v>
      </c>
      <c r="B707" s="14" t="s">
        <v>334</v>
      </c>
      <c r="C707" s="647">
        <f>CEILING((C706+45*$Z$1),0.1)</f>
        <v>150.1</v>
      </c>
      <c r="D707" s="358"/>
      <c r="E707" s="647">
        <f>CEILING((E706+45*$Z$1),0.1)</f>
        <v>175.10000000000002</v>
      </c>
      <c r="F707" s="358"/>
      <c r="G707" s="647">
        <f>CEILING((G706+45*$Z$1),0.1)</f>
        <v>150.1</v>
      </c>
      <c r="H707" s="358"/>
      <c r="I707" s="647">
        <f>CEILING((I706+45*$Z$1),0.1)</f>
        <v>156.3</v>
      </c>
      <c r="J707" s="358"/>
      <c r="K707" s="647">
        <f>CEILING((K706+45*$Z$1),0.1)</f>
        <v>150.1</v>
      </c>
      <c r="L707" s="647"/>
      <c r="M707" s="1040"/>
      <c r="N707" s="260"/>
      <c r="O707" s="260"/>
      <c r="R707" s="993"/>
      <c r="S707" s="993"/>
      <c r="T707" s="993"/>
      <c r="U707" s="993"/>
      <c r="V707" s="993"/>
      <c r="W707" s="993"/>
      <c r="X707" s="993"/>
      <c r="Y707" s="993"/>
    </row>
    <row r="708" spans="1:25" ht="15">
      <c r="A708" s="176"/>
      <c r="B708" s="14" t="s">
        <v>53</v>
      </c>
      <c r="C708" s="647">
        <f>CEILING((C706*0.85),0.1)</f>
        <v>79.80000000000001</v>
      </c>
      <c r="D708" s="358"/>
      <c r="E708" s="647">
        <f>CEILING((E706*0.85),0.1)</f>
        <v>101</v>
      </c>
      <c r="F708" s="358"/>
      <c r="G708" s="647">
        <f>CEILING((G706*0.85),0.1)</f>
        <v>79.80000000000001</v>
      </c>
      <c r="H708" s="358"/>
      <c r="I708" s="647">
        <f>CEILING((I706*0.85),0.1)</f>
        <v>85</v>
      </c>
      <c r="J708" s="358"/>
      <c r="K708" s="647">
        <f>CEILING((K706*0.85),0.1)</f>
        <v>79.80000000000001</v>
      </c>
      <c r="L708" s="647"/>
      <c r="M708" s="1040"/>
      <c r="N708" s="260"/>
      <c r="O708" s="260"/>
      <c r="R708" s="993"/>
      <c r="S708" s="993"/>
      <c r="T708" s="993"/>
      <c r="U708" s="993"/>
      <c r="V708" s="993"/>
      <c r="W708" s="993"/>
      <c r="X708" s="993"/>
      <c r="Y708" s="993"/>
    </row>
    <row r="709" spans="1:25" ht="15">
      <c r="A709" s="406"/>
      <c r="B709" s="14" t="s">
        <v>78</v>
      </c>
      <c r="C709" s="647">
        <f>CEILING((C706*0.5),0.1)</f>
        <v>46.900000000000006</v>
      </c>
      <c r="D709" s="647"/>
      <c r="E709" s="647">
        <f>CEILING((E706*0.5),0.1)</f>
        <v>59.400000000000006</v>
      </c>
      <c r="F709" s="647"/>
      <c r="G709" s="647">
        <f>CEILING((G706*0.5),0.1)</f>
        <v>46.900000000000006</v>
      </c>
      <c r="H709" s="647"/>
      <c r="I709" s="647">
        <f>CEILING((I706*0.5),0.1)</f>
        <v>50</v>
      </c>
      <c r="J709" s="647"/>
      <c r="K709" s="647">
        <f>CEILING((K706*0.5),0.1)</f>
        <v>46.900000000000006</v>
      </c>
      <c r="L709" s="647"/>
      <c r="M709" s="1040"/>
      <c r="N709" s="260"/>
      <c r="O709" s="260"/>
      <c r="R709" s="993"/>
      <c r="S709" s="993"/>
      <c r="T709" s="993"/>
      <c r="U709" s="993"/>
      <c r="V709" s="993"/>
      <c r="W709" s="993"/>
      <c r="X709" s="993"/>
      <c r="Y709" s="993"/>
    </row>
    <row r="710" spans="1:25" ht="15">
      <c r="A710" s="406"/>
      <c r="B710" s="14" t="s">
        <v>50</v>
      </c>
      <c r="C710" s="647">
        <f>CEILING(90*$Z$1,0.1)</f>
        <v>112.5</v>
      </c>
      <c r="D710" s="647"/>
      <c r="E710" s="647">
        <f>CEILING(110*$Z$1,0.1)</f>
        <v>137.5</v>
      </c>
      <c r="F710" s="647"/>
      <c r="G710" s="647">
        <f>CEILING(90*$Z$1,0.1)</f>
        <v>112.5</v>
      </c>
      <c r="H710" s="647"/>
      <c r="I710" s="647">
        <f>CEILING(95*$Z$1,0.1)</f>
        <v>118.80000000000001</v>
      </c>
      <c r="J710" s="647"/>
      <c r="K710" s="363">
        <f>CEILING(90*$Z$1,0.1)</f>
        <v>112.5</v>
      </c>
      <c r="L710" s="647"/>
      <c r="M710" s="1040"/>
      <c r="N710" s="260"/>
      <c r="O710" s="260"/>
      <c r="R710" s="993"/>
      <c r="S710" s="993"/>
      <c r="T710" s="993"/>
      <c r="U710" s="993"/>
      <c r="V710" s="993"/>
      <c r="W710" s="993"/>
      <c r="X710" s="993"/>
      <c r="Y710" s="993"/>
    </row>
    <row r="711" spans="1:25" ht="15.75" customHeight="1" thickBot="1">
      <c r="A711" s="238" t="s">
        <v>508</v>
      </c>
      <c r="B711" s="15" t="s">
        <v>654</v>
      </c>
      <c r="C711" s="650">
        <v>0.1</v>
      </c>
      <c r="D711" s="651"/>
      <c r="E711" s="650">
        <v>0.05</v>
      </c>
      <c r="F711" s="651"/>
      <c r="G711" s="650">
        <v>0.05</v>
      </c>
      <c r="H711" s="651"/>
      <c r="I711" s="407">
        <v>0.05</v>
      </c>
      <c r="J711" s="651"/>
      <c r="K711" s="407">
        <v>0.05</v>
      </c>
      <c r="L711" s="651"/>
      <c r="M711" s="1040"/>
      <c r="N711" s="260"/>
      <c r="O711" s="260"/>
      <c r="R711" s="993"/>
      <c r="S711" s="993"/>
      <c r="T711" s="993"/>
      <c r="U711" s="993"/>
      <c r="V711" s="993"/>
      <c r="W711" s="993"/>
      <c r="X711" s="993"/>
      <c r="Y711" s="993"/>
    </row>
    <row r="712" spans="1:25" ht="15.75" customHeight="1" thickTop="1">
      <c r="A712" s="170" t="s">
        <v>695</v>
      </c>
      <c r="B712" s="54"/>
      <c r="C712" s="675"/>
      <c r="D712" s="656"/>
      <c r="E712" s="675"/>
      <c r="F712" s="656"/>
      <c r="G712" s="675"/>
      <c r="H712" s="656"/>
      <c r="I712" s="675"/>
      <c r="J712" s="656"/>
      <c r="K712" s="675"/>
      <c r="L712" s="656"/>
      <c r="M712" s="1032"/>
      <c r="N712" s="260"/>
      <c r="O712" s="260"/>
      <c r="R712" s="993"/>
      <c r="S712" s="993"/>
      <c r="T712" s="993"/>
      <c r="U712" s="993"/>
      <c r="V712" s="993"/>
      <c r="W712" s="993"/>
      <c r="X712" s="993"/>
      <c r="Y712" s="993"/>
    </row>
    <row r="713" spans="1:25" ht="21.75" customHeight="1" thickBot="1">
      <c r="A713" s="981"/>
      <c r="B713" s="981"/>
      <c r="C713" s="981"/>
      <c r="D713" s="981"/>
      <c r="E713" s="981"/>
      <c r="F713" s="981"/>
      <c r="G713" s="981"/>
      <c r="H713" s="981"/>
      <c r="I713" s="3"/>
      <c r="J713" s="3"/>
      <c r="K713" s="282"/>
      <c r="L713" s="282"/>
      <c r="M713" s="1032"/>
      <c r="N713" s="260"/>
      <c r="O713" s="260"/>
      <c r="R713" s="993"/>
      <c r="S713" s="993"/>
      <c r="T713" s="993"/>
      <c r="U713" s="993"/>
      <c r="V713" s="993"/>
      <c r="W713" s="993"/>
      <c r="X713" s="993"/>
      <c r="Y713" s="993"/>
    </row>
    <row r="714" spans="1:14" ht="23.25" customHeight="1" thickTop="1">
      <c r="A714" s="476" t="s">
        <v>49</v>
      </c>
      <c r="B714" s="495" t="s">
        <v>115</v>
      </c>
      <c r="C714" s="815" t="s">
        <v>884</v>
      </c>
      <c r="D714" s="816"/>
      <c r="E714" s="726" t="s">
        <v>885</v>
      </c>
      <c r="F714" s="727"/>
      <c r="G714" s="730" t="s">
        <v>992</v>
      </c>
      <c r="H714" s="731"/>
      <c r="I714" s="955"/>
      <c r="J714" s="844"/>
      <c r="K714" s="292"/>
      <c r="L714" s="292"/>
      <c r="M714" s="18"/>
      <c r="N714" s="991"/>
    </row>
    <row r="715" spans="1:14" ht="15">
      <c r="A715" s="85" t="s">
        <v>123</v>
      </c>
      <c r="B715" s="138" t="s">
        <v>57</v>
      </c>
      <c r="C715" s="707">
        <f>CEILING(44*$Z$1,0.1)</f>
        <v>55</v>
      </c>
      <c r="D715" s="747"/>
      <c r="E715" s="703">
        <f>CEILING(56*$Z$1,0.1)</f>
        <v>70</v>
      </c>
      <c r="F715" s="704"/>
      <c r="G715" s="703">
        <f>CEILING(44*$Z$1,0.1)</f>
        <v>55</v>
      </c>
      <c r="H715" s="704"/>
      <c r="I715" s="853"/>
      <c r="J715" s="854"/>
      <c r="K715" s="265"/>
      <c r="L715" s="265"/>
      <c r="M715" s="18"/>
      <c r="N715" s="991"/>
    </row>
    <row r="716" spans="1:14" ht="15.75" customHeight="1">
      <c r="A716" s="67"/>
      <c r="B716" s="31" t="s">
        <v>58</v>
      </c>
      <c r="C716" s="707">
        <f>CEILING((C715+12*$Z$1),0.1)</f>
        <v>70</v>
      </c>
      <c r="D716" s="708"/>
      <c r="E716" s="707">
        <f>CEILING((E715+12*$Z$1),0.1)</f>
        <v>85</v>
      </c>
      <c r="F716" s="708"/>
      <c r="G716" s="707">
        <f>CEILING((G715+12*$Z$1),0.1)</f>
        <v>70</v>
      </c>
      <c r="H716" s="708"/>
      <c r="I716" s="714"/>
      <c r="J716" s="753"/>
      <c r="K716" s="265"/>
      <c r="L716" s="265"/>
      <c r="M716" s="18"/>
      <c r="N716" s="991"/>
    </row>
    <row r="717" spans="1:14" ht="16.5" customHeight="1">
      <c r="A717" s="30" t="s">
        <v>98</v>
      </c>
      <c r="B717" s="38" t="s">
        <v>53</v>
      </c>
      <c r="C717" s="707">
        <f>CEILING((C715*0.85),0.1)</f>
        <v>46.800000000000004</v>
      </c>
      <c r="D717" s="708"/>
      <c r="E717" s="707">
        <f>CEILING((E715*0.85),0.1)</f>
        <v>59.5</v>
      </c>
      <c r="F717" s="708"/>
      <c r="G717" s="707">
        <f>CEILING((G715*0.85),0.1)</f>
        <v>46.800000000000004</v>
      </c>
      <c r="H717" s="708"/>
      <c r="I717" s="714"/>
      <c r="J717" s="753"/>
      <c r="K717" s="265"/>
      <c r="L717" s="265"/>
      <c r="M717" s="27"/>
      <c r="N717" s="27"/>
    </row>
    <row r="718" spans="1:14" ht="17.25" customHeight="1" thickBot="1">
      <c r="A718" s="227" t="s">
        <v>529</v>
      </c>
      <c r="B718" s="40" t="s">
        <v>78</v>
      </c>
      <c r="C718" s="799">
        <v>0</v>
      </c>
      <c r="D718" s="800"/>
      <c r="E718" s="799">
        <v>0</v>
      </c>
      <c r="F718" s="919"/>
      <c r="G718" s="799">
        <v>0</v>
      </c>
      <c r="H718" s="810"/>
      <c r="I718" s="714"/>
      <c r="J718" s="753"/>
      <c r="K718" s="265"/>
      <c r="L718" s="265"/>
      <c r="M718" s="22"/>
      <c r="N718" s="22"/>
    </row>
    <row r="719" spans="1:25" ht="15.75" customHeight="1" thickTop="1">
      <c r="A719" s="82" t="s">
        <v>1069</v>
      </c>
      <c r="B719" s="54"/>
      <c r="C719" s="656"/>
      <c r="D719" s="656"/>
      <c r="E719" s="656"/>
      <c r="F719" s="656"/>
      <c r="G719" s="656"/>
      <c r="H719" s="656"/>
      <c r="I719" s="656"/>
      <c r="J719" s="656"/>
      <c r="K719" s="656"/>
      <c r="L719" s="656"/>
      <c r="M719" s="1032"/>
      <c r="X719" s="993"/>
      <c r="Y719" s="993"/>
    </row>
    <row r="720" spans="1:13" ht="15">
      <c r="A720" s="170" t="s">
        <v>1059</v>
      </c>
      <c r="B720" s="54"/>
      <c r="C720" s="3"/>
      <c r="D720" s="57"/>
      <c r="E720" s="57"/>
      <c r="F720" s="57"/>
      <c r="G720" s="57"/>
      <c r="H720" s="57"/>
      <c r="I720" s="109"/>
      <c r="J720" s="109"/>
      <c r="K720" s="282"/>
      <c r="L720" s="282"/>
      <c r="M720" s="992"/>
    </row>
    <row r="721" spans="1:13" ht="15">
      <c r="A721" s="170" t="s">
        <v>1057</v>
      </c>
      <c r="B721" s="54"/>
      <c r="C721" s="3"/>
      <c r="D721" s="57"/>
      <c r="E721" s="57"/>
      <c r="F721" s="57"/>
      <c r="G721" s="57"/>
      <c r="H721" s="57"/>
      <c r="I721" s="109"/>
      <c r="J721" s="109"/>
      <c r="K721" s="282"/>
      <c r="L721" s="282"/>
      <c r="M721" s="992"/>
    </row>
    <row r="722" spans="1:13" ht="15">
      <c r="A722" s="170" t="s">
        <v>1060</v>
      </c>
      <c r="B722" s="54"/>
      <c r="C722" s="3"/>
      <c r="D722" s="57"/>
      <c r="E722" s="57"/>
      <c r="F722" s="57"/>
      <c r="G722" s="57"/>
      <c r="H722" s="57"/>
      <c r="I722" s="109"/>
      <c r="J722" s="109"/>
      <c r="K722" s="282"/>
      <c r="L722" s="282"/>
      <c r="M722" s="992"/>
    </row>
    <row r="723" spans="1:14" ht="23.25" customHeight="1" thickBot="1">
      <c r="A723" s="117"/>
      <c r="B723" s="140"/>
      <c r="C723" s="3"/>
      <c r="D723" s="3"/>
      <c r="E723" s="3"/>
      <c r="F723" s="3"/>
      <c r="G723" s="3"/>
      <c r="H723" s="3"/>
      <c r="I723" s="3"/>
      <c r="J723" s="3"/>
      <c r="K723" s="294"/>
      <c r="L723" s="294"/>
      <c r="M723" s="22"/>
      <c r="N723" s="22"/>
    </row>
    <row r="724" spans="1:14" ht="15.75" customHeight="1" thickTop="1">
      <c r="A724" s="943" t="s">
        <v>49</v>
      </c>
      <c r="B724" s="941" t="s">
        <v>111</v>
      </c>
      <c r="C724" s="754" t="s">
        <v>884</v>
      </c>
      <c r="D724" s="755"/>
      <c r="E724" s="726" t="s">
        <v>991</v>
      </c>
      <c r="F724" s="727"/>
      <c r="G724" s="769" t="s">
        <v>992</v>
      </c>
      <c r="H724" s="770"/>
      <c r="I724" s="955"/>
      <c r="J724" s="844"/>
      <c r="K724" s="294"/>
      <c r="L724" s="294"/>
      <c r="M724" s="305"/>
      <c r="N724" s="22"/>
    </row>
    <row r="725" spans="1:13" ht="15">
      <c r="A725" s="783"/>
      <c r="B725" s="942"/>
      <c r="C725" s="1102" t="s">
        <v>111</v>
      </c>
      <c r="D725" s="1102" t="s">
        <v>113</v>
      </c>
      <c r="E725" s="1102" t="s">
        <v>111</v>
      </c>
      <c r="F725" s="1102" t="s">
        <v>113</v>
      </c>
      <c r="G725" s="1102" t="s">
        <v>111</v>
      </c>
      <c r="H725" s="1103" t="s">
        <v>113</v>
      </c>
      <c r="I725" s="312"/>
      <c r="J725" s="309"/>
      <c r="K725" s="295"/>
      <c r="L725" s="295"/>
      <c r="M725" s="1104"/>
    </row>
    <row r="726" spans="1:20" ht="18" customHeight="1">
      <c r="A726" s="85" t="s">
        <v>124</v>
      </c>
      <c r="B726" s="138" t="s">
        <v>57</v>
      </c>
      <c r="C726" s="649">
        <f>CEILING(40*$Z$1,0.1)</f>
        <v>50</v>
      </c>
      <c r="D726" s="649"/>
      <c r="E726" s="649">
        <f>CEILING(60*$Z$1,0.1)</f>
        <v>75</v>
      </c>
      <c r="F726" s="649"/>
      <c r="G726" s="649">
        <f>CEILING(40*$Z$1,0.1)</f>
        <v>50</v>
      </c>
      <c r="H726" s="649"/>
      <c r="I726" s="652"/>
      <c r="J726" s="653"/>
      <c r="K726" s="296"/>
      <c r="L726" s="296"/>
      <c r="M726" s="1104"/>
      <c r="Q726" s="844"/>
      <c r="R726" s="844"/>
      <c r="S726" s="844"/>
      <c r="T726" s="844"/>
    </row>
    <row r="727" spans="1:20" ht="17.25" customHeight="1">
      <c r="A727" s="67"/>
      <c r="B727" s="31" t="s">
        <v>58</v>
      </c>
      <c r="C727" s="647">
        <f>CEILING((C726+20*$Z$1),0.1)</f>
        <v>75</v>
      </c>
      <c r="D727" s="358"/>
      <c r="E727" s="647">
        <f>CEILING((E726+20*$Z$1),0.1)</f>
        <v>100</v>
      </c>
      <c r="F727" s="358"/>
      <c r="G727" s="647">
        <f>CEILING((G726+20*$Z$1),0.1)</f>
        <v>75</v>
      </c>
      <c r="H727" s="358"/>
      <c r="I727" s="652"/>
      <c r="J727" s="653"/>
      <c r="K727" s="296"/>
      <c r="L727" s="296"/>
      <c r="M727" s="1104"/>
      <c r="Q727" s="753"/>
      <c r="R727" s="753"/>
      <c r="S727" s="753"/>
      <c r="T727" s="753"/>
    </row>
    <row r="728" spans="1:20" ht="15" customHeight="1">
      <c r="A728" s="30" t="s">
        <v>98</v>
      </c>
      <c r="B728" s="138" t="s">
        <v>53</v>
      </c>
      <c r="C728" s="647">
        <f>CEILING((C726*0.85),0.1)</f>
        <v>42.5</v>
      </c>
      <c r="D728" s="358"/>
      <c r="E728" s="647">
        <f>CEILING((E726*0.85),0.1)</f>
        <v>63.800000000000004</v>
      </c>
      <c r="F728" s="358"/>
      <c r="G728" s="647">
        <f>CEILING((G726*0.85),0.1)</f>
        <v>42.5</v>
      </c>
      <c r="H728" s="358"/>
      <c r="I728" s="652"/>
      <c r="J728" s="653"/>
      <c r="K728" s="296"/>
      <c r="L728" s="296"/>
      <c r="M728" s="1105"/>
      <c r="N728" s="1032"/>
      <c r="Q728" s="753"/>
      <c r="R728" s="753"/>
      <c r="S728" s="753"/>
      <c r="T728" s="753"/>
    </row>
    <row r="729" spans="1:20" ht="15.75" thickBot="1">
      <c r="A729" s="227" t="s">
        <v>528</v>
      </c>
      <c r="B729" s="40" t="s">
        <v>78</v>
      </c>
      <c r="C729" s="651">
        <f>CEILING((C726*0.5),0.1)</f>
        <v>25</v>
      </c>
      <c r="D729" s="651"/>
      <c r="E729" s="651">
        <f>CEILING((E726*0.5),0.1)</f>
        <v>37.5</v>
      </c>
      <c r="F729" s="651"/>
      <c r="G729" s="651">
        <f>CEILING((G726*0.5),0.1)</f>
        <v>25</v>
      </c>
      <c r="H729" s="651"/>
      <c r="I729" s="652"/>
      <c r="J729" s="653"/>
      <c r="K729" s="296"/>
      <c r="L729" s="296"/>
      <c r="M729" s="1105"/>
      <c r="N729" s="1032"/>
      <c r="Q729" s="753"/>
      <c r="R729" s="753"/>
      <c r="S729" s="753"/>
      <c r="T729" s="753"/>
    </row>
    <row r="730" spans="1:20" ht="15.75" thickTop="1">
      <c r="A730" s="82" t="s">
        <v>1069</v>
      </c>
      <c r="B730" s="54"/>
      <c r="C730" s="656"/>
      <c r="D730" s="656"/>
      <c r="E730" s="656"/>
      <c r="F730" s="656"/>
      <c r="G730" s="656"/>
      <c r="H730" s="656"/>
      <c r="I730" s="653"/>
      <c r="J730" s="653"/>
      <c r="K730" s="296"/>
      <c r="L730" s="296"/>
      <c r="M730" s="1105"/>
      <c r="N730" s="1032"/>
      <c r="Q730" s="653"/>
      <c r="R730" s="653"/>
      <c r="S730" s="653"/>
      <c r="T730" s="653"/>
    </row>
    <row r="731" spans="1:20" ht="15">
      <c r="A731" s="170" t="s">
        <v>1059</v>
      </c>
      <c r="B731" s="54"/>
      <c r="C731" s="3"/>
      <c r="D731" s="656"/>
      <c r="E731" s="656"/>
      <c r="F731" s="656"/>
      <c r="G731" s="656"/>
      <c r="H731" s="656"/>
      <c r="I731" s="653"/>
      <c r="J731" s="653"/>
      <c r="K731" s="296"/>
      <c r="L731" s="296"/>
      <c r="M731" s="1105"/>
      <c r="N731" s="1032"/>
      <c r="Q731" s="653"/>
      <c r="R731" s="653"/>
      <c r="S731" s="653"/>
      <c r="T731" s="653"/>
    </row>
    <row r="732" spans="1:20" ht="15">
      <c r="A732" s="170" t="s">
        <v>1057</v>
      </c>
      <c r="B732" s="54"/>
      <c r="C732" s="3"/>
      <c r="D732" s="656"/>
      <c r="E732" s="656"/>
      <c r="F732" s="656"/>
      <c r="G732" s="656"/>
      <c r="H732" s="656"/>
      <c r="I732" s="653"/>
      <c r="J732" s="653"/>
      <c r="K732" s="296"/>
      <c r="L732" s="296"/>
      <c r="M732" s="1105"/>
      <c r="N732" s="1032"/>
      <c r="Q732" s="653"/>
      <c r="R732" s="653"/>
      <c r="S732" s="653"/>
      <c r="T732" s="653"/>
    </row>
    <row r="733" spans="1:20" ht="15">
      <c r="A733" s="170" t="s">
        <v>1060</v>
      </c>
      <c r="B733" s="54"/>
      <c r="C733" s="3"/>
      <c r="D733" s="656"/>
      <c r="E733" s="656"/>
      <c r="F733" s="656"/>
      <c r="G733" s="656"/>
      <c r="H733" s="656"/>
      <c r="I733" s="653"/>
      <c r="J733" s="653"/>
      <c r="K733" s="296"/>
      <c r="L733" s="296"/>
      <c r="M733" s="1105"/>
      <c r="N733" s="1032"/>
      <c r="Q733" s="653"/>
      <c r="R733" s="653"/>
      <c r="S733" s="653"/>
      <c r="T733" s="653"/>
    </row>
    <row r="734" spans="1:20" ht="15">
      <c r="A734" s="117"/>
      <c r="B734" s="140"/>
      <c r="C734" s="3"/>
      <c r="D734" s="24"/>
      <c r="E734" s="24"/>
      <c r="F734" s="24"/>
      <c r="G734" s="24"/>
      <c r="H734" s="24"/>
      <c r="I734" s="3"/>
      <c r="J734" s="3"/>
      <c r="K734" s="104"/>
      <c r="L734" s="104"/>
      <c r="M734" s="1105"/>
      <c r="N734" s="1032"/>
      <c r="Q734" s="653"/>
      <c r="R734" s="653"/>
      <c r="S734" s="653"/>
      <c r="T734" s="653"/>
    </row>
    <row r="735" spans="1:20" ht="15">
      <c r="A735" s="1097" t="s">
        <v>552</v>
      </c>
      <c r="B735" s="1097"/>
      <c r="C735" s="1097"/>
      <c r="D735" s="1097"/>
      <c r="E735" s="1097"/>
      <c r="F735" s="1097"/>
      <c r="G735" s="1097"/>
      <c r="H735" s="1097"/>
      <c r="I735" s="342"/>
      <c r="J735" s="3"/>
      <c r="K735" s="104"/>
      <c r="L735" s="104"/>
      <c r="M735" s="1105"/>
      <c r="N735" s="1032"/>
      <c r="Q735" s="753"/>
      <c r="R735" s="753"/>
      <c r="S735" s="753"/>
      <c r="T735" s="753"/>
    </row>
    <row r="736" spans="1:20" ht="17.25" customHeight="1">
      <c r="A736" s="1097" t="s">
        <v>551</v>
      </c>
      <c r="B736" s="1097"/>
      <c r="C736" s="1097"/>
      <c r="D736" s="1097"/>
      <c r="E736" s="1097"/>
      <c r="F736" s="1097"/>
      <c r="G736" s="1097"/>
      <c r="H736" s="1097"/>
      <c r="I736" s="342"/>
      <c r="J736" s="3"/>
      <c r="K736" s="282"/>
      <c r="L736" s="104"/>
      <c r="M736" s="1105"/>
      <c r="N736" s="1032"/>
      <c r="Q736" s="753"/>
      <c r="R736" s="753"/>
      <c r="S736" s="753"/>
      <c r="T736" s="753"/>
    </row>
    <row r="737" spans="1:20" ht="16.5" customHeight="1">
      <c r="A737" s="1097" t="s">
        <v>815</v>
      </c>
      <c r="B737" s="1097"/>
      <c r="C737" s="1097"/>
      <c r="D737" s="1097"/>
      <c r="E737" s="1097"/>
      <c r="F737" s="1097"/>
      <c r="G737" s="1097"/>
      <c r="H737" s="1097"/>
      <c r="I737" s="1053"/>
      <c r="J737" s="3"/>
      <c r="K737" s="282"/>
      <c r="L737" s="104"/>
      <c r="M737" s="1105"/>
      <c r="N737" s="1032"/>
      <c r="Q737" s="753"/>
      <c r="R737" s="753"/>
      <c r="S737" s="753"/>
      <c r="T737" s="753"/>
    </row>
    <row r="738" spans="1:20" ht="11.25" customHeight="1">
      <c r="A738" s="1097"/>
      <c r="B738" s="1097"/>
      <c r="C738" s="1097"/>
      <c r="D738" s="1097"/>
      <c r="E738" s="1097"/>
      <c r="F738" s="1097"/>
      <c r="G738" s="1097"/>
      <c r="H738" s="1097"/>
      <c r="I738" s="342"/>
      <c r="J738" s="3"/>
      <c r="K738" s="104"/>
      <c r="L738" s="104"/>
      <c r="M738" s="1105"/>
      <c r="N738" s="1032"/>
      <c r="Q738" s="753"/>
      <c r="R738" s="753"/>
      <c r="S738" s="753"/>
      <c r="T738" s="753"/>
    </row>
    <row r="739" spans="1:14" ht="15">
      <c r="A739" s="103"/>
      <c r="B739" s="32"/>
      <c r="C739" s="32"/>
      <c r="D739" s="32"/>
      <c r="E739" s="32"/>
      <c r="F739" s="32"/>
      <c r="G739" s="32"/>
      <c r="H739" s="32"/>
      <c r="I739" s="32"/>
      <c r="J739" s="32"/>
      <c r="K739" s="104"/>
      <c r="L739" s="104"/>
      <c r="M739" s="1105"/>
      <c r="N739" s="1032"/>
    </row>
    <row r="740" spans="1:14" ht="20.25">
      <c r="A740" s="986" t="s">
        <v>125</v>
      </c>
      <c r="B740" s="986"/>
      <c r="C740" s="986"/>
      <c r="D740" s="986"/>
      <c r="E740" s="986"/>
      <c r="F740" s="986"/>
      <c r="G740" s="986"/>
      <c r="H740" s="986"/>
      <c r="I740" s="986"/>
      <c r="J740" s="986"/>
      <c r="K740" s="986"/>
      <c r="L740" s="986"/>
      <c r="M740" s="986"/>
      <c r="N740" s="986"/>
    </row>
    <row r="741" spans="1:19" ht="23.25" customHeight="1">
      <c r="A741" s="902" t="s">
        <v>126</v>
      </c>
      <c r="B741" s="902"/>
      <c r="C741" s="902"/>
      <c r="D741" s="902"/>
      <c r="E741" s="902"/>
      <c r="F741" s="902"/>
      <c r="G741" s="902"/>
      <c r="H741" s="902"/>
      <c r="I741" s="104"/>
      <c r="J741" s="104"/>
      <c r="K741" s="104"/>
      <c r="L741" s="104"/>
      <c r="M741" s="844"/>
      <c r="N741" s="844"/>
      <c r="P741" s="844"/>
      <c r="Q741" s="844"/>
      <c r="R741" s="844"/>
      <c r="S741" s="844"/>
    </row>
    <row r="742" spans="1:19" ht="15" customHeight="1" thickBot="1">
      <c r="A742" s="278"/>
      <c r="B742" s="278"/>
      <c r="C742" s="278"/>
      <c r="D742" s="278"/>
      <c r="E742" s="278"/>
      <c r="F742" s="278"/>
      <c r="G742" s="278"/>
      <c r="H742" s="278"/>
      <c r="I742" s="279"/>
      <c r="J742" s="279"/>
      <c r="K742" s="281"/>
      <c r="L742" s="281"/>
      <c r="M742" s="844"/>
      <c r="N742" s="844"/>
      <c r="P742" s="753"/>
      <c r="Q742" s="753"/>
      <c r="R742" s="753"/>
      <c r="S742" s="753"/>
    </row>
    <row r="743" spans="1:19" ht="22.5" customHeight="1" thickTop="1">
      <c r="A743" s="700" t="s">
        <v>49</v>
      </c>
      <c r="B743" s="700"/>
      <c r="C743" s="436" t="s">
        <v>824</v>
      </c>
      <c r="D743" s="437"/>
      <c r="E743" s="438" t="s">
        <v>1021</v>
      </c>
      <c r="F743" s="439"/>
      <c r="G743" s="438" t="s">
        <v>1014</v>
      </c>
      <c r="H743" s="439"/>
      <c r="I743" s="438" t="s">
        <v>827</v>
      </c>
      <c r="J743" s="439"/>
      <c r="K743" s="438" t="s">
        <v>828</v>
      </c>
      <c r="L743" s="440"/>
      <c r="M743" s="397"/>
      <c r="N743" s="398"/>
      <c r="O743" s="1032"/>
      <c r="P743" s="753"/>
      <c r="Q743" s="753"/>
      <c r="R743" s="753"/>
      <c r="S743" s="753"/>
    </row>
    <row r="744" spans="1:19" ht="15">
      <c r="A744" s="208" t="s">
        <v>127</v>
      </c>
      <c r="B744" s="42" t="s">
        <v>57</v>
      </c>
      <c r="C744" s="707">
        <f>CEILING(80*$Z$1,0.1)</f>
        <v>100</v>
      </c>
      <c r="D744" s="747"/>
      <c r="E744" s="703">
        <f>CEILING(100*$Z$1,0.1)</f>
        <v>125</v>
      </c>
      <c r="F744" s="704"/>
      <c r="G744" s="703">
        <f>CEILING(95*$Z$1,0.1)</f>
        <v>118.80000000000001</v>
      </c>
      <c r="H744" s="704"/>
      <c r="I744" s="703">
        <f>CEILING(95*$Z$1,0.1)</f>
        <v>118.80000000000001</v>
      </c>
      <c r="J744" s="704"/>
      <c r="K744" s="703">
        <f>CEILING(85*$Z$1,0.1)</f>
        <v>106.30000000000001</v>
      </c>
      <c r="L744" s="704"/>
      <c r="M744" s="707"/>
      <c r="N744" s="747"/>
      <c r="O744" s="1032"/>
      <c r="P744" s="753"/>
      <c r="Q744" s="753"/>
      <c r="R744" s="753"/>
      <c r="S744" s="753"/>
    </row>
    <row r="745" spans="1:19" ht="15">
      <c r="A745" s="177" t="s">
        <v>65</v>
      </c>
      <c r="B745" s="14" t="s">
        <v>58</v>
      </c>
      <c r="C745" s="707">
        <f>CEILING((C744+45*$Z$1),0.1)</f>
        <v>156.3</v>
      </c>
      <c r="D745" s="708"/>
      <c r="E745" s="707">
        <f>CEILING((E744+45*$Z$1),0.1)</f>
        <v>181.3</v>
      </c>
      <c r="F745" s="708"/>
      <c r="G745" s="707">
        <f>CEILING((G744+45*$Z$1),0.1)</f>
        <v>175.10000000000002</v>
      </c>
      <c r="H745" s="708"/>
      <c r="I745" s="707">
        <f>CEILING((I744+45*$Z$1),0.1)</f>
        <v>175.10000000000002</v>
      </c>
      <c r="J745" s="708"/>
      <c r="K745" s="707">
        <f>CEILING((K744+45*$Z$1),0.1)</f>
        <v>162.60000000000002</v>
      </c>
      <c r="L745" s="708"/>
      <c r="M745" s="707"/>
      <c r="N745" s="747"/>
      <c r="O745" s="1032"/>
      <c r="P745" s="753"/>
      <c r="Q745" s="753"/>
      <c r="R745" s="753"/>
      <c r="S745" s="753"/>
    </row>
    <row r="746" spans="1:19" ht="15">
      <c r="A746" s="177"/>
      <c r="B746" s="14" t="s">
        <v>53</v>
      </c>
      <c r="C746" s="707">
        <f>CEILING((C744*0.85),0.1)</f>
        <v>85</v>
      </c>
      <c r="D746" s="708"/>
      <c r="E746" s="707">
        <f>CEILING((E744*0.85),0.1)</f>
        <v>106.30000000000001</v>
      </c>
      <c r="F746" s="708"/>
      <c r="G746" s="707">
        <f>CEILING((G744*0.85),0.1)</f>
        <v>101</v>
      </c>
      <c r="H746" s="708"/>
      <c r="I746" s="707">
        <f>CEILING((I744*0.85),0.1)</f>
        <v>101</v>
      </c>
      <c r="J746" s="708"/>
      <c r="K746" s="707">
        <f>CEILING((K744*0.85),0.1)</f>
        <v>90.4</v>
      </c>
      <c r="L746" s="708"/>
      <c r="M746" s="707"/>
      <c r="N746" s="747"/>
      <c r="O746" s="1032"/>
      <c r="P746" s="753"/>
      <c r="Q746" s="753"/>
      <c r="R746" s="753"/>
      <c r="S746" s="753"/>
    </row>
    <row r="747" spans="1:19" ht="15">
      <c r="A747" s="177"/>
      <c r="B747" s="39" t="s">
        <v>78</v>
      </c>
      <c r="C747" s="707">
        <f>CEILING((C744*0.5),0.1)</f>
        <v>50</v>
      </c>
      <c r="D747" s="708"/>
      <c r="E747" s="707">
        <f>CEILING((E744*0.5),0.1)</f>
        <v>62.5</v>
      </c>
      <c r="F747" s="708"/>
      <c r="G747" s="707">
        <f>CEILING((G744*0.5),0.1)</f>
        <v>59.400000000000006</v>
      </c>
      <c r="H747" s="708"/>
      <c r="I747" s="707">
        <f>CEILING((I744*0.5),0.1)</f>
        <v>59.400000000000006</v>
      </c>
      <c r="J747" s="708"/>
      <c r="K747" s="707">
        <f>CEILING((K744*0.5),0.1)</f>
        <v>53.2</v>
      </c>
      <c r="L747" s="708"/>
      <c r="M747" s="707"/>
      <c r="N747" s="747"/>
      <c r="O747" s="1032"/>
      <c r="P747" s="753"/>
      <c r="Q747" s="753"/>
      <c r="R747" s="753"/>
      <c r="S747" s="753"/>
    </row>
    <row r="748" spans="1:19" ht="15.75" customHeight="1">
      <c r="A748" s="177"/>
      <c r="B748" s="12" t="s">
        <v>291</v>
      </c>
      <c r="C748" s="707">
        <f>CEILING(120*$Z$1,0.1)</f>
        <v>150</v>
      </c>
      <c r="D748" s="708"/>
      <c r="E748" s="707">
        <f>CEILING(140*$Z$1,0.1)</f>
        <v>175</v>
      </c>
      <c r="F748" s="708"/>
      <c r="G748" s="707">
        <f>CEILING(135*$Z$1,0.1)</f>
        <v>168.8</v>
      </c>
      <c r="H748" s="708"/>
      <c r="I748" s="707">
        <f>CEILING(135*$Z$1,0.1)</f>
        <v>168.8</v>
      </c>
      <c r="J748" s="708"/>
      <c r="K748" s="707">
        <f>CEILING(125*$Z$1,0.1)</f>
        <v>156.3</v>
      </c>
      <c r="L748" s="708"/>
      <c r="M748" s="707"/>
      <c r="N748" s="747"/>
      <c r="P748" s="753"/>
      <c r="Q748" s="753"/>
      <c r="R748" s="753"/>
      <c r="S748" s="753"/>
    </row>
    <row r="749" spans="1:19" ht="17.25" customHeight="1">
      <c r="A749" s="177"/>
      <c r="B749" s="12" t="s">
        <v>292</v>
      </c>
      <c r="C749" s="707">
        <f>CEILING((C748+45*$Z$1),0.1)</f>
        <v>206.3</v>
      </c>
      <c r="D749" s="708"/>
      <c r="E749" s="707">
        <f>CEILING((E748+45*$Z$1),0.1)</f>
        <v>231.3</v>
      </c>
      <c r="F749" s="708"/>
      <c r="G749" s="707">
        <f>CEILING((G748+45*$Z$1),0.1)</f>
        <v>225.10000000000002</v>
      </c>
      <c r="H749" s="708"/>
      <c r="I749" s="707">
        <f>CEILING((I748+45*$Z$1),0.1)</f>
        <v>225.10000000000002</v>
      </c>
      <c r="J749" s="708"/>
      <c r="K749" s="707">
        <f>CEILING((K748+45*$Z$1),0.1)</f>
        <v>212.60000000000002</v>
      </c>
      <c r="L749" s="708"/>
      <c r="M749" s="707"/>
      <c r="N749" s="747"/>
      <c r="P749" s="753"/>
      <c r="Q749" s="753"/>
      <c r="R749" s="753"/>
      <c r="S749" s="753"/>
    </row>
    <row r="750" spans="1:19" ht="15">
      <c r="A750" s="23"/>
      <c r="B750" s="31" t="s">
        <v>76</v>
      </c>
      <c r="C750" s="707">
        <f>CEILING(130*$Z$1,0.1)</f>
        <v>162.5</v>
      </c>
      <c r="D750" s="708"/>
      <c r="E750" s="707">
        <f>CEILING(150*$Z$1,0.1)</f>
        <v>187.5</v>
      </c>
      <c r="F750" s="708"/>
      <c r="G750" s="707">
        <f>CEILING(145*$Z$1,0.1)</f>
        <v>181.3</v>
      </c>
      <c r="H750" s="708"/>
      <c r="I750" s="707">
        <f>CEILING(145*$Z$1,0.1)</f>
        <v>181.3</v>
      </c>
      <c r="J750" s="708"/>
      <c r="K750" s="707">
        <f>CEILING(135*$Z$1,0.1)</f>
        <v>168.8</v>
      </c>
      <c r="L750" s="708"/>
      <c r="M750" s="707"/>
      <c r="N750" s="747"/>
      <c r="P750" s="753"/>
      <c r="Q750" s="753"/>
      <c r="R750" s="753"/>
      <c r="S750" s="753"/>
    </row>
    <row r="751" spans="1:19" ht="16.5" thickBot="1">
      <c r="A751" s="238" t="s">
        <v>508</v>
      </c>
      <c r="B751" s="40" t="s">
        <v>654</v>
      </c>
      <c r="C751" s="711">
        <v>0.15</v>
      </c>
      <c r="D751" s="712"/>
      <c r="E751" s="711">
        <v>0.1</v>
      </c>
      <c r="F751" s="712"/>
      <c r="G751" s="711">
        <v>0.12</v>
      </c>
      <c r="H751" s="712"/>
      <c r="I751" s="711">
        <v>0.12</v>
      </c>
      <c r="J751" s="712"/>
      <c r="K751" s="711">
        <v>0.12</v>
      </c>
      <c r="L751" s="712"/>
      <c r="M751" s="707"/>
      <c r="N751" s="747"/>
      <c r="P751" s="753"/>
      <c r="Q751" s="753"/>
      <c r="R751" s="753"/>
      <c r="S751" s="753"/>
    </row>
    <row r="752" spans="1:14" ht="15.75" thickTop="1">
      <c r="A752" s="752" t="s">
        <v>666</v>
      </c>
      <c r="B752" s="752"/>
      <c r="C752" s="752"/>
      <c r="D752" s="752"/>
      <c r="E752" s="752"/>
      <c r="F752" s="752"/>
      <c r="G752" s="752"/>
      <c r="H752" s="752"/>
      <c r="I752" s="752"/>
      <c r="J752" s="752"/>
      <c r="K752" s="282"/>
      <c r="L752" s="282"/>
      <c r="M752" s="18"/>
      <c r="N752" s="991"/>
    </row>
    <row r="753" spans="1:14" ht="15">
      <c r="A753" s="170" t="s">
        <v>667</v>
      </c>
      <c r="B753" s="676"/>
      <c r="C753" s="676"/>
      <c r="D753" s="676"/>
      <c r="E753" s="676"/>
      <c r="F753" s="676"/>
      <c r="G753" s="676"/>
      <c r="H753" s="676"/>
      <c r="I753" s="676"/>
      <c r="J753" s="676"/>
      <c r="K753" s="282"/>
      <c r="L753" s="282"/>
      <c r="M753" s="18"/>
      <c r="N753" s="991"/>
    </row>
    <row r="754" spans="1:25" ht="13.5" customHeight="1" thickBot="1">
      <c r="A754" s="105"/>
      <c r="B754" s="106"/>
      <c r="C754" s="106"/>
      <c r="D754" s="107"/>
      <c r="E754" s="107"/>
      <c r="F754" s="107"/>
      <c r="G754" s="107"/>
      <c r="H754" s="107"/>
      <c r="I754" s="107"/>
      <c r="J754" s="107"/>
      <c r="K754" s="281"/>
      <c r="L754" s="281"/>
      <c r="M754" s="992"/>
      <c r="X754" s="993"/>
      <c r="Y754" s="993"/>
    </row>
    <row r="755" spans="1:25" ht="26.25" customHeight="1" thickTop="1">
      <c r="A755" s="427" t="s">
        <v>49</v>
      </c>
      <c r="B755" s="496"/>
      <c r="C755" s="815" t="s">
        <v>884</v>
      </c>
      <c r="D755" s="816"/>
      <c r="E755" s="726" t="s">
        <v>885</v>
      </c>
      <c r="F755" s="727"/>
      <c r="G755" s="730" t="s">
        <v>901</v>
      </c>
      <c r="H755" s="731"/>
      <c r="I755" s="730" t="s">
        <v>888</v>
      </c>
      <c r="J755" s="731"/>
      <c r="K755" s="284"/>
      <c r="L755" s="131"/>
      <c r="M755" s="18"/>
      <c r="N755" s="18"/>
      <c r="X755" s="993"/>
      <c r="Y755" s="993"/>
    </row>
    <row r="756" spans="1:14" ht="15" customHeight="1">
      <c r="A756" s="108" t="s">
        <v>670</v>
      </c>
      <c r="B756" s="1106" t="s">
        <v>72</v>
      </c>
      <c r="C756" s="707">
        <f>CEILING(50*$Z$1,0.1)</f>
        <v>62.5</v>
      </c>
      <c r="D756" s="747"/>
      <c r="E756" s="703">
        <f>CEILING(80*$Z$1,0.1)</f>
        <v>100</v>
      </c>
      <c r="F756" s="704"/>
      <c r="G756" s="703">
        <f>CEILING(65*$Z$1,0.1)</f>
        <v>81.30000000000001</v>
      </c>
      <c r="H756" s="704"/>
      <c r="I756" s="703">
        <f>CEILING(50*$Z$1,0.1)</f>
        <v>62.5</v>
      </c>
      <c r="J756" s="704"/>
      <c r="K756" s="284"/>
      <c r="L756" s="1107"/>
      <c r="M756" s="18"/>
      <c r="N756" s="991"/>
    </row>
    <row r="757" spans="1:14" ht="17.25" customHeight="1">
      <c r="A757" s="30" t="s">
        <v>65</v>
      </c>
      <c r="B757" s="1108" t="s">
        <v>58</v>
      </c>
      <c r="C757" s="707">
        <f>CEILING((C756+18*$Z$1),0.1)</f>
        <v>85</v>
      </c>
      <c r="D757" s="708"/>
      <c r="E757" s="707">
        <f>CEILING((E756+18*$Z$1),0.1)</f>
        <v>122.5</v>
      </c>
      <c r="F757" s="708"/>
      <c r="G757" s="707">
        <f>CEILING((G756+18*$Z$1),0.1)</f>
        <v>103.80000000000001</v>
      </c>
      <c r="H757" s="708"/>
      <c r="I757" s="707">
        <f>CEILING((I756+18*$Z$1),0.1)</f>
        <v>85</v>
      </c>
      <c r="J757" s="708"/>
      <c r="K757" s="284"/>
      <c r="L757" s="1107"/>
      <c r="M757" s="18"/>
      <c r="N757" s="991"/>
    </row>
    <row r="758" spans="1:14" ht="17.25" customHeight="1">
      <c r="A758" s="72"/>
      <c r="B758" s="1108" t="s">
        <v>271</v>
      </c>
      <c r="C758" s="707">
        <f>CEILING((C756*0.85),0.1)</f>
        <v>53.2</v>
      </c>
      <c r="D758" s="708"/>
      <c r="E758" s="707">
        <f>CEILING((E756*0.85),0.1)</f>
        <v>85</v>
      </c>
      <c r="F758" s="708"/>
      <c r="G758" s="707">
        <f>CEILING((G756*0.85),0.1)</f>
        <v>69.2</v>
      </c>
      <c r="H758" s="708"/>
      <c r="I758" s="707">
        <f>CEILING((I756*0.85),0.1)</f>
        <v>53.2</v>
      </c>
      <c r="J758" s="708"/>
      <c r="K758" s="284"/>
      <c r="L758" s="282"/>
      <c r="M758" s="18"/>
      <c r="N758" s="991"/>
    </row>
    <row r="759" spans="1:14" ht="15" customHeight="1">
      <c r="A759" s="72" t="s">
        <v>669</v>
      </c>
      <c r="B759" s="39" t="s">
        <v>78</v>
      </c>
      <c r="C759" s="714">
        <v>0</v>
      </c>
      <c r="D759" s="715"/>
      <c r="E759" s="714">
        <v>0</v>
      </c>
      <c r="F759" s="715"/>
      <c r="G759" s="714">
        <v>0</v>
      </c>
      <c r="H759" s="715"/>
      <c r="I759" s="714">
        <v>0</v>
      </c>
      <c r="J759" s="715"/>
      <c r="K759" s="282"/>
      <c r="L759" s="282"/>
      <c r="M759" s="18"/>
      <c r="N759" s="991"/>
    </row>
    <row r="760" spans="1:13" ht="15.75" customHeight="1">
      <c r="A760" s="72"/>
      <c r="B760" s="1109" t="s">
        <v>59</v>
      </c>
      <c r="C760" s="707">
        <f>CEILING(60*$Z$1,0.1)</f>
        <v>75</v>
      </c>
      <c r="D760" s="747"/>
      <c r="E760" s="707">
        <f>CEILING(90*$Z$1,0.1)</f>
        <v>112.5</v>
      </c>
      <c r="F760" s="708"/>
      <c r="G760" s="707">
        <f>CEILING(75*$Z$1,0.1)</f>
        <v>93.80000000000001</v>
      </c>
      <c r="H760" s="708"/>
      <c r="I760" s="707">
        <f>CEILING(55*$Z$1,0.1)</f>
        <v>68.8</v>
      </c>
      <c r="J760" s="708"/>
      <c r="K760" s="284"/>
      <c r="L760" s="282"/>
      <c r="M760" s="992"/>
    </row>
    <row r="761" spans="1:13" ht="15">
      <c r="A761" s="72"/>
      <c r="B761" s="1109" t="s">
        <v>60</v>
      </c>
      <c r="C761" s="707">
        <f>CEILING((C760+18*$Z$1),0.1)</f>
        <v>97.5</v>
      </c>
      <c r="D761" s="747"/>
      <c r="E761" s="707">
        <f>CEILING((E760+18*$Z$1),0.1)</f>
        <v>135</v>
      </c>
      <c r="F761" s="708"/>
      <c r="G761" s="707">
        <f>CEILING((G760+18*$Z$1),0.1)</f>
        <v>116.30000000000001</v>
      </c>
      <c r="H761" s="708"/>
      <c r="I761" s="707">
        <f>CEILING((I760+18*$Z$1),0.1)</f>
        <v>91.30000000000001</v>
      </c>
      <c r="J761" s="708"/>
      <c r="K761" s="284"/>
      <c r="L761" s="282"/>
      <c r="M761" s="992"/>
    </row>
    <row r="762" spans="1:13" ht="15">
      <c r="A762" s="72"/>
      <c r="B762" s="1108" t="s">
        <v>68</v>
      </c>
      <c r="C762" s="707">
        <f>CEILING(65*$Z$1,0.1)</f>
        <v>81.30000000000001</v>
      </c>
      <c r="D762" s="747"/>
      <c r="E762" s="707">
        <f>CEILING(95*$Z$1,0.1)</f>
        <v>118.80000000000001</v>
      </c>
      <c r="F762" s="708"/>
      <c r="G762" s="707">
        <f>CEILING(80*$Z$1,0.1)</f>
        <v>100</v>
      </c>
      <c r="H762" s="708"/>
      <c r="I762" s="707">
        <f>CEILING(60*$Z$1,0.1)</f>
        <v>75</v>
      </c>
      <c r="J762" s="708"/>
      <c r="K762" s="284"/>
      <c r="L762" s="282"/>
      <c r="M762" s="992"/>
    </row>
    <row r="763" spans="1:13" ht="15.75" thickBot="1">
      <c r="A763" s="72"/>
      <c r="B763" s="1110" t="s">
        <v>69</v>
      </c>
      <c r="C763" s="720">
        <f>CEILING((C762+18*$Z$1),0.1)</f>
        <v>103.80000000000001</v>
      </c>
      <c r="D763" s="721"/>
      <c r="E763" s="720">
        <f>CEILING((E762+18*$Z$1),0.1)</f>
        <v>141.3</v>
      </c>
      <c r="F763" s="721"/>
      <c r="G763" s="720">
        <f>CEILING((G762+18*$Z$1),0.1)</f>
        <v>122.5</v>
      </c>
      <c r="H763" s="721"/>
      <c r="I763" s="720">
        <f>CEILING((I762+18*$Z$1),0.1)</f>
        <v>97.5</v>
      </c>
      <c r="J763" s="721"/>
      <c r="K763" s="284"/>
      <c r="L763" s="282"/>
      <c r="M763" s="992"/>
    </row>
    <row r="764" spans="1:13" ht="15.75" thickTop="1">
      <c r="A764" s="72"/>
      <c r="B764" s="1111" t="s">
        <v>214</v>
      </c>
      <c r="C764" s="707">
        <f>CEILING(50*$Z$1,0.1)</f>
        <v>62.5</v>
      </c>
      <c r="D764" s="708"/>
      <c r="E764" s="734">
        <f>CEILING(80*$Z$1,0.1)</f>
        <v>100</v>
      </c>
      <c r="F764" s="735"/>
      <c r="G764" s="734">
        <f>CEILING(65*$Z$1,0.1)</f>
        <v>81.30000000000001</v>
      </c>
      <c r="H764" s="735"/>
      <c r="I764" s="734">
        <f>CEILING(45*$Z$1,0.1)</f>
        <v>56.300000000000004</v>
      </c>
      <c r="J764" s="735"/>
      <c r="K764" s="282"/>
      <c r="L764" s="282"/>
      <c r="M764" s="992"/>
    </row>
    <row r="765" spans="1:13" ht="15">
      <c r="A765" s="72"/>
      <c r="B765" s="1111" t="s">
        <v>215</v>
      </c>
      <c r="C765" s="707">
        <f>CEILING((C764+18*$Z$1),0.1)</f>
        <v>85</v>
      </c>
      <c r="D765" s="708"/>
      <c r="E765" s="707">
        <f>CEILING((E764+18*$Z$1),0.1)</f>
        <v>122.5</v>
      </c>
      <c r="F765" s="708"/>
      <c r="G765" s="707">
        <f>CEILING((G764+18*$Z$1),0.1)</f>
        <v>103.80000000000001</v>
      </c>
      <c r="H765" s="708"/>
      <c r="I765" s="707">
        <f>CEILING((I764+18*$Z$1),0.1)</f>
        <v>78.80000000000001</v>
      </c>
      <c r="J765" s="708"/>
      <c r="K765" s="282"/>
      <c r="L765" s="282"/>
      <c r="M765" s="992"/>
    </row>
    <row r="766" spans="1:13" ht="15">
      <c r="A766" s="72"/>
      <c r="B766" s="1111" t="s">
        <v>352</v>
      </c>
      <c r="C766" s="707">
        <f>CEILING(60*$Z$1,0.1)</f>
        <v>75</v>
      </c>
      <c r="D766" s="708"/>
      <c r="E766" s="707">
        <f>CEILING(90*$Z$1,0.1)</f>
        <v>112.5</v>
      </c>
      <c r="F766" s="708"/>
      <c r="G766" s="707">
        <f>CEILING(75*$Z$1,0.1)</f>
        <v>93.80000000000001</v>
      </c>
      <c r="H766" s="708"/>
      <c r="I766" s="707">
        <f>CEILING(55*$Z$1,0.1)</f>
        <v>68.8</v>
      </c>
      <c r="J766" s="708"/>
      <c r="K766" s="282"/>
      <c r="L766" s="282"/>
      <c r="M766" s="992"/>
    </row>
    <row r="767" spans="1:13" ht="15.75" thickBot="1">
      <c r="A767" s="227" t="s">
        <v>671</v>
      </c>
      <c r="B767" s="1112" t="s">
        <v>353</v>
      </c>
      <c r="C767" s="720">
        <f>CEILING((C766+18*$Z$1),0.1)</f>
        <v>97.5</v>
      </c>
      <c r="D767" s="721"/>
      <c r="E767" s="720">
        <f>CEILING((E766+18*$Z$1),0.1)</f>
        <v>135</v>
      </c>
      <c r="F767" s="721"/>
      <c r="G767" s="720">
        <f>CEILING((G766+18*$Z$1),0.1)</f>
        <v>116.30000000000001</v>
      </c>
      <c r="H767" s="721"/>
      <c r="I767" s="720">
        <f>CEILING((I766+18*$Z$1),0.1)</f>
        <v>91.30000000000001</v>
      </c>
      <c r="J767" s="721"/>
      <c r="K767" s="282"/>
      <c r="L767" s="282"/>
      <c r="M767" s="992"/>
    </row>
    <row r="768" spans="1:14" ht="15.75" thickTop="1">
      <c r="A768" s="882" t="s">
        <v>641</v>
      </c>
      <c r="B768" s="883"/>
      <c r="C768" s="884"/>
      <c r="D768" s="884"/>
      <c r="E768" s="884"/>
      <c r="F768" s="884"/>
      <c r="G768" s="884"/>
      <c r="H768" s="884"/>
      <c r="I768" s="884"/>
      <c r="J768" s="885"/>
      <c r="K768" s="282"/>
      <c r="L768" s="282"/>
      <c r="M768" s="18"/>
      <c r="N768" s="991"/>
    </row>
    <row r="769" spans="1:13" ht="15">
      <c r="A769" s="57" t="s">
        <v>672</v>
      </c>
      <c r="B769" s="57"/>
      <c r="C769" s="57"/>
      <c r="D769" s="57"/>
      <c r="E769" s="57"/>
      <c r="F769" s="57"/>
      <c r="G769" s="57"/>
      <c r="H769" s="57"/>
      <c r="I769" s="109"/>
      <c r="J769" s="109"/>
      <c r="K769" s="282"/>
      <c r="L769" s="282"/>
      <c r="M769" s="992"/>
    </row>
    <row r="770" spans="1:13" ht="15">
      <c r="A770" s="170" t="s">
        <v>1059</v>
      </c>
      <c r="B770" s="54"/>
      <c r="C770" s="3"/>
      <c r="D770" s="57"/>
      <c r="E770" s="57"/>
      <c r="F770" s="57"/>
      <c r="G770" s="57"/>
      <c r="H770" s="57"/>
      <c r="I770" s="109"/>
      <c r="J770" s="109"/>
      <c r="K770" s="282"/>
      <c r="L770" s="282"/>
      <c r="M770" s="992"/>
    </row>
    <row r="771" spans="1:13" ht="15">
      <c r="A771" s="170" t="s">
        <v>1057</v>
      </c>
      <c r="B771" s="54"/>
      <c r="C771" s="3"/>
      <c r="D771" s="57"/>
      <c r="E771" s="57"/>
      <c r="F771" s="57"/>
      <c r="G771" s="57"/>
      <c r="H771" s="57"/>
      <c r="I771" s="109"/>
      <c r="J771" s="109"/>
      <c r="K771" s="282"/>
      <c r="L771" s="282"/>
      <c r="M771" s="992"/>
    </row>
    <row r="772" spans="1:13" ht="15">
      <c r="A772" s="170" t="s">
        <v>1060</v>
      </c>
      <c r="B772" s="54"/>
      <c r="C772" s="3"/>
      <c r="D772" s="57"/>
      <c r="E772" s="57"/>
      <c r="F772" s="57"/>
      <c r="G772" s="57"/>
      <c r="H772" s="57"/>
      <c r="I772" s="109"/>
      <c r="J772" s="109"/>
      <c r="K772" s="282"/>
      <c r="L772" s="282"/>
      <c r="M772" s="992"/>
    </row>
    <row r="773" spans="1:13" ht="15.75" thickBot="1">
      <c r="A773" s="107"/>
      <c r="B773" s="107"/>
      <c r="C773" s="57"/>
      <c r="D773" s="57"/>
      <c r="E773" s="57"/>
      <c r="F773" s="57"/>
      <c r="G773" s="57"/>
      <c r="H773" s="57"/>
      <c r="I773" s="109"/>
      <c r="J773" s="109"/>
      <c r="K773" s="282"/>
      <c r="L773" s="282"/>
      <c r="M773" s="992"/>
    </row>
    <row r="774" spans="1:13" ht="21.75" customHeight="1" thickTop="1">
      <c r="A774" s="700" t="s">
        <v>49</v>
      </c>
      <c r="B774" s="496"/>
      <c r="C774" s="815" t="s">
        <v>884</v>
      </c>
      <c r="D774" s="816"/>
      <c r="E774" s="726" t="s">
        <v>885</v>
      </c>
      <c r="F774" s="727"/>
      <c r="G774" s="730" t="s">
        <v>901</v>
      </c>
      <c r="H774" s="731"/>
      <c r="I774" s="730" t="s">
        <v>919</v>
      </c>
      <c r="J774" s="731"/>
      <c r="K774" s="284"/>
      <c r="L774" s="282"/>
      <c r="M774" s="992"/>
    </row>
    <row r="775" spans="1:13" ht="15">
      <c r="A775" s="108" t="s">
        <v>673</v>
      </c>
      <c r="B775" s="1106" t="s">
        <v>72</v>
      </c>
      <c r="C775" s="707">
        <f>CEILING(63*$Z$1,0.1)</f>
        <v>78.80000000000001</v>
      </c>
      <c r="D775" s="747"/>
      <c r="E775" s="703">
        <f>CEILING(103*$Z$1,0.1)</f>
        <v>128.8</v>
      </c>
      <c r="F775" s="704"/>
      <c r="G775" s="703">
        <f>CEILING(93*$Z$1,0.1)</f>
        <v>116.30000000000001</v>
      </c>
      <c r="H775" s="704"/>
      <c r="I775" s="703">
        <f>CEILING(80*$Z$1,0.1)</f>
        <v>100</v>
      </c>
      <c r="J775" s="704"/>
      <c r="K775" s="284"/>
      <c r="L775" s="282"/>
      <c r="M775" s="992"/>
    </row>
    <row r="776" spans="1:13" ht="17.25" customHeight="1">
      <c r="A776" s="30" t="s">
        <v>65</v>
      </c>
      <c r="B776" s="1108" t="s">
        <v>58</v>
      </c>
      <c r="C776" s="707">
        <f>CEILING((C775+18*$Z$1),0.1)</f>
        <v>101.30000000000001</v>
      </c>
      <c r="D776" s="708"/>
      <c r="E776" s="707">
        <f>CEILING((E775+18*$Z$1),0.1)</f>
        <v>151.3</v>
      </c>
      <c r="F776" s="708"/>
      <c r="G776" s="707">
        <f>CEILING((G775+18*$Z$1),0.1)</f>
        <v>138.8</v>
      </c>
      <c r="H776" s="708"/>
      <c r="I776" s="707">
        <f>CEILING((I775+18*$Z$1),0.1)</f>
        <v>122.5</v>
      </c>
      <c r="J776" s="708"/>
      <c r="K776" s="284"/>
      <c r="L776" s="282"/>
      <c r="M776" s="992"/>
    </row>
    <row r="777" spans="1:13" ht="16.5" customHeight="1">
      <c r="A777" s="72"/>
      <c r="B777" s="1108" t="s">
        <v>271</v>
      </c>
      <c r="C777" s="707">
        <f>CEILING((C775*0.85),0.1)</f>
        <v>67</v>
      </c>
      <c r="D777" s="708"/>
      <c r="E777" s="707">
        <f>CEILING((E775*0.85),0.1)</f>
        <v>109.5</v>
      </c>
      <c r="F777" s="708"/>
      <c r="G777" s="707">
        <f>CEILING((G775*0.85),0.1)</f>
        <v>98.9</v>
      </c>
      <c r="H777" s="708"/>
      <c r="I777" s="707">
        <f>CEILING((I775*0.85),0.1)</f>
        <v>85</v>
      </c>
      <c r="J777" s="708"/>
      <c r="K777" s="284"/>
      <c r="L777" s="282"/>
      <c r="M777" s="992"/>
    </row>
    <row r="778" spans="1:13" ht="15.75" thickBot="1">
      <c r="A778" s="403"/>
      <c r="B778" s="40" t="s">
        <v>78</v>
      </c>
      <c r="C778" s="718">
        <v>0</v>
      </c>
      <c r="D778" s="719"/>
      <c r="E778" s="718">
        <v>0</v>
      </c>
      <c r="F778" s="719"/>
      <c r="G778" s="718">
        <v>0</v>
      </c>
      <c r="H778" s="719"/>
      <c r="I778" s="718">
        <v>0</v>
      </c>
      <c r="J778" s="719"/>
      <c r="K778" s="282"/>
      <c r="L778" s="282"/>
      <c r="M778" s="992"/>
    </row>
    <row r="779" spans="1:13" ht="15.75" thickTop="1">
      <c r="A779" s="882" t="s">
        <v>641</v>
      </c>
      <c r="B779" s="883"/>
      <c r="C779" s="884"/>
      <c r="D779" s="884"/>
      <c r="E779" s="884"/>
      <c r="F779" s="884"/>
      <c r="G779" s="884"/>
      <c r="H779" s="884"/>
      <c r="I779" s="884"/>
      <c r="J779" s="885"/>
      <c r="K779" s="282"/>
      <c r="L779" s="282"/>
      <c r="M779" s="992"/>
    </row>
    <row r="780" spans="1:13" ht="15">
      <c r="A780" s="57" t="s">
        <v>674</v>
      </c>
      <c r="B780" s="57"/>
      <c r="C780" s="57"/>
      <c r="D780" s="57"/>
      <c r="E780" s="57"/>
      <c r="F780" s="57"/>
      <c r="G780" s="57"/>
      <c r="H780" s="57"/>
      <c r="I780" s="109"/>
      <c r="J780" s="109"/>
      <c r="K780" s="282"/>
      <c r="L780" s="282"/>
      <c r="M780" s="992"/>
    </row>
    <row r="781" spans="1:13" ht="15">
      <c r="A781" s="819" t="s">
        <v>675</v>
      </c>
      <c r="B781" s="1053"/>
      <c r="C781" s="1053"/>
      <c r="D781" s="1053"/>
      <c r="E781" s="1053"/>
      <c r="F781" s="1053"/>
      <c r="G781" s="1053"/>
      <c r="H781" s="1053"/>
      <c r="I781" s="1053"/>
      <c r="J781" s="1053"/>
      <c r="K781" s="282"/>
      <c r="L781" s="282"/>
      <c r="M781" s="992"/>
    </row>
    <row r="782" spans="1:13" ht="15">
      <c r="A782" s="170" t="s">
        <v>1059</v>
      </c>
      <c r="B782" s="54"/>
      <c r="C782" s="3"/>
      <c r="D782" s="1000"/>
      <c r="E782" s="1000"/>
      <c r="F782" s="1000"/>
      <c r="G782" s="1000"/>
      <c r="H782" s="1000"/>
      <c r="I782" s="1000"/>
      <c r="J782" s="1000"/>
      <c r="K782" s="282"/>
      <c r="L782" s="282"/>
      <c r="M782" s="992"/>
    </row>
    <row r="783" spans="1:13" ht="15">
      <c r="A783" s="170" t="s">
        <v>1057</v>
      </c>
      <c r="B783" s="54"/>
      <c r="C783" s="3"/>
      <c r="D783" s="1000"/>
      <c r="E783" s="1000"/>
      <c r="F783" s="1000"/>
      <c r="G783" s="1000"/>
      <c r="H783" s="1000"/>
      <c r="I783" s="1000"/>
      <c r="J783" s="1000"/>
      <c r="K783" s="282"/>
      <c r="L783" s="282"/>
      <c r="M783" s="992"/>
    </row>
    <row r="784" spans="1:13" ht="15.75" thickBot="1">
      <c r="A784" s="170" t="s">
        <v>1060</v>
      </c>
      <c r="B784" s="54"/>
      <c r="C784" s="3"/>
      <c r="D784" s="107"/>
      <c r="E784" s="107"/>
      <c r="F784" s="107"/>
      <c r="G784" s="107"/>
      <c r="H784" s="107"/>
      <c r="I784" s="367"/>
      <c r="J784" s="367"/>
      <c r="K784" s="282"/>
      <c r="L784" s="282"/>
      <c r="M784" s="992"/>
    </row>
    <row r="785" spans="1:25" ht="22.5" customHeight="1" thickTop="1">
      <c r="A785" s="701" t="s">
        <v>49</v>
      </c>
      <c r="B785" s="700"/>
      <c r="C785" s="815" t="s">
        <v>884</v>
      </c>
      <c r="D785" s="816"/>
      <c r="E785" s="726" t="s">
        <v>885</v>
      </c>
      <c r="F785" s="727"/>
      <c r="G785" s="730" t="s">
        <v>901</v>
      </c>
      <c r="H785" s="731"/>
      <c r="I785" s="730" t="s">
        <v>919</v>
      </c>
      <c r="J785" s="731"/>
      <c r="K785" s="822"/>
      <c r="L785" s="823"/>
      <c r="M785" s="1032"/>
      <c r="X785" s="993"/>
      <c r="Y785" s="993"/>
    </row>
    <row r="786" spans="1:25" ht="15">
      <c r="A786" s="210" t="s">
        <v>412</v>
      </c>
      <c r="B786" s="42" t="s">
        <v>57</v>
      </c>
      <c r="C786" s="703">
        <f>CEILING(63*$Z$1,0.1)</f>
        <v>78.80000000000001</v>
      </c>
      <c r="D786" s="764"/>
      <c r="E786" s="703">
        <f>CEILING(103*$Z$1,0.1)</f>
        <v>128.8</v>
      </c>
      <c r="F786" s="704"/>
      <c r="G786" s="703">
        <f>CEILING(84*$Z$1,0.1)</f>
        <v>105</v>
      </c>
      <c r="H786" s="704"/>
      <c r="I786" s="703">
        <f>CEILING(68*$Z$1,0.1)</f>
        <v>85</v>
      </c>
      <c r="J786" s="704"/>
      <c r="K786" s="707"/>
      <c r="L786" s="747"/>
      <c r="M786" s="1032"/>
      <c r="X786" s="993"/>
      <c r="Y786" s="993"/>
    </row>
    <row r="787" spans="1:25" ht="15">
      <c r="A787" s="30" t="s">
        <v>65</v>
      </c>
      <c r="B787" s="14" t="s">
        <v>58</v>
      </c>
      <c r="C787" s="707">
        <f>CEILING((C786+25*$Z$1),0.1)</f>
        <v>110.10000000000001</v>
      </c>
      <c r="D787" s="708"/>
      <c r="E787" s="707">
        <f>CEILING((E786+25*$Z$1),0.1)</f>
        <v>160.10000000000002</v>
      </c>
      <c r="F787" s="708"/>
      <c r="G787" s="707">
        <f>CEILING((G786+25*$Z$1),0.1)</f>
        <v>136.3</v>
      </c>
      <c r="H787" s="708"/>
      <c r="I787" s="707">
        <f>CEILING((I786+25*$Z$1),0.1)</f>
        <v>116.30000000000001</v>
      </c>
      <c r="J787" s="708"/>
      <c r="K787" s="707"/>
      <c r="L787" s="747"/>
      <c r="M787" s="1032"/>
      <c r="X787" s="993"/>
      <c r="Y787" s="993"/>
    </row>
    <row r="788" spans="1:25" ht="15" customHeight="1">
      <c r="A788" s="30"/>
      <c r="B788" s="14" t="s">
        <v>53</v>
      </c>
      <c r="C788" s="707">
        <f>CEILING((C786*0.85),0.1)</f>
        <v>67</v>
      </c>
      <c r="D788" s="708"/>
      <c r="E788" s="707">
        <f>CEILING((E786*0.85),0.1)</f>
        <v>109.5</v>
      </c>
      <c r="F788" s="708"/>
      <c r="G788" s="707">
        <f>CEILING((G786*0.85),0.1)</f>
        <v>89.30000000000001</v>
      </c>
      <c r="H788" s="708"/>
      <c r="I788" s="707">
        <f>CEILING((I786*0.85),0.1)</f>
        <v>72.3</v>
      </c>
      <c r="J788" s="708"/>
      <c r="K788" s="707"/>
      <c r="L788" s="747"/>
      <c r="M788" s="1032"/>
      <c r="X788" s="993"/>
      <c r="Y788" s="993"/>
    </row>
    <row r="789" spans="1:25" ht="15" customHeight="1">
      <c r="A789" s="1029"/>
      <c r="B789" s="39" t="s">
        <v>78</v>
      </c>
      <c r="C789" s="736">
        <v>0</v>
      </c>
      <c r="D789" s="737"/>
      <c r="E789" s="707">
        <v>0</v>
      </c>
      <c r="F789" s="708"/>
      <c r="G789" s="707">
        <v>0</v>
      </c>
      <c r="H789" s="708"/>
      <c r="I789" s="707">
        <v>0</v>
      </c>
      <c r="J789" s="708"/>
      <c r="K789" s="707"/>
      <c r="L789" s="747"/>
      <c r="M789" s="1032"/>
      <c r="X789" s="993"/>
      <c r="Y789" s="993"/>
    </row>
    <row r="790" spans="1:25" ht="15.75" customHeight="1">
      <c r="A790" s="30"/>
      <c r="B790" s="12" t="s">
        <v>59</v>
      </c>
      <c r="C790" s="707">
        <f>CEILING(73*$Z$1,0.1)</f>
        <v>91.30000000000001</v>
      </c>
      <c r="D790" s="747"/>
      <c r="E790" s="707">
        <f>CEILING(113*$Z$1,0.1)</f>
        <v>141.3</v>
      </c>
      <c r="F790" s="708"/>
      <c r="G790" s="707">
        <f>CEILING(94*$Z$1,0.1)</f>
        <v>117.5</v>
      </c>
      <c r="H790" s="708"/>
      <c r="I790" s="707">
        <f>CEILING(78*$Z$1,0.1)</f>
        <v>97.5</v>
      </c>
      <c r="J790" s="708"/>
      <c r="K790" s="707"/>
      <c r="L790" s="747"/>
      <c r="M790" s="1032"/>
      <c r="X790" s="993"/>
      <c r="Y790" s="993"/>
    </row>
    <row r="791" spans="1:25" ht="15.75" customHeight="1">
      <c r="A791" s="30"/>
      <c r="B791" s="12" t="s">
        <v>60</v>
      </c>
      <c r="C791" s="707">
        <f>CEILING((C790+25*$Z$1),0.1)</f>
        <v>122.60000000000001</v>
      </c>
      <c r="D791" s="708"/>
      <c r="E791" s="707">
        <f>CEILING((E790+25*$Z$1),0.1)</f>
        <v>172.60000000000002</v>
      </c>
      <c r="F791" s="708"/>
      <c r="G791" s="707">
        <f>CEILING((G790+25*$Z$1),0.1)</f>
        <v>148.8</v>
      </c>
      <c r="H791" s="708"/>
      <c r="I791" s="707">
        <f>CEILING((I790+25*$Z$1),0.1)</f>
        <v>128.8</v>
      </c>
      <c r="J791" s="708"/>
      <c r="K791" s="707"/>
      <c r="L791" s="747"/>
      <c r="M791" s="1032"/>
      <c r="X791" s="993"/>
      <c r="Y791" s="993"/>
    </row>
    <row r="792" spans="1:25" ht="15.75" customHeight="1">
      <c r="A792" s="30"/>
      <c r="B792" s="31" t="s">
        <v>50</v>
      </c>
      <c r="C792" s="707">
        <f>CEILING(93*$Z$1,0.1)</f>
        <v>116.30000000000001</v>
      </c>
      <c r="D792" s="747"/>
      <c r="E792" s="707">
        <f>CEILING(133*$Z$1,0.1)</f>
        <v>166.3</v>
      </c>
      <c r="F792" s="708"/>
      <c r="G792" s="707">
        <f>CEILING(114*$Z$1,0.1)</f>
        <v>142.5</v>
      </c>
      <c r="H792" s="708"/>
      <c r="I792" s="707">
        <f>CEILING(98*$Z$1,0.1)</f>
        <v>122.5</v>
      </c>
      <c r="J792" s="708"/>
      <c r="K792" s="707"/>
      <c r="L792" s="747"/>
      <c r="M792" s="1032"/>
      <c r="X792" s="993"/>
      <c r="Y792" s="993"/>
    </row>
    <row r="793" spans="1:25" ht="15.75" customHeight="1">
      <c r="A793" s="542" t="s">
        <v>486</v>
      </c>
      <c r="B793" s="355" t="s">
        <v>52</v>
      </c>
      <c r="C793" s="705">
        <f>CEILING((C792+40*$Z$1),0.1)</f>
        <v>166.3</v>
      </c>
      <c r="D793" s="706"/>
      <c r="E793" s="705">
        <f>CEILING((E792+40*$Z$1),0.1)</f>
        <v>216.3</v>
      </c>
      <c r="F793" s="706"/>
      <c r="G793" s="705">
        <f>CEILING((G792+40*$Z$1),0.1)</f>
        <v>192.5</v>
      </c>
      <c r="H793" s="706"/>
      <c r="I793" s="705">
        <f>CEILING((I792+40*$Z$1),0.1)</f>
        <v>172.5</v>
      </c>
      <c r="J793" s="706"/>
      <c r="K793" s="707"/>
      <c r="L793" s="747"/>
      <c r="M793" s="1032"/>
      <c r="X793" s="993"/>
      <c r="Y793" s="993"/>
    </row>
    <row r="794" spans="1:25" ht="15.75" customHeight="1">
      <c r="A794" s="82" t="s">
        <v>1068</v>
      </c>
      <c r="B794" s="54"/>
      <c r="C794" s="656"/>
      <c r="D794" s="656"/>
      <c r="E794" s="656"/>
      <c r="F794" s="656"/>
      <c r="G794" s="656"/>
      <c r="H794" s="656"/>
      <c r="I794" s="656"/>
      <c r="J794" s="656"/>
      <c r="K794" s="656"/>
      <c r="L794" s="656"/>
      <c r="M794" s="1032"/>
      <c r="X794" s="993"/>
      <c r="Y794" s="993"/>
    </row>
    <row r="795" spans="1:25" ht="15.75" customHeight="1">
      <c r="A795" s="170" t="s">
        <v>1059</v>
      </c>
      <c r="B795" s="54"/>
      <c r="C795" s="3"/>
      <c r="D795" s="57"/>
      <c r="E795" s="656"/>
      <c r="F795" s="656"/>
      <c r="G795" s="656"/>
      <c r="H795" s="656"/>
      <c r="I795" s="656"/>
      <c r="J795" s="656"/>
      <c r="K795" s="656"/>
      <c r="L795" s="656"/>
      <c r="M795" s="1032"/>
      <c r="X795" s="993"/>
      <c r="Y795" s="993"/>
    </row>
    <row r="796" spans="1:25" ht="15.75" customHeight="1">
      <c r="A796" s="170" t="s">
        <v>1057</v>
      </c>
      <c r="B796" s="54"/>
      <c r="C796" s="3"/>
      <c r="D796" s="57"/>
      <c r="E796" s="656"/>
      <c r="F796" s="656"/>
      <c r="G796" s="656"/>
      <c r="H796" s="656"/>
      <c r="I796" s="656"/>
      <c r="J796" s="656"/>
      <c r="K796" s="656"/>
      <c r="L796" s="656"/>
      <c r="M796" s="1032"/>
      <c r="X796" s="993"/>
      <c r="Y796" s="993"/>
    </row>
    <row r="797" spans="1:13" ht="22.5" customHeight="1">
      <c r="A797" s="170" t="s">
        <v>1060</v>
      </c>
      <c r="B797" s="54"/>
      <c r="C797" s="3"/>
      <c r="D797" s="57"/>
      <c r="E797" s="57"/>
      <c r="F797" s="57"/>
      <c r="G797" s="57"/>
      <c r="H797" s="57"/>
      <c r="I797" s="109"/>
      <c r="J797" s="109"/>
      <c r="K797" s="282"/>
      <c r="L797" s="282"/>
      <c r="M797" s="992"/>
    </row>
    <row r="798" spans="1:25" ht="22.5" customHeight="1">
      <c r="A798" s="696" t="s">
        <v>49</v>
      </c>
      <c r="B798" s="696"/>
      <c r="C798" s="775" t="s">
        <v>884</v>
      </c>
      <c r="D798" s="776"/>
      <c r="E798" s="722" t="s">
        <v>885</v>
      </c>
      <c r="F798" s="723"/>
      <c r="G798" s="732" t="s">
        <v>886</v>
      </c>
      <c r="H798" s="733"/>
      <c r="I798" s="732" t="s">
        <v>887</v>
      </c>
      <c r="J798" s="733"/>
      <c r="K798" s="722" t="s">
        <v>888</v>
      </c>
      <c r="L798" s="723"/>
      <c r="M798" s="1040"/>
      <c r="X798" s="993"/>
      <c r="Y798" s="993"/>
    </row>
    <row r="799" spans="1:25" ht="15">
      <c r="A799" s="108" t="s">
        <v>414</v>
      </c>
      <c r="B799" s="42" t="s">
        <v>57</v>
      </c>
      <c r="C799" s="707">
        <f>CEILING(40*$Z$1,0.1)</f>
        <v>50</v>
      </c>
      <c r="D799" s="747"/>
      <c r="E799" s="703">
        <f>CEILING(65*$Z$1,0.1)</f>
        <v>81.30000000000001</v>
      </c>
      <c r="F799" s="704"/>
      <c r="G799" s="703">
        <f>CEILING(45*$Z$1,0.1)</f>
        <v>56.300000000000004</v>
      </c>
      <c r="H799" s="704"/>
      <c r="I799" s="703">
        <f>CEILING(55*$Z$1,0.1)</f>
        <v>68.8</v>
      </c>
      <c r="J799" s="704"/>
      <c r="K799" s="703">
        <f>CEILING(45*$Z$1,0.1)</f>
        <v>56.300000000000004</v>
      </c>
      <c r="L799" s="704"/>
      <c r="M799" s="1040"/>
      <c r="X799" s="993"/>
      <c r="Y799" s="993"/>
    </row>
    <row r="800" spans="1:25" ht="15">
      <c r="A800" s="30" t="s">
        <v>98</v>
      </c>
      <c r="B800" s="14" t="s">
        <v>58</v>
      </c>
      <c r="C800" s="707">
        <f>CEILING((C799+15*$Z$1),0.1)</f>
        <v>68.8</v>
      </c>
      <c r="D800" s="708"/>
      <c r="E800" s="707">
        <f>CEILING((E799+15*$Z$1),0.1)</f>
        <v>100.10000000000001</v>
      </c>
      <c r="F800" s="708"/>
      <c r="G800" s="707">
        <f>CEILING((G799+15*$Z$1),0.1)</f>
        <v>75.10000000000001</v>
      </c>
      <c r="H800" s="708"/>
      <c r="I800" s="707">
        <f>CEILING((I799+15*$Z$1),0.1)</f>
        <v>87.60000000000001</v>
      </c>
      <c r="J800" s="708"/>
      <c r="K800" s="707">
        <f>CEILING((K799+15*$Z$1),0.1)</f>
        <v>75.10000000000001</v>
      </c>
      <c r="L800" s="708"/>
      <c r="M800" s="1040"/>
      <c r="X800" s="993"/>
      <c r="Y800" s="993"/>
    </row>
    <row r="801" spans="1:25" ht="15" customHeight="1">
      <c r="A801" s="30"/>
      <c r="B801" s="14" t="s">
        <v>53</v>
      </c>
      <c r="C801" s="707">
        <f>CEILING((C799*0.85),0.1)</f>
        <v>42.5</v>
      </c>
      <c r="D801" s="708"/>
      <c r="E801" s="707">
        <f>CEILING((E799*0.85),0.1)</f>
        <v>69.2</v>
      </c>
      <c r="F801" s="708"/>
      <c r="G801" s="707">
        <f>CEILING((G799*0.85),0.1)</f>
        <v>47.900000000000006</v>
      </c>
      <c r="H801" s="708"/>
      <c r="I801" s="707">
        <f>CEILING((I799*0.85),0.1)</f>
        <v>58.5</v>
      </c>
      <c r="J801" s="708"/>
      <c r="K801" s="707">
        <f>CEILING((K799*0.85),0.1)</f>
        <v>47.900000000000006</v>
      </c>
      <c r="L801" s="708"/>
      <c r="M801" s="1040"/>
      <c r="X801" s="993"/>
      <c r="Y801" s="993"/>
    </row>
    <row r="802" spans="1:25" ht="15.75" customHeight="1">
      <c r="A802" s="30"/>
      <c r="B802" s="12" t="s">
        <v>74</v>
      </c>
      <c r="C802" s="707">
        <f>CEILING(45*$Z$1,0.1)</f>
        <v>56.300000000000004</v>
      </c>
      <c r="D802" s="747"/>
      <c r="E802" s="707">
        <f>CEILING(70*$Z$1,0.1)</f>
        <v>87.5</v>
      </c>
      <c r="F802" s="708"/>
      <c r="G802" s="707">
        <f>CEILING(50*$Z$1,0.1)</f>
        <v>62.5</v>
      </c>
      <c r="H802" s="708"/>
      <c r="I802" s="707">
        <f>CEILING(60*$Z$1,0.1)</f>
        <v>75</v>
      </c>
      <c r="J802" s="708"/>
      <c r="K802" s="707">
        <f>CEILING(50*$Z$1,0.1)</f>
        <v>62.5</v>
      </c>
      <c r="L802" s="708"/>
      <c r="M802" s="1040"/>
      <c r="X802" s="993"/>
      <c r="Y802" s="993"/>
    </row>
    <row r="803" spans="1:25" ht="14.25" customHeight="1">
      <c r="A803" s="30"/>
      <c r="B803" s="12" t="s">
        <v>75</v>
      </c>
      <c r="C803" s="707">
        <f>CEILING((C802+15*$Z$1),0.1)</f>
        <v>75.10000000000001</v>
      </c>
      <c r="D803" s="708"/>
      <c r="E803" s="707">
        <f>CEILING((E802+15*$Z$1),0.1)</f>
        <v>106.30000000000001</v>
      </c>
      <c r="F803" s="708"/>
      <c r="G803" s="707">
        <f>CEILING((G802+15*$Z$1),0.1)</f>
        <v>81.30000000000001</v>
      </c>
      <c r="H803" s="708"/>
      <c r="I803" s="707">
        <f>CEILING((I802+15*$Z$1),0.1)</f>
        <v>93.80000000000001</v>
      </c>
      <c r="J803" s="708"/>
      <c r="K803" s="707">
        <f>CEILING((K802+15*$Z$1),0.1)</f>
        <v>81.30000000000001</v>
      </c>
      <c r="L803" s="708"/>
      <c r="M803" s="1040"/>
      <c r="X803" s="993"/>
      <c r="Y803" s="993"/>
    </row>
    <row r="804" spans="1:25" ht="15.75" customHeight="1">
      <c r="A804" s="30"/>
      <c r="B804" s="12" t="s">
        <v>214</v>
      </c>
      <c r="C804" s="707">
        <f>CEILING(45*$Z$1,0.1)</f>
        <v>56.300000000000004</v>
      </c>
      <c r="D804" s="747"/>
      <c r="E804" s="707">
        <f>CEILING(70*$Z$1,0.1)</f>
        <v>87.5</v>
      </c>
      <c r="F804" s="708"/>
      <c r="G804" s="707">
        <f>CEILING(50*$Z$1,0.1)</f>
        <v>62.5</v>
      </c>
      <c r="H804" s="708"/>
      <c r="I804" s="707">
        <f>CEILING(60*$Z$1,0.1)</f>
        <v>75</v>
      </c>
      <c r="J804" s="708"/>
      <c r="K804" s="707">
        <f>CEILING(50*$Z$1,0.1)</f>
        <v>62.5</v>
      </c>
      <c r="L804" s="708"/>
      <c r="M804" s="1040"/>
      <c r="X804" s="993"/>
      <c r="Y804" s="993"/>
    </row>
    <row r="805" spans="1:25" ht="15.75" customHeight="1">
      <c r="A805" s="30"/>
      <c r="B805" s="12" t="s">
        <v>215</v>
      </c>
      <c r="C805" s="707">
        <f>CEILING((C804+15*$Z$1),0.1)</f>
        <v>75.10000000000001</v>
      </c>
      <c r="D805" s="708"/>
      <c r="E805" s="707">
        <f>CEILING((E804+15*$Z$1),0.1)</f>
        <v>106.30000000000001</v>
      </c>
      <c r="F805" s="708"/>
      <c r="G805" s="707">
        <f>CEILING((G804+15*$Z$1),0.1)</f>
        <v>81.30000000000001</v>
      </c>
      <c r="H805" s="708"/>
      <c r="I805" s="707">
        <f>CEILING((I804+15*$Z$1),0.1)</f>
        <v>93.80000000000001</v>
      </c>
      <c r="J805" s="708"/>
      <c r="K805" s="707">
        <f>CEILING((K804+15*$Z$1),0.1)</f>
        <v>81.30000000000001</v>
      </c>
      <c r="L805" s="708"/>
      <c r="M805" s="1040"/>
      <c r="X805" s="993"/>
      <c r="Y805" s="993"/>
    </row>
    <row r="806" spans="1:25" ht="15.75" customHeight="1">
      <c r="A806" s="30"/>
      <c r="B806" s="31" t="s">
        <v>352</v>
      </c>
      <c r="C806" s="707">
        <f>CEILING(50*$Z$1,0.1)</f>
        <v>62.5</v>
      </c>
      <c r="D806" s="747"/>
      <c r="E806" s="707">
        <f>CEILING(75*$Z$1,0.1)</f>
        <v>93.80000000000001</v>
      </c>
      <c r="F806" s="708"/>
      <c r="G806" s="707">
        <f>CEILING(55*$Z$1,0.1)</f>
        <v>68.8</v>
      </c>
      <c r="H806" s="708"/>
      <c r="I806" s="707">
        <f>CEILING(65*$Z$1,0.1)</f>
        <v>81.30000000000001</v>
      </c>
      <c r="J806" s="708"/>
      <c r="K806" s="707">
        <f>CEILING(55*$Z$1,0.1)</f>
        <v>68.8</v>
      </c>
      <c r="L806" s="708"/>
      <c r="M806" s="1040"/>
      <c r="X806" s="993"/>
      <c r="Y806" s="993"/>
    </row>
    <row r="807" spans="1:25" ht="15.75" customHeight="1" thickBot="1">
      <c r="A807" s="86" t="s">
        <v>527</v>
      </c>
      <c r="B807" s="178" t="s">
        <v>353</v>
      </c>
      <c r="C807" s="720">
        <f>CEILING((C806+15*$Z$1),0.1)</f>
        <v>81.30000000000001</v>
      </c>
      <c r="D807" s="721"/>
      <c r="E807" s="720">
        <f>CEILING((E806+15*$Z$1),0.1)</f>
        <v>112.60000000000001</v>
      </c>
      <c r="F807" s="721"/>
      <c r="G807" s="720">
        <f>CEILING((G806+15*$Z$1),0.1)</f>
        <v>87.60000000000001</v>
      </c>
      <c r="H807" s="721"/>
      <c r="I807" s="720">
        <f>CEILING((I806+15*$Z$1),0.1)</f>
        <v>100.10000000000001</v>
      </c>
      <c r="J807" s="721"/>
      <c r="K807" s="720">
        <f>CEILING((K806+15*$Z$1),0.1)</f>
        <v>87.60000000000001</v>
      </c>
      <c r="L807" s="721"/>
      <c r="M807" s="1040"/>
      <c r="X807" s="993"/>
      <c r="Y807" s="993"/>
    </row>
    <row r="808" spans="1:25" ht="15.75" customHeight="1" thickTop="1">
      <c r="A808" s="745" t="s">
        <v>413</v>
      </c>
      <c r="B808" s="746"/>
      <c r="C808" s="746"/>
      <c r="D808" s="746"/>
      <c r="E808" s="746"/>
      <c r="F808" s="746"/>
      <c r="G808" s="746"/>
      <c r="H808" s="746"/>
      <c r="I808" s="746"/>
      <c r="J808" s="746"/>
      <c r="K808" s="265"/>
      <c r="L808" s="265"/>
      <c r="M808" s="992"/>
      <c r="X808" s="993"/>
      <c r="Y808" s="993"/>
    </row>
    <row r="809" spans="1:25" ht="15.75" customHeight="1">
      <c r="A809" s="170" t="s">
        <v>1059</v>
      </c>
      <c r="B809" s="54"/>
      <c r="C809" s="3"/>
      <c r="D809" s="57"/>
      <c r="E809" s="117"/>
      <c r="F809" s="117"/>
      <c r="G809" s="117"/>
      <c r="H809" s="117"/>
      <c r="I809" s="117"/>
      <c r="J809" s="117"/>
      <c r="K809" s="265"/>
      <c r="L809" s="265"/>
      <c r="M809" s="992"/>
      <c r="X809" s="993"/>
      <c r="Y809" s="993"/>
    </row>
    <row r="810" spans="1:25" ht="15.75" customHeight="1">
      <c r="A810" s="170" t="s">
        <v>1057</v>
      </c>
      <c r="B810" s="54"/>
      <c r="C810" s="3"/>
      <c r="D810" s="57"/>
      <c r="E810" s="117"/>
      <c r="F810" s="117"/>
      <c r="G810" s="117"/>
      <c r="H810" s="117"/>
      <c r="I810" s="117"/>
      <c r="J810" s="117"/>
      <c r="K810" s="265"/>
      <c r="L810" s="265"/>
      <c r="M810" s="992"/>
      <c r="X810" s="993"/>
      <c r="Y810" s="993"/>
    </row>
    <row r="811" spans="1:25" ht="15.75" customHeight="1">
      <c r="A811" s="170" t="s">
        <v>1060</v>
      </c>
      <c r="B811" s="54"/>
      <c r="C811" s="3"/>
      <c r="D811" s="57"/>
      <c r="E811" s="117"/>
      <c r="F811" s="117"/>
      <c r="G811" s="117"/>
      <c r="H811" s="117"/>
      <c r="I811" s="117"/>
      <c r="J811" s="117"/>
      <c r="K811" s="265"/>
      <c r="L811" s="265"/>
      <c r="M811" s="992"/>
      <c r="X811" s="993"/>
      <c r="Y811" s="993"/>
    </row>
    <row r="812" spans="1:13" ht="15">
      <c r="A812" s="170"/>
      <c r="B812" s="57"/>
      <c r="C812" s="57"/>
      <c r="D812" s="57"/>
      <c r="E812" s="57"/>
      <c r="F812" s="57"/>
      <c r="G812" s="57"/>
      <c r="H812" s="57"/>
      <c r="I812" s="109"/>
      <c r="J812" s="109"/>
      <c r="K812" s="282"/>
      <c r="L812" s="282"/>
      <c r="M812" s="992"/>
    </row>
    <row r="813" spans="1:13" ht="18" customHeight="1">
      <c r="A813" s="1113" t="s">
        <v>1148</v>
      </c>
      <c r="B813" s="1113"/>
      <c r="C813" s="1113"/>
      <c r="D813" s="1113"/>
      <c r="E813" s="1113"/>
      <c r="F813" s="1113"/>
      <c r="G813" s="1113"/>
      <c r="H813" s="1113"/>
      <c r="I813" s="18"/>
      <c r="J813" s="18"/>
      <c r="K813" s="282"/>
      <c r="L813" s="282"/>
      <c r="M813" s="992"/>
    </row>
    <row r="814" spans="1:14" ht="18" customHeight="1">
      <c r="A814" s="1113" t="s">
        <v>1149</v>
      </c>
      <c r="B814" s="1113"/>
      <c r="C814" s="1113"/>
      <c r="D814" s="1113"/>
      <c r="E814" s="1113"/>
      <c r="F814" s="1113"/>
      <c r="G814" s="1113"/>
      <c r="H814" s="1113"/>
      <c r="I814" s="18"/>
      <c r="J814" s="18"/>
      <c r="K814" s="282"/>
      <c r="L814" s="282"/>
      <c r="M814" s="82"/>
      <c r="N814" s="82"/>
    </row>
    <row r="815" spans="1:14" ht="15">
      <c r="A815" s="111"/>
      <c r="B815" s="111"/>
      <c r="C815" s="111"/>
      <c r="D815" s="111"/>
      <c r="E815" s="111"/>
      <c r="F815" s="111"/>
      <c r="G815" s="111"/>
      <c r="H815" s="111"/>
      <c r="I815" s="110"/>
      <c r="J815" s="110"/>
      <c r="K815" s="104"/>
      <c r="L815" s="1107"/>
      <c r="M815" s="82"/>
      <c r="N815" s="82"/>
    </row>
    <row r="816" spans="1:14" ht="15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04"/>
      <c r="L816" s="1107"/>
      <c r="M816" s="18"/>
      <c r="N816" s="18"/>
    </row>
    <row r="817" spans="1:14" ht="15.75">
      <c r="A817" s="744" t="s">
        <v>128</v>
      </c>
      <c r="B817" s="744"/>
      <c r="C817" s="744"/>
      <c r="D817" s="744"/>
      <c r="E817" s="744"/>
      <c r="F817" s="744"/>
      <c r="G817" s="744"/>
      <c r="H817" s="744"/>
      <c r="I817" s="744"/>
      <c r="J817" s="744"/>
      <c r="K817" s="104"/>
      <c r="L817" s="1107"/>
      <c r="M817" s="18"/>
      <c r="N817" s="18"/>
    </row>
    <row r="818" spans="1:14" ht="16.5" thickBot="1">
      <c r="A818" s="113"/>
      <c r="B818" s="113"/>
      <c r="C818" s="113"/>
      <c r="D818" s="113"/>
      <c r="E818" s="113"/>
      <c r="F818" s="113"/>
      <c r="G818" s="113"/>
      <c r="H818" s="113"/>
      <c r="I818" s="113"/>
      <c r="J818" s="113"/>
      <c r="K818" s="104"/>
      <c r="L818" s="1107"/>
      <c r="M818" s="18"/>
      <c r="N818" s="18"/>
    </row>
    <row r="819" spans="1:14" ht="25.5" customHeight="1" thickTop="1">
      <c r="A819" s="534" t="s">
        <v>49</v>
      </c>
      <c r="B819" s="535"/>
      <c r="C819" s="726" t="s">
        <v>884</v>
      </c>
      <c r="D819" s="727"/>
      <c r="E819" s="726" t="s">
        <v>885</v>
      </c>
      <c r="F819" s="727"/>
      <c r="G819" s="726" t="s">
        <v>886</v>
      </c>
      <c r="H819" s="727"/>
      <c r="I819" s="815" t="s">
        <v>955</v>
      </c>
      <c r="J819" s="816"/>
      <c r="K819" s="815" t="s">
        <v>919</v>
      </c>
      <c r="L819" s="816"/>
      <c r="M819" s="23"/>
      <c r="N819" s="18"/>
    </row>
    <row r="820" spans="1:14" ht="15">
      <c r="A820" s="221" t="s">
        <v>129</v>
      </c>
      <c r="B820" s="222" t="s">
        <v>130</v>
      </c>
      <c r="C820" s="707">
        <f>CEILING(85*$Z$1,0.1)</f>
        <v>106.30000000000001</v>
      </c>
      <c r="D820" s="747"/>
      <c r="E820" s="703">
        <f>CEILING(130*$Z$1,0.1)</f>
        <v>162.5</v>
      </c>
      <c r="F820" s="704"/>
      <c r="G820" s="703">
        <f>CEILING(115*$Z$1,0.1)</f>
        <v>143.8</v>
      </c>
      <c r="H820" s="704"/>
      <c r="I820" s="703">
        <f>CEILING(120*$Z$1,0.1)</f>
        <v>150</v>
      </c>
      <c r="J820" s="704"/>
      <c r="K820" s="703">
        <f>CEILING(90*$Z$1,0.1)</f>
        <v>112.5</v>
      </c>
      <c r="L820" s="704"/>
      <c r="M820" s="23"/>
      <c r="N820" s="18"/>
    </row>
    <row r="821" spans="1:14" ht="16.5" customHeight="1">
      <c r="A821" s="223" t="s">
        <v>51</v>
      </c>
      <c r="B821" s="207" t="s">
        <v>131</v>
      </c>
      <c r="C821" s="707">
        <f>CEILING((C820+34*$Z$1),0.1)</f>
        <v>148.8</v>
      </c>
      <c r="D821" s="708"/>
      <c r="E821" s="707">
        <f>CEILING((E820+52*$Z$1),0.1)</f>
        <v>227.5</v>
      </c>
      <c r="F821" s="708"/>
      <c r="G821" s="707">
        <f>CEILING((G820+46*$Z$1),0.1)</f>
        <v>201.3</v>
      </c>
      <c r="H821" s="708"/>
      <c r="I821" s="707">
        <f>CEILING((I820+48*$Z$1),0.1)</f>
        <v>210</v>
      </c>
      <c r="J821" s="708"/>
      <c r="K821" s="707">
        <f>CEILING((K820+36*$Z$1),0.1)</f>
        <v>157.5</v>
      </c>
      <c r="L821" s="708"/>
      <c r="M821" s="23"/>
      <c r="N821" s="18"/>
    </row>
    <row r="822" spans="1:14" ht="18" customHeight="1">
      <c r="A822" s="223"/>
      <c r="B822" s="207" t="s">
        <v>53</v>
      </c>
      <c r="C822" s="707">
        <f>CEILING((C820*0.85),0.1)</f>
        <v>90.4</v>
      </c>
      <c r="D822" s="708"/>
      <c r="E822" s="707">
        <f>CEILING((E820*0.85),0.1)</f>
        <v>138.20000000000002</v>
      </c>
      <c r="F822" s="708"/>
      <c r="G822" s="707">
        <f>CEILING((G820*0.85),0.1)</f>
        <v>122.30000000000001</v>
      </c>
      <c r="H822" s="708"/>
      <c r="I822" s="707">
        <f>CEILING((I820*0.85),0.1)</f>
        <v>127.5</v>
      </c>
      <c r="J822" s="708"/>
      <c r="K822" s="707">
        <f>CEILING((K820*0.85),0.1)</f>
        <v>95.7</v>
      </c>
      <c r="L822" s="708"/>
      <c r="M822" s="1114"/>
      <c r="N822" s="18"/>
    </row>
    <row r="823" spans="1:14" ht="16.5" customHeight="1">
      <c r="A823" s="1028"/>
      <c r="B823" s="225" t="s">
        <v>94</v>
      </c>
      <c r="C823" s="705">
        <v>0</v>
      </c>
      <c r="D823" s="706"/>
      <c r="E823" s="705">
        <f>CEILING((E820*0.5),0.1)</f>
        <v>81.30000000000001</v>
      </c>
      <c r="F823" s="706"/>
      <c r="G823" s="705">
        <f>CEILING((G820*0.5),0.1)</f>
        <v>71.9</v>
      </c>
      <c r="H823" s="706"/>
      <c r="I823" s="705">
        <f>CEILING((I820*0.5),0.1)</f>
        <v>75</v>
      </c>
      <c r="J823" s="706"/>
      <c r="K823" s="705">
        <f>CEILING((K820*0.5),0.1)</f>
        <v>56.300000000000004</v>
      </c>
      <c r="L823" s="706"/>
      <c r="M823" s="23"/>
      <c r="N823" s="18"/>
    </row>
    <row r="824" spans="1:14" ht="15">
      <c r="A824" s="224"/>
      <c r="B824" s="207" t="s">
        <v>132</v>
      </c>
      <c r="C824" s="707">
        <f>CEILING(89*$Z$1,0.1)</f>
        <v>111.30000000000001</v>
      </c>
      <c r="D824" s="747"/>
      <c r="E824" s="703">
        <f>CEILING(137*$Z$1,0.1)</f>
        <v>171.3</v>
      </c>
      <c r="F824" s="704"/>
      <c r="G824" s="703">
        <f>CEILING(121*$Z$1,0.1)</f>
        <v>151.3</v>
      </c>
      <c r="H824" s="704"/>
      <c r="I824" s="703">
        <f>CEILING(126*$Z$1,0.1)</f>
        <v>157.5</v>
      </c>
      <c r="J824" s="704"/>
      <c r="K824" s="703">
        <f>CEILING(95*$Z$1,0.1)</f>
        <v>118.80000000000001</v>
      </c>
      <c r="L824" s="704"/>
      <c r="M824" s="23"/>
      <c r="N824" s="991"/>
    </row>
    <row r="825" spans="1:14" ht="15">
      <c r="A825" s="224"/>
      <c r="B825" s="207" t="s">
        <v>133</v>
      </c>
      <c r="C825" s="707">
        <f>CEILING((C824+35.5*$Z$1),0.1)</f>
        <v>155.70000000000002</v>
      </c>
      <c r="D825" s="708"/>
      <c r="E825" s="707">
        <f>CEILING((E824+55*$Z$1),0.1)</f>
        <v>240.10000000000002</v>
      </c>
      <c r="F825" s="708"/>
      <c r="G825" s="707">
        <f>CEILING((G824+48.5*$Z$1),0.1)</f>
        <v>212</v>
      </c>
      <c r="H825" s="708"/>
      <c r="I825" s="707">
        <f>CEILING((I824+50.5*$Z$1),0.1)</f>
        <v>220.70000000000002</v>
      </c>
      <c r="J825" s="708"/>
      <c r="K825" s="707">
        <f>CEILING((K824+38*$Z$1),0.1)</f>
        <v>166.3</v>
      </c>
      <c r="L825" s="708"/>
      <c r="M825" s="23"/>
      <c r="N825" s="991"/>
    </row>
    <row r="826" spans="1:14" ht="15">
      <c r="A826" s="1028"/>
      <c r="B826" s="225" t="s">
        <v>53</v>
      </c>
      <c r="C826" s="705">
        <f>CEILING((C824*0.85),0.1)</f>
        <v>94.7</v>
      </c>
      <c r="D826" s="706"/>
      <c r="E826" s="705">
        <f>CEILING((E824*0.85),0.1)</f>
        <v>145.70000000000002</v>
      </c>
      <c r="F826" s="706"/>
      <c r="G826" s="705">
        <f>CEILING((G824*0.85),0.1)</f>
        <v>128.70000000000002</v>
      </c>
      <c r="H826" s="706"/>
      <c r="I826" s="705">
        <f>CEILING((I824*0.85),0.1)</f>
        <v>133.9</v>
      </c>
      <c r="J826" s="706"/>
      <c r="K826" s="705">
        <f>CEILING((K824*0.85),0.1)</f>
        <v>101</v>
      </c>
      <c r="L826" s="706"/>
      <c r="M826" s="23"/>
      <c r="N826" s="991"/>
    </row>
    <row r="827" spans="1:14" ht="18" customHeight="1">
      <c r="A827" s="224"/>
      <c r="B827" s="207" t="s">
        <v>634</v>
      </c>
      <c r="C827" s="707">
        <f>CEILING(94*$Z$1,0.1)</f>
        <v>117.5</v>
      </c>
      <c r="D827" s="747"/>
      <c r="E827" s="703">
        <f>CEILING(143*$Z$1,0.1)</f>
        <v>178.8</v>
      </c>
      <c r="F827" s="704"/>
      <c r="G827" s="703">
        <f>CEILING(127*$Z$1,0.1)</f>
        <v>158.8</v>
      </c>
      <c r="H827" s="704"/>
      <c r="I827" s="703">
        <f>CEILING(132*$Z$1,0.1)</f>
        <v>165</v>
      </c>
      <c r="J827" s="704"/>
      <c r="K827" s="703">
        <f>CEILING(99*$Z$1,0.1)</f>
        <v>123.80000000000001</v>
      </c>
      <c r="L827" s="704"/>
      <c r="M827" s="23"/>
      <c r="N827" s="991"/>
    </row>
    <row r="828" spans="1:14" ht="18" customHeight="1">
      <c r="A828" s="224"/>
      <c r="B828" s="207" t="s">
        <v>635</v>
      </c>
      <c r="C828" s="707">
        <f>CEILING((C827+38*$Z$1),0.1)</f>
        <v>165</v>
      </c>
      <c r="D828" s="708"/>
      <c r="E828" s="707">
        <v>250</v>
      </c>
      <c r="F828" s="708"/>
      <c r="G828" s="707">
        <f>CEILING((G827+51*$Z$1),0.1)</f>
        <v>222.60000000000002</v>
      </c>
      <c r="H828" s="708"/>
      <c r="I828" s="707">
        <f>CEILING((I827+53*$Z$1),0.1)</f>
        <v>231.3</v>
      </c>
      <c r="J828" s="708"/>
      <c r="K828" s="707">
        <f>CEILING((K827+40*$Z$1),0.1)</f>
        <v>173.8</v>
      </c>
      <c r="L828" s="708"/>
      <c r="M828" s="23"/>
      <c r="N828" s="991"/>
    </row>
    <row r="829" spans="1:14" ht="15" customHeight="1">
      <c r="A829" s="224"/>
      <c r="B829" s="225" t="s">
        <v>53</v>
      </c>
      <c r="C829" s="705">
        <f>CEILING((C827*0.85),0.1)</f>
        <v>99.9</v>
      </c>
      <c r="D829" s="706"/>
      <c r="E829" s="705">
        <f>CEILING((E827*0.85),0.1)</f>
        <v>152</v>
      </c>
      <c r="F829" s="706"/>
      <c r="G829" s="705">
        <f>CEILING((G827*0.85),0.1)</f>
        <v>135</v>
      </c>
      <c r="H829" s="706"/>
      <c r="I829" s="705">
        <f>CEILING((I827*0.85),0.1)</f>
        <v>140.3</v>
      </c>
      <c r="J829" s="706"/>
      <c r="K829" s="705">
        <f>CEILING((K827*0.85),0.1)</f>
        <v>105.30000000000001</v>
      </c>
      <c r="L829" s="706"/>
      <c r="M829" s="23"/>
      <c r="N829" s="991"/>
    </row>
    <row r="830" spans="1:14" ht="16.5" customHeight="1">
      <c r="A830" s="224"/>
      <c r="B830" s="14" t="s">
        <v>1027</v>
      </c>
      <c r="C830" s="707">
        <f>CEILING(123*$Z$1,0.1)</f>
        <v>153.8</v>
      </c>
      <c r="D830" s="708"/>
      <c r="E830" s="703">
        <f>CEILING(183*$Z$1,0.1)</f>
        <v>228.8</v>
      </c>
      <c r="F830" s="704"/>
      <c r="G830" s="703">
        <f>CEILING(163*$Z$1,0.1)</f>
        <v>203.8</v>
      </c>
      <c r="H830" s="704"/>
      <c r="I830" s="703">
        <f>CEILING(170*$Z$1,0.1)</f>
        <v>212.5</v>
      </c>
      <c r="J830" s="704"/>
      <c r="K830" s="703">
        <f>CEILING(130*$Z$1,0.1)</f>
        <v>162.5</v>
      </c>
      <c r="L830" s="704"/>
      <c r="M830" s="23"/>
      <c r="N830" s="991"/>
    </row>
    <row r="831" spans="1:14" ht="16.5" customHeight="1">
      <c r="A831" s="224"/>
      <c r="B831" s="14" t="s">
        <v>909</v>
      </c>
      <c r="C831" s="707">
        <f>CEILING((C830*0.5),0.1)</f>
        <v>76.9</v>
      </c>
      <c r="D831" s="708"/>
      <c r="E831" s="707">
        <f>CEILING((E830*0.5),0.1)</f>
        <v>114.4</v>
      </c>
      <c r="F831" s="708"/>
      <c r="G831" s="707">
        <f>CEILING((G830*0.5),0.1)</f>
        <v>101.9</v>
      </c>
      <c r="H831" s="708"/>
      <c r="I831" s="707">
        <f>CEILING((I830*0.5),0.1)</f>
        <v>106.30000000000001</v>
      </c>
      <c r="J831" s="708"/>
      <c r="K831" s="705">
        <f>CEILING((K830*0.5),0.1)</f>
        <v>81.30000000000001</v>
      </c>
      <c r="L831" s="706"/>
      <c r="M831" s="23"/>
      <c r="N831" s="991"/>
    </row>
    <row r="832" spans="1:14" ht="16.5" customHeight="1">
      <c r="A832" s="224"/>
      <c r="B832" s="388" t="s">
        <v>274</v>
      </c>
      <c r="C832" s="707">
        <f>CEILING(160*$Z$1,0.1)</f>
        <v>200</v>
      </c>
      <c r="D832" s="747"/>
      <c r="E832" s="707">
        <f>CEILING(200*$Z$1,0.1)</f>
        <v>250</v>
      </c>
      <c r="F832" s="708"/>
      <c r="G832" s="703">
        <f>CEILING(190*$Z$1,0.1)</f>
        <v>237.5</v>
      </c>
      <c r="H832" s="704"/>
      <c r="I832" s="703">
        <f>CEILING(190*$Z$1,0.1)</f>
        <v>237.5</v>
      </c>
      <c r="J832" s="704"/>
      <c r="K832" s="703">
        <f>CEILING(160*$Z$1,0.1)</f>
        <v>200</v>
      </c>
      <c r="L832" s="704"/>
      <c r="M832" s="23"/>
      <c r="N832" s="991"/>
    </row>
    <row r="833" spans="1:14" ht="16.5" customHeight="1">
      <c r="A833" s="224"/>
      <c r="B833" s="389" t="s">
        <v>275</v>
      </c>
      <c r="C833" s="707">
        <f>CEILING((C832+64*$Z$1),0.1)</f>
        <v>280</v>
      </c>
      <c r="D833" s="708"/>
      <c r="E833" s="707">
        <f>CEILING((E832+80*$Z$1),0.1)</f>
        <v>350</v>
      </c>
      <c r="F833" s="708"/>
      <c r="G833" s="707">
        <f>CEILING((G832+77*$Z$1),0.1)</f>
        <v>333.8</v>
      </c>
      <c r="H833" s="708"/>
      <c r="I833" s="707">
        <v>333.8</v>
      </c>
      <c r="J833" s="708"/>
      <c r="K833" s="707">
        <f>CEILING((K832+64*$Z$1),0.1)</f>
        <v>280</v>
      </c>
      <c r="L833" s="708"/>
      <c r="M833" s="23"/>
      <c r="N833" s="991"/>
    </row>
    <row r="834" spans="1:14" ht="16.5" customHeight="1">
      <c r="A834" s="224"/>
      <c r="B834" s="390" t="s">
        <v>53</v>
      </c>
      <c r="C834" s="705">
        <f>CEILING((C832*0.85),0.1)</f>
        <v>170</v>
      </c>
      <c r="D834" s="706"/>
      <c r="E834" s="705">
        <f>CEILING((E832*0.85),0.1)</f>
        <v>212.5</v>
      </c>
      <c r="F834" s="706"/>
      <c r="G834" s="705">
        <f>CEILING((G832*0.85),0.1)</f>
        <v>201.9</v>
      </c>
      <c r="H834" s="706"/>
      <c r="I834" s="705">
        <f>CEILING((I832*0.85),0.1)</f>
        <v>201.9</v>
      </c>
      <c r="J834" s="706"/>
      <c r="K834" s="705">
        <f>CEILING((K832*0.85),0.1)</f>
        <v>170</v>
      </c>
      <c r="L834" s="706"/>
      <c r="M834" s="23"/>
      <c r="N834" s="991"/>
    </row>
    <row r="835" spans="1:14" ht="16.5" customHeight="1">
      <c r="A835" s="224"/>
      <c r="B835" s="391" t="s">
        <v>273</v>
      </c>
      <c r="C835" s="707">
        <f>CEILING(160*$Z$1,0.1)</f>
        <v>200</v>
      </c>
      <c r="D835" s="747"/>
      <c r="E835" s="703">
        <f>CEILING(200*$Z$1,0.1)</f>
        <v>250</v>
      </c>
      <c r="F835" s="704"/>
      <c r="G835" s="703">
        <f>CEILING(190*$Z$1,0.1)</f>
        <v>237.5</v>
      </c>
      <c r="H835" s="704"/>
      <c r="I835" s="703">
        <f>CEILING(190*$Z$1,0.1)</f>
        <v>237.5</v>
      </c>
      <c r="J835" s="704"/>
      <c r="K835" s="703">
        <f>CEILING(160*$Z$1,0.1)</f>
        <v>200</v>
      </c>
      <c r="L835" s="704"/>
      <c r="M835" s="23"/>
      <c r="N835" s="991"/>
    </row>
    <row r="836" spans="1:14" ht="16.5" customHeight="1">
      <c r="A836" s="224"/>
      <c r="B836" s="391" t="s">
        <v>1028</v>
      </c>
      <c r="C836" s="707">
        <v>170</v>
      </c>
      <c r="D836" s="708"/>
      <c r="E836" s="707">
        <v>212.5</v>
      </c>
      <c r="F836" s="708"/>
      <c r="G836" s="1115">
        <v>201.9</v>
      </c>
      <c r="H836" s="1116"/>
      <c r="I836" s="707">
        <v>201.9</v>
      </c>
      <c r="J836" s="708"/>
      <c r="K836" s="707">
        <v>170</v>
      </c>
      <c r="L836" s="708"/>
      <c r="M836" s="22"/>
      <c r="N836" s="991"/>
    </row>
    <row r="837" spans="1:14" ht="16.5" customHeight="1" thickBot="1">
      <c r="A837" s="181" t="s">
        <v>503</v>
      </c>
      <c r="B837" s="392" t="s">
        <v>1029</v>
      </c>
      <c r="C837" s="720">
        <v>180</v>
      </c>
      <c r="D837" s="721"/>
      <c r="E837" s="720">
        <v>225</v>
      </c>
      <c r="F837" s="721"/>
      <c r="G837" s="720">
        <f>CEILING((G835*0.9),0.1)</f>
        <v>213.8</v>
      </c>
      <c r="H837" s="721"/>
      <c r="I837" s="720">
        <f>CEILING((I835*0.9),0.1)</f>
        <v>213.8</v>
      </c>
      <c r="J837" s="721"/>
      <c r="K837" s="720">
        <v>180</v>
      </c>
      <c r="L837" s="721"/>
      <c r="M837" s="22"/>
      <c r="N837" s="991"/>
    </row>
    <row r="838" spans="1:14" ht="15.75" thickTop="1">
      <c r="A838" s="882" t="s">
        <v>636</v>
      </c>
      <c r="B838" s="883"/>
      <c r="C838" s="884"/>
      <c r="D838" s="884"/>
      <c r="E838" s="884"/>
      <c r="F838" s="884"/>
      <c r="G838" s="884"/>
      <c r="H838" s="884"/>
      <c r="I838" s="884"/>
      <c r="J838" s="885"/>
      <c r="K838" s="282"/>
      <c r="L838" s="282"/>
      <c r="M838" s="18"/>
      <c r="N838" s="991"/>
    </row>
    <row r="839" spans="1:14" ht="15">
      <c r="A839" s="20" t="s">
        <v>309</v>
      </c>
      <c r="B839" s="32"/>
      <c r="C839" s="32"/>
      <c r="D839" s="32"/>
      <c r="E839" s="32"/>
      <c r="F839" s="32"/>
      <c r="G839" s="32"/>
      <c r="H839" s="32"/>
      <c r="I839" s="32"/>
      <c r="J839" s="32"/>
      <c r="L839" s="282"/>
      <c r="M839" s="18"/>
      <c r="N839" s="991"/>
    </row>
    <row r="840" spans="1:14" ht="15">
      <c r="A840" s="847" t="s">
        <v>1030</v>
      </c>
      <c r="B840" s="847"/>
      <c r="C840" s="847"/>
      <c r="D840" s="847"/>
      <c r="E840" s="847"/>
      <c r="F840" s="847"/>
      <c r="G840" s="847"/>
      <c r="H840" s="847"/>
      <c r="I840" s="1052"/>
      <c r="J840" s="1052"/>
      <c r="K840" s="1053"/>
      <c r="L840" s="1053"/>
      <c r="M840" s="18"/>
      <c r="N840" s="991"/>
    </row>
    <row r="841" spans="1:14" ht="15">
      <c r="A841" s="985" t="s">
        <v>272</v>
      </c>
      <c r="B841" s="985"/>
      <c r="C841" s="985"/>
      <c r="D841" s="985"/>
      <c r="E841" s="985"/>
      <c r="F841" s="985"/>
      <c r="G841" s="985"/>
      <c r="H841" s="985"/>
      <c r="I841" s="985"/>
      <c r="J841" s="985"/>
      <c r="K841" s="985"/>
      <c r="M841" s="18"/>
      <c r="N841" s="991"/>
    </row>
    <row r="842" spans="1:14" ht="15">
      <c r="A842" s="170" t="s">
        <v>942</v>
      </c>
      <c r="B842" s="118"/>
      <c r="C842" s="118"/>
      <c r="D842" s="118"/>
      <c r="E842" s="118"/>
      <c r="F842" s="118"/>
      <c r="G842" s="118"/>
      <c r="H842" s="118"/>
      <c r="I842" s="118"/>
      <c r="J842" s="118"/>
      <c r="K842" s="282"/>
      <c r="L842" s="282"/>
      <c r="M842" s="18"/>
      <c r="N842" s="991"/>
    </row>
    <row r="843" spans="1:14" ht="15">
      <c r="A843" s="170" t="s">
        <v>1031</v>
      </c>
      <c r="B843" s="118"/>
      <c r="C843" s="118"/>
      <c r="D843" s="118"/>
      <c r="E843" s="118"/>
      <c r="F843" s="118"/>
      <c r="G843" s="118"/>
      <c r="H843" s="118"/>
      <c r="I843" s="118"/>
      <c r="J843" s="118"/>
      <c r="K843" s="282"/>
      <c r="L843" s="282"/>
      <c r="M843" s="18"/>
      <c r="N843" s="991"/>
    </row>
    <row r="844" spans="1:14" ht="15">
      <c r="A844" s="170"/>
      <c r="B844" s="170"/>
      <c r="C844" s="170"/>
      <c r="D844" s="170"/>
      <c r="E844" s="3"/>
      <c r="F844" s="3"/>
      <c r="G844" s="3"/>
      <c r="H844" s="3"/>
      <c r="I844" s="3"/>
      <c r="J844" s="3"/>
      <c r="K844" s="282"/>
      <c r="L844" s="282"/>
      <c r="M844" s="65"/>
      <c r="N844" s="65"/>
    </row>
    <row r="845" spans="1:14" ht="15.75" customHeight="1">
      <c r="A845" s="1117" t="s">
        <v>819</v>
      </c>
      <c r="B845" s="1117"/>
      <c r="C845" s="1117"/>
      <c r="D845" s="1117"/>
      <c r="E845" s="1117"/>
      <c r="F845" s="1117"/>
      <c r="G845" s="1117"/>
      <c r="H845" s="1117"/>
      <c r="I845" s="344"/>
      <c r="J845" s="344"/>
      <c r="K845" s="343"/>
      <c r="L845" s="343"/>
      <c r="M845" s="344"/>
      <c r="N845" s="991"/>
    </row>
    <row r="846" spans="1:14" ht="16.5" customHeight="1">
      <c r="A846" s="1118" t="s">
        <v>400</v>
      </c>
      <c r="B846" s="1118"/>
      <c r="C846" s="1118"/>
      <c r="D846" s="1118"/>
      <c r="E846" s="1118"/>
      <c r="F846" s="1118"/>
      <c r="G846" s="1118"/>
      <c r="H846" s="1118"/>
      <c r="I846" s="344"/>
      <c r="J846" s="344"/>
      <c r="K846" s="343"/>
      <c r="L846" s="343"/>
      <c r="M846" s="344"/>
      <c r="N846" s="991"/>
    </row>
    <row r="847" spans="1:14" ht="17.25" customHeight="1">
      <c r="A847" s="1118" t="s">
        <v>399</v>
      </c>
      <c r="B847" s="1118"/>
      <c r="C847" s="1118"/>
      <c r="D847" s="1118"/>
      <c r="E847" s="1118"/>
      <c r="F847" s="1118"/>
      <c r="G847" s="1118"/>
      <c r="H847" s="1118"/>
      <c r="I847" s="344"/>
      <c r="J847" s="344"/>
      <c r="K847" s="343"/>
      <c r="L847" s="343"/>
      <c r="M847" s="344"/>
      <c r="N847" s="991"/>
    </row>
    <row r="848" spans="1:14" ht="16.5" customHeight="1">
      <c r="A848" s="1118" t="s">
        <v>553</v>
      </c>
      <c r="B848" s="1118"/>
      <c r="C848" s="1118"/>
      <c r="D848" s="1118"/>
      <c r="E848" s="1118"/>
      <c r="F848" s="1118"/>
      <c r="G848" s="1118"/>
      <c r="H848" s="1118"/>
      <c r="I848" s="1053"/>
      <c r="J848" s="344"/>
      <c r="K848" s="343"/>
      <c r="L848" s="343"/>
      <c r="M848" s="344"/>
      <c r="N848" s="991"/>
    </row>
    <row r="849" spans="1:14" ht="16.5" customHeight="1">
      <c r="A849" s="1118" t="s">
        <v>554</v>
      </c>
      <c r="B849" s="1118"/>
      <c r="C849" s="1118"/>
      <c r="D849" s="1118"/>
      <c r="E849" s="1118"/>
      <c r="F849" s="1118"/>
      <c r="G849" s="1118"/>
      <c r="H849" s="1118"/>
      <c r="I849" s="345"/>
      <c r="J849" s="345"/>
      <c r="K849" s="343"/>
      <c r="L849" s="343"/>
      <c r="M849" s="344"/>
      <c r="N849" s="991"/>
    </row>
    <row r="850" spans="1:14" ht="14.25" customHeight="1">
      <c r="A850" s="118"/>
      <c r="B850" s="118"/>
      <c r="C850" s="118"/>
      <c r="D850" s="118"/>
      <c r="E850" s="118"/>
      <c r="F850" s="118"/>
      <c r="G850" s="118"/>
      <c r="H850" s="118"/>
      <c r="I850" s="118"/>
      <c r="J850" s="118"/>
      <c r="K850" s="282"/>
      <c r="L850" s="282"/>
      <c r="M850" s="18"/>
      <c r="N850" s="991"/>
    </row>
    <row r="851" spans="1:14" ht="15.75">
      <c r="A851" s="980" t="s">
        <v>134</v>
      </c>
      <c r="B851" s="980"/>
      <c r="C851" s="980"/>
      <c r="D851" s="980"/>
      <c r="E851" s="980"/>
      <c r="F851" s="980"/>
      <c r="G851" s="980"/>
      <c r="H851" s="980"/>
      <c r="I851" s="980"/>
      <c r="J851" s="980"/>
      <c r="K851" s="282"/>
      <c r="L851" s="282"/>
      <c r="M851" s="18"/>
      <c r="N851" s="991"/>
    </row>
    <row r="852" spans="1:14" ht="15">
      <c r="A852" s="696" t="s">
        <v>49</v>
      </c>
      <c r="B852" s="696"/>
      <c r="C852" s="562" t="s">
        <v>824</v>
      </c>
      <c r="D852" s="563"/>
      <c r="E852" s="564" t="s">
        <v>1022</v>
      </c>
      <c r="F852" s="565"/>
      <c r="G852" s="564" t="s">
        <v>841</v>
      </c>
      <c r="H852" s="565"/>
      <c r="I852" s="564" t="s">
        <v>827</v>
      </c>
      <c r="J852" s="565"/>
      <c r="K852" s="564" t="s">
        <v>828</v>
      </c>
      <c r="L852" s="565"/>
      <c r="M852" s="18"/>
      <c r="N852" s="991"/>
    </row>
    <row r="853" spans="1:14" ht="15">
      <c r="A853" s="116" t="s">
        <v>1123</v>
      </c>
      <c r="B853" s="42" t="s">
        <v>1125</v>
      </c>
      <c r="C853" s="707">
        <f>CEILING(90*$Z$1,0.1)</f>
        <v>112.5</v>
      </c>
      <c r="D853" s="747"/>
      <c r="E853" s="703">
        <f>CEILING(140*$Z$1,0.1)</f>
        <v>175</v>
      </c>
      <c r="F853" s="704"/>
      <c r="G853" s="703">
        <f>CEILING(110*$Z$1,0.1)</f>
        <v>137.5</v>
      </c>
      <c r="H853" s="704"/>
      <c r="I853" s="707">
        <f>CEILING(140*$Z$1,0.1)</f>
        <v>175</v>
      </c>
      <c r="J853" s="747"/>
      <c r="K853" s="703">
        <f>CEILING(110*$Z$1,0.1)</f>
        <v>137.5</v>
      </c>
      <c r="L853" s="704"/>
      <c r="M853" s="18"/>
      <c r="N853" s="991"/>
    </row>
    <row r="854" spans="1:14" ht="15">
      <c r="A854" s="51" t="s">
        <v>51</v>
      </c>
      <c r="B854" s="14" t="s">
        <v>1126</v>
      </c>
      <c r="C854" s="707">
        <f>CEILING((C853+55*$Z$1),0.1)</f>
        <v>181.3</v>
      </c>
      <c r="D854" s="708"/>
      <c r="E854" s="707">
        <f>CEILING((E853+55*$Z$1),0.1)</f>
        <v>243.8</v>
      </c>
      <c r="F854" s="708"/>
      <c r="G854" s="707">
        <f>CEILING((G853+55*$Z$1),0.1)</f>
        <v>206.3</v>
      </c>
      <c r="H854" s="708"/>
      <c r="I854" s="707">
        <f>CEILING((I853+55*$Z$1),0.1)</f>
        <v>243.8</v>
      </c>
      <c r="J854" s="708"/>
      <c r="K854" s="707">
        <f>CEILING((K853+55*$Z$1),0.1)</f>
        <v>206.3</v>
      </c>
      <c r="L854" s="708"/>
      <c r="M854" s="18"/>
      <c r="N854" s="991"/>
    </row>
    <row r="855" spans="1:14" ht="15">
      <c r="A855" s="1119"/>
      <c r="B855" s="38" t="s">
        <v>53</v>
      </c>
      <c r="C855" s="707">
        <f>CEILING(76.5*$Z$1,0.1)</f>
        <v>95.7</v>
      </c>
      <c r="D855" s="708"/>
      <c r="E855" s="707">
        <f>CEILING(119*$Z$1,0.1)</f>
        <v>148.8</v>
      </c>
      <c r="F855" s="708"/>
      <c r="G855" s="707">
        <f>CEILING(93.5*$Z$1,0.1)</f>
        <v>116.9</v>
      </c>
      <c r="H855" s="708"/>
      <c r="I855" s="707">
        <f>CEILING(119*$Z$1,0.1)</f>
        <v>148.8</v>
      </c>
      <c r="J855" s="708"/>
      <c r="K855" s="707">
        <f>CEILING(93.5*$Z$1,0.1)</f>
        <v>116.9</v>
      </c>
      <c r="L855" s="708"/>
      <c r="M855" s="18"/>
      <c r="N855" s="991"/>
    </row>
    <row r="856" spans="1:14" ht="15.75">
      <c r="A856" s="1120"/>
      <c r="B856" s="14" t="s">
        <v>100</v>
      </c>
      <c r="C856" s="714">
        <v>56.5</v>
      </c>
      <c r="D856" s="715"/>
      <c r="E856" s="771">
        <v>87.5</v>
      </c>
      <c r="F856" s="772"/>
      <c r="G856" s="714">
        <v>68.8</v>
      </c>
      <c r="H856" s="715"/>
      <c r="I856" s="771">
        <v>87.5</v>
      </c>
      <c r="J856" s="772"/>
      <c r="K856" s="714">
        <v>68.8</v>
      </c>
      <c r="L856" s="715"/>
      <c r="M856" s="18"/>
      <c r="N856" s="991"/>
    </row>
    <row r="857" spans="1:14" ht="15">
      <c r="A857" s="1119"/>
      <c r="B857" s="12" t="s">
        <v>1127</v>
      </c>
      <c r="C857" s="707">
        <f>CEILING(140*$Z$1,0.1)</f>
        <v>175</v>
      </c>
      <c r="D857" s="708"/>
      <c r="E857" s="707">
        <f>CEILING(190*$Z$1,0.1)</f>
        <v>237.5</v>
      </c>
      <c r="F857" s="708"/>
      <c r="G857" s="707">
        <f>CEILING(160*$Z$1,0.1)</f>
        <v>200</v>
      </c>
      <c r="H857" s="708"/>
      <c r="I857" s="707">
        <f>CEILING(190*$Z$1,0.1)</f>
        <v>237.5</v>
      </c>
      <c r="J857" s="708"/>
      <c r="K857" s="707">
        <f>CEILING(160*$Z$1,0.1)</f>
        <v>200</v>
      </c>
      <c r="L857" s="708"/>
      <c r="M857" s="18"/>
      <c r="N857" s="991"/>
    </row>
    <row r="858" spans="1:14" ht="15">
      <c r="A858" s="1119"/>
      <c r="B858" s="371" t="s">
        <v>1128</v>
      </c>
      <c r="C858" s="705">
        <f>CEILING((C857+55*$Z$1),0.1)</f>
        <v>243.8</v>
      </c>
      <c r="D858" s="1121"/>
      <c r="E858" s="765">
        <f>CEILING((E857+55*$Z$1),0.1)</f>
        <v>306.3</v>
      </c>
      <c r="F858" s="766"/>
      <c r="G858" s="765">
        <f>CEILING((G857+55*$Z$1),0.1)</f>
        <v>268.8</v>
      </c>
      <c r="H858" s="766"/>
      <c r="I858" s="765">
        <f>CEILING((I857+55*$Z$1),0.1)</f>
        <v>306.3</v>
      </c>
      <c r="J858" s="1122"/>
      <c r="K858" s="765">
        <f>CEILING((K857+55*$Z$1),0.1)</f>
        <v>268.8</v>
      </c>
      <c r="L858" s="766"/>
      <c r="M858" s="18"/>
      <c r="N858" s="991"/>
    </row>
    <row r="859" spans="1:14" ht="15">
      <c r="A859" s="1119"/>
      <c r="B859" s="42" t="s">
        <v>1131</v>
      </c>
      <c r="C859" s="703">
        <f>CEILING(140*$Z$1,0.1)</f>
        <v>175</v>
      </c>
      <c r="D859" s="764"/>
      <c r="E859" s="703">
        <f>CEILING(190*$Z$1,0.1)</f>
        <v>237.5</v>
      </c>
      <c r="F859" s="704"/>
      <c r="G859" s="703">
        <f>CEILING(160*$Z$1,0.1)</f>
        <v>200</v>
      </c>
      <c r="H859" s="704"/>
      <c r="I859" s="703">
        <f>CEILING(190*$Z$1,0.1)</f>
        <v>237.5</v>
      </c>
      <c r="J859" s="764"/>
      <c r="K859" s="703">
        <f>CEILING(160*$Z$1,0.1)</f>
        <v>200</v>
      </c>
      <c r="L859" s="704"/>
      <c r="M859" s="18"/>
      <c r="N859" s="991"/>
    </row>
    <row r="860" spans="1:14" ht="15">
      <c r="A860" s="1119"/>
      <c r="B860" s="14" t="s">
        <v>1129</v>
      </c>
      <c r="C860" s="707">
        <f>CEILING((C859+65*$Z$1),0.1)</f>
        <v>256.3</v>
      </c>
      <c r="D860" s="708"/>
      <c r="E860" s="707">
        <f>CEILING((E859+65*$Z$1),0.1)</f>
        <v>318.8</v>
      </c>
      <c r="F860" s="708"/>
      <c r="G860" s="707">
        <f>CEILING((G859+65*$Z$1),0.1)</f>
        <v>281.3</v>
      </c>
      <c r="H860" s="708"/>
      <c r="I860" s="707">
        <f>CEILING((I859+65*$Z$1),0.1)</f>
        <v>318.8</v>
      </c>
      <c r="J860" s="708"/>
      <c r="K860" s="707">
        <f>CEILING((K859+65*$Z$1),0.1)</f>
        <v>281.3</v>
      </c>
      <c r="L860" s="708"/>
      <c r="M860" s="18"/>
      <c r="N860" s="991"/>
    </row>
    <row r="861" spans="1:14" ht="15">
      <c r="A861" s="1119"/>
      <c r="B861" s="12" t="s">
        <v>1130</v>
      </c>
      <c r="C861" s="707">
        <f>CEILING(150*$Z$1,0.1)</f>
        <v>187.5</v>
      </c>
      <c r="D861" s="708"/>
      <c r="E861" s="707">
        <f>CEILING(200*$Z$1,0.1)</f>
        <v>250</v>
      </c>
      <c r="F861" s="708"/>
      <c r="G861" s="707">
        <f>CEILING(170*$Z$1,0.1)</f>
        <v>212.5</v>
      </c>
      <c r="H861" s="708"/>
      <c r="I861" s="707">
        <f>CEILING(200*$Z$1,0.1)</f>
        <v>250</v>
      </c>
      <c r="J861" s="708"/>
      <c r="K861" s="707">
        <f>CEILING(170*$Z$1,0.1)</f>
        <v>212.5</v>
      </c>
      <c r="L861" s="708"/>
      <c r="M861" s="18"/>
      <c r="N861" s="991"/>
    </row>
    <row r="862" spans="1:14" ht="15">
      <c r="A862" s="1123" t="s">
        <v>1124</v>
      </c>
      <c r="B862" s="371" t="s">
        <v>1132</v>
      </c>
      <c r="C862" s="705">
        <f>CEILING((C857+75*$Z$1),0.1)</f>
        <v>268.8</v>
      </c>
      <c r="D862" s="706"/>
      <c r="E862" s="705">
        <f>CEILING((E857+75*$Z$1),0.1)</f>
        <v>331.3</v>
      </c>
      <c r="F862" s="706"/>
      <c r="G862" s="705">
        <f>CEILING((G857+75*$Z$1),0.1)</f>
        <v>293.8</v>
      </c>
      <c r="H862" s="706"/>
      <c r="I862" s="705">
        <f>CEILING((I857+75*$Z$1),0.1)</f>
        <v>331.3</v>
      </c>
      <c r="J862" s="706"/>
      <c r="K862" s="705">
        <f>CEILING((K857+75*$Z$1),0.1)</f>
        <v>293.8</v>
      </c>
      <c r="L862" s="706"/>
      <c r="M862" s="18"/>
      <c r="N862" s="991"/>
    </row>
    <row r="863" spans="1:14" ht="15.75" thickBot="1">
      <c r="A863" s="1124"/>
      <c r="B863" s="40" t="s">
        <v>654</v>
      </c>
      <c r="C863" s="711">
        <v>0.15</v>
      </c>
      <c r="D863" s="712"/>
      <c r="E863" s="762">
        <v>0.05</v>
      </c>
      <c r="F863" s="763"/>
      <c r="G863" s="711">
        <v>0.1</v>
      </c>
      <c r="H863" s="712"/>
      <c r="I863" s="711">
        <v>0.1</v>
      </c>
      <c r="J863" s="712"/>
      <c r="K863" s="711">
        <v>0.1</v>
      </c>
      <c r="L863" s="712"/>
      <c r="M863" s="18"/>
      <c r="N863" s="991"/>
    </row>
    <row r="864" spans="1:14" ht="16.5" thickTop="1">
      <c r="A864" s="170" t="s">
        <v>684</v>
      </c>
      <c r="B864" s="661"/>
      <c r="C864" s="661"/>
      <c r="D864" s="661"/>
      <c r="E864" s="661"/>
      <c r="F864" s="661"/>
      <c r="G864" s="661"/>
      <c r="H864" s="661"/>
      <c r="I864" s="402"/>
      <c r="J864" s="402"/>
      <c r="K864" s="104"/>
      <c r="L864" s="656"/>
      <c r="M864" s="18"/>
      <c r="N864" s="991"/>
    </row>
    <row r="865" spans="1:14" ht="15.75">
      <c r="A865" s="170"/>
      <c r="B865" s="661"/>
      <c r="C865" s="661"/>
      <c r="D865" s="661"/>
      <c r="E865" s="661"/>
      <c r="F865" s="661"/>
      <c r="G865" s="661"/>
      <c r="H865" s="661"/>
      <c r="I865" s="402"/>
      <c r="J865" s="402"/>
      <c r="K865" s="104"/>
      <c r="L865" s="656"/>
      <c r="M865" s="18"/>
      <c r="N865" s="991"/>
    </row>
    <row r="866" spans="1:25" s="1127" customFormat="1" ht="16.5" thickBot="1">
      <c r="A866" s="568" t="s">
        <v>1133</v>
      </c>
      <c r="B866" s="569"/>
      <c r="C866" s="569"/>
      <c r="D866" s="569"/>
      <c r="E866" s="569"/>
      <c r="F866" s="569"/>
      <c r="G866" s="569"/>
      <c r="H866" s="569"/>
      <c r="I866" s="570"/>
      <c r="J866" s="570"/>
      <c r="K866" s="571"/>
      <c r="L866" s="572"/>
      <c r="M866" s="573"/>
      <c r="N866" s="1125"/>
      <c r="O866" s="1126"/>
      <c r="P866" s="1126"/>
      <c r="Q866" s="1126"/>
      <c r="R866" s="1126"/>
      <c r="S866" s="1126"/>
      <c r="T866" s="1126"/>
      <c r="U866" s="1126"/>
      <c r="V866" s="1126"/>
      <c r="W866" s="1126"/>
      <c r="X866" s="1126"/>
      <c r="Y866" s="1126"/>
    </row>
    <row r="867" spans="1:14" ht="21.75" customHeight="1" thickTop="1">
      <c r="A867" s="696" t="s">
        <v>49</v>
      </c>
      <c r="B867" s="696"/>
      <c r="C867" s="562" t="s">
        <v>824</v>
      </c>
      <c r="D867" s="563"/>
      <c r="E867" s="438" t="s">
        <v>1022</v>
      </c>
      <c r="F867" s="439"/>
      <c r="G867" s="438" t="s">
        <v>841</v>
      </c>
      <c r="H867" s="439"/>
      <c r="I867" s="438" t="s">
        <v>827</v>
      </c>
      <c r="J867" s="439"/>
      <c r="K867" s="438" t="s">
        <v>828</v>
      </c>
      <c r="L867" s="440"/>
      <c r="M867" s="23"/>
      <c r="N867" s="991"/>
    </row>
    <row r="868" spans="1:14" ht="17.25" customHeight="1">
      <c r="A868" s="191" t="s">
        <v>750</v>
      </c>
      <c r="B868" s="175" t="s">
        <v>681</v>
      </c>
      <c r="C868" s="707">
        <f>CEILING(100*$Z$1,0.1)</f>
        <v>125</v>
      </c>
      <c r="D868" s="747"/>
      <c r="E868" s="703">
        <f>CEILING(180*$Z$1,0.1)</f>
        <v>225</v>
      </c>
      <c r="F868" s="704"/>
      <c r="G868" s="703">
        <f>CEILING(140*$Z$1,0.1)</f>
        <v>175</v>
      </c>
      <c r="H868" s="704"/>
      <c r="I868" s="703">
        <f>CEILING(160*$Z$1,0.1)</f>
        <v>200</v>
      </c>
      <c r="J868" s="704"/>
      <c r="K868" s="703">
        <f>CEILING(140*$Z$1,0.1)</f>
        <v>175</v>
      </c>
      <c r="L868" s="704"/>
      <c r="M868" s="23"/>
      <c r="N868" s="991"/>
    </row>
    <row r="869" spans="1:14" ht="17.25" customHeight="1">
      <c r="A869" s="177" t="s">
        <v>51</v>
      </c>
      <c r="B869" s="28" t="s">
        <v>1023</v>
      </c>
      <c r="C869" s="707">
        <f>CEILING((C868+60*$Z$1),0.1)</f>
        <v>200</v>
      </c>
      <c r="D869" s="708"/>
      <c r="E869" s="707">
        <f>CEILING((E868+60*$Z$1),0.1)</f>
        <v>300</v>
      </c>
      <c r="F869" s="708"/>
      <c r="G869" s="707">
        <f>CEILING((G868+60*$Z$1),0.1)</f>
        <v>250</v>
      </c>
      <c r="H869" s="708"/>
      <c r="I869" s="707">
        <f>CEILING((I868+60*$Z$1),0.1)</f>
        <v>275</v>
      </c>
      <c r="J869" s="708"/>
      <c r="K869" s="707">
        <f>CEILING((K868+60*$Z$1),0.1)</f>
        <v>250</v>
      </c>
      <c r="L869" s="708"/>
      <c r="M869" s="23"/>
      <c r="N869" s="991"/>
    </row>
    <row r="870" spans="1:14" ht="15">
      <c r="A870" s="23"/>
      <c r="B870" s="28" t="s">
        <v>682</v>
      </c>
      <c r="C870" s="707">
        <f>CEILING(120*$Z$1,0.1)</f>
        <v>150</v>
      </c>
      <c r="D870" s="708"/>
      <c r="E870" s="707">
        <f>CEILING(200*$Z$1,0.1)</f>
        <v>250</v>
      </c>
      <c r="F870" s="708"/>
      <c r="G870" s="707">
        <f>CEILING(160*$Z$1,0.1)</f>
        <v>200</v>
      </c>
      <c r="H870" s="708"/>
      <c r="I870" s="707">
        <f>CEILING(180*$Z$1,0.1)</f>
        <v>225</v>
      </c>
      <c r="J870" s="708"/>
      <c r="K870" s="707">
        <f>CEILING(160*$Z$1,0.1)</f>
        <v>200</v>
      </c>
      <c r="L870" s="708"/>
      <c r="M870" s="23"/>
      <c r="N870" s="991"/>
    </row>
    <row r="871" spans="1:14" ht="15">
      <c r="A871" s="23"/>
      <c r="B871" s="28" t="s">
        <v>1024</v>
      </c>
      <c r="C871" s="707">
        <f>CEILING((C870+60*$Z$1),0.1)</f>
        <v>225</v>
      </c>
      <c r="D871" s="1047"/>
      <c r="E871" s="707">
        <f>CEILING((E870+60*$Z$1),0.1)</f>
        <v>325</v>
      </c>
      <c r="F871" s="708"/>
      <c r="G871" s="707">
        <f>CEILING((G870+60*$Z$1),0.1)</f>
        <v>275</v>
      </c>
      <c r="H871" s="708"/>
      <c r="I871" s="707">
        <f>CEILING((I870+60*$Z$1),0.1)</f>
        <v>300</v>
      </c>
      <c r="J871" s="708"/>
      <c r="K871" s="707">
        <f>CEILING((K870+60*$Z$1),0.1)</f>
        <v>275</v>
      </c>
      <c r="L871" s="708"/>
      <c r="M871" s="23"/>
      <c r="N871" s="991"/>
    </row>
    <row r="872" spans="1:14" ht="15">
      <c r="A872" s="23"/>
      <c r="B872" s="28" t="s">
        <v>683</v>
      </c>
      <c r="C872" s="707">
        <f>CEILING(130*$Z$1,0.1)</f>
        <v>162.5</v>
      </c>
      <c r="D872" s="708"/>
      <c r="E872" s="707">
        <f>CEILING(210*$Z$1,0.1)</f>
        <v>262.5</v>
      </c>
      <c r="F872" s="708"/>
      <c r="G872" s="707">
        <f>CEILING(170*$Z$1,0.1)</f>
        <v>212.5</v>
      </c>
      <c r="H872" s="708"/>
      <c r="I872" s="707">
        <f>CEILING(190*$Z$1,0.1)</f>
        <v>237.5</v>
      </c>
      <c r="J872" s="708"/>
      <c r="K872" s="707">
        <f>CEILING(170*$Z$1,0.1)</f>
        <v>212.5</v>
      </c>
      <c r="L872" s="708"/>
      <c r="M872" s="23"/>
      <c r="N872" s="991"/>
    </row>
    <row r="873" spans="1:14" ht="15">
      <c r="A873" s="23"/>
      <c r="B873" s="28" t="s">
        <v>425</v>
      </c>
      <c r="C873" s="707">
        <f>CEILING(140*$Z$1,0.1)</f>
        <v>175</v>
      </c>
      <c r="D873" s="708"/>
      <c r="E873" s="707">
        <f>CEILING(220*$Z$1,0.1)</f>
        <v>275</v>
      </c>
      <c r="F873" s="708"/>
      <c r="G873" s="707">
        <f>CEILING(180*$Z$1,0.1)</f>
        <v>225</v>
      </c>
      <c r="H873" s="708"/>
      <c r="I873" s="707">
        <f>CEILING(200*$Z$1,0.1)</f>
        <v>250</v>
      </c>
      <c r="J873" s="708"/>
      <c r="K873" s="707">
        <f>CEILING(180*$Z$1,0.1)</f>
        <v>225</v>
      </c>
      <c r="L873" s="708"/>
      <c r="M873" s="23"/>
      <c r="N873" s="991"/>
    </row>
    <row r="874" spans="1:14" ht="15">
      <c r="A874" s="23"/>
      <c r="B874" s="28" t="s">
        <v>426</v>
      </c>
      <c r="C874" s="707">
        <f>CEILING(150*$Z$1,0.1)</f>
        <v>187.5</v>
      </c>
      <c r="D874" s="708"/>
      <c r="E874" s="707">
        <f>CEILING(230*$Z$1,0.1)</f>
        <v>287.5</v>
      </c>
      <c r="F874" s="708"/>
      <c r="G874" s="707">
        <f>CEILING(190*$Z$1,0.1)</f>
        <v>237.5</v>
      </c>
      <c r="H874" s="708"/>
      <c r="I874" s="707">
        <f>CEILING(210*$Z$1,0.1)</f>
        <v>262.5</v>
      </c>
      <c r="J874" s="708"/>
      <c r="K874" s="707">
        <f>CEILING(190*$Z$1,0.1)</f>
        <v>237.5</v>
      </c>
      <c r="L874" s="708"/>
      <c r="M874" s="23"/>
      <c r="N874" s="991"/>
    </row>
    <row r="875" spans="1:14" ht="15">
      <c r="A875" s="23"/>
      <c r="B875" s="28" t="s">
        <v>1025</v>
      </c>
      <c r="C875" s="707">
        <v>1065</v>
      </c>
      <c r="D875" s="708"/>
      <c r="E875" s="707">
        <v>1065</v>
      </c>
      <c r="F875" s="708"/>
      <c r="G875" s="707">
        <v>1065</v>
      </c>
      <c r="H875" s="708"/>
      <c r="I875" s="707">
        <v>1065</v>
      </c>
      <c r="J875" s="708"/>
      <c r="K875" s="707">
        <v>1065</v>
      </c>
      <c r="L875" s="708"/>
      <c r="M875" s="23"/>
      <c r="N875" s="991"/>
    </row>
    <row r="876" spans="1:14" ht="17.25" customHeight="1" thickBot="1">
      <c r="A876" s="238" t="s">
        <v>507</v>
      </c>
      <c r="B876" s="40" t="s">
        <v>654</v>
      </c>
      <c r="C876" s="711">
        <v>0.15</v>
      </c>
      <c r="D876" s="712"/>
      <c r="E876" s="711">
        <v>0.1</v>
      </c>
      <c r="F876" s="712"/>
      <c r="G876" s="711">
        <v>0.1</v>
      </c>
      <c r="H876" s="712"/>
      <c r="I876" s="711">
        <v>0.1</v>
      </c>
      <c r="J876" s="712"/>
      <c r="K876" s="711">
        <v>0.1</v>
      </c>
      <c r="L876" s="712"/>
      <c r="M876" s="335"/>
      <c r="N876" s="65"/>
    </row>
    <row r="877" spans="1:14" ht="18" customHeight="1" thickTop="1">
      <c r="A877" s="903" t="s">
        <v>135</v>
      </c>
      <c r="B877" s="903"/>
      <c r="C877" s="903"/>
      <c r="D877" s="903"/>
      <c r="E877" s="903"/>
      <c r="F877" s="903"/>
      <c r="G877" s="903"/>
      <c r="H877" s="903"/>
      <c r="I877" s="152"/>
      <c r="J877" s="152"/>
      <c r="K877" s="104"/>
      <c r="L877" s="282"/>
      <c r="M877" s="18"/>
      <c r="N877" s="991"/>
    </row>
    <row r="878" spans="1:14" ht="18" customHeight="1">
      <c r="A878" s="170" t="s">
        <v>699</v>
      </c>
      <c r="B878" s="661"/>
      <c r="C878" s="661"/>
      <c r="D878" s="661"/>
      <c r="E878" s="661"/>
      <c r="F878" s="661"/>
      <c r="G878" s="661"/>
      <c r="H878" s="661"/>
      <c r="I878" s="402"/>
      <c r="J878" s="402"/>
      <c r="K878" s="104"/>
      <c r="L878" s="282"/>
      <c r="M878" s="18"/>
      <c r="N878" s="991"/>
    </row>
    <row r="879" spans="1:25" s="1130" customFormat="1" ht="21" customHeight="1" thickBot="1">
      <c r="A879" s="979"/>
      <c r="B879" s="979"/>
      <c r="C879" s="979"/>
      <c r="D879" s="979"/>
      <c r="E879" s="979"/>
      <c r="F879" s="979"/>
      <c r="G879" s="979"/>
      <c r="H879" s="979"/>
      <c r="I879" s="566"/>
      <c r="J879" s="566"/>
      <c r="K879" s="321"/>
      <c r="L879" s="567"/>
      <c r="M879" s="567"/>
      <c r="N879" s="1128"/>
      <c r="O879" s="1129"/>
      <c r="P879" s="1129"/>
      <c r="Q879" s="1129"/>
      <c r="R879" s="1129"/>
      <c r="S879" s="1129"/>
      <c r="T879" s="1129"/>
      <c r="U879" s="1129"/>
      <c r="V879" s="1129"/>
      <c r="W879" s="1129"/>
      <c r="X879" s="1129"/>
      <c r="Y879" s="1129"/>
    </row>
    <row r="880" spans="1:14" ht="24.75" customHeight="1" thickTop="1">
      <c r="A880" s="700" t="s">
        <v>49</v>
      </c>
      <c r="B880" s="700"/>
      <c r="C880" s="529" t="s">
        <v>824</v>
      </c>
      <c r="D880" s="437"/>
      <c r="E880" s="438" t="s">
        <v>848</v>
      </c>
      <c r="F880" s="439"/>
      <c r="G880" s="438" t="s">
        <v>841</v>
      </c>
      <c r="H880" s="439"/>
      <c r="I880" s="438" t="s">
        <v>827</v>
      </c>
      <c r="J880" s="439"/>
      <c r="K880" s="438" t="s">
        <v>828</v>
      </c>
      <c r="L880" s="440"/>
      <c r="M880" s="23"/>
      <c r="N880" s="991"/>
    </row>
    <row r="881" spans="1:14" ht="15">
      <c r="A881" s="191" t="s">
        <v>749</v>
      </c>
      <c r="B881" s="42" t="s">
        <v>333</v>
      </c>
      <c r="C881" s="707">
        <f>CEILING(70*$Z$1,0.1)</f>
        <v>87.5</v>
      </c>
      <c r="D881" s="747"/>
      <c r="E881" s="703">
        <f>CEILING(90*$Z$1,0.1)</f>
        <v>112.5</v>
      </c>
      <c r="F881" s="704"/>
      <c r="G881" s="703">
        <f>CEILING(85*$Z$1,0.1)</f>
        <v>106.30000000000001</v>
      </c>
      <c r="H881" s="704"/>
      <c r="I881" s="703">
        <f>CEILING(90*$Z$1,0.1)</f>
        <v>112.5</v>
      </c>
      <c r="J881" s="704"/>
      <c r="K881" s="703">
        <f>CEILING(80*$Z$1,0.1)</f>
        <v>100</v>
      </c>
      <c r="L881" s="704"/>
      <c r="M881" s="23"/>
      <c r="N881" s="991"/>
    </row>
    <row r="882" spans="1:14" ht="15">
      <c r="A882" s="177" t="s">
        <v>51</v>
      </c>
      <c r="B882" s="14" t="s">
        <v>334</v>
      </c>
      <c r="C882" s="707">
        <f>CEILING((C881+45*$Z$1),0.1)</f>
        <v>143.8</v>
      </c>
      <c r="D882" s="708"/>
      <c r="E882" s="707">
        <f>CEILING((E881+45*$Z$1),0.1)</f>
        <v>168.8</v>
      </c>
      <c r="F882" s="708"/>
      <c r="G882" s="707">
        <f>CEILING((G881+45*$Z$1),0.1)</f>
        <v>162.60000000000002</v>
      </c>
      <c r="H882" s="708"/>
      <c r="I882" s="707">
        <f>CEILING((I881+45*$Z$1),0.1)</f>
        <v>168.8</v>
      </c>
      <c r="J882" s="708"/>
      <c r="K882" s="707">
        <f>CEILING((K881+45*$Z$1),0.1)</f>
        <v>156.3</v>
      </c>
      <c r="L882" s="708"/>
      <c r="M882" s="23"/>
      <c r="N882" s="991"/>
    </row>
    <row r="883" spans="1:14" ht="15">
      <c r="A883" s="1050"/>
      <c r="B883" s="14" t="s">
        <v>53</v>
      </c>
      <c r="C883" s="707">
        <f>CEILING((C881*0.85),0.1)</f>
        <v>74.4</v>
      </c>
      <c r="D883" s="708"/>
      <c r="E883" s="707">
        <f>CEILING((E881*0.85),0.1)</f>
        <v>95.7</v>
      </c>
      <c r="F883" s="708"/>
      <c r="G883" s="707">
        <f>CEILING((G881*0.85),0.1)</f>
        <v>90.4</v>
      </c>
      <c r="H883" s="708"/>
      <c r="I883" s="707">
        <f>CEILING((I881*0.85),0.1)</f>
        <v>95.7</v>
      </c>
      <c r="J883" s="708"/>
      <c r="K883" s="707">
        <f>CEILING((K881*0.85),0.1)</f>
        <v>85</v>
      </c>
      <c r="L883" s="708"/>
      <c r="M883" s="23"/>
      <c r="N883" s="991"/>
    </row>
    <row r="884" spans="1:14" ht="15">
      <c r="A884" s="1050"/>
      <c r="B884" s="14" t="s">
        <v>85</v>
      </c>
      <c r="C884" s="707">
        <f>CEILING((C881*0.5),0.1)</f>
        <v>43.800000000000004</v>
      </c>
      <c r="D884" s="1047"/>
      <c r="E884" s="707">
        <f>CEILING((E881*0.5),0.1)</f>
        <v>56.300000000000004</v>
      </c>
      <c r="F884" s="708"/>
      <c r="G884" s="707">
        <f>CEILING((G881*0.5),0.1)</f>
        <v>53.2</v>
      </c>
      <c r="H884" s="708"/>
      <c r="I884" s="707">
        <f>CEILING((I881*0.5),0.1)</f>
        <v>56.300000000000004</v>
      </c>
      <c r="J884" s="708"/>
      <c r="K884" s="707">
        <f>CEILING((K881*0.5),0.1)</f>
        <v>50</v>
      </c>
      <c r="L884" s="708"/>
      <c r="M884" s="23"/>
      <c r="N884" s="991"/>
    </row>
    <row r="885" spans="1:14" ht="15">
      <c r="A885" s="1050"/>
      <c r="B885" s="14" t="s">
        <v>339</v>
      </c>
      <c r="C885" s="707">
        <f>CEILING(95*$Z$1,0.1)</f>
        <v>118.80000000000001</v>
      </c>
      <c r="D885" s="708"/>
      <c r="E885" s="707">
        <f>CEILING(115*$Z$1,0.1)</f>
        <v>143.8</v>
      </c>
      <c r="F885" s="708"/>
      <c r="G885" s="707">
        <f>CEILING(110*$Z$1,0.1)</f>
        <v>137.5</v>
      </c>
      <c r="H885" s="708"/>
      <c r="I885" s="707">
        <f>CEILING(115*$Z$1,0.1)</f>
        <v>143.8</v>
      </c>
      <c r="J885" s="708"/>
      <c r="K885" s="707">
        <f>CEILING(105*$Z$1,0.1)</f>
        <v>131.3</v>
      </c>
      <c r="L885" s="708"/>
      <c r="M885" s="23"/>
      <c r="N885" s="991"/>
    </row>
    <row r="886" spans="1:14" ht="16.5" thickBot="1">
      <c r="A886" s="238" t="s">
        <v>520</v>
      </c>
      <c r="B886" s="40" t="s">
        <v>654</v>
      </c>
      <c r="C886" s="711">
        <v>0.15</v>
      </c>
      <c r="D886" s="712"/>
      <c r="E886" s="711">
        <v>0.1</v>
      </c>
      <c r="F886" s="712"/>
      <c r="G886" s="711">
        <v>0.1</v>
      </c>
      <c r="H886" s="712"/>
      <c r="I886" s="711">
        <v>0.1</v>
      </c>
      <c r="J886" s="712"/>
      <c r="K886" s="711">
        <v>0.1</v>
      </c>
      <c r="L886" s="712"/>
      <c r="M886" s="335"/>
      <c r="N886" s="65"/>
    </row>
    <row r="887" spans="1:14" ht="15.75" thickTop="1">
      <c r="A887" s="170" t="s">
        <v>679</v>
      </c>
      <c r="B887" s="47"/>
      <c r="C887" s="656"/>
      <c r="D887" s="656"/>
      <c r="E887" s="656"/>
      <c r="F887" s="656"/>
      <c r="G887" s="656"/>
      <c r="H887" s="656"/>
      <c r="I887" s="656"/>
      <c r="J887" s="656"/>
      <c r="K887" s="656"/>
      <c r="L887" s="656"/>
      <c r="M887" s="65"/>
      <c r="N887" s="65"/>
    </row>
    <row r="888" spans="1:14" ht="16.5" customHeight="1" thickBot="1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104"/>
      <c r="L888" s="282"/>
      <c r="M888" s="18"/>
      <c r="N888" s="991"/>
    </row>
    <row r="889" spans="1:14" ht="24" customHeight="1" thickTop="1">
      <c r="A889" s="696" t="s">
        <v>49</v>
      </c>
      <c r="B889" s="696"/>
      <c r="C889" s="529" t="s">
        <v>824</v>
      </c>
      <c r="D889" s="437"/>
      <c r="E889" s="438" t="s">
        <v>848</v>
      </c>
      <c r="F889" s="439"/>
      <c r="G889" s="438" t="s">
        <v>841</v>
      </c>
      <c r="H889" s="439"/>
      <c r="I889" s="438" t="s">
        <v>827</v>
      </c>
      <c r="J889" s="439"/>
      <c r="K889" s="438" t="s">
        <v>828</v>
      </c>
      <c r="L889" s="440"/>
      <c r="M889" s="697"/>
      <c r="N889" s="101"/>
    </row>
    <row r="890" spans="1:14" ht="15">
      <c r="A890" s="53" t="s">
        <v>748</v>
      </c>
      <c r="B890" s="42" t="s">
        <v>333</v>
      </c>
      <c r="C890" s="707">
        <f>CEILING(65*$Z$1,0.1)</f>
        <v>81.30000000000001</v>
      </c>
      <c r="D890" s="747"/>
      <c r="E890" s="703">
        <f>CEILING(85*$Z$1,0.1)</f>
        <v>106.30000000000001</v>
      </c>
      <c r="F890" s="704"/>
      <c r="G890" s="703">
        <f>CEILING(80*$Z$1,0.1)</f>
        <v>100</v>
      </c>
      <c r="H890" s="704"/>
      <c r="I890" s="703">
        <f>CEILING(85*$Z$1,0.1)</f>
        <v>106.30000000000001</v>
      </c>
      <c r="J890" s="704"/>
      <c r="K890" s="703">
        <f>CEILING(75*$Z$1,0.1)</f>
        <v>93.80000000000001</v>
      </c>
      <c r="L890" s="704"/>
      <c r="M890" s="697"/>
      <c r="N890" s="101"/>
    </row>
    <row r="891" spans="1:14" ht="18.75" customHeight="1">
      <c r="A891" s="51" t="s">
        <v>51</v>
      </c>
      <c r="B891" s="14" t="s">
        <v>334</v>
      </c>
      <c r="C891" s="707">
        <f>CEILING((C890+40*$Z$1),0.1)</f>
        <v>131.3</v>
      </c>
      <c r="D891" s="708"/>
      <c r="E891" s="707">
        <f>CEILING((E890+40*$Z$1),0.1)</f>
        <v>156.3</v>
      </c>
      <c r="F891" s="708"/>
      <c r="G891" s="707">
        <f>CEILING((G890+40*$Z$1),0.1)</f>
        <v>150</v>
      </c>
      <c r="H891" s="708"/>
      <c r="I891" s="707">
        <f>CEILING((I890+40*$Z$1),0.1)</f>
        <v>156.3</v>
      </c>
      <c r="J891" s="708"/>
      <c r="K891" s="707">
        <f>CEILING((K890+40*$Z$1),0.1)</f>
        <v>143.8</v>
      </c>
      <c r="L891" s="708"/>
      <c r="M891" s="697"/>
      <c r="N891" s="101"/>
    </row>
    <row r="892" spans="1:14" ht="18.75" customHeight="1">
      <c r="A892" s="51"/>
      <c r="B892" s="14" t="s">
        <v>86</v>
      </c>
      <c r="C892" s="707">
        <f>CEILING((C890*0.85),0.1)</f>
        <v>69.2</v>
      </c>
      <c r="D892" s="708"/>
      <c r="E892" s="707">
        <f>CEILING((E890*0.85),0.1)</f>
        <v>90.4</v>
      </c>
      <c r="F892" s="708"/>
      <c r="G892" s="707">
        <f>CEILING((G890*0.85),0.1)</f>
        <v>85</v>
      </c>
      <c r="H892" s="708"/>
      <c r="I892" s="707">
        <f>CEILING((I890*0.85),0.1)</f>
        <v>90.4</v>
      </c>
      <c r="J892" s="708"/>
      <c r="K892" s="707">
        <f>CEILING((K890*0.85),0.1)</f>
        <v>79.80000000000001</v>
      </c>
      <c r="L892" s="708"/>
      <c r="M892" s="335"/>
      <c r="N892" s="65"/>
    </row>
    <row r="893" spans="1:14" ht="18" customHeight="1">
      <c r="A893" s="51"/>
      <c r="B893" s="39" t="s">
        <v>85</v>
      </c>
      <c r="C893" s="707">
        <f>CEILING((C890*0.5),0.1)</f>
        <v>40.7</v>
      </c>
      <c r="D893" s="708"/>
      <c r="E893" s="707">
        <f>CEILING((E890*0.5),0.1)</f>
        <v>53.2</v>
      </c>
      <c r="F893" s="708"/>
      <c r="G893" s="707">
        <f>CEILING((G890*0.5),0.1)</f>
        <v>50</v>
      </c>
      <c r="H893" s="708"/>
      <c r="I893" s="707">
        <f>CEILING((I890*0.5),0.1)</f>
        <v>53.2</v>
      </c>
      <c r="J893" s="708"/>
      <c r="K893" s="707">
        <f>CEILING((K890*0.5),0.1)</f>
        <v>46.900000000000006</v>
      </c>
      <c r="L893" s="708"/>
      <c r="M893" s="23"/>
      <c r="N893" s="991"/>
    </row>
    <row r="894" spans="1:14" ht="18" customHeight="1">
      <c r="A894" s="51"/>
      <c r="B894" s="14" t="s">
        <v>339</v>
      </c>
      <c r="C894" s="707">
        <f>CEILING(90*$Z$1,0.1)</f>
        <v>112.5</v>
      </c>
      <c r="D894" s="708"/>
      <c r="E894" s="707">
        <f>CEILING(110*$Z$1,0.1)</f>
        <v>137.5</v>
      </c>
      <c r="F894" s="708"/>
      <c r="G894" s="707">
        <f>CEILING(105*$Z$1,0.1)</f>
        <v>131.3</v>
      </c>
      <c r="H894" s="708"/>
      <c r="I894" s="707">
        <f>CEILING(110*$Z$1,0.1)</f>
        <v>137.5</v>
      </c>
      <c r="J894" s="708"/>
      <c r="K894" s="707">
        <f>CEILING(100*$Z$1,0.1)</f>
        <v>125</v>
      </c>
      <c r="L894" s="708"/>
      <c r="M894" s="23"/>
      <c r="N894" s="991"/>
    </row>
    <row r="895" spans="1:14" ht="18" customHeight="1">
      <c r="A895" s="177"/>
      <c r="B895" s="14" t="s">
        <v>340</v>
      </c>
      <c r="C895" s="707">
        <f>CEILING((C894+40*$Z$1),0.1)</f>
        <v>162.5</v>
      </c>
      <c r="D895" s="1047"/>
      <c r="E895" s="707">
        <f>CEILING((E894+40*$Z$1),0.1)</f>
        <v>187.5</v>
      </c>
      <c r="F895" s="708"/>
      <c r="G895" s="707">
        <f>CEILING((G894+40*$Z$1),0.1)</f>
        <v>181.3</v>
      </c>
      <c r="H895" s="708"/>
      <c r="I895" s="707">
        <f>CEILING((I894+40*$Z$1),0.1)</f>
        <v>187.5</v>
      </c>
      <c r="J895" s="708"/>
      <c r="K895" s="707">
        <f>CEILING((K894+40*$Z$1),0.1)</f>
        <v>175</v>
      </c>
      <c r="L895" s="708"/>
      <c r="M895" s="23"/>
      <c r="N895" s="991"/>
    </row>
    <row r="896" spans="1:14" ht="18.75" customHeight="1" thickBot="1">
      <c r="A896" s="238" t="s">
        <v>507</v>
      </c>
      <c r="B896" s="40" t="s">
        <v>654</v>
      </c>
      <c r="C896" s="711">
        <v>0.15</v>
      </c>
      <c r="D896" s="712"/>
      <c r="E896" s="711">
        <v>0.1</v>
      </c>
      <c r="F896" s="712"/>
      <c r="G896" s="711">
        <v>0.1</v>
      </c>
      <c r="H896" s="712"/>
      <c r="I896" s="711">
        <v>0.1</v>
      </c>
      <c r="J896" s="712"/>
      <c r="K896" s="711">
        <v>0.1</v>
      </c>
      <c r="L896" s="712"/>
      <c r="M896" s="23"/>
      <c r="N896" s="991"/>
    </row>
    <row r="897" spans="1:14" ht="18.75" customHeight="1" thickTop="1">
      <c r="A897" s="170" t="s">
        <v>680</v>
      </c>
      <c r="B897" s="47"/>
      <c r="C897" s="656"/>
      <c r="D897" s="656"/>
      <c r="E897" s="656"/>
      <c r="F897" s="656"/>
      <c r="G897" s="656"/>
      <c r="H897" s="656"/>
      <c r="I897" s="656"/>
      <c r="J897" s="656"/>
      <c r="K897" s="656"/>
      <c r="L897" s="656"/>
      <c r="M897" s="22"/>
      <c r="N897" s="991"/>
    </row>
    <row r="898" spans="1:14" ht="17.25" customHeight="1" thickBot="1">
      <c r="A898" s="79"/>
      <c r="B898" s="56"/>
      <c r="C898" s="2"/>
      <c r="D898" s="2"/>
      <c r="E898" s="2"/>
      <c r="F898" s="2"/>
      <c r="G898" s="2"/>
      <c r="H898" s="2"/>
      <c r="I898" s="2"/>
      <c r="J898" s="2"/>
      <c r="K898" s="104"/>
      <c r="L898" s="282"/>
      <c r="M898" s="101"/>
      <c r="N898" s="101"/>
    </row>
    <row r="899" spans="1:14" ht="28.5" customHeight="1" thickTop="1">
      <c r="A899" s="700" t="s">
        <v>49</v>
      </c>
      <c r="B899" s="700"/>
      <c r="C899" s="529" t="s">
        <v>824</v>
      </c>
      <c r="D899" s="437"/>
      <c r="E899" s="438" t="s">
        <v>848</v>
      </c>
      <c r="F899" s="439"/>
      <c r="G899" s="438" t="s">
        <v>841</v>
      </c>
      <c r="H899" s="439"/>
      <c r="I899" s="438" t="s">
        <v>827</v>
      </c>
      <c r="J899" s="439"/>
      <c r="K899" s="438" t="s">
        <v>828</v>
      </c>
      <c r="L899" s="440"/>
      <c r="M899" s="4"/>
      <c r="N899" s="3"/>
    </row>
    <row r="900" spans="1:14" ht="17.25" customHeight="1">
      <c r="A900" s="116" t="s">
        <v>747</v>
      </c>
      <c r="B900" s="84" t="s">
        <v>57</v>
      </c>
      <c r="C900" s="707">
        <f>CEILING(48*$Z$1,0.1)</f>
        <v>60</v>
      </c>
      <c r="D900" s="747"/>
      <c r="E900" s="703">
        <f>CEILING(65*$Z$1,0.1)</f>
        <v>81.30000000000001</v>
      </c>
      <c r="F900" s="704"/>
      <c r="G900" s="703">
        <f>CEILING(60*$Z$1,0.1)</f>
        <v>75</v>
      </c>
      <c r="H900" s="704"/>
      <c r="I900" s="703">
        <f>CEILING(70*$Z$1,0.1)</f>
        <v>87.5</v>
      </c>
      <c r="J900" s="704"/>
      <c r="K900" s="703">
        <f>CEILING(65*$Z$1,0.1)</f>
        <v>81.30000000000001</v>
      </c>
      <c r="L900" s="704"/>
      <c r="M900" s="4"/>
      <c r="N900" s="3"/>
    </row>
    <row r="901" spans="1:14" ht="15">
      <c r="A901" s="51" t="s">
        <v>65</v>
      </c>
      <c r="B901" s="31" t="s">
        <v>58</v>
      </c>
      <c r="C901" s="707">
        <f>CEILING((C900+30*$Z$1),0.1)</f>
        <v>97.5</v>
      </c>
      <c r="D901" s="708"/>
      <c r="E901" s="707">
        <f>CEILING((E900+30*$Z$1),0.1)</f>
        <v>118.80000000000001</v>
      </c>
      <c r="F901" s="708"/>
      <c r="G901" s="707">
        <f>CEILING((G900+30*$Z$1),0.1)</f>
        <v>112.5</v>
      </c>
      <c r="H901" s="708"/>
      <c r="I901" s="707">
        <f>CEILING((I900+30*$Z$1),0.1)</f>
        <v>125</v>
      </c>
      <c r="J901" s="708"/>
      <c r="K901" s="707">
        <f>CEILING((K900+30*$Z$1),0.1)</f>
        <v>118.80000000000001</v>
      </c>
      <c r="L901" s="708"/>
      <c r="M901" s="4"/>
      <c r="N901" s="3"/>
    </row>
    <row r="902" spans="1:14" ht="15">
      <c r="A902" s="51"/>
      <c r="B902" s="39" t="s">
        <v>86</v>
      </c>
      <c r="C902" s="707">
        <f>CEILING((C900*0.85),0.1)</f>
        <v>51</v>
      </c>
      <c r="D902" s="708"/>
      <c r="E902" s="707">
        <f>CEILING((E900*0.85),0.1)</f>
        <v>69.2</v>
      </c>
      <c r="F902" s="708"/>
      <c r="G902" s="707">
        <f>CEILING((G900*0.85),0.1)</f>
        <v>63.800000000000004</v>
      </c>
      <c r="H902" s="708"/>
      <c r="I902" s="707">
        <f>CEILING((I900*0.85),0.1)</f>
        <v>74.4</v>
      </c>
      <c r="J902" s="708"/>
      <c r="K902" s="707">
        <f>CEILING((K900*0.85),0.1)</f>
        <v>69.2</v>
      </c>
      <c r="L902" s="708"/>
      <c r="M902" s="67"/>
      <c r="N902" s="26"/>
    </row>
    <row r="903" spans="1:14" ht="18" customHeight="1">
      <c r="A903" s="51"/>
      <c r="B903" s="39" t="s">
        <v>85</v>
      </c>
      <c r="C903" s="707">
        <f>CEILING((C900*0.5),0.1)</f>
        <v>30</v>
      </c>
      <c r="D903" s="708"/>
      <c r="E903" s="707">
        <f>CEILING((E900*0.5),0.1)</f>
        <v>40.7</v>
      </c>
      <c r="F903" s="708"/>
      <c r="G903" s="707">
        <f>CEILING((G900*0.5),0.1)</f>
        <v>37.5</v>
      </c>
      <c r="H903" s="708"/>
      <c r="I903" s="707">
        <f>CEILING((I900*0.5),0.1)</f>
        <v>43.800000000000004</v>
      </c>
      <c r="J903" s="708"/>
      <c r="K903" s="707">
        <f>CEILING((K900*0.5),0.1)</f>
        <v>40.7</v>
      </c>
      <c r="L903" s="708"/>
      <c r="M903" s="697"/>
      <c r="N903" s="101"/>
    </row>
    <row r="904" spans="1:14" ht="17.25" customHeight="1">
      <c r="A904" s="51"/>
      <c r="B904" s="12" t="s">
        <v>89</v>
      </c>
      <c r="C904" s="707">
        <f>CEILING(63*$Z$1,0.1)</f>
        <v>78.80000000000001</v>
      </c>
      <c r="D904" s="708"/>
      <c r="E904" s="707">
        <f>CEILING(80*$Z$1,0.1)</f>
        <v>100</v>
      </c>
      <c r="F904" s="708"/>
      <c r="G904" s="707">
        <f>CEILING(75*$Z$1,0.1)</f>
        <v>93.80000000000001</v>
      </c>
      <c r="H904" s="708"/>
      <c r="I904" s="707">
        <f>CEILING(85*$Z$1,0.1)</f>
        <v>106.30000000000001</v>
      </c>
      <c r="J904" s="708"/>
      <c r="K904" s="707">
        <f>CEILING(80*$Z$1,0.1)</f>
        <v>100</v>
      </c>
      <c r="L904" s="708"/>
      <c r="M904" s="101"/>
      <c r="N904" s="101"/>
    </row>
    <row r="905" spans="1:14" ht="17.25" customHeight="1">
      <c r="A905" s="177"/>
      <c r="B905" s="12" t="s">
        <v>90</v>
      </c>
      <c r="C905" s="707">
        <f>CEILING((C904+30*$Z$1),0.1)</f>
        <v>116.30000000000001</v>
      </c>
      <c r="D905" s="1047"/>
      <c r="E905" s="707">
        <f>CEILING((E904+30*$Z$1),0.1)</f>
        <v>137.5</v>
      </c>
      <c r="F905" s="708"/>
      <c r="G905" s="707">
        <f>CEILING((G904+30*$Z$1),0.1)</f>
        <v>131.3</v>
      </c>
      <c r="H905" s="708"/>
      <c r="I905" s="707">
        <f>CEILING((I904+30*$Z$1),0.1)</f>
        <v>143.8</v>
      </c>
      <c r="J905" s="708"/>
      <c r="K905" s="707">
        <f>CEILING((K904+30*$Z$1),0.1)</f>
        <v>137.5</v>
      </c>
      <c r="L905" s="708"/>
      <c r="M905" s="101"/>
      <c r="N905" s="101"/>
    </row>
    <row r="906" spans="1:14" ht="16.5" customHeight="1" thickBot="1">
      <c r="A906" s="238" t="s">
        <v>507</v>
      </c>
      <c r="B906" s="40" t="s">
        <v>654</v>
      </c>
      <c r="C906" s="711">
        <v>0.15</v>
      </c>
      <c r="D906" s="712"/>
      <c r="E906" s="711">
        <v>0.1</v>
      </c>
      <c r="F906" s="712"/>
      <c r="G906" s="711">
        <v>0.1</v>
      </c>
      <c r="H906" s="712"/>
      <c r="I906" s="711">
        <v>0.1</v>
      </c>
      <c r="J906" s="712"/>
      <c r="K906" s="711">
        <v>0.1</v>
      </c>
      <c r="L906" s="712"/>
      <c r="M906" s="101"/>
      <c r="N906" s="101"/>
    </row>
    <row r="907" spans="1:14" ht="16.5" customHeight="1" thickTop="1">
      <c r="A907" s="170" t="s">
        <v>679</v>
      </c>
      <c r="B907" s="47"/>
      <c r="C907" s="656"/>
      <c r="D907" s="656"/>
      <c r="E907" s="656"/>
      <c r="F907" s="656"/>
      <c r="G907" s="656"/>
      <c r="H907" s="656"/>
      <c r="I907" s="656"/>
      <c r="J907" s="656"/>
      <c r="K907" s="656"/>
      <c r="L907" s="656"/>
      <c r="M907" s="101"/>
      <c r="N907" s="101"/>
    </row>
    <row r="908" spans="1:13" ht="17.25" customHeight="1" thickBot="1">
      <c r="A908" s="79"/>
      <c r="B908" s="149"/>
      <c r="C908" s="2"/>
      <c r="D908" s="2"/>
      <c r="E908" s="2"/>
      <c r="F908" s="2"/>
      <c r="G908" s="2"/>
      <c r="H908" s="2"/>
      <c r="I908" s="2"/>
      <c r="J908" s="2"/>
      <c r="K908" s="104"/>
      <c r="L908" s="282"/>
      <c r="M908" s="992"/>
    </row>
    <row r="909" spans="1:13" ht="26.25" customHeight="1" hidden="1" thickTop="1">
      <c r="A909" s="78" t="s">
        <v>49</v>
      </c>
      <c r="B909" s="78"/>
      <c r="C909" s="795" t="s">
        <v>579</v>
      </c>
      <c r="D909" s="796"/>
      <c r="E909" s="750" t="s">
        <v>580</v>
      </c>
      <c r="F909" s="751"/>
      <c r="G909" s="758" t="s">
        <v>581</v>
      </c>
      <c r="H909" s="759"/>
      <c r="I909" s="758" t="s">
        <v>582</v>
      </c>
      <c r="J909" s="759"/>
      <c r="K909" s="284"/>
      <c r="L909" s="282"/>
      <c r="M909" s="992"/>
    </row>
    <row r="910" spans="1:13" ht="17.25" customHeight="1" hidden="1">
      <c r="A910" s="116" t="s">
        <v>746</v>
      </c>
      <c r="B910" s="84" t="s">
        <v>57</v>
      </c>
      <c r="C910" s="707">
        <f>CEILING(79*$Z$1,0.1)</f>
        <v>98.80000000000001</v>
      </c>
      <c r="D910" s="747"/>
      <c r="E910" s="703">
        <f>CEILING(94*$Z$1,0.1)</f>
        <v>117.5</v>
      </c>
      <c r="F910" s="704"/>
      <c r="G910" s="703">
        <f>CEILING(90*$Z$1,0.1)</f>
        <v>112.5</v>
      </c>
      <c r="H910" s="704"/>
      <c r="I910" s="703">
        <f>CEILING(67*$Z$1,0.1)</f>
        <v>83.80000000000001</v>
      </c>
      <c r="J910" s="704"/>
      <c r="K910" s="284"/>
      <c r="L910" s="282"/>
      <c r="M910" s="992"/>
    </row>
    <row r="911" spans="1:25" ht="16.5" customHeight="1" hidden="1">
      <c r="A911" s="51" t="s">
        <v>51</v>
      </c>
      <c r="B911" s="31" t="s">
        <v>58</v>
      </c>
      <c r="C911" s="707">
        <f>CEILING((C910+25*$Z$1),0.1)</f>
        <v>130.1</v>
      </c>
      <c r="D911" s="708"/>
      <c r="E911" s="707">
        <f>CEILING((E910+25*$Z$1),0.1)</f>
        <v>148.8</v>
      </c>
      <c r="F911" s="708"/>
      <c r="G911" s="707">
        <f>CEILING((G910+25*$Z$1),0.1)</f>
        <v>143.8</v>
      </c>
      <c r="H911" s="708"/>
      <c r="I911" s="707">
        <f>CEILING((I910+25*$Z$1),0.1)</f>
        <v>115.10000000000001</v>
      </c>
      <c r="J911" s="708"/>
      <c r="K911" s="297"/>
      <c r="L911" s="297"/>
      <c r="M911" s="992"/>
      <c r="X911" s="993"/>
      <c r="Y911" s="993"/>
    </row>
    <row r="912" spans="1:25" ht="17.25" customHeight="1" hidden="1">
      <c r="A912" s="51"/>
      <c r="B912" s="39" t="s">
        <v>86</v>
      </c>
      <c r="C912" s="707">
        <f>CEILING(67*$Z$1,0.1)</f>
        <v>83.80000000000001</v>
      </c>
      <c r="D912" s="708"/>
      <c r="E912" s="707">
        <f>CEILING(80*$Z$1,0.1)</f>
        <v>100</v>
      </c>
      <c r="F912" s="708"/>
      <c r="G912" s="707">
        <f>CEILING(77*$Z$1,0.1)</f>
        <v>96.30000000000001</v>
      </c>
      <c r="H912" s="708"/>
      <c r="I912" s="707">
        <f>CEILING(57*$Z$1,0.1)</f>
        <v>71.3</v>
      </c>
      <c r="J912" s="708"/>
      <c r="K912" s="297"/>
      <c r="L912" s="297"/>
      <c r="M912" s="992"/>
      <c r="V912" s="993"/>
      <c r="W912" s="993"/>
      <c r="X912" s="993"/>
      <c r="Y912" s="993"/>
    </row>
    <row r="913" spans="1:25" ht="17.25" customHeight="1" hidden="1">
      <c r="A913" s="99"/>
      <c r="B913" s="39" t="s">
        <v>85</v>
      </c>
      <c r="C913" s="707">
        <f>CEILING(40*$Z$1,0.1)</f>
        <v>50</v>
      </c>
      <c r="D913" s="708"/>
      <c r="E913" s="707">
        <f>CEILING(47*$Z$1,0.1)</f>
        <v>58.800000000000004</v>
      </c>
      <c r="F913" s="708"/>
      <c r="G913" s="707">
        <f>CEILING(45*$Z$1,0.1)</f>
        <v>56.300000000000004</v>
      </c>
      <c r="H913" s="708"/>
      <c r="I913" s="707">
        <f>CEILING(34*$Z$1,0.1)</f>
        <v>42.5</v>
      </c>
      <c r="J913" s="708"/>
      <c r="K913" s="265"/>
      <c r="L913" s="265"/>
      <c r="M913" s="992"/>
      <c r="V913" s="993"/>
      <c r="W913" s="993"/>
      <c r="X913" s="993"/>
      <c r="Y913" s="993"/>
    </row>
    <row r="914" spans="1:25" ht="17.25" customHeight="1" hidden="1" thickBot="1">
      <c r="A914" s="115" t="s">
        <v>526</v>
      </c>
      <c r="B914" s="413" t="s">
        <v>137</v>
      </c>
      <c r="C914" s="720">
        <f>CEILING(99*$Z$1,0.1)</f>
        <v>123.80000000000001</v>
      </c>
      <c r="D914" s="721"/>
      <c r="E914" s="720">
        <f>CEILING(114*$Z$1,0.1)</f>
        <v>142.5</v>
      </c>
      <c r="F914" s="721"/>
      <c r="G914" s="720">
        <f>CEILING(110*$Z$1,0.1)</f>
        <v>137.5</v>
      </c>
      <c r="H914" s="721"/>
      <c r="I914" s="720">
        <f>CEILING(87*$Z$1,0.1)</f>
        <v>108.80000000000001</v>
      </c>
      <c r="J914" s="721"/>
      <c r="K914" s="265"/>
      <c r="L914" s="265"/>
      <c r="M914" s="992"/>
      <c r="X914" s="993"/>
      <c r="Y914" s="993"/>
    </row>
    <row r="915" spans="1:14" ht="18" customHeight="1" hidden="1" thickTop="1">
      <c r="A915" s="82" t="s">
        <v>726</v>
      </c>
      <c r="B915" s="47"/>
      <c r="C915" s="3"/>
      <c r="D915" s="3"/>
      <c r="E915" s="3"/>
      <c r="F915" s="3"/>
      <c r="G915" s="3"/>
      <c r="H915" s="3"/>
      <c r="I915" s="3"/>
      <c r="J915" s="3"/>
      <c r="K915" s="265"/>
      <c r="L915" s="265"/>
      <c r="M915" s="101"/>
      <c r="N915" s="101"/>
    </row>
    <row r="916" spans="1:14" ht="18.75" customHeight="1" hidden="1">
      <c r="A916" s="82" t="s">
        <v>483</v>
      </c>
      <c r="B916" s="140"/>
      <c r="C916" s="3"/>
      <c r="D916" s="3"/>
      <c r="E916" s="3"/>
      <c r="F916" s="3"/>
      <c r="G916" s="3"/>
      <c r="H916" s="3"/>
      <c r="I916" s="3"/>
      <c r="J916" s="3"/>
      <c r="K916" s="297"/>
      <c r="L916" s="297"/>
      <c r="M916" s="101"/>
      <c r="N916" s="101"/>
    </row>
    <row r="917" spans="1:14" ht="15" customHeight="1" thickBot="1" thickTop="1">
      <c r="A917" s="79"/>
      <c r="B917" s="141"/>
      <c r="C917" s="2"/>
      <c r="D917" s="2"/>
      <c r="E917" s="2"/>
      <c r="F917" s="2"/>
      <c r="G917" s="2"/>
      <c r="H917" s="2"/>
      <c r="I917" s="2"/>
      <c r="J917" s="2"/>
      <c r="K917" s="297"/>
      <c r="L917" s="297"/>
      <c r="M917" s="101"/>
      <c r="N917" s="101"/>
    </row>
    <row r="918" spans="1:16" ht="23.25" customHeight="1" thickTop="1">
      <c r="A918" s="700" t="s">
        <v>49</v>
      </c>
      <c r="B918" s="532"/>
      <c r="C918" s="803" t="s">
        <v>884</v>
      </c>
      <c r="D918" s="804"/>
      <c r="E918" s="726" t="s">
        <v>885</v>
      </c>
      <c r="F918" s="727"/>
      <c r="G918" s="730" t="s">
        <v>901</v>
      </c>
      <c r="H918" s="731"/>
      <c r="I918" s="730" t="s">
        <v>888</v>
      </c>
      <c r="J918" s="731"/>
      <c r="K918" s="298"/>
      <c r="L918" s="297"/>
      <c r="M918" s="101"/>
      <c r="N918" s="101"/>
      <c r="O918" s="844"/>
      <c r="P918" s="844"/>
    </row>
    <row r="919" spans="1:16" ht="17.25" customHeight="1">
      <c r="A919" s="204" t="s">
        <v>216</v>
      </c>
      <c r="B919" s="234" t="s">
        <v>50</v>
      </c>
      <c r="C919" s="707">
        <f>CEILING(114*$Z$1,0.1)</f>
        <v>142.5</v>
      </c>
      <c r="D919" s="747"/>
      <c r="E919" s="703">
        <f>CEILING(170*$Z$1,0.1)</f>
        <v>212.5</v>
      </c>
      <c r="F919" s="704"/>
      <c r="G919" s="703">
        <f>CEILING(145*$Z$1,0.1)</f>
        <v>181.3</v>
      </c>
      <c r="H919" s="704"/>
      <c r="I919" s="703">
        <f>CEILING(135*$Z$1,0.1)</f>
        <v>168.8</v>
      </c>
      <c r="J919" s="704"/>
      <c r="K919" s="298"/>
      <c r="L919" s="297"/>
      <c r="M919" s="101"/>
      <c r="N919" s="101"/>
      <c r="O919" s="3"/>
      <c r="P919" s="1131"/>
    </row>
    <row r="920" spans="1:16" ht="17.25" customHeight="1">
      <c r="A920" s="230"/>
      <c r="B920" s="74" t="s">
        <v>52</v>
      </c>
      <c r="C920" s="707">
        <f>CEILING((C919+60*$Z$1),0.1)</f>
        <v>217.5</v>
      </c>
      <c r="D920" s="708"/>
      <c r="E920" s="707">
        <f>CEILING((E919+60*$Z$1),0.1)</f>
        <v>287.5</v>
      </c>
      <c r="F920" s="708"/>
      <c r="G920" s="707">
        <f>CEILING((G919+60*$Z$1),0.1)</f>
        <v>256.3</v>
      </c>
      <c r="H920" s="708"/>
      <c r="I920" s="707">
        <f>CEILING((I919+60*$Z$1),0.1)</f>
        <v>243.8</v>
      </c>
      <c r="J920" s="708"/>
      <c r="K920" s="1077"/>
      <c r="L920" s="1064"/>
      <c r="M920" s="101"/>
      <c r="N920" s="101"/>
      <c r="O920" s="3"/>
      <c r="P920" s="1131"/>
    </row>
    <row r="921" spans="1:16" ht="17.25" customHeight="1">
      <c r="A921" s="230"/>
      <c r="B921" s="74" t="s">
        <v>387</v>
      </c>
      <c r="C921" s="707">
        <f>CEILING(124*$Z$1,0.1)</f>
        <v>155</v>
      </c>
      <c r="D921" s="708"/>
      <c r="E921" s="707">
        <f>CEILING(180*$Z$1,0.1)</f>
        <v>225</v>
      </c>
      <c r="F921" s="708"/>
      <c r="G921" s="707">
        <f>CEILING(155*$Z$1,0.1)</f>
        <v>193.8</v>
      </c>
      <c r="H921" s="708"/>
      <c r="I921" s="707">
        <f>CEILING(145*$Z$1,0.1)</f>
        <v>181.3</v>
      </c>
      <c r="J921" s="708"/>
      <c r="K921" s="1064"/>
      <c r="L921" s="1064"/>
      <c r="M921" s="101"/>
      <c r="N921" s="101"/>
      <c r="O921" s="3"/>
      <c r="P921" s="1131"/>
    </row>
    <row r="922" spans="1:16" ht="17.25" customHeight="1">
      <c r="A922" s="230"/>
      <c r="B922" s="338" t="s">
        <v>388</v>
      </c>
      <c r="C922" s="707">
        <f>CEILING(126*$Z$1,0.1)</f>
        <v>157.5</v>
      </c>
      <c r="D922" s="708"/>
      <c r="E922" s="707">
        <f>CEILING(182*$Z$1,0.1)</f>
        <v>227.5</v>
      </c>
      <c r="F922" s="708"/>
      <c r="G922" s="707">
        <f>CEILING(157*$Z$1,0.1)</f>
        <v>196.3</v>
      </c>
      <c r="H922" s="708"/>
      <c r="I922" s="707">
        <f>CEILING(147*$Z$1,0.1)</f>
        <v>183.8</v>
      </c>
      <c r="J922" s="708"/>
      <c r="K922" s="1064"/>
      <c r="L922" s="1064"/>
      <c r="M922" s="101"/>
      <c r="N922" s="101"/>
      <c r="O922" s="3"/>
      <c r="P922" s="1131"/>
    </row>
    <row r="923" spans="1:16" ht="17.25" customHeight="1" thickBot="1">
      <c r="A923" s="236" t="s">
        <v>525</v>
      </c>
      <c r="B923" s="15" t="s">
        <v>217</v>
      </c>
      <c r="C923" s="720">
        <f>CEILING(234*$Z$1,0.1)</f>
        <v>292.5</v>
      </c>
      <c r="D923" s="721"/>
      <c r="E923" s="720">
        <f>CEILING(290*$Z$1,0.1)</f>
        <v>362.5</v>
      </c>
      <c r="F923" s="721"/>
      <c r="G923" s="720">
        <f>CEILING(265*$Z$1,0.1)</f>
        <v>331.3</v>
      </c>
      <c r="H923" s="721"/>
      <c r="I923" s="720">
        <f>CEILING(255*$Z$1,0.1)</f>
        <v>318.8</v>
      </c>
      <c r="J923" s="721"/>
      <c r="K923" s="297"/>
      <c r="L923" s="297"/>
      <c r="M923" s="101"/>
      <c r="N923" s="101"/>
      <c r="O923" s="3"/>
      <c r="P923" s="1131"/>
    </row>
    <row r="924" spans="1:16" ht="17.25" customHeight="1" thickTop="1">
      <c r="A924" s="748" t="s">
        <v>239</v>
      </c>
      <c r="B924" s="748"/>
      <c r="C924" s="748"/>
      <c r="D924" s="748"/>
      <c r="E924" s="748"/>
      <c r="F924" s="748"/>
      <c r="G924" s="748"/>
      <c r="H924" s="748"/>
      <c r="I924" s="748"/>
      <c r="J924" s="748"/>
      <c r="K924" s="1064"/>
      <c r="L924" s="1064"/>
      <c r="M924" s="101"/>
      <c r="N924" s="101"/>
      <c r="O924" s="3"/>
      <c r="P924" s="1131"/>
    </row>
    <row r="925" spans="1:16" ht="17.25" customHeight="1">
      <c r="A925" s="170" t="s">
        <v>957</v>
      </c>
      <c r="B925" s="24"/>
      <c r="C925" s="24"/>
      <c r="D925" s="24"/>
      <c r="E925" s="24"/>
      <c r="F925" s="24"/>
      <c r="G925" s="24"/>
      <c r="H925" s="24"/>
      <c r="I925" s="24"/>
      <c r="J925" s="24"/>
      <c r="K925" s="1064"/>
      <c r="L925" s="1064"/>
      <c r="M925" s="101"/>
      <c r="N925" s="101"/>
      <c r="O925" s="3"/>
      <c r="P925" s="1131"/>
    </row>
    <row r="926" spans="1:16" ht="17.25" customHeight="1" thickBot="1">
      <c r="A926" s="246"/>
      <c r="B926" s="34"/>
      <c r="C926" s="34"/>
      <c r="D926" s="34"/>
      <c r="E926" s="34"/>
      <c r="F926" s="34"/>
      <c r="G926" s="34"/>
      <c r="H926" s="34"/>
      <c r="I926" s="34"/>
      <c r="J926" s="34"/>
      <c r="K926" s="1078"/>
      <c r="L926" s="1078"/>
      <c r="M926" s="101"/>
      <c r="N926" s="101"/>
      <c r="O926" s="3"/>
      <c r="P926" s="1131"/>
    </row>
    <row r="927" spans="1:16" ht="23.25" customHeight="1" hidden="1" thickTop="1">
      <c r="A927" s="78" t="s">
        <v>49</v>
      </c>
      <c r="B927" s="78"/>
      <c r="C927" s="795" t="s">
        <v>579</v>
      </c>
      <c r="D927" s="796"/>
      <c r="E927" s="750" t="s">
        <v>580</v>
      </c>
      <c r="F927" s="751"/>
      <c r="G927" s="758" t="s">
        <v>583</v>
      </c>
      <c r="H927" s="759"/>
      <c r="I927" s="758" t="s">
        <v>800</v>
      </c>
      <c r="J927" s="759"/>
      <c r="K927" s="758" t="s">
        <v>801</v>
      </c>
      <c r="L927" s="759"/>
      <c r="M927" s="697"/>
      <c r="N927" s="101"/>
      <c r="O927" s="3"/>
      <c r="P927" s="1131"/>
    </row>
    <row r="928" spans="1:16" ht="17.25" customHeight="1" hidden="1">
      <c r="A928" s="116" t="s">
        <v>794</v>
      </c>
      <c r="B928" s="84" t="s">
        <v>796</v>
      </c>
      <c r="C928" s="707">
        <f>CEILING(83*$Z$1,0.1)</f>
        <v>103.80000000000001</v>
      </c>
      <c r="D928" s="747"/>
      <c r="E928" s="703">
        <f>CEILING(113*$Z$1,0.1)</f>
        <v>141.3</v>
      </c>
      <c r="F928" s="704"/>
      <c r="G928" s="703">
        <f>CEILING(108*$Z$1,0.1)</f>
        <v>135</v>
      </c>
      <c r="H928" s="704"/>
      <c r="I928" s="703">
        <f>CEILING(113*$Z$1,0.1)</f>
        <v>141.3</v>
      </c>
      <c r="J928" s="704"/>
      <c r="K928" s="703">
        <f>CEILING(73*$Z$1,0.1)</f>
        <v>91.30000000000001</v>
      </c>
      <c r="L928" s="704"/>
      <c r="M928" s="697"/>
      <c r="N928" s="101"/>
      <c r="O928" s="3"/>
      <c r="P928" s="1131"/>
    </row>
    <row r="929" spans="1:16" ht="17.25" customHeight="1" hidden="1">
      <c r="A929" s="51" t="s">
        <v>51</v>
      </c>
      <c r="B929" s="31" t="s">
        <v>797</v>
      </c>
      <c r="C929" s="707">
        <f>CEILING(123*$Z$1,0.1)</f>
        <v>153.8</v>
      </c>
      <c r="D929" s="708"/>
      <c r="E929" s="707">
        <f>CEILING(168*$Z$1,0.1)</f>
        <v>210</v>
      </c>
      <c r="F929" s="708"/>
      <c r="G929" s="707">
        <f>CEILING(161*$Z$1,0.1)</f>
        <v>201.3</v>
      </c>
      <c r="H929" s="708"/>
      <c r="I929" s="707">
        <f>CEILING(168*$Z$1,0.1)</f>
        <v>210</v>
      </c>
      <c r="J929" s="708"/>
      <c r="K929" s="707">
        <f>CEILING(108*$Z$1,0.1)</f>
        <v>135</v>
      </c>
      <c r="L929" s="708"/>
      <c r="M929" s="697"/>
      <c r="N929" s="101"/>
      <c r="O929" s="3"/>
      <c r="P929" s="1131"/>
    </row>
    <row r="930" spans="1:16" ht="17.25" customHeight="1" hidden="1">
      <c r="A930" s="51"/>
      <c r="B930" s="39" t="s">
        <v>86</v>
      </c>
      <c r="C930" s="707">
        <f>CEILING(79*$Z$1,0.1)</f>
        <v>98.80000000000001</v>
      </c>
      <c r="D930" s="708"/>
      <c r="E930" s="707">
        <f>CEILING(108*$Z$1,0.1)</f>
        <v>135</v>
      </c>
      <c r="F930" s="708"/>
      <c r="G930" s="707">
        <f>CEILING(103*$Z$1,0.1)</f>
        <v>128.8</v>
      </c>
      <c r="H930" s="708"/>
      <c r="I930" s="707">
        <f>CEILING(108*$Z$1,0.1)</f>
        <v>135</v>
      </c>
      <c r="J930" s="708"/>
      <c r="K930" s="707">
        <f>CEILING(70*$Z$1,0.1)</f>
        <v>87.5</v>
      </c>
      <c r="L930" s="708"/>
      <c r="M930" s="101"/>
      <c r="N930" s="101"/>
      <c r="O930" s="3"/>
      <c r="P930" s="1131"/>
    </row>
    <row r="931" spans="1:16" ht="17.25" customHeight="1" hidden="1">
      <c r="A931" s="99"/>
      <c r="B931" s="39" t="s">
        <v>74</v>
      </c>
      <c r="C931" s="707">
        <f>CEILING(93*$Z$1,0.1)</f>
        <v>116.30000000000001</v>
      </c>
      <c r="D931" s="708"/>
      <c r="E931" s="707">
        <f>CEILING(123*$Z$1,0.1)</f>
        <v>153.8</v>
      </c>
      <c r="F931" s="708"/>
      <c r="G931" s="707">
        <f>CEILING(118*$Z$1,0.1)</f>
        <v>147.5</v>
      </c>
      <c r="H931" s="708"/>
      <c r="I931" s="707">
        <f>CEILING(123*$Z$1,0.1)</f>
        <v>153.8</v>
      </c>
      <c r="J931" s="708"/>
      <c r="K931" s="707">
        <f>CEILING(83*$Z$1,0.1)</f>
        <v>103.80000000000001</v>
      </c>
      <c r="L931" s="708"/>
      <c r="M931" s="101"/>
      <c r="N931" s="101"/>
      <c r="O931" s="3"/>
      <c r="P931" s="1131"/>
    </row>
    <row r="932" spans="1:16" ht="17.25" customHeight="1" hidden="1" thickBot="1">
      <c r="A932" s="115" t="s">
        <v>795</v>
      </c>
      <c r="B932" s="413" t="s">
        <v>75</v>
      </c>
      <c r="C932" s="720">
        <f>CEILING(138*$Z$1,0.1)</f>
        <v>172.5</v>
      </c>
      <c r="D932" s="721"/>
      <c r="E932" s="720">
        <f>CEILING(183*$Z$1,0.1)</f>
        <v>228.8</v>
      </c>
      <c r="F932" s="721"/>
      <c r="G932" s="720">
        <f>CEILING(176*$Z$1,0.1)</f>
        <v>220</v>
      </c>
      <c r="H932" s="721"/>
      <c r="I932" s="720">
        <f>CEILING(183*$Z$1,0.1)</f>
        <v>228.8</v>
      </c>
      <c r="J932" s="721"/>
      <c r="K932" s="720">
        <f>CEILING(123*$Z$1,0.1)</f>
        <v>153.8</v>
      </c>
      <c r="L932" s="721"/>
      <c r="M932" s="101"/>
      <c r="N932" s="101"/>
      <c r="O932" s="3"/>
      <c r="P932" s="1131"/>
    </row>
    <row r="933" spans="1:16" ht="17.25" customHeight="1" hidden="1" thickTop="1">
      <c r="A933" s="748" t="s">
        <v>798</v>
      </c>
      <c r="B933" s="748"/>
      <c r="C933" s="748"/>
      <c r="D933" s="748"/>
      <c r="E933" s="748"/>
      <c r="F933" s="748"/>
      <c r="G933" s="748"/>
      <c r="H933" s="748"/>
      <c r="I933" s="748"/>
      <c r="J933" s="748"/>
      <c r="K933" s="1064"/>
      <c r="L933" s="1064"/>
      <c r="M933" s="101"/>
      <c r="N933" s="101"/>
      <c r="O933" s="3"/>
      <c r="P933" s="1131"/>
    </row>
    <row r="934" spans="1:16" ht="17.25" customHeight="1" hidden="1">
      <c r="A934" s="82" t="s">
        <v>799</v>
      </c>
      <c r="B934" s="24"/>
      <c r="C934" s="24"/>
      <c r="D934" s="24"/>
      <c r="E934" s="24"/>
      <c r="F934" s="24"/>
      <c r="G934" s="24"/>
      <c r="H934" s="24"/>
      <c r="I934" s="24"/>
      <c r="J934" s="24"/>
      <c r="K934" s="1064"/>
      <c r="L934" s="1064"/>
      <c r="M934" s="101"/>
      <c r="N934" s="101"/>
      <c r="O934" s="3"/>
      <c r="P934" s="1131"/>
    </row>
    <row r="935" spans="1:16" ht="17.25" customHeight="1" thickBot="1" thickTop="1">
      <c r="A935" s="79"/>
      <c r="B935" s="34"/>
      <c r="C935" s="34"/>
      <c r="D935" s="34"/>
      <c r="E935" s="34"/>
      <c r="F935" s="34"/>
      <c r="G935" s="34"/>
      <c r="H935" s="34"/>
      <c r="I935" s="34"/>
      <c r="J935" s="34"/>
      <c r="K935" s="1078"/>
      <c r="L935" s="1078"/>
      <c r="M935" s="101"/>
      <c r="N935" s="101"/>
      <c r="O935" s="3"/>
      <c r="P935" s="1131"/>
    </row>
    <row r="936" spans="1:16" ht="24" customHeight="1" hidden="1" thickTop="1">
      <c r="A936" s="78" t="s">
        <v>49</v>
      </c>
      <c r="B936" s="78"/>
      <c r="C936" s="795" t="s">
        <v>579</v>
      </c>
      <c r="D936" s="796"/>
      <c r="E936" s="750" t="s">
        <v>807</v>
      </c>
      <c r="F936" s="751"/>
      <c r="G936" s="758" t="s">
        <v>808</v>
      </c>
      <c r="H936" s="759"/>
      <c r="I936" s="758" t="s">
        <v>583</v>
      </c>
      <c r="J936" s="759"/>
      <c r="K936" s="758" t="s">
        <v>809</v>
      </c>
      <c r="L936" s="759"/>
      <c r="M936" s="697"/>
      <c r="N936" s="101"/>
      <c r="O936" s="3"/>
      <c r="P936" s="1131"/>
    </row>
    <row r="937" spans="1:16" ht="17.25" customHeight="1" hidden="1">
      <c r="A937" s="116" t="s">
        <v>812</v>
      </c>
      <c r="B937" s="84" t="s">
        <v>83</v>
      </c>
      <c r="C937" s="707">
        <f>CEILING(80*$Z$1,0.1)</f>
        <v>100</v>
      </c>
      <c r="D937" s="747"/>
      <c r="E937" s="703">
        <f>CEILING(105*$Z$1,0.1)</f>
        <v>131.3</v>
      </c>
      <c r="F937" s="704"/>
      <c r="G937" s="703">
        <f>CEILING(110*$Z$1,0.1)</f>
        <v>137.5</v>
      </c>
      <c r="H937" s="704"/>
      <c r="I937" s="703">
        <f>CEILING(85*$Z$1,0.1)</f>
        <v>106.30000000000001</v>
      </c>
      <c r="J937" s="704"/>
      <c r="K937" s="703">
        <f>CEILING(90*$Z$1,0.1)</f>
        <v>112.5</v>
      </c>
      <c r="L937" s="704"/>
      <c r="M937" s="697"/>
      <c r="N937" s="101"/>
      <c r="O937" s="3"/>
      <c r="P937" s="1131"/>
    </row>
    <row r="938" spans="1:16" ht="17.25" customHeight="1" hidden="1">
      <c r="A938" s="51" t="s">
        <v>51</v>
      </c>
      <c r="B938" s="31" t="s">
        <v>84</v>
      </c>
      <c r="C938" s="707">
        <f>CEILING(115*$Z$1,0.1)</f>
        <v>143.8</v>
      </c>
      <c r="D938" s="708"/>
      <c r="E938" s="707">
        <f>CEILING(140*$Z$1,0.1)</f>
        <v>175</v>
      </c>
      <c r="F938" s="708"/>
      <c r="G938" s="707">
        <f>CEILING(145*$Z$1,0.1)</f>
        <v>181.3</v>
      </c>
      <c r="H938" s="708"/>
      <c r="I938" s="707">
        <f>CEILING(120*$Z$1,0.1)</f>
        <v>150</v>
      </c>
      <c r="J938" s="708"/>
      <c r="K938" s="707">
        <f>CEILING(125*$Z$1,0.1)</f>
        <v>156.3</v>
      </c>
      <c r="L938" s="708"/>
      <c r="M938" s="697"/>
      <c r="N938" s="101"/>
      <c r="O938" s="3"/>
      <c r="P938" s="1131"/>
    </row>
    <row r="939" spans="1:16" ht="17.25" customHeight="1" hidden="1">
      <c r="A939" s="51"/>
      <c r="B939" s="31" t="s">
        <v>85</v>
      </c>
      <c r="C939" s="714">
        <v>0</v>
      </c>
      <c r="D939" s="715"/>
      <c r="E939" s="707">
        <f>CEILING(55*$Z$1,0.1)</f>
        <v>68.8</v>
      </c>
      <c r="F939" s="708"/>
      <c r="G939" s="707">
        <f>CEILING(55*$Z$1,0.1)</f>
        <v>68.8</v>
      </c>
      <c r="H939" s="708"/>
      <c r="I939" s="714">
        <v>0</v>
      </c>
      <c r="J939" s="715"/>
      <c r="K939" s="707">
        <f>CEILING(45*$Z$1,0.1)</f>
        <v>56.300000000000004</v>
      </c>
      <c r="L939" s="708"/>
      <c r="M939" s="101"/>
      <c r="N939" s="101"/>
      <c r="O939" s="3"/>
      <c r="P939" s="1131"/>
    </row>
    <row r="940" spans="1:16" ht="17.25" customHeight="1" hidden="1">
      <c r="A940" s="99"/>
      <c r="B940" s="39" t="s">
        <v>810</v>
      </c>
      <c r="C940" s="707">
        <f>CEILING(87*$Z$1,0.1)</f>
        <v>108.80000000000001</v>
      </c>
      <c r="D940" s="708"/>
      <c r="E940" s="707">
        <f>CEILING(115*$Z$1,0.1)</f>
        <v>143.8</v>
      </c>
      <c r="F940" s="708"/>
      <c r="G940" s="707">
        <f>CEILING(120*$Z$1,0.1)</f>
        <v>150</v>
      </c>
      <c r="H940" s="708"/>
      <c r="I940" s="707">
        <f>CEILING(95*$Z$1,0.1)</f>
        <v>118.80000000000001</v>
      </c>
      <c r="J940" s="708"/>
      <c r="K940" s="707">
        <f>CEILING(100*$Z$1,0.1)</f>
        <v>125</v>
      </c>
      <c r="L940" s="708"/>
      <c r="M940" s="101"/>
      <c r="N940" s="101"/>
      <c r="O940" s="3"/>
      <c r="P940" s="1131"/>
    </row>
    <row r="941" spans="1:16" ht="17.25" customHeight="1" hidden="1" thickBot="1">
      <c r="A941" s="115" t="s">
        <v>795</v>
      </c>
      <c r="B941" s="413" t="s">
        <v>811</v>
      </c>
      <c r="C941" s="720">
        <f>CEILING(125*$Z$1,0.1)</f>
        <v>156.3</v>
      </c>
      <c r="D941" s="721"/>
      <c r="E941" s="720">
        <f>CEILING(150*$Z$1,0.1)</f>
        <v>187.5</v>
      </c>
      <c r="F941" s="721"/>
      <c r="G941" s="720">
        <f>CEILING(155*$Z$1,0.1)</f>
        <v>193.8</v>
      </c>
      <c r="H941" s="721"/>
      <c r="I941" s="720">
        <f>CEILING(130*$Z$1,0.1)</f>
        <v>162.5</v>
      </c>
      <c r="J941" s="721"/>
      <c r="K941" s="720">
        <f>CEILING(135*$Z$1,0.1)</f>
        <v>168.8</v>
      </c>
      <c r="L941" s="721"/>
      <c r="M941" s="101"/>
      <c r="N941" s="101"/>
      <c r="O941" s="3"/>
      <c r="P941" s="1131"/>
    </row>
    <row r="942" spans="1:16" ht="17.25" customHeight="1" hidden="1" thickTop="1">
      <c r="A942" s="752" t="s">
        <v>814</v>
      </c>
      <c r="B942" s="752"/>
      <c r="C942" s="752"/>
      <c r="D942" s="752"/>
      <c r="E942" s="752"/>
      <c r="F942" s="752"/>
      <c r="G942" s="752"/>
      <c r="H942" s="752"/>
      <c r="I942" s="752"/>
      <c r="J942" s="752"/>
      <c r="K942" s="1064"/>
      <c r="L942" s="1064"/>
      <c r="M942" s="101"/>
      <c r="N942" s="101"/>
      <c r="O942" s="3"/>
      <c r="P942" s="1131"/>
    </row>
    <row r="943" spans="1:16" ht="17.25" customHeight="1" hidden="1">
      <c r="A943" s="82" t="s">
        <v>813</v>
      </c>
      <c r="B943" s="24"/>
      <c r="C943" s="24"/>
      <c r="D943" s="24"/>
      <c r="E943" s="24"/>
      <c r="F943" s="24"/>
      <c r="G943" s="24"/>
      <c r="H943" s="24"/>
      <c r="I943" s="24"/>
      <c r="J943" s="24"/>
      <c r="K943" s="1064"/>
      <c r="L943" s="1064"/>
      <c r="M943" s="101"/>
      <c r="N943" s="101"/>
      <c r="O943" s="3"/>
      <c r="P943" s="1131"/>
    </row>
    <row r="944" spans="1:16" ht="17.25" customHeight="1" thickBot="1" thickTop="1">
      <c r="A944" s="79"/>
      <c r="B944" s="34"/>
      <c r="C944" s="34"/>
      <c r="D944" s="34"/>
      <c r="E944" s="34"/>
      <c r="F944" s="34"/>
      <c r="G944" s="34"/>
      <c r="H944" s="34"/>
      <c r="I944" s="34"/>
      <c r="J944" s="34"/>
      <c r="K944" s="1064"/>
      <c r="L944" s="1064"/>
      <c r="M944" s="101"/>
      <c r="N944" s="101"/>
      <c r="O944" s="3"/>
      <c r="P944" s="1131"/>
    </row>
    <row r="945" spans="1:16" ht="27" customHeight="1" thickTop="1">
      <c r="A945" s="700" t="s">
        <v>49</v>
      </c>
      <c r="B945" s="533"/>
      <c r="C945" s="803" t="s">
        <v>884</v>
      </c>
      <c r="D945" s="804"/>
      <c r="E945" s="726" t="s">
        <v>885</v>
      </c>
      <c r="F945" s="727"/>
      <c r="G945" s="730" t="s">
        <v>901</v>
      </c>
      <c r="H945" s="731"/>
      <c r="I945" s="730" t="s">
        <v>888</v>
      </c>
      <c r="J945" s="731"/>
      <c r="K945" s="1077"/>
      <c r="L945" s="1064"/>
      <c r="M945" s="101"/>
      <c r="N945" s="101"/>
      <c r="O945" s="3"/>
      <c r="P945" s="1131"/>
    </row>
    <row r="946" spans="1:16" ht="17.25" customHeight="1">
      <c r="A946" s="208" t="s">
        <v>765</v>
      </c>
      <c r="B946" s="234" t="s">
        <v>50</v>
      </c>
      <c r="C946" s="707">
        <f>CEILING(60*$Z$1,0.1)</f>
        <v>75</v>
      </c>
      <c r="D946" s="747"/>
      <c r="E946" s="703">
        <f>CEILING(90*$Z$1,0.1)</f>
        <v>112.5</v>
      </c>
      <c r="F946" s="704"/>
      <c r="G946" s="703">
        <f>CEILING(75*$Z$1,0.1)</f>
        <v>93.80000000000001</v>
      </c>
      <c r="H946" s="704"/>
      <c r="I946" s="703">
        <f>CEILING(70*$Z$1,0.1)</f>
        <v>87.5</v>
      </c>
      <c r="J946" s="704"/>
      <c r="K946" s="1077"/>
      <c r="L946" s="1064"/>
      <c r="M946" s="101"/>
      <c r="N946" s="101"/>
      <c r="O946" s="3"/>
      <c r="P946" s="1131"/>
    </row>
    <row r="947" spans="1:16" ht="17.25" customHeight="1">
      <c r="A947" s="177" t="s">
        <v>51</v>
      </c>
      <c r="B947" s="74" t="s">
        <v>52</v>
      </c>
      <c r="C947" s="707">
        <f>CEILING((C946+25*$Z$1),0.1)</f>
        <v>106.30000000000001</v>
      </c>
      <c r="D947" s="708"/>
      <c r="E947" s="707">
        <f>CEILING((E946+25*$Z$1),0.1)</f>
        <v>143.8</v>
      </c>
      <c r="F947" s="708"/>
      <c r="G947" s="707">
        <f>CEILING((G946+25*$Z$1),0.1)</f>
        <v>125.10000000000001</v>
      </c>
      <c r="H947" s="708"/>
      <c r="I947" s="707">
        <f>CEILING((I946+25*$Z$1),0.1)</f>
        <v>118.80000000000001</v>
      </c>
      <c r="J947" s="708"/>
      <c r="K947" s="1077"/>
      <c r="L947" s="1064"/>
      <c r="M947" s="101"/>
      <c r="N947" s="101"/>
      <c r="O947" s="3"/>
      <c r="P947" s="1131"/>
    </row>
    <row r="948" spans="1:16" ht="17.25" customHeight="1">
      <c r="A948" s="177"/>
      <c r="B948" s="28" t="s">
        <v>86</v>
      </c>
      <c r="C948" s="707">
        <f>CEILING((C946*0.85),0.1)</f>
        <v>63.800000000000004</v>
      </c>
      <c r="D948" s="708"/>
      <c r="E948" s="707">
        <f>CEILING((E946*0.85),0.1)</f>
        <v>95.7</v>
      </c>
      <c r="F948" s="708"/>
      <c r="G948" s="707">
        <f>CEILING((G946*0.85),0.1)</f>
        <v>79.80000000000001</v>
      </c>
      <c r="H948" s="708"/>
      <c r="I948" s="707">
        <f>CEILING((I946*0.85),0.1)</f>
        <v>74.4</v>
      </c>
      <c r="J948" s="708"/>
      <c r="K948" s="1064"/>
      <c r="L948" s="1064"/>
      <c r="M948" s="101"/>
      <c r="N948" s="101"/>
      <c r="O948" s="3"/>
      <c r="P948" s="1131"/>
    </row>
    <row r="949" spans="1:16" ht="17.25" customHeight="1">
      <c r="A949" s="177"/>
      <c r="B949" s="31" t="s">
        <v>85</v>
      </c>
      <c r="C949" s="707">
        <f>CEILING((C946*0.5),0.1)</f>
        <v>37.5</v>
      </c>
      <c r="D949" s="708"/>
      <c r="E949" s="707">
        <f>CEILING((E946*0.5),0.1)</f>
        <v>56.300000000000004</v>
      </c>
      <c r="F949" s="708"/>
      <c r="G949" s="707">
        <f>CEILING((G946*0.5),0.1)</f>
        <v>46.900000000000006</v>
      </c>
      <c r="H949" s="708"/>
      <c r="I949" s="707">
        <f>CEILING((I946*0.5),0.1)</f>
        <v>43.800000000000004</v>
      </c>
      <c r="J949" s="708"/>
      <c r="K949" s="1064"/>
      <c r="L949" s="1064"/>
      <c r="M949" s="101"/>
      <c r="N949" s="101"/>
      <c r="O949" s="3"/>
      <c r="P949" s="1131"/>
    </row>
    <row r="950" spans="1:16" ht="17.25" customHeight="1">
      <c r="A950" s="177"/>
      <c r="B950" s="13" t="s">
        <v>766</v>
      </c>
      <c r="C950" s="707">
        <f>CEILING(68*$Z$1,0.1)</f>
        <v>85</v>
      </c>
      <c r="D950" s="708"/>
      <c r="E950" s="707">
        <f>CEILING(98*$Z$1,0.1)</f>
        <v>122.5</v>
      </c>
      <c r="F950" s="708"/>
      <c r="G950" s="707">
        <f>CEILING(83*$Z$1,0.1)</f>
        <v>103.80000000000001</v>
      </c>
      <c r="H950" s="708"/>
      <c r="I950" s="707">
        <f>CEILING(78*$Z$1,0.1)</f>
        <v>97.5</v>
      </c>
      <c r="J950" s="708"/>
      <c r="K950" s="1064"/>
      <c r="L950" s="1064"/>
      <c r="M950" s="101"/>
      <c r="N950" s="101"/>
      <c r="O950" s="3"/>
      <c r="P950" s="1131"/>
    </row>
    <row r="951" spans="1:16" ht="17.25" customHeight="1">
      <c r="A951" s="177"/>
      <c r="B951" s="13" t="s">
        <v>767</v>
      </c>
      <c r="C951" s="707">
        <f>CEILING(85*$Z$1,0.1)</f>
        <v>106.30000000000001</v>
      </c>
      <c r="D951" s="708"/>
      <c r="E951" s="707">
        <f>CEILING(115*$Z$1,0.1)</f>
        <v>143.8</v>
      </c>
      <c r="F951" s="708"/>
      <c r="G951" s="707">
        <f>CEILING(100*$Z$1,0.1)</f>
        <v>125</v>
      </c>
      <c r="H951" s="708"/>
      <c r="I951" s="707">
        <f>CEILING(95*$Z$1,0.1)</f>
        <v>118.80000000000001</v>
      </c>
      <c r="J951" s="708"/>
      <c r="K951" s="1064"/>
      <c r="L951" s="1064"/>
      <c r="M951" s="101"/>
      <c r="N951" s="101"/>
      <c r="O951" s="3"/>
      <c r="P951" s="1131"/>
    </row>
    <row r="952" spans="1:16" ht="17.25" customHeight="1" thickBot="1">
      <c r="A952" s="373" t="s">
        <v>524</v>
      </c>
      <c r="B952" s="125" t="s">
        <v>768</v>
      </c>
      <c r="C952" s="720">
        <f>CEILING(80*$Z$1,0.1)</f>
        <v>100</v>
      </c>
      <c r="D952" s="721"/>
      <c r="E952" s="720">
        <f>CEILING(110*$Z$1,0.1)</f>
        <v>137.5</v>
      </c>
      <c r="F952" s="721"/>
      <c r="G952" s="720">
        <f>CEILING(95*$Z$1,0.1)</f>
        <v>118.80000000000001</v>
      </c>
      <c r="H952" s="721"/>
      <c r="I952" s="720">
        <f>CEILING(90*$Z$1,0.1)</f>
        <v>112.5</v>
      </c>
      <c r="J952" s="721"/>
      <c r="K952" s="1064"/>
      <c r="L952" s="1064"/>
      <c r="M952" s="101"/>
      <c r="N952" s="101"/>
      <c r="O952" s="3"/>
      <c r="P952" s="1131"/>
    </row>
    <row r="953" spans="1:16" ht="17.25" customHeight="1" thickTop="1">
      <c r="A953" s="117" t="s">
        <v>769</v>
      </c>
      <c r="B953" s="47"/>
      <c r="C953" s="653"/>
      <c r="D953" s="653"/>
      <c r="E953" s="653"/>
      <c r="F953" s="653"/>
      <c r="G953" s="653"/>
      <c r="H953" s="653"/>
      <c r="I953" s="653"/>
      <c r="J953" s="653"/>
      <c r="K953" s="1064"/>
      <c r="L953" s="1064"/>
      <c r="M953" s="101"/>
      <c r="N953" s="101"/>
      <c r="O953" s="3"/>
      <c r="P953" s="1131"/>
    </row>
    <row r="954" spans="1:16" ht="17.25" customHeight="1">
      <c r="A954" s="170" t="s">
        <v>957</v>
      </c>
      <c r="B954" s="47"/>
      <c r="C954" s="653"/>
      <c r="D954" s="653"/>
      <c r="E954" s="653"/>
      <c r="F954" s="653"/>
      <c r="G954" s="653"/>
      <c r="H954" s="653"/>
      <c r="I954" s="653"/>
      <c r="J954" s="653"/>
      <c r="K954" s="1064"/>
      <c r="L954" s="1064"/>
      <c r="M954" s="101"/>
      <c r="N954" s="101"/>
      <c r="O954" s="3"/>
      <c r="P954" s="1131"/>
    </row>
    <row r="955" spans="1:16" ht="17.25" customHeight="1" thickBot="1">
      <c r="A955" s="749"/>
      <c r="B955" s="749"/>
      <c r="C955" s="749"/>
      <c r="D955" s="749"/>
      <c r="E955" s="749"/>
      <c r="F955" s="749"/>
      <c r="G955" s="749"/>
      <c r="H955" s="749"/>
      <c r="I955" s="749"/>
      <c r="J955" s="749"/>
      <c r="K955" s="281"/>
      <c r="L955" s="281"/>
      <c r="M955" s="101"/>
      <c r="N955" s="101"/>
      <c r="O955" s="3"/>
      <c r="P955" s="3"/>
    </row>
    <row r="956" spans="1:14" ht="23.25" customHeight="1" thickTop="1">
      <c r="A956" s="700" t="s">
        <v>49</v>
      </c>
      <c r="B956" s="533"/>
      <c r="C956" s="803" t="s">
        <v>947</v>
      </c>
      <c r="D956" s="804"/>
      <c r="E956" s="726" t="s">
        <v>1026</v>
      </c>
      <c r="F956" s="727"/>
      <c r="G956" s="730" t="s">
        <v>901</v>
      </c>
      <c r="H956" s="731"/>
      <c r="I956" s="730" t="s">
        <v>888</v>
      </c>
      <c r="J956" s="731"/>
      <c r="K956" s="290"/>
      <c r="L956" s="281"/>
      <c r="M956" s="101"/>
      <c r="N956" s="101"/>
    </row>
    <row r="957" spans="1:14" ht="16.5" customHeight="1">
      <c r="A957" s="208" t="s">
        <v>1</v>
      </c>
      <c r="B957" s="84" t="s">
        <v>57</v>
      </c>
      <c r="C957" s="707">
        <f>CEILING(52*$Z$1,0.1)</f>
        <v>65</v>
      </c>
      <c r="D957" s="747"/>
      <c r="E957" s="703">
        <f>CEILING(92*$Z$1,0.1)</f>
        <v>115</v>
      </c>
      <c r="F957" s="704"/>
      <c r="G957" s="703">
        <f>CEILING(72*$Z$1,0.1)</f>
        <v>90</v>
      </c>
      <c r="H957" s="704"/>
      <c r="I957" s="703">
        <f>CEILING(66*$Z$1,0.1)</f>
        <v>82.5</v>
      </c>
      <c r="J957" s="704"/>
      <c r="K957" s="289"/>
      <c r="L957" s="1063"/>
      <c r="M957" s="3"/>
      <c r="N957" s="3"/>
    </row>
    <row r="958" spans="1:14" ht="17.25" customHeight="1">
      <c r="A958" s="177" t="s">
        <v>51</v>
      </c>
      <c r="B958" s="31" t="s">
        <v>58</v>
      </c>
      <c r="C958" s="707">
        <f>CEILING((C957+20*$Z$1),0.1)</f>
        <v>90</v>
      </c>
      <c r="D958" s="708"/>
      <c r="E958" s="707">
        <f>CEILING((E957+20*$Z$1),0.1)</f>
        <v>140</v>
      </c>
      <c r="F958" s="708"/>
      <c r="G958" s="707">
        <f>CEILING((G957+20*$Z$1),0.1)</f>
        <v>115</v>
      </c>
      <c r="H958" s="708"/>
      <c r="I958" s="707">
        <f>CEILING((I957+20*$Z$1),0.1)</f>
        <v>107.5</v>
      </c>
      <c r="J958" s="708"/>
      <c r="K958" s="265"/>
      <c r="L958" s="1063"/>
      <c r="M958" s="3"/>
      <c r="N958" s="3"/>
    </row>
    <row r="959" spans="1:14" ht="15">
      <c r="A959" s="177"/>
      <c r="B959" s="28" t="s">
        <v>86</v>
      </c>
      <c r="C959" s="707">
        <f>CEILING((C957*0.85),0.1)</f>
        <v>55.300000000000004</v>
      </c>
      <c r="D959" s="708"/>
      <c r="E959" s="707">
        <f>CEILING((E957*0.85),0.1)</f>
        <v>97.80000000000001</v>
      </c>
      <c r="F959" s="708"/>
      <c r="G959" s="707">
        <f>CEILING((G957*0.85),0.1)</f>
        <v>76.5</v>
      </c>
      <c r="H959" s="708"/>
      <c r="I959" s="707">
        <f>CEILING((I957*0.85),0.1)</f>
        <v>70.2</v>
      </c>
      <c r="J959" s="708"/>
      <c r="K959" s="265"/>
      <c r="L959" s="1063"/>
      <c r="M959" s="3"/>
      <c r="N959" s="3"/>
    </row>
    <row r="960" spans="1:14" ht="15">
      <c r="A960" s="177"/>
      <c r="B960" s="31" t="s">
        <v>85</v>
      </c>
      <c r="C960" s="714">
        <v>0</v>
      </c>
      <c r="D960" s="715"/>
      <c r="E960" s="714">
        <v>0</v>
      </c>
      <c r="F960" s="715"/>
      <c r="G960" s="714">
        <v>0</v>
      </c>
      <c r="H960" s="715"/>
      <c r="I960" s="714">
        <v>0</v>
      </c>
      <c r="J960" s="715"/>
      <c r="K960" s="265"/>
      <c r="L960" s="1063"/>
      <c r="M960" s="26"/>
      <c r="N960" s="26"/>
    </row>
    <row r="961" spans="1:14" ht="15">
      <c r="A961" s="177"/>
      <c r="B961" s="13" t="s">
        <v>67</v>
      </c>
      <c r="C961" s="707">
        <f>CEILING(60*$Z$1,0.1)</f>
        <v>75</v>
      </c>
      <c r="D961" s="708"/>
      <c r="E961" s="707">
        <f>CEILING(100*$Z$1,0.1)</f>
        <v>125</v>
      </c>
      <c r="F961" s="708"/>
      <c r="G961" s="707">
        <f>CEILING(80*$Z$1,0.1)</f>
        <v>100</v>
      </c>
      <c r="H961" s="708"/>
      <c r="I961" s="707">
        <f>CEILING(74*$Z$1,0.1)</f>
        <v>92.5</v>
      </c>
      <c r="J961" s="708"/>
      <c r="K961" s="265"/>
      <c r="L961" s="1063"/>
      <c r="M961" s="26"/>
      <c r="N961" s="26"/>
    </row>
    <row r="962" spans="1:14" ht="15">
      <c r="A962" s="177"/>
      <c r="B962" s="13" t="s">
        <v>2</v>
      </c>
      <c r="C962" s="707">
        <f>CEILING(77*$Z$1,0.1)</f>
        <v>96.30000000000001</v>
      </c>
      <c r="D962" s="708"/>
      <c r="E962" s="707">
        <f>CEILING(117*$Z$1,0.1)</f>
        <v>146.3</v>
      </c>
      <c r="F962" s="708"/>
      <c r="G962" s="707">
        <f>CEILING(97*$Z$1,0.1)</f>
        <v>121.30000000000001</v>
      </c>
      <c r="H962" s="708"/>
      <c r="I962" s="707">
        <f>CEILING(91*$Z$1,0.1)</f>
        <v>113.80000000000001</v>
      </c>
      <c r="J962" s="708"/>
      <c r="K962" s="265"/>
      <c r="L962" s="1063"/>
      <c r="M962" s="18"/>
      <c r="N962" s="991"/>
    </row>
    <row r="963" spans="1:14" ht="17.25" customHeight="1" thickBot="1">
      <c r="A963" s="373" t="s">
        <v>524</v>
      </c>
      <c r="B963" s="125" t="s">
        <v>385</v>
      </c>
      <c r="C963" s="720">
        <f>CEILING(82*$Z$1,0.1)</f>
        <v>102.5</v>
      </c>
      <c r="D963" s="721"/>
      <c r="E963" s="720">
        <f>CEILING(122*$Z$1,0.1)</f>
        <v>152.5</v>
      </c>
      <c r="F963" s="721"/>
      <c r="G963" s="720">
        <f>CEILING(102*$Z$1,0.1)</f>
        <v>127.5</v>
      </c>
      <c r="H963" s="721"/>
      <c r="I963" s="720">
        <f>CEILING(96*$Z$1,0.1)</f>
        <v>120</v>
      </c>
      <c r="J963" s="721"/>
      <c r="K963" s="265"/>
      <c r="L963" s="1063"/>
      <c r="M963" s="1"/>
      <c r="N963" s="18"/>
    </row>
    <row r="964" spans="1:14" ht="16.5" customHeight="1" thickTop="1">
      <c r="A964" s="117" t="s">
        <v>386</v>
      </c>
      <c r="B964" s="47"/>
      <c r="C964" s="653"/>
      <c r="D964" s="653"/>
      <c r="E964" s="653"/>
      <c r="F964" s="653"/>
      <c r="G964" s="653"/>
      <c r="H964" s="653"/>
      <c r="I964" s="653"/>
      <c r="J964" s="653"/>
      <c r="K964" s="265"/>
      <c r="L964" s="265"/>
      <c r="M964" s="18"/>
      <c r="N964" s="991"/>
    </row>
    <row r="965" spans="1:14" ht="16.5" customHeight="1">
      <c r="A965" s="170" t="s">
        <v>957</v>
      </c>
      <c r="B965" s="47"/>
      <c r="C965" s="653"/>
      <c r="D965" s="653"/>
      <c r="E965" s="653"/>
      <c r="F965" s="653"/>
      <c r="G965" s="653"/>
      <c r="H965" s="653"/>
      <c r="I965" s="653"/>
      <c r="J965" s="653"/>
      <c r="K965" s="265"/>
      <c r="L965" s="265"/>
      <c r="M965" s="18"/>
      <c r="N965" s="991"/>
    </row>
    <row r="966" spans="1:14" ht="18" customHeight="1" thickBot="1">
      <c r="A966" s="123"/>
      <c r="B966" s="123"/>
      <c r="C966" s="123"/>
      <c r="D966" s="123"/>
      <c r="E966" s="123"/>
      <c r="F966" s="123"/>
      <c r="G966" s="123"/>
      <c r="H966" s="123"/>
      <c r="I966" s="123"/>
      <c r="J966" s="123"/>
      <c r="K966" s="281"/>
      <c r="L966" s="281"/>
      <c r="M966" s="18"/>
      <c r="N966" s="991"/>
    </row>
    <row r="967" spans="1:14" ht="23.25" customHeight="1" thickTop="1">
      <c r="A967" s="700" t="s">
        <v>49</v>
      </c>
      <c r="B967" s="484"/>
      <c r="C967" s="803" t="s">
        <v>884</v>
      </c>
      <c r="D967" s="804"/>
      <c r="E967" s="726" t="s">
        <v>885</v>
      </c>
      <c r="F967" s="727"/>
      <c r="G967" s="730" t="s">
        <v>901</v>
      </c>
      <c r="H967" s="731"/>
      <c r="I967" s="730" t="s">
        <v>888</v>
      </c>
      <c r="J967" s="731"/>
      <c r="K967" s="1132"/>
      <c r="L967" s="1133"/>
      <c r="M967" s="18"/>
      <c r="N967" s="991"/>
    </row>
    <row r="968" spans="1:14" ht="15" customHeight="1">
      <c r="A968" s="173" t="s">
        <v>577</v>
      </c>
      <c r="B968" s="232" t="s">
        <v>50</v>
      </c>
      <c r="C968" s="703">
        <f>CEILING(56*$Z$1,0.1)</f>
        <v>70</v>
      </c>
      <c r="D968" s="764"/>
      <c r="E968" s="703">
        <f>CEILING(96*$Z$1,0.1)</f>
        <v>120</v>
      </c>
      <c r="F968" s="704"/>
      <c r="G968" s="703">
        <f>CEILING(76*$Z$1,0.1)</f>
        <v>95</v>
      </c>
      <c r="H968" s="704"/>
      <c r="I968" s="703">
        <f>CEILING(70*$Z$1,0.1)</f>
        <v>87.5</v>
      </c>
      <c r="J968" s="704"/>
      <c r="K968" s="284"/>
      <c r="L968" s="282"/>
      <c r="M968" s="18"/>
      <c r="N968" s="991"/>
    </row>
    <row r="969" spans="1:14" ht="15" customHeight="1">
      <c r="A969" s="51" t="s">
        <v>51</v>
      </c>
      <c r="B969" s="233" t="s">
        <v>52</v>
      </c>
      <c r="C969" s="707">
        <f>CEILING((C968+25*$Z$1),0.1)</f>
        <v>101.30000000000001</v>
      </c>
      <c r="D969" s="708"/>
      <c r="E969" s="707">
        <f>CEILING((E968+25*$Z$1),0.1)</f>
        <v>151.3</v>
      </c>
      <c r="F969" s="708"/>
      <c r="G969" s="707">
        <f>CEILING((G968+25*$Z$1),0.1)</f>
        <v>126.30000000000001</v>
      </c>
      <c r="H969" s="708"/>
      <c r="I969" s="707">
        <f>CEILING((I968+25*$Z$1),0.1)</f>
        <v>118.80000000000001</v>
      </c>
      <c r="J969" s="708"/>
      <c r="K969" s="282"/>
      <c r="L969" s="282"/>
      <c r="M969" s="18"/>
      <c r="N969" s="991"/>
    </row>
    <row r="970" spans="1:14" ht="15" customHeight="1">
      <c r="A970" s="51"/>
      <c r="B970" s="54" t="s">
        <v>86</v>
      </c>
      <c r="C970" s="707">
        <f>CEILING((C968*0.85),0.1)</f>
        <v>59.5</v>
      </c>
      <c r="D970" s="708"/>
      <c r="E970" s="707">
        <f>CEILING((E968*0.85),0.1)</f>
        <v>102</v>
      </c>
      <c r="F970" s="708"/>
      <c r="G970" s="707">
        <f>CEILING((G968*0.85),0.1)</f>
        <v>80.80000000000001</v>
      </c>
      <c r="H970" s="708"/>
      <c r="I970" s="707">
        <f>CEILING((I968*0.85),0.1)</f>
        <v>74.4</v>
      </c>
      <c r="J970" s="708"/>
      <c r="K970" s="282"/>
      <c r="L970" s="282"/>
      <c r="M970" s="18"/>
      <c r="N970" s="991"/>
    </row>
    <row r="971" spans="1:14" ht="15" customHeight="1">
      <c r="A971" s="1028"/>
      <c r="B971" s="140" t="s">
        <v>85</v>
      </c>
      <c r="C971" s="707">
        <f>CEILING((C968*0.5),0.1)</f>
        <v>35</v>
      </c>
      <c r="D971" s="708"/>
      <c r="E971" s="707">
        <f>CEILING((E968*0.5),0.1)</f>
        <v>60</v>
      </c>
      <c r="F971" s="708"/>
      <c r="G971" s="707">
        <f>CEILING((G968*0.5),0.1)</f>
        <v>47.5</v>
      </c>
      <c r="H971" s="708"/>
      <c r="I971" s="707">
        <f>CEILING((I968*0.5),0.1)</f>
        <v>43.800000000000004</v>
      </c>
      <c r="J971" s="708"/>
      <c r="K971" s="282"/>
      <c r="L971" s="282"/>
      <c r="M971" s="18"/>
      <c r="N971" s="991"/>
    </row>
    <row r="972" spans="1:14" ht="15" customHeight="1">
      <c r="A972" s="1134"/>
      <c r="B972" s="140" t="s">
        <v>238</v>
      </c>
      <c r="C972" s="707">
        <f>CEILING(64*$Z$1,0.1)</f>
        <v>80</v>
      </c>
      <c r="D972" s="708"/>
      <c r="E972" s="707">
        <f>CEILING(104*$Z$1,0.1)</f>
        <v>130</v>
      </c>
      <c r="F972" s="708"/>
      <c r="G972" s="707">
        <f>CEILING(84*$Z$1,0.1)</f>
        <v>105</v>
      </c>
      <c r="H972" s="708"/>
      <c r="I972" s="707">
        <f>CEILING(78*$Z$1,0.1)</f>
        <v>97.5</v>
      </c>
      <c r="J972" s="708"/>
      <c r="K972" s="288"/>
      <c r="L972" s="288"/>
      <c r="M972" s="18"/>
      <c r="N972" s="991"/>
    </row>
    <row r="973" spans="1:14" ht="15" customHeight="1" thickBot="1">
      <c r="A973" s="373" t="s">
        <v>501</v>
      </c>
      <c r="B973" s="413" t="s">
        <v>62</v>
      </c>
      <c r="C973" s="720">
        <f>CEILING(91*$Z$1,0.1)</f>
        <v>113.80000000000001</v>
      </c>
      <c r="D973" s="721"/>
      <c r="E973" s="720">
        <f>CEILING(131*$Z$1,0.1)</f>
        <v>163.8</v>
      </c>
      <c r="F973" s="721"/>
      <c r="G973" s="720">
        <f>CEILING(111*$Z$1,0.1)</f>
        <v>138.8</v>
      </c>
      <c r="H973" s="721"/>
      <c r="I973" s="720">
        <f>CEILING(105*$Z$1,0.1)</f>
        <v>131.3</v>
      </c>
      <c r="J973" s="721"/>
      <c r="K973" s="288"/>
      <c r="L973" s="288"/>
      <c r="M973" s="18"/>
      <c r="N973" s="991"/>
    </row>
    <row r="974" spans="1:14" ht="15" customHeight="1" thickTop="1">
      <c r="A974" s="117" t="s">
        <v>386</v>
      </c>
      <c r="B974" s="140"/>
      <c r="C974" s="656"/>
      <c r="D974" s="656"/>
      <c r="E974" s="656"/>
      <c r="F974" s="656"/>
      <c r="G974" s="656"/>
      <c r="H974" s="656"/>
      <c r="I974" s="656"/>
      <c r="J974" s="656"/>
      <c r="K974" s="288"/>
      <c r="L974" s="288"/>
      <c r="M974" s="18"/>
      <c r="N974" s="991"/>
    </row>
    <row r="975" spans="1:14" ht="15.75" customHeight="1">
      <c r="A975" s="170" t="s">
        <v>957</v>
      </c>
      <c r="B975" s="54"/>
      <c r="C975" s="877"/>
      <c r="D975" s="877"/>
      <c r="E975" s="877"/>
      <c r="F975" s="877"/>
      <c r="G975" s="877"/>
      <c r="H975" s="877"/>
      <c r="I975" s="877"/>
      <c r="J975" s="877"/>
      <c r="K975" s="282"/>
      <c r="L975" s="282"/>
      <c r="M975" s="18"/>
      <c r="N975" s="991"/>
    </row>
    <row r="976" spans="1:14" ht="15" customHeight="1" thickBot="1">
      <c r="A976" s="123"/>
      <c r="B976" s="56"/>
      <c r="C976" s="681"/>
      <c r="D976" s="681"/>
      <c r="E976" s="681"/>
      <c r="F976" s="681"/>
      <c r="G976" s="681"/>
      <c r="H976" s="681"/>
      <c r="I976" s="681"/>
      <c r="J976" s="681"/>
      <c r="K976" s="282"/>
      <c r="L976" s="282"/>
      <c r="M976" s="18"/>
      <c r="N976" s="991"/>
    </row>
    <row r="977" spans="1:14" ht="23.25" customHeight="1" hidden="1" thickTop="1">
      <c r="A977" s="78" t="s">
        <v>49</v>
      </c>
      <c r="B977" s="189"/>
      <c r="C977" s="255" t="s">
        <v>701</v>
      </c>
      <c r="D977" s="256"/>
      <c r="E977" s="257" t="s">
        <v>719</v>
      </c>
      <c r="F977" s="258"/>
      <c r="G977" s="257" t="s">
        <v>705</v>
      </c>
      <c r="H977" s="258"/>
      <c r="I977" s="257" t="s">
        <v>720</v>
      </c>
      <c r="J977" s="258"/>
      <c r="K977" s="257" t="s">
        <v>721</v>
      </c>
      <c r="L977" s="314"/>
      <c r="M977" s="23"/>
      <c r="N977" s="991"/>
    </row>
    <row r="978" spans="1:14" ht="15" customHeight="1" hidden="1">
      <c r="A978" s="36" t="s">
        <v>476</v>
      </c>
      <c r="B978" s="42" t="s">
        <v>477</v>
      </c>
      <c r="C978" s="707">
        <f>CEILING(57*$Z$1,0.1)</f>
        <v>71.3</v>
      </c>
      <c r="D978" s="747"/>
      <c r="E978" s="703">
        <f>CEILING(80*$Z$1,0.1)</f>
        <v>100</v>
      </c>
      <c r="F978" s="704"/>
      <c r="G978" s="703">
        <f>CEILING(69*$Z$1,0.1)</f>
        <v>86.30000000000001</v>
      </c>
      <c r="H978" s="704"/>
      <c r="I978" s="703">
        <f>CEILING(70*$Z$1,0.1)</f>
        <v>87.5</v>
      </c>
      <c r="J978" s="704"/>
      <c r="K978" s="703">
        <f>CEILING(57*$Z$1,0.1)</f>
        <v>71.3</v>
      </c>
      <c r="L978" s="704"/>
      <c r="M978" s="23"/>
      <c r="N978" s="991"/>
    </row>
    <row r="979" spans="1:14" ht="15" customHeight="1" hidden="1">
      <c r="A979" s="37" t="s">
        <v>51</v>
      </c>
      <c r="B979" s="14" t="s">
        <v>478</v>
      </c>
      <c r="C979" s="707">
        <f>CEILING((C978+20*$Z$1),0.1)</f>
        <v>96.30000000000001</v>
      </c>
      <c r="D979" s="708"/>
      <c r="E979" s="707">
        <f>CEILING((E978+20*$Z$1),0.1)</f>
        <v>125</v>
      </c>
      <c r="F979" s="708"/>
      <c r="G979" s="707">
        <f>CEILING((G978+20*$Z$1),0.1)</f>
        <v>111.30000000000001</v>
      </c>
      <c r="H979" s="708"/>
      <c r="I979" s="707">
        <f>CEILING((I978+20*$Z$1),0.1)</f>
        <v>112.5</v>
      </c>
      <c r="J979" s="708"/>
      <c r="K979" s="707">
        <f>CEILING((K978+20*$Z$1),0.1)</f>
        <v>96.30000000000001</v>
      </c>
      <c r="L979" s="708"/>
      <c r="M979" s="23"/>
      <c r="N979" s="991"/>
    </row>
    <row r="980" spans="1:14" ht="15" customHeight="1" hidden="1">
      <c r="A980" s="1071"/>
      <c r="B980" s="38" t="s">
        <v>53</v>
      </c>
      <c r="C980" s="707">
        <f>CEILING(48.45*$Z$1,0.1)</f>
        <v>60.6</v>
      </c>
      <c r="D980" s="708"/>
      <c r="E980" s="707">
        <f>CEILING(68*$Z$1,0.1)</f>
        <v>85</v>
      </c>
      <c r="F980" s="708"/>
      <c r="G980" s="707">
        <f>CEILING(58.65*$Z$1,0.1)</f>
        <v>73.4</v>
      </c>
      <c r="H980" s="708"/>
      <c r="I980" s="707">
        <f>CEILING(59.5*$Z$1,0.1)</f>
        <v>74.4</v>
      </c>
      <c r="J980" s="708"/>
      <c r="K980" s="707">
        <f>CEILING(48.45*$Z$1,0.1)</f>
        <v>60.6</v>
      </c>
      <c r="L980" s="708"/>
      <c r="M980" s="23"/>
      <c r="N980" s="991"/>
    </row>
    <row r="981" spans="1:14" ht="15" customHeight="1" hidden="1">
      <c r="A981" s="1135"/>
      <c r="B981" s="14" t="s">
        <v>100</v>
      </c>
      <c r="C981" s="714">
        <v>0</v>
      </c>
      <c r="D981" s="715"/>
      <c r="E981" s="714">
        <v>0</v>
      </c>
      <c r="F981" s="715"/>
      <c r="G981" s="714">
        <v>0</v>
      </c>
      <c r="H981" s="715"/>
      <c r="I981" s="714">
        <v>0</v>
      </c>
      <c r="J981" s="715"/>
      <c r="K981" s="714">
        <v>0</v>
      </c>
      <c r="L981" s="715"/>
      <c r="M981" s="23"/>
      <c r="N981" s="991"/>
    </row>
    <row r="982" spans="1:14" ht="15" customHeight="1" hidden="1">
      <c r="A982" s="1071"/>
      <c r="B982" s="12" t="s">
        <v>479</v>
      </c>
      <c r="C982" s="707">
        <f>CEILING(72*$Z$1,0.1)</f>
        <v>90</v>
      </c>
      <c r="D982" s="708"/>
      <c r="E982" s="707">
        <f>CEILING(95*$Z$1,0.1)</f>
        <v>118.80000000000001</v>
      </c>
      <c r="F982" s="708"/>
      <c r="G982" s="707">
        <f>CEILING(84*$Z$1,0.1)</f>
        <v>105</v>
      </c>
      <c r="H982" s="708"/>
      <c r="I982" s="707">
        <f>CEILING(85*$Z$1,0.1)</f>
        <v>106.30000000000001</v>
      </c>
      <c r="J982" s="708"/>
      <c r="K982" s="707">
        <f>CEILING(72*$Z$1,0.1)</f>
        <v>90</v>
      </c>
      <c r="L982" s="708"/>
      <c r="M982" s="23"/>
      <c r="N982" s="991"/>
    </row>
    <row r="983" spans="1:14" ht="15" customHeight="1" hidden="1">
      <c r="A983" s="1073"/>
      <c r="B983" s="371" t="s">
        <v>480</v>
      </c>
      <c r="C983" s="705">
        <f>CEILING((C982+20*$Z$1),0.1)</f>
        <v>115</v>
      </c>
      <c r="D983" s="1121"/>
      <c r="E983" s="765">
        <f>CEILING((E982+20*$Z$1),0.1)</f>
        <v>143.8</v>
      </c>
      <c r="F983" s="766"/>
      <c r="G983" s="765">
        <f>CEILING((G982+20*$Z$1),0.1)</f>
        <v>130</v>
      </c>
      <c r="H983" s="766"/>
      <c r="I983" s="765">
        <f>CEILING((I982+20*$Z$1),0.1)</f>
        <v>131.3</v>
      </c>
      <c r="J983" s="766"/>
      <c r="K983" s="765">
        <f>CEILING((K982+20*$Z$1),0.1)</f>
        <v>115</v>
      </c>
      <c r="L983" s="766"/>
      <c r="M983" s="23"/>
      <c r="N983" s="991"/>
    </row>
    <row r="984" spans="1:14" ht="15" customHeight="1" hidden="1">
      <c r="A984" s="1073"/>
      <c r="B984" s="42" t="s">
        <v>774</v>
      </c>
      <c r="C984" s="707">
        <f>CEILING(64*$Z$1,0.1)</f>
        <v>80</v>
      </c>
      <c r="D984" s="747"/>
      <c r="E984" s="703">
        <f>CEILING(87*$Z$1,0.1)</f>
        <v>108.80000000000001</v>
      </c>
      <c r="F984" s="704"/>
      <c r="G984" s="703">
        <f>CEILING(76*$Z$1,0.1)</f>
        <v>95</v>
      </c>
      <c r="H984" s="704"/>
      <c r="I984" s="703">
        <f>CEILING(77*$Z$1,0.1)</f>
        <v>96.30000000000001</v>
      </c>
      <c r="J984" s="704"/>
      <c r="K984" s="703">
        <f>CEILING(64*$Z$1,0.1)</f>
        <v>80</v>
      </c>
      <c r="L984" s="704"/>
      <c r="M984" s="23"/>
      <c r="N984" s="991"/>
    </row>
    <row r="985" spans="1:14" ht="15" customHeight="1" hidden="1">
      <c r="A985" s="1073"/>
      <c r="B985" s="14" t="s">
        <v>771</v>
      </c>
      <c r="C985" s="707">
        <f>CEILING((C984+20*$Z$1),0.1)</f>
        <v>105</v>
      </c>
      <c r="D985" s="708"/>
      <c r="E985" s="707">
        <f>CEILING((E984+20*$Z$1),0.1)</f>
        <v>133.8</v>
      </c>
      <c r="F985" s="708"/>
      <c r="G985" s="707">
        <f>CEILING((G984+20*$Z$1),0.1)</f>
        <v>120</v>
      </c>
      <c r="H985" s="708"/>
      <c r="I985" s="707">
        <f>CEILING((I984+20*$Z$1),0.1)</f>
        <v>121.30000000000001</v>
      </c>
      <c r="J985" s="708"/>
      <c r="K985" s="707">
        <f>CEILING((K984+20*$Z$1),0.1)</f>
        <v>105</v>
      </c>
      <c r="L985" s="708"/>
      <c r="M985" s="23"/>
      <c r="N985" s="991"/>
    </row>
    <row r="986" spans="1:14" ht="15" customHeight="1" hidden="1">
      <c r="A986" s="1073"/>
      <c r="B986" s="38" t="s">
        <v>53</v>
      </c>
      <c r="C986" s="707">
        <f>CEILING(54.4*$Z$1,0.1)</f>
        <v>68</v>
      </c>
      <c r="D986" s="708"/>
      <c r="E986" s="707">
        <f>CEILING(73.95*$Z$1,0.1)</f>
        <v>92.5</v>
      </c>
      <c r="F986" s="708"/>
      <c r="G986" s="707">
        <f>CEILING(64.6*$Z$1,0.1)</f>
        <v>80.80000000000001</v>
      </c>
      <c r="H986" s="708"/>
      <c r="I986" s="707">
        <f>CEILING(65.45*$Z$1,0.1)</f>
        <v>81.9</v>
      </c>
      <c r="J986" s="708"/>
      <c r="K986" s="707">
        <f>CEILING(54.4*$Z$1,0.1)</f>
        <v>68</v>
      </c>
      <c r="L986" s="708"/>
      <c r="M986" s="23"/>
      <c r="N986" s="991"/>
    </row>
    <row r="987" spans="1:14" ht="15" customHeight="1" hidden="1">
      <c r="A987" s="1073"/>
      <c r="B987" s="12" t="s">
        <v>772</v>
      </c>
      <c r="C987" s="707">
        <f>CEILING(79*$Z$1,0.1)</f>
        <v>98.80000000000001</v>
      </c>
      <c r="D987" s="708"/>
      <c r="E987" s="707">
        <f>CEILING(102*$Z$1,0.1)</f>
        <v>127.5</v>
      </c>
      <c r="F987" s="708"/>
      <c r="G987" s="707">
        <f>CEILING(91*$Z$1,0.1)</f>
        <v>113.80000000000001</v>
      </c>
      <c r="H987" s="708"/>
      <c r="I987" s="707">
        <f>CEILING(92*$Z$1,0.1)</f>
        <v>115</v>
      </c>
      <c r="J987" s="708"/>
      <c r="K987" s="707">
        <f>CEILING(79*$Z$1,0.1)</f>
        <v>98.80000000000001</v>
      </c>
      <c r="L987" s="708"/>
      <c r="M987" s="23"/>
      <c r="N987" s="991"/>
    </row>
    <row r="988" spans="1:14" ht="15" customHeight="1" hidden="1" thickBot="1">
      <c r="A988" s="236" t="s">
        <v>523</v>
      </c>
      <c r="B988" s="45" t="s">
        <v>773</v>
      </c>
      <c r="C988" s="720">
        <f>CEILING((C982+20*$Z$1),0.1)</f>
        <v>115</v>
      </c>
      <c r="D988" s="721"/>
      <c r="E988" s="720">
        <f>CEILING((E982+20*$Z$1),0.1)</f>
        <v>143.8</v>
      </c>
      <c r="F988" s="721"/>
      <c r="G988" s="720">
        <f>CEILING((G982+20*$Z$1),0.1)</f>
        <v>130</v>
      </c>
      <c r="H988" s="721"/>
      <c r="I988" s="720">
        <f>CEILING((I982+20*$Z$1),0.1)</f>
        <v>131.3</v>
      </c>
      <c r="J988" s="721"/>
      <c r="K988" s="720">
        <f>CEILING((K982+20*$Z$1),0.1)</f>
        <v>115</v>
      </c>
      <c r="L988" s="721"/>
      <c r="M988" s="23"/>
      <c r="N988" s="991"/>
    </row>
    <row r="989" spans="1:14" ht="18" customHeight="1" hidden="1" thickTop="1">
      <c r="A989" s="82" t="s">
        <v>770</v>
      </c>
      <c r="B989" s="54"/>
      <c r="C989" s="681"/>
      <c r="D989" s="681"/>
      <c r="E989" s="681"/>
      <c r="F989" s="681"/>
      <c r="G989" s="681"/>
      <c r="H989" s="681"/>
      <c r="I989" s="681"/>
      <c r="J989" s="681"/>
      <c r="K989" s="282"/>
      <c r="L989" s="282"/>
      <c r="M989" s="18"/>
      <c r="N989" s="991"/>
    </row>
    <row r="990" spans="1:14" ht="16.5" customHeight="1" hidden="1">
      <c r="A990" s="82" t="s">
        <v>775</v>
      </c>
      <c r="B990" s="54"/>
      <c r="C990" s="681"/>
      <c r="D990" s="681"/>
      <c r="E990" s="681"/>
      <c r="F990" s="681"/>
      <c r="G990" s="681"/>
      <c r="H990" s="681"/>
      <c r="I990" s="681"/>
      <c r="J990" s="681"/>
      <c r="K990" s="282"/>
      <c r="L990" s="282"/>
      <c r="M990" s="18"/>
      <c r="N990" s="991"/>
    </row>
    <row r="991" spans="1:14" ht="15.75" customHeight="1" hidden="1">
      <c r="A991" s="170" t="s">
        <v>481</v>
      </c>
      <c r="B991" s="54"/>
      <c r="C991" s="681"/>
      <c r="D991" s="681"/>
      <c r="E991" s="681"/>
      <c r="F991" s="681"/>
      <c r="G991" s="681"/>
      <c r="H991" s="681"/>
      <c r="I991" s="681"/>
      <c r="J991" s="681"/>
      <c r="K991" s="282"/>
      <c r="L991" s="282"/>
      <c r="M991" s="18"/>
      <c r="N991" s="991"/>
    </row>
    <row r="992" spans="1:14" ht="17.25" customHeight="1" thickBot="1" thickTop="1">
      <c r="A992" s="123"/>
      <c r="B992" s="56"/>
      <c r="C992" s="81"/>
      <c r="D992" s="81"/>
      <c r="E992" s="81"/>
      <c r="F992" s="81"/>
      <c r="G992" s="81"/>
      <c r="H992" s="81"/>
      <c r="I992" s="81"/>
      <c r="J992" s="81"/>
      <c r="K992" s="279"/>
      <c r="L992" s="279"/>
      <c r="M992" s="18"/>
      <c r="N992" s="991"/>
    </row>
    <row r="993" spans="1:14" ht="25.5" customHeight="1" thickTop="1">
      <c r="A993" s="700" t="s">
        <v>49</v>
      </c>
      <c r="B993" s="532"/>
      <c r="C993" s="429" t="s">
        <v>1072</v>
      </c>
      <c r="D993" s="430"/>
      <c r="E993" s="431" t="s">
        <v>1102</v>
      </c>
      <c r="F993" s="432"/>
      <c r="G993" s="431" t="s">
        <v>1074</v>
      </c>
      <c r="H993" s="432"/>
      <c r="I993" s="431" t="s">
        <v>1075</v>
      </c>
      <c r="J993" s="432"/>
      <c r="K993" s="431" t="s">
        <v>987</v>
      </c>
      <c r="L993" s="433"/>
      <c r="M993" s="23"/>
      <c r="N993" s="991"/>
    </row>
    <row r="994" spans="1:14" ht="15" customHeight="1">
      <c r="A994" s="36" t="s">
        <v>3</v>
      </c>
      <c r="B994" s="42" t="s">
        <v>83</v>
      </c>
      <c r="C994" s="707">
        <f>CEILING(74*$Z$1,0.1)</f>
        <v>92.5</v>
      </c>
      <c r="D994" s="747"/>
      <c r="E994" s="703">
        <f>CEILING(134*$Z$1,0.1)</f>
        <v>167.5</v>
      </c>
      <c r="F994" s="704"/>
      <c r="G994" s="703">
        <f>CEILING(101*$Z$1,0.1)</f>
        <v>126.30000000000001</v>
      </c>
      <c r="H994" s="704"/>
      <c r="I994" s="703">
        <f>CEILING(112*$Z$1,0.1)</f>
        <v>140</v>
      </c>
      <c r="J994" s="704"/>
      <c r="K994" s="703">
        <f>CEILING(76*$Z$1,0.1)</f>
        <v>95</v>
      </c>
      <c r="L994" s="704"/>
      <c r="M994" s="23"/>
      <c r="N994" s="991"/>
    </row>
    <row r="995" spans="1:14" ht="15" customHeight="1">
      <c r="A995" s="37" t="s">
        <v>51</v>
      </c>
      <c r="B995" s="14" t="s">
        <v>84</v>
      </c>
      <c r="C995" s="707">
        <f>CEILING((C994+40*$Z$1),0.1)</f>
        <v>142.5</v>
      </c>
      <c r="D995" s="708"/>
      <c r="E995" s="707">
        <f>CEILING((E994+40*$Z$1),0.1)</f>
        <v>217.5</v>
      </c>
      <c r="F995" s="708"/>
      <c r="G995" s="707">
        <f>CEILING((G994+40*$Z$1),0.1)</f>
        <v>176.3</v>
      </c>
      <c r="H995" s="708"/>
      <c r="I995" s="707">
        <f>CEILING((I994+40*$Z$1),0.1)</f>
        <v>190</v>
      </c>
      <c r="J995" s="708"/>
      <c r="K995" s="707">
        <f>CEILING((K994+40*$Z$1),0.1)</f>
        <v>145</v>
      </c>
      <c r="L995" s="708"/>
      <c r="M995" s="23"/>
      <c r="N995" s="991"/>
    </row>
    <row r="996" spans="1:14" ht="15" customHeight="1">
      <c r="A996" s="1071"/>
      <c r="B996" s="38" t="s">
        <v>53</v>
      </c>
      <c r="C996" s="707">
        <f>CEILING((C994*0.85),0.1)</f>
        <v>78.7</v>
      </c>
      <c r="D996" s="708"/>
      <c r="E996" s="707">
        <f>CEILING((E994*0.85),0.1)</f>
        <v>142.4</v>
      </c>
      <c r="F996" s="708"/>
      <c r="G996" s="707">
        <f>CEILING((G994*0.85),0.1)</f>
        <v>107.4</v>
      </c>
      <c r="H996" s="708"/>
      <c r="I996" s="707">
        <f>CEILING((I994*0.85),0.1)</f>
        <v>119</v>
      </c>
      <c r="J996" s="708"/>
      <c r="K996" s="707">
        <f>CEILING((K994*0.85),0.1)</f>
        <v>80.80000000000001</v>
      </c>
      <c r="L996" s="708"/>
      <c r="M996" s="23"/>
      <c r="N996" s="991"/>
    </row>
    <row r="997" spans="1:14" ht="15" customHeight="1">
      <c r="A997" s="1135"/>
      <c r="B997" s="14" t="s">
        <v>122</v>
      </c>
      <c r="C997" s="707">
        <f>CEILING((C994*0.5),0.1)</f>
        <v>46.300000000000004</v>
      </c>
      <c r="D997" s="708"/>
      <c r="E997" s="707">
        <f>CEILING((E994*0.5),0.1)</f>
        <v>83.80000000000001</v>
      </c>
      <c r="F997" s="708"/>
      <c r="G997" s="707">
        <f>CEILING((G994*0.5),0.1)</f>
        <v>63.2</v>
      </c>
      <c r="H997" s="708"/>
      <c r="I997" s="707">
        <f>CEILING((I994*0.5),0.1)</f>
        <v>70</v>
      </c>
      <c r="J997" s="708"/>
      <c r="K997" s="707">
        <f>CEILING((K994*0.5),0.1)</f>
        <v>47.5</v>
      </c>
      <c r="L997" s="708"/>
      <c r="M997" s="23"/>
      <c r="N997" s="991"/>
    </row>
    <row r="998" spans="1:14" ht="16.5" customHeight="1">
      <c r="A998" s="1071"/>
      <c r="B998" s="12" t="s">
        <v>4</v>
      </c>
      <c r="C998" s="707">
        <f>CEILING(91*$Z$1,0.1)</f>
        <v>113.80000000000001</v>
      </c>
      <c r="D998" s="708"/>
      <c r="E998" s="707">
        <f>CEILING(151*$Z$1,0.1)</f>
        <v>188.8</v>
      </c>
      <c r="F998" s="708"/>
      <c r="G998" s="707">
        <f>CEILING(118*$Z$1,0.1)</f>
        <v>147.5</v>
      </c>
      <c r="H998" s="708"/>
      <c r="I998" s="707">
        <f>CEILING(129*$Z$1,0.1)</f>
        <v>161.3</v>
      </c>
      <c r="J998" s="708"/>
      <c r="K998" s="707">
        <f>CEILING(93*$Z$1,0.1)</f>
        <v>116.30000000000001</v>
      </c>
      <c r="L998" s="708"/>
      <c r="M998" s="23"/>
      <c r="N998" s="991"/>
    </row>
    <row r="999" spans="1:14" ht="16.5" customHeight="1" thickBot="1">
      <c r="A999" s="236" t="s">
        <v>522</v>
      </c>
      <c r="B999" s="45" t="s">
        <v>5</v>
      </c>
      <c r="C999" s="720">
        <f>CEILING((C998+40*$Z$1),0.1)</f>
        <v>163.8</v>
      </c>
      <c r="D999" s="721"/>
      <c r="E999" s="720">
        <f>CEILING((E998+40*$Z$1),0.1)</f>
        <v>238.8</v>
      </c>
      <c r="F999" s="721"/>
      <c r="G999" s="720">
        <f>CEILING((G998+40*$Z$1),0.1)</f>
        <v>197.5</v>
      </c>
      <c r="H999" s="721"/>
      <c r="I999" s="720">
        <f>CEILING((I998+40*$Z$1),0.1)</f>
        <v>211.3</v>
      </c>
      <c r="J999" s="721"/>
      <c r="K999" s="720">
        <f>CEILING((K998+40*$Z$1),0.1)</f>
        <v>166.3</v>
      </c>
      <c r="L999" s="721"/>
      <c r="M999" s="18"/>
      <c r="N999" s="991"/>
    </row>
    <row r="1000" spans="1:14" ht="16.5" customHeight="1" thickTop="1">
      <c r="A1000" s="1136" t="s">
        <v>722</v>
      </c>
      <c r="B1000" s="54"/>
      <c r="C1000" s="81"/>
      <c r="D1000" s="81"/>
      <c r="E1000" s="81"/>
      <c r="F1000" s="81"/>
      <c r="G1000" s="81"/>
      <c r="H1000" s="81"/>
      <c r="I1000" s="81"/>
      <c r="J1000" s="81"/>
      <c r="K1000" s="282"/>
      <c r="L1000" s="282"/>
      <c r="M1000" s="18"/>
      <c r="N1000" s="991"/>
    </row>
    <row r="1001" spans="1:14" ht="16.5" customHeight="1">
      <c r="A1001" s="170" t="s">
        <v>1103</v>
      </c>
      <c r="B1001" s="54"/>
      <c r="C1001" s="81"/>
      <c r="D1001" s="81"/>
      <c r="E1001" s="81"/>
      <c r="F1001" s="81"/>
      <c r="G1001" s="81"/>
      <c r="H1001" s="81"/>
      <c r="I1001" s="81"/>
      <c r="J1001" s="81"/>
      <c r="K1001" s="282"/>
      <c r="L1001" s="282"/>
      <c r="M1001" s="18"/>
      <c r="N1001" s="991"/>
    </row>
    <row r="1002" spans="1:14" ht="12" customHeight="1">
      <c r="A1002" s="170" t="s">
        <v>1104</v>
      </c>
      <c r="B1002" s="54"/>
      <c r="C1002" s="81"/>
      <c r="D1002" s="81"/>
      <c r="E1002" s="81"/>
      <c r="F1002" s="81"/>
      <c r="G1002" s="81"/>
      <c r="H1002" s="81"/>
      <c r="I1002" s="81"/>
      <c r="J1002" s="81"/>
      <c r="K1002" s="282"/>
      <c r="L1002" s="282"/>
      <c r="M1002" s="18"/>
      <c r="N1002" s="991"/>
    </row>
    <row r="1003" spans="1:14" ht="17.25" customHeight="1" hidden="1">
      <c r="A1003" s="1137"/>
      <c r="B1003" s="1137"/>
      <c r="C1003" s="1137"/>
      <c r="D1003" s="1137"/>
      <c r="E1003" s="1137"/>
      <c r="F1003" s="1137"/>
      <c r="G1003" s="1137"/>
      <c r="H1003" s="1137"/>
      <c r="I1003" s="1138"/>
      <c r="J1003" s="18"/>
      <c r="K1003" s="282"/>
      <c r="L1003" s="282"/>
      <c r="M1003" s="18"/>
      <c r="N1003" s="991"/>
    </row>
    <row r="1004" spans="1:25" s="1140" customFormat="1" ht="15.75" customHeight="1">
      <c r="A1004" s="1118" t="s">
        <v>578</v>
      </c>
      <c r="B1004" s="1118"/>
      <c r="C1004" s="1118"/>
      <c r="D1004" s="1118"/>
      <c r="E1004" s="1118"/>
      <c r="F1004" s="1118"/>
      <c r="G1004" s="1118"/>
      <c r="H1004" s="1118"/>
      <c r="I1004" s="1139"/>
      <c r="J1004" s="22"/>
      <c r="K1004" s="104"/>
      <c r="L1004" s="104"/>
      <c r="M1004" s="22"/>
      <c r="N1004" s="140"/>
      <c r="O1004" s="1032"/>
      <c r="P1004" s="1032"/>
      <c r="Q1004" s="1032"/>
      <c r="R1004" s="1032"/>
      <c r="S1004" s="1032"/>
      <c r="T1004" s="1032"/>
      <c r="U1004" s="1032"/>
      <c r="V1004" s="1032"/>
      <c r="W1004" s="1032"/>
      <c r="X1004" s="1032"/>
      <c r="Y1004" s="1032"/>
    </row>
    <row r="1005" spans="1:14" ht="16.5" customHeight="1">
      <c r="A1005" s="1118" t="s">
        <v>398</v>
      </c>
      <c r="B1005" s="1118"/>
      <c r="C1005" s="1118"/>
      <c r="D1005" s="1118"/>
      <c r="E1005" s="1118"/>
      <c r="F1005" s="1118"/>
      <c r="G1005" s="1118"/>
      <c r="H1005" s="1118"/>
      <c r="I1005" s="344"/>
      <c r="J1005" s="18"/>
      <c r="K1005" s="282"/>
      <c r="L1005" s="282"/>
      <c r="M1005" s="18"/>
      <c r="N1005" s="991"/>
    </row>
    <row r="1006" spans="1:14" ht="16.5" customHeight="1">
      <c r="A1006" s="1118" t="s">
        <v>394</v>
      </c>
      <c r="B1006" s="1118"/>
      <c r="C1006" s="1118"/>
      <c r="D1006" s="1118"/>
      <c r="E1006" s="1118"/>
      <c r="F1006" s="1118"/>
      <c r="G1006" s="1118"/>
      <c r="H1006" s="1118"/>
      <c r="I1006" s="344"/>
      <c r="J1006" s="18"/>
      <c r="K1006" s="282"/>
      <c r="L1006" s="282"/>
      <c r="M1006" s="18"/>
      <c r="N1006" s="991"/>
    </row>
    <row r="1007" spans="1:14" ht="16.5" customHeight="1">
      <c r="A1007" s="1118" t="s">
        <v>555</v>
      </c>
      <c r="B1007" s="1118"/>
      <c r="C1007" s="1118"/>
      <c r="D1007" s="1118"/>
      <c r="E1007" s="1118"/>
      <c r="F1007" s="1118"/>
      <c r="G1007" s="1118"/>
      <c r="H1007" s="1118"/>
      <c r="I1007" s="1053"/>
      <c r="J1007" s="114"/>
      <c r="K1007" s="282"/>
      <c r="L1007" s="282"/>
      <c r="M1007" s="18"/>
      <c r="N1007" s="991"/>
    </row>
    <row r="1008" spans="1:14" ht="17.25" customHeight="1">
      <c r="A1008" s="1118" t="s">
        <v>556</v>
      </c>
      <c r="B1008" s="1118"/>
      <c r="C1008" s="1118"/>
      <c r="D1008" s="1118"/>
      <c r="E1008" s="1118"/>
      <c r="F1008" s="1118"/>
      <c r="G1008" s="1118"/>
      <c r="H1008" s="1118"/>
      <c r="I1008" s="345"/>
      <c r="J1008" s="114"/>
      <c r="K1008" s="282"/>
      <c r="L1008" s="282"/>
      <c r="M1008" s="18"/>
      <c r="N1008" s="991"/>
    </row>
    <row r="1009" spans="1:14" s="1143" customFormat="1" ht="15">
      <c r="A1009" s="1141" t="s">
        <v>1216</v>
      </c>
      <c r="B1009" s="1141"/>
      <c r="C1009" s="1141"/>
      <c r="D1009" s="1141"/>
      <c r="E1009" s="1141"/>
      <c r="F1009" s="1141"/>
      <c r="G1009" s="1141"/>
      <c r="H1009" s="1141"/>
      <c r="I1009" s="628"/>
      <c r="J1009" s="628"/>
      <c r="K1009" s="629"/>
      <c r="L1009" s="629"/>
      <c r="M1009" s="630"/>
      <c r="N1009" s="1142"/>
    </row>
    <row r="1010" spans="1:14" ht="14.25" customHeight="1">
      <c r="A1010" s="1144"/>
      <c r="B1010" s="1144"/>
      <c r="C1010" s="1144"/>
      <c r="D1010" s="1144"/>
      <c r="E1010" s="1144"/>
      <c r="F1010" s="1144"/>
      <c r="G1010" s="1144"/>
      <c r="H1010" s="1144"/>
      <c r="I1010" s="1"/>
      <c r="J1010" s="1"/>
      <c r="K1010" s="282"/>
      <c r="L1010" s="282"/>
      <c r="M1010" s="22"/>
      <c r="N1010" s="22"/>
    </row>
    <row r="1011" spans="1:14" ht="16.5" customHeight="1">
      <c r="A1011" s="902" t="s">
        <v>139</v>
      </c>
      <c r="B1011" s="902"/>
      <c r="C1011" s="902"/>
      <c r="D1011" s="902"/>
      <c r="E1011" s="902"/>
      <c r="F1011" s="902"/>
      <c r="G1011" s="902"/>
      <c r="H1011" s="902"/>
      <c r="I1011" s="119"/>
      <c r="J1011" s="119"/>
      <c r="K1011" s="282"/>
      <c r="L1011" s="282"/>
      <c r="M1011" s="18"/>
      <c r="N1011" s="991"/>
    </row>
    <row r="1012" spans="1:14" ht="14.25" customHeight="1" thickBot="1">
      <c r="A1012" s="120"/>
      <c r="B1012" s="120"/>
      <c r="C1012" s="120"/>
      <c r="D1012" s="120"/>
      <c r="E1012" s="120"/>
      <c r="F1012" s="120"/>
      <c r="G1012" s="120"/>
      <c r="H1012" s="120"/>
      <c r="I1012" s="120"/>
      <c r="J1012" s="120"/>
      <c r="K1012" s="282"/>
      <c r="L1012" s="282"/>
      <c r="M1012" s="18"/>
      <c r="N1012" s="991"/>
    </row>
    <row r="1013" spans="1:14" ht="27" customHeight="1" thickTop="1">
      <c r="A1013" s="700" t="s">
        <v>49</v>
      </c>
      <c r="B1013" s="700"/>
      <c r="C1013" s="529" t="s">
        <v>824</v>
      </c>
      <c r="D1013" s="437"/>
      <c r="E1013" s="438" t="s">
        <v>1021</v>
      </c>
      <c r="F1013" s="439"/>
      <c r="G1013" s="438" t="s">
        <v>841</v>
      </c>
      <c r="H1013" s="439"/>
      <c r="I1013" s="438" t="s">
        <v>827</v>
      </c>
      <c r="J1013" s="439"/>
      <c r="K1013" s="438" t="s">
        <v>828</v>
      </c>
      <c r="L1013" s="440"/>
      <c r="M1013" s="23"/>
      <c r="N1013" s="991"/>
    </row>
    <row r="1014" spans="1:14" ht="15">
      <c r="A1014" s="108" t="s">
        <v>140</v>
      </c>
      <c r="B1014" s="31" t="s">
        <v>333</v>
      </c>
      <c r="C1014" s="707">
        <f>CEILING(90*$Z$1,0.1)</f>
        <v>112.5</v>
      </c>
      <c r="D1014" s="747"/>
      <c r="E1014" s="703">
        <f>CEILING(130*$Z$1,0.1)</f>
        <v>162.5</v>
      </c>
      <c r="F1014" s="704"/>
      <c r="G1014" s="703">
        <f>CEILING(120*$Z$1,0.1)</f>
        <v>150</v>
      </c>
      <c r="H1014" s="704"/>
      <c r="I1014" s="703">
        <f>CEILING(130*$Z$1,0.1)</f>
        <v>162.5</v>
      </c>
      <c r="J1014" s="704"/>
      <c r="K1014" s="703">
        <f>CEILING(100*$Z$1,0.1)</f>
        <v>125</v>
      </c>
      <c r="L1014" s="704"/>
      <c r="M1014" s="23"/>
      <c r="N1014" s="991"/>
    </row>
    <row r="1015" spans="1:14" ht="15">
      <c r="A1015" s="30" t="s">
        <v>51</v>
      </c>
      <c r="B1015" s="54" t="s">
        <v>334</v>
      </c>
      <c r="C1015" s="707">
        <f>CEILING((C1014+55*$Z$1),0.1)</f>
        <v>181.3</v>
      </c>
      <c r="D1015" s="708"/>
      <c r="E1015" s="707">
        <f>CEILING((E1014+55*$Z$1),0.1)</f>
        <v>231.3</v>
      </c>
      <c r="F1015" s="708"/>
      <c r="G1015" s="707">
        <f>CEILING((G1014+55*$Z$1),0.1)</f>
        <v>218.8</v>
      </c>
      <c r="H1015" s="708"/>
      <c r="I1015" s="707">
        <f>CEILING((I1014+55*$Z$1),0.1)</f>
        <v>231.3</v>
      </c>
      <c r="J1015" s="708"/>
      <c r="K1015" s="707">
        <f>CEILING((K1014+55*$Z$1),0.1)</f>
        <v>193.8</v>
      </c>
      <c r="L1015" s="708"/>
      <c r="M1015" s="23"/>
      <c r="N1015" s="991"/>
    </row>
    <row r="1016" spans="1:14" ht="15">
      <c r="A1016" s="37"/>
      <c r="B1016" s="31" t="s">
        <v>86</v>
      </c>
      <c r="C1016" s="707">
        <f>CEILING((C1014*0.85),0.1)</f>
        <v>95.7</v>
      </c>
      <c r="D1016" s="708"/>
      <c r="E1016" s="707">
        <f>CEILING((E1014*0.85),0.1)</f>
        <v>138.20000000000002</v>
      </c>
      <c r="F1016" s="708"/>
      <c r="G1016" s="707">
        <f>CEILING((G1014*0.85),0.1)</f>
        <v>127.5</v>
      </c>
      <c r="H1016" s="708"/>
      <c r="I1016" s="707">
        <f>CEILING((I1014*0.85),0.1)</f>
        <v>138.20000000000002</v>
      </c>
      <c r="J1016" s="708"/>
      <c r="K1016" s="707">
        <f>CEILING((K1014*0.85),0.1)</f>
        <v>106.30000000000001</v>
      </c>
      <c r="L1016" s="708"/>
      <c r="M1016" s="23"/>
      <c r="N1016" s="991"/>
    </row>
    <row r="1017" spans="1:14" ht="15">
      <c r="A1017" s="37"/>
      <c r="B1017" s="74" t="s">
        <v>6</v>
      </c>
      <c r="C1017" s="707">
        <f>CEILING(115*$Z$1,0.1)</f>
        <v>143.8</v>
      </c>
      <c r="D1017" s="708"/>
      <c r="E1017" s="707">
        <f>CEILING(155*$Z$1,0.1)</f>
        <v>193.8</v>
      </c>
      <c r="F1017" s="708"/>
      <c r="G1017" s="707">
        <f>CEILING(145*$Z$1,0.1)</f>
        <v>181.3</v>
      </c>
      <c r="H1017" s="708"/>
      <c r="I1017" s="707">
        <f>CEILING(155*$Z$1,0.1)</f>
        <v>193.8</v>
      </c>
      <c r="J1017" s="708"/>
      <c r="K1017" s="707">
        <f>CEILING(125*$Z$1,0.1)</f>
        <v>156.3</v>
      </c>
      <c r="L1017" s="708"/>
      <c r="M1017" s="23"/>
      <c r="N1017" s="991"/>
    </row>
    <row r="1018" spans="1:14" ht="15">
      <c r="A1018" s="37"/>
      <c r="B1018" s="74" t="s">
        <v>7</v>
      </c>
      <c r="C1018" s="707">
        <f>CEILING((C1017+60*$Z$1),0.1)</f>
        <v>218.8</v>
      </c>
      <c r="D1018" s="1047"/>
      <c r="E1018" s="707">
        <f>CEILING((E1017+60*$Z$1),0.1)</f>
        <v>268.8</v>
      </c>
      <c r="F1018" s="708"/>
      <c r="G1018" s="707">
        <f>CEILING((G1017+60*$Z$1),0.1)</f>
        <v>256.3</v>
      </c>
      <c r="H1018" s="708"/>
      <c r="I1018" s="707">
        <f>CEILING((I1017+60*$Z$1),0.1)</f>
        <v>268.8</v>
      </c>
      <c r="J1018" s="708"/>
      <c r="K1018" s="707">
        <f>CEILING((K1017+60*$Z$1),0.1)</f>
        <v>231.3</v>
      </c>
      <c r="L1018" s="708"/>
      <c r="M1018" s="23"/>
      <c r="N1018" s="991"/>
    </row>
    <row r="1019" spans="1:14" ht="15">
      <c r="A1019" s="37"/>
      <c r="B1019" s="74" t="s">
        <v>50</v>
      </c>
      <c r="C1019" s="707">
        <f>CEILING(120*$Z$1,0.1)</f>
        <v>150</v>
      </c>
      <c r="D1019" s="708"/>
      <c r="E1019" s="707">
        <f>CEILING(160*$Z$1,0.1)</f>
        <v>200</v>
      </c>
      <c r="F1019" s="708"/>
      <c r="G1019" s="707">
        <f>CEILING(150*$Z$1,0.1)</f>
        <v>187.5</v>
      </c>
      <c r="H1019" s="708"/>
      <c r="I1019" s="707">
        <f>CEILING(160*$Z$1,0.1)</f>
        <v>200</v>
      </c>
      <c r="J1019" s="708"/>
      <c r="K1019" s="707">
        <f>CEILING(130*$Z$1,0.1)</f>
        <v>162.5</v>
      </c>
      <c r="L1019" s="708"/>
      <c r="M1019" s="23"/>
      <c r="N1019" s="991"/>
    </row>
    <row r="1020" spans="1:14" ht="15">
      <c r="A1020" s="37"/>
      <c r="B1020" s="74" t="s">
        <v>52</v>
      </c>
      <c r="C1020" s="707">
        <f>CEILING((C1019+60*$Z$1),0.1)</f>
        <v>225</v>
      </c>
      <c r="D1020" s="1047"/>
      <c r="E1020" s="707">
        <f>CEILING((E1019+60*$Z$1),0.1)</f>
        <v>275</v>
      </c>
      <c r="F1020" s="708"/>
      <c r="G1020" s="707">
        <f>CEILING((G1019+60*$Z$1),0.1)</f>
        <v>262.5</v>
      </c>
      <c r="H1020" s="708"/>
      <c r="I1020" s="707">
        <f>CEILING((I1019+60*$Z$1),0.1)</f>
        <v>275</v>
      </c>
      <c r="J1020" s="708"/>
      <c r="K1020" s="707">
        <f>CEILING((K1019+60*$Z$1),0.1)</f>
        <v>237.5</v>
      </c>
      <c r="L1020" s="708"/>
      <c r="M1020" s="23"/>
      <c r="N1020" s="991"/>
    </row>
    <row r="1021" spans="1:14" ht="15">
      <c r="A1021" s="37"/>
      <c r="B1021" s="179" t="s">
        <v>8</v>
      </c>
      <c r="C1021" s="707">
        <f>CEILING(140*$Z$1,0.1)</f>
        <v>175</v>
      </c>
      <c r="D1021" s="708"/>
      <c r="E1021" s="707">
        <f>CEILING(180*$Z$1,0.1)</f>
        <v>225</v>
      </c>
      <c r="F1021" s="708"/>
      <c r="G1021" s="707">
        <f>CEILING(170*$Z$1,0.1)</f>
        <v>212.5</v>
      </c>
      <c r="H1021" s="708"/>
      <c r="I1021" s="707">
        <f>CEILING(180*$Z$1,0.1)</f>
        <v>225</v>
      </c>
      <c r="J1021" s="708"/>
      <c r="K1021" s="707">
        <f>CEILING(150*$Z$1,0.1)</f>
        <v>187.5</v>
      </c>
      <c r="L1021" s="708"/>
      <c r="M1021" s="23"/>
      <c r="N1021" s="991"/>
    </row>
    <row r="1022" spans="1:14" ht="15">
      <c r="A1022" s="92"/>
      <c r="B1022" s="179" t="s">
        <v>9</v>
      </c>
      <c r="C1022" s="707">
        <f>CEILING((C1021+75*$Z$1),0.1)</f>
        <v>268.8</v>
      </c>
      <c r="D1022" s="1047"/>
      <c r="E1022" s="707">
        <f>CEILING((E1021+75*$Z$1),0.1)</f>
        <v>318.8</v>
      </c>
      <c r="F1022" s="708"/>
      <c r="G1022" s="707">
        <f>CEILING((G1021+75*$Z$1),0.1)</f>
        <v>306.3</v>
      </c>
      <c r="H1022" s="708"/>
      <c r="I1022" s="707">
        <f>CEILING((I1021+75*$Z$1),0.1)</f>
        <v>318.8</v>
      </c>
      <c r="J1022" s="708"/>
      <c r="K1022" s="707">
        <f>CEILING((K1021+75*$Z$1),0.1)</f>
        <v>281.3</v>
      </c>
      <c r="L1022" s="708"/>
      <c r="M1022" s="22"/>
      <c r="N1022" s="991"/>
    </row>
    <row r="1023" spans="1:14" ht="16.5" thickBot="1">
      <c r="A1023" s="238" t="s">
        <v>508</v>
      </c>
      <c r="B1023" s="40" t="s">
        <v>654</v>
      </c>
      <c r="C1023" s="711">
        <v>0.15</v>
      </c>
      <c r="D1023" s="712"/>
      <c r="E1023" s="711">
        <v>0.1</v>
      </c>
      <c r="F1023" s="712"/>
      <c r="G1023" s="711">
        <v>0.1</v>
      </c>
      <c r="H1023" s="712"/>
      <c r="I1023" s="711">
        <v>0.1</v>
      </c>
      <c r="J1023" s="712"/>
      <c r="K1023" s="711">
        <v>0.1</v>
      </c>
      <c r="L1023" s="712"/>
      <c r="M1023" s="18"/>
      <c r="N1023" s="991"/>
    </row>
    <row r="1024" spans="1:14" ht="15.75" customHeight="1" thickTop="1">
      <c r="A1024" s="820" t="s">
        <v>141</v>
      </c>
      <c r="B1024" s="821"/>
      <c r="C1024" s="821"/>
      <c r="D1024" s="821"/>
      <c r="E1024" s="821"/>
      <c r="F1024" s="821"/>
      <c r="G1024" s="821"/>
      <c r="H1024" s="821"/>
      <c r="I1024" s="821"/>
      <c r="J1024" s="821"/>
      <c r="K1024" s="1145"/>
      <c r="L1024" s="1145"/>
      <c r="M1024" s="3"/>
      <c r="N1024" s="3"/>
    </row>
    <row r="1025" spans="1:14" ht="15">
      <c r="A1025" s="170" t="s">
        <v>668</v>
      </c>
      <c r="B1025" s="24"/>
      <c r="C1025" s="24"/>
      <c r="D1025" s="24"/>
      <c r="E1025" s="24"/>
      <c r="F1025" s="24"/>
      <c r="G1025" s="24"/>
      <c r="H1025" s="24"/>
      <c r="I1025" s="24"/>
      <c r="J1025" s="24"/>
      <c r="K1025" s="282"/>
      <c r="L1025" s="282"/>
      <c r="M1025" s="3"/>
      <c r="N1025" s="3"/>
    </row>
    <row r="1026" spans="1:14" ht="15.75" thickBot="1">
      <c r="A1026" s="246"/>
      <c r="B1026" s="24"/>
      <c r="C1026" s="34"/>
      <c r="D1026" s="24"/>
      <c r="E1026" s="24"/>
      <c r="F1026" s="24"/>
      <c r="G1026" s="24"/>
      <c r="H1026" s="24"/>
      <c r="I1026" s="24"/>
      <c r="J1026" s="24"/>
      <c r="K1026" s="282"/>
      <c r="L1026" s="282"/>
      <c r="M1026" s="3"/>
      <c r="N1026" s="3"/>
    </row>
    <row r="1027" spans="1:14" ht="24" customHeight="1" thickTop="1">
      <c r="A1027" s="700" t="s">
        <v>49</v>
      </c>
      <c r="B1027" s="427"/>
      <c r="C1027" s="529" t="s">
        <v>824</v>
      </c>
      <c r="D1027" s="437"/>
      <c r="E1027" s="438" t="s">
        <v>848</v>
      </c>
      <c r="F1027" s="439"/>
      <c r="G1027" s="438" t="s">
        <v>1014</v>
      </c>
      <c r="H1027" s="439"/>
      <c r="I1027" s="438" t="s">
        <v>827</v>
      </c>
      <c r="J1027" s="439"/>
      <c r="K1027" s="438" t="s">
        <v>828</v>
      </c>
      <c r="L1027" s="440"/>
      <c r="M1027" s="23"/>
      <c r="N1027" s="991"/>
    </row>
    <row r="1028" spans="1:14" ht="17.25" customHeight="1">
      <c r="A1028" s="208" t="s">
        <v>237</v>
      </c>
      <c r="B1028" s="31" t="s">
        <v>333</v>
      </c>
      <c r="C1028" s="707">
        <f>CEILING(60*$Z$1,0.1)</f>
        <v>75</v>
      </c>
      <c r="D1028" s="747"/>
      <c r="E1028" s="703">
        <f>CEILING(80*$Z$1,0.1)</f>
        <v>100</v>
      </c>
      <c r="F1028" s="704"/>
      <c r="G1028" s="703">
        <f>CEILING(65*$Z$1,0.1)</f>
        <v>81.30000000000001</v>
      </c>
      <c r="H1028" s="704"/>
      <c r="I1028" s="703">
        <f>CEILING(80*$Z$1,0.1)</f>
        <v>100</v>
      </c>
      <c r="J1028" s="704"/>
      <c r="K1028" s="703">
        <f>CEILING(60*$Z$1,0.1)</f>
        <v>75</v>
      </c>
      <c r="L1028" s="704"/>
      <c r="M1028" s="23"/>
      <c r="N1028" s="991"/>
    </row>
    <row r="1029" spans="1:14" ht="17.25" customHeight="1">
      <c r="A1029" s="177" t="s">
        <v>51</v>
      </c>
      <c r="B1029" s="14" t="s">
        <v>334</v>
      </c>
      <c r="C1029" s="707">
        <f>CEILING((C1028+40*$Z$1),0.1)</f>
        <v>125</v>
      </c>
      <c r="D1029" s="708"/>
      <c r="E1029" s="707">
        <f>CEILING((E1028+40*$Z$1),0.1)</f>
        <v>150</v>
      </c>
      <c r="F1029" s="708"/>
      <c r="G1029" s="707">
        <f>CEILING((G1028+40*$Z$1),0.1)</f>
        <v>131.3</v>
      </c>
      <c r="H1029" s="708"/>
      <c r="I1029" s="707">
        <f>CEILING((I1028+40*$Z$1),0.1)</f>
        <v>150</v>
      </c>
      <c r="J1029" s="708"/>
      <c r="K1029" s="707">
        <f>CEILING((K1028+40*$Z$1),0.1)</f>
        <v>125</v>
      </c>
      <c r="L1029" s="708"/>
      <c r="M1029" s="23"/>
      <c r="N1029" s="991"/>
    </row>
    <row r="1030" spans="1:14" ht="18" customHeight="1">
      <c r="A1030" s="177"/>
      <c r="B1030" s="14" t="s">
        <v>86</v>
      </c>
      <c r="C1030" s="707">
        <f>CEILING((C1028*0.85),0.1)</f>
        <v>63.800000000000004</v>
      </c>
      <c r="D1030" s="708"/>
      <c r="E1030" s="707">
        <f>CEILING((E1028*0.85),0.1)</f>
        <v>85</v>
      </c>
      <c r="F1030" s="708"/>
      <c r="G1030" s="707">
        <f>CEILING((G1028*0.85),0.1)</f>
        <v>69.2</v>
      </c>
      <c r="H1030" s="708"/>
      <c r="I1030" s="707">
        <f>CEILING((I1028*0.85),0.1)</f>
        <v>85</v>
      </c>
      <c r="J1030" s="708"/>
      <c r="K1030" s="707">
        <f>CEILING((K1028*0.85),0.1)</f>
        <v>63.800000000000004</v>
      </c>
      <c r="L1030" s="708"/>
      <c r="M1030" s="23"/>
      <c r="N1030" s="991"/>
    </row>
    <row r="1031" spans="1:14" ht="15.75" customHeight="1">
      <c r="A1031" s="209"/>
      <c r="B1031" s="39" t="s">
        <v>85</v>
      </c>
      <c r="C1031" s="707">
        <f>CEILING((C1028*0.5),0.1)</f>
        <v>37.5</v>
      </c>
      <c r="D1031" s="708"/>
      <c r="E1031" s="707">
        <f>CEILING((E1028*0.5),0.1)</f>
        <v>50</v>
      </c>
      <c r="F1031" s="708"/>
      <c r="G1031" s="707">
        <f>CEILING((G1028*0.5),0.1)</f>
        <v>40.7</v>
      </c>
      <c r="H1031" s="708"/>
      <c r="I1031" s="707">
        <f>CEILING((I1028*0.5),0.1)</f>
        <v>50</v>
      </c>
      <c r="J1031" s="708"/>
      <c r="K1031" s="707">
        <f>CEILING((K1028*0.5),0.1)</f>
        <v>37.5</v>
      </c>
      <c r="L1031" s="708"/>
      <c r="M1031" s="23"/>
      <c r="N1031" s="991"/>
    </row>
    <row r="1032" spans="1:14" ht="15">
      <c r="A1032" s="177"/>
      <c r="B1032" s="12" t="s">
        <v>676</v>
      </c>
      <c r="C1032" s="707">
        <f>CEILING(90*$Z$1,0.1)</f>
        <v>112.5</v>
      </c>
      <c r="D1032" s="708"/>
      <c r="E1032" s="707">
        <f>CEILING(110*$Z$1,0.1)</f>
        <v>137.5</v>
      </c>
      <c r="F1032" s="708"/>
      <c r="G1032" s="707">
        <f>CEILING(95*$Z$1,0.1)</f>
        <v>118.80000000000001</v>
      </c>
      <c r="H1032" s="708"/>
      <c r="I1032" s="707">
        <f>CEILING(110*$Z$1,0.1)</f>
        <v>137.5</v>
      </c>
      <c r="J1032" s="708"/>
      <c r="K1032" s="707">
        <f>CEILING(90*$Z$1,0.1)</f>
        <v>112.5</v>
      </c>
      <c r="L1032" s="708"/>
      <c r="M1032" s="101"/>
      <c r="N1032" s="101"/>
    </row>
    <row r="1033" spans="1:14" ht="16.5" customHeight="1" thickBot="1">
      <c r="A1033" s="238" t="s">
        <v>520</v>
      </c>
      <c r="B1033" s="45" t="s">
        <v>677</v>
      </c>
      <c r="C1033" s="720">
        <f>CEILING((C1032+50*$Z$1),0.1)</f>
        <v>175</v>
      </c>
      <c r="D1033" s="1146"/>
      <c r="E1033" s="720">
        <f>CEILING((E1032+50*$Z$1),0.1)</f>
        <v>200</v>
      </c>
      <c r="F1033" s="721"/>
      <c r="G1033" s="720">
        <f>CEILING((G1032+50*$Z$1),0.1)</f>
        <v>181.3</v>
      </c>
      <c r="H1033" s="721"/>
      <c r="I1033" s="720">
        <f>CEILING((I1032+50*$Z$1),0.1)</f>
        <v>200</v>
      </c>
      <c r="J1033" s="721"/>
      <c r="K1033" s="720">
        <f>CEILING((K1032+50*$Z$1),0.1)</f>
        <v>175</v>
      </c>
      <c r="L1033" s="721"/>
      <c r="M1033" s="3"/>
      <c r="N1033" s="3"/>
    </row>
    <row r="1034" spans="1:14" ht="18.75" customHeight="1" thickTop="1">
      <c r="A1034" s="752" t="s">
        <v>254</v>
      </c>
      <c r="B1034" s="752"/>
      <c r="C1034" s="752"/>
      <c r="D1034" s="752"/>
      <c r="E1034" s="752"/>
      <c r="F1034" s="752"/>
      <c r="G1034" s="752"/>
      <c r="H1034" s="752"/>
      <c r="I1034" s="752"/>
      <c r="J1034" s="752"/>
      <c r="K1034" s="1064"/>
      <c r="L1034" s="1064"/>
      <c r="M1034" s="3"/>
      <c r="N1034" s="3"/>
    </row>
    <row r="1035" spans="1:14" ht="18.75" customHeight="1">
      <c r="A1035" s="170" t="s">
        <v>1113</v>
      </c>
      <c r="B1035" s="676"/>
      <c r="C1035" s="676"/>
      <c r="D1035" s="676"/>
      <c r="E1035" s="676"/>
      <c r="F1035" s="676"/>
      <c r="G1035" s="676"/>
      <c r="H1035" s="676"/>
      <c r="I1035" s="676"/>
      <c r="J1035" s="676"/>
      <c r="K1035" s="1064"/>
      <c r="L1035" s="1064"/>
      <c r="M1035" s="3"/>
      <c r="N1035" s="3"/>
    </row>
    <row r="1036" spans="1:14" ht="15.75" thickBot="1">
      <c r="A1036" s="246"/>
      <c r="B1036" s="34"/>
      <c r="C1036" s="34"/>
      <c r="D1036" s="24"/>
      <c r="E1036" s="24"/>
      <c r="F1036" s="24"/>
      <c r="G1036" s="24"/>
      <c r="H1036" s="24"/>
      <c r="I1036" s="24"/>
      <c r="J1036" s="24"/>
      <c r="K1036" s="282"/>
      <c r="L1036" s="282"/>
      <c r="M1036" s="3"/>
      <c r="N1036" s="3"/>
    </row>
    <row r="1037" spans="1:14" ht="21" customHeight="1" thickTop="1">
      <c r="A1037" s="700" t="s">
        <v>49</v>
      </c>
      <c r="B1037" s="699"/>
      <c r="C1037" s="529" t="s">
        <v>642</v>
      </c>
      <c r="D1037" s="437"/>
      <c r="E1037" s="438" t="s">
        <v>643</v>
      </c>
      <c r="F1037" s="439"/>
      <c r="G1037" s="438" t="s">
        <v>645</v>
      </c>
      <c r="H1037" s="439"/>
      <c r="I1037" s="438" t="s">
        <v>644</v>
      </c>
      <c r="J1037" s="439"/>
      <c r="K1037" s="438" t="s">
        <v>588</v>
      </c>
      <c r="L1037" s="440"/>
      <c r="M1037" s="4"/>
      <c r="N1037" s="3"/>
    </row>
    <row r="1038" spans="1:14" ht="15">
      <c r="A1038" s="36" t="s">
        <v>142</v>
      </c>
      <c r="B1038" s="42" t="s">
        <v>57</v>
      </c>
      <c r="C1038" s="707">
        <f>CEILING(50*$Z$1,0.1)</f>
        <v>62.5</v>
      </c>
      <c r="D1038" s="747"/>
      <c r="E1038" s="703">
        <f>CEILING(65*$Z$1,0.1)</f>
        <v>81.30000000000001</v>
      </c>
      <c r="F1038" s="704"/>
      <c r="G1038" s="703">
        <f>CEILING(60*$Z$1,0.1)</f>
        <v>75</v>
      </c>
      <c r="H1038" s="704"/>
      <c r="I1038" s="703">
        <f>CEILING(70*$Z$1,0.1)</f>
        <v>87.5</v>
      </c>
      <c r="J1038" s="704"/>
      <c r="K1038" s="703">
        <f>CEILING(60*$Z$1,0.1)</f>
        <v>75</v>
      </c>
      <c r="L1038" s="704"/>
      <c r="M1038" s="67"/>
      <c r="N1038" s="26"/>
    </row>
    <row r="1039" spans="1:14" ht="15">
      <c r="A1039" s="37" t="s">
        <v>65</v>
      </c>
      <c r="B1039" s="14" t="s">
        <v>58</v>
      </c>
      <c r="C1039" s="707">
        <f>CEILING((C1038+30*$Z$1),0.1)</f>
        <v>100</v>
      </c>
      <c r="D1039" s="708"/>
      <c r="E1039" s="707">
        <f>CEILING((E1038+30*$Z$1),0.1)</f>
        <v>118.80000000000001</v>
      </c>
      <c r="F1039" s="708"/>
      <c r="G1039" s="707">
        <f>CEILING((G1038+30*$Z$1),0.1)</f>
        <v>112.5</v>
      </c>
      <c r="H1039" s="708"/>
      <c r="I1039" s="707">
        <f>CEILING((I1038+30*$Z$1),0.1)</f>
        <v>125</v>
      </c>
      <c r="J1039" s="708"/>
      <c r="K1039" s="707">
        <f>CEILING((K1038+30*$Z$1),0.1)</f>
        <v>112.5</v>
      </c>
      <c r="L1039" s="708"/>
      <c r="M1039" s="67"/>
      <c r="N1039" s="26"/>
    </row>
    <row r="1040" spans="1:14" ht="15">
      <c r="A1040" s="37"/>
      <c r="B1040" s="14" t="s">
        <v>86</v>
      </c>
      <c r="C1040" s="707">
        <f>CEILING((C1038*0.85),0.1)</f>
        <v>53.2</v>
      </c>
      <c r="D1040" s="708"/>
      <c r="E1040" s="707">
        <f>CEILING((E1038*0.85),0.1)</f>
        <v>69.2</v>
      </c>
      <c r="F1040" s="708"/>
      <c r="G1040" s="707">
        <f>CEILING((G1038*0.85),0.1)</f>
        <v>63.800000000000004</v>
      </c>
      <c r="H1040" s="708"/>
      <c r="I1040" s="707">
        <f>CEILING((I1038*0.85),0.1)</f>
        <v>74.4</v>
      </c>
      <c r="J1040" s="708"/>
      <c r="K1040" s="707">
        <f>CEILING((K1038*0.85),0.1)</f>
        <v>63.800000000000004</v>
      </c>
      <c r="L1040" s="708"/>
      <c r="M1040" s="26"/>
      <c r="N1040" s="26"/>
    </row>
    <row r="1041" spans="1:14" ht="15">
      <c r="A1041" s="37"/>
      <c r="B1041" s="39" t="s">
        <v>85</v>
      </c>
      <c r="C1041" s="714">
        <v>31.2</v>
      </c>
      <c r="D1041" s="715"/>
      <c r="E1041" s="714">
        <v>40.6</v>
      </c>
      <c r="F1041" s="715"/>
      <c r="G1041" s="714">
        <v>37.5</v>
      </c>
      <c r="H1041" s="715"/>
      <c r="I1041" s="714">
        <v>43.8</v>
      </c>
      <c r="J1041" s="715"/>
      <c r="K1041" s="714">
        <v>37.5</v>
      </c>
      <c r="L1041" s="715"/>
      <c r="M1041" s="26"/>
      <c r="N1041" s="26"/>
    </row>
    <row r="1042" spans="1:14" ht="15">
      <c r="A1042" s="37"/>
      <c r="B1042" s="13" t="s">
        <v>59</v>
      </c>
      <c r="C1042" s="707">
        <f>CEILING(60*$Z$1,0.1)</f>
        <v>75</v>
      </c>
      <c r="D1042" s="708"/>
      <c r="E1042" s="707">
        <f>CEILING(75*$Z$1,0.1)</f>
        <v>93.80000000000001</v>
      </c>
      <c r="F1042" s="708"/>
      <c r="G1042" s="707">
        <f>CEILING(70*$Z$1,0.1)</f>
        <v>87.5</v>
      </c>
      <c r="H1042" s="708"/>
      <c r="I1042" s="707">
        <f>CEILING(80*$Z$1,0.1)</f>
        <v>100</v>
      </c>
      <c r="J1042" s="708"/>
      <c r="K1042" s="707">
        <f>CEILING(70*$Z$1,0.1)</f>
        <v>87.5</v>
      </c>
      <c r="L1042" s="708"/>
      <c r="M1042" s="26"/>
      <c r="N1042" s="26"/>
    </row>
    <row r="1043" spans="1:14" ht="15">
      <c r="A1043" s="92"/>
      <c r="B1043" s="13" t="s">
        <v>60</v>
      </c>
      <c r="C1043" s="707">
        <f>CEILING((C1042+30*$Z$1),0.1)</f>
        <v>112.5</v>
      </c>
      <c r="D1043" s="1047"/>
      <c r="E1043" s="707">
        <f>CEILING((E1042+30*$Z$1),0.1)</f>
        <v>131.3</v>
      </c>
      <c r="F1043" s="708"/>
      <c r="G1043" s="707">
        <f>CEILING((G1042+30*$Z$1),0.1)</f>
        <v>125</v>
      </c>
      <c r="H1043" s="708"/>
      <c r="I1043" s="707">
        <f>CEILING((I1042+30*$Z$1),0.1)</f>
        <v>137.5</v>
      </c>
      <c r="J1043" s="708"/>
      <c r="K1043" s="707">
        <f>CEILING((K1042+30*$Z$1),0.1)</f>
        <v>125</v>
      </c>
      <c r="L1043" s="708"/>
      <c r="M1043" s="26"/>
      <c r="N1043" s="26"/>
    </row>
    <row r="1044" spans="1:13" ht="16.5" thickBot="1">
      <c r="A1044" s="238" t="s">
        <v>521</v>
      </c>
      <c r="B1044" s="40" t="s">
        <v>654</v>
      </c>
      <c r="C1044" s="711">
        <v>0.15</v>
      </c>
      <c r="D1044" s="712"/>
      <c r="E1044" s="711">
        <v>0.1</v>
      </c>
      <c r="F1044" s="712"/>
      <c r="G1044" s="711">
        <v>0.1</v>
      </c>
      <c r="H1044" s="712"/>
      <c r="I1044" s="711">
        <v>0.1</v>
      </c>
      <c r="J1044" s="712"/>
      <c r="K1044" s="711">
        <v>0.1</v>
      </c>
      <c r="L1044" s="712"/>
      <c r="M1044" s="992"/>
    </row>
    <row r="1045" spans="1:14" ht="16.5" customHeight="1" thickTop="1">
      <c r="A1045" s="752" t="s">
        <v>10</v>
      </c>
      <c r="B1045" s="752"/>
      <c r="C1045" s="752"/>
      <c r="D1045" s="752"/>
      <c r="E1045" s="752"/>
      <c r="F1045" s="752"/>
      <c r="G1045" s="752"/>
      <c r="H1045" s="752"/>
      <c r="I1045" s="752"/>
      <c r="J1045" s="752"/>
      <c r="K1045" s="265"/>
      <c r="L1045" s="265"/>
      <c r="M1045" s="54"/>
      <c r="N1045" s="54"/>
    </row>
    <row r="1046" spans="1:14" ht="16.5" customHeight="1">
      <c r="A1046" s="170" t="s">
        <v>653</v>
      </c>
      <c r="B1046" s="676"/>
      <c r="C1046" s="676"/>
      <c r="D1046" s="676"/>
      <c r="E1046" s="676"/>
      <c r="F1046" s="676"/>
      <c r="G1046" s="676"/>
      <c r="H1046" s="676"/>
      <c r="I1046" s="676"/>
      <c r="J1046" s="676"/>
      <c r="K1046" s="265"/>
      <c r="L1046" s="265"/>
      <c r="M1046" s="54"/>
      <c r="N1046" s="54"/>
    </row>
    <row r="1047" spans="1:14" ht="17.25" customHeight="1" thickBot="1">
      <c r="A1047" s="749"/>
      <c r="B1047" s="749"/>
      <c r="C1047" s="749"/>
      <c r="D1047" s="749"/>
      <c r="E1047" s="749"/>
      <c r="F1047" s="749"/>
      <c r="G1047" s="749"/>
      <c r="H1047" s="749"/>
      <c r="I1047" s="749"/>
      <c r="J1047" s="749"/>
      <c r="K1047" s="1063"/>
      <c r="L1047" s="1063"/>
      <c r="M1047" s="18"/>
      <c r="N1047" s="991"/>
    </row>
    <row r="1048" spans="1:14" ht="24.75" customHeight="1" thickTop="1">
      <c r="A1048" s="700" t="s">
        <v>49</v>
      </c>
      <c r="B1048" s="700"/>
      <c r="C1048" s="529" t="s">
        <v>824</v>
      </c>
      <c r="D1048" s="437"/>
      <c r="E1048" s="438" t="s">
        <v>848</v>
      </c>
      <c r="F1048" s="439"/>
      <c r="G1048" s="438" t="s">
        <v>841</v>
      </c>
      <c r="H1048" s="439"/>
      <c r="I1048" s="438" t="s">
        <v>827</v>
      </c>
      <c r="J1048" s="439"/>
      <c r="K1048" s="438" t="s">
        <v>1078</v>
      </c>
      <c r="L1048" s="440"/>
      <c r="M1048" s="67"/>
      <c r="N1048" s="26"/>
    </row>
    <row r="1049" spans="1:14" ht="15.75" customHeight="1">
      <c r="A1049" s="191" t="s">
        <v>143</v>
      </c>
      <c r="B1049" s="42" t="s">
        <v>57</v>
      </c>
      <c r="C1049" s="707">
        <f>CEILING(40*$Z$1,0.1)</f>
        <v>50</v>
      </c>
      <c r="D1049" s="747"/>
      <c r="E1049" s="703">
        <f>CEILING(65*$Z$1,0.1)</f>
        <v>81.30000000000001</v>
      </c>
      <c r="F1049" s="704"/>
      <c r="G1049" s="703">
        <f>CEILING(60*$Z$1,0.1)</f>
        <v>75</v>
      </c>
      <c r="H1049" s="704"/>
      <c r="I1049" s="703">
        <f>CEILING(70*$Z$1,0.1)</f>
        <v>87.5</v>
      </c>
      <c r="J1049" s="704"/>
      <c r="K1049" s="703">
        <f>CEILING(50*$Z$1,0.1)</f>
        <v>62.5</v>
      </c>
      <c r="L1049" s="704"/>
      <c r="M1049" s="67"/>
      <c r="N1049" s="26"/>
    </row>
    <row r="1050" spans="1:14" ht="15">
      <c r="A1050" s="177" t="s">
        <v>65</v>
      </c>
      <c r="B1050" s="14" t="s">
        <v>58</v>
      </c>
      <c r="C1050" s="707">
        <f>CEILING((C1049+25*$Z$1),0.1)</f>
        <v>81.30000000000001</v>
      </c>
      <c r="D1050" s="708"/>
      <c r="E1050" s="707">
        <f>CEILING((E1049+25*$Z$1),0.1)</f>
        <v>112.60000000000001</v>
      </c>
      <c r="F1050" s="708"/>
      <c r="G1050" s="707">
        <f>CEILING((G1049+25*$Z$1),0.1)</f>
        <v>106.30000000000001</v>
      </c>
      <c r="H1050" s="708"/>
      <c r="I1050" s="707">
        <f>CEILING((I1049+25*$Z$1),0.1)</f>
        <v>118.80000000000001</v>
      </c>
      <c r="J1050" s="708"/>
      <c r="K1050" s="707">
        <f>CEILING((K1049+25*$Z$1),0.1)</f>
        <v>93.80000000000001</v>
      </c>
      <c r="L1050" s="708"/>
      <c r="M1050" s="67"/>
      <c r="N1050" s="26"/>
    </row>
    <row r="1051" spans="1:14" ht="17.25" customHeight="1">
      <c r="A1051" s="177"/>
      <c r="B1051" s="14" t="s">
        <v>86</v>
      </c>
      <c r="C1051" s="707">
        <f>CEILING((C1049*0.85),0.1)</f>
        <v>42.5</v>
      </c>
      <c r="D1051" s="708"/>
      <c r="E1051" s="707">
        <f>CEILING((E1049*0.85),0.1)</f>
        <v>69.2</v>
      </c>
      <c r="F1051" s="708"/>
      <c r="G1051" s="707">
        <f>CEILING((G1049*0.85),0.1)</f>
        <v>63.800000000000004</v>
      </c>
      <c r="H1051" s="708"/>
      <c r="I1051" s="707">
        <f>CEILING((I1049*0.85),0.1)</f>
        <v>74.4</v>
      </c>
      <c r="J1051" s="708"/>
      <c r="K1051" s="707">
        <f>CEILING((K1049*0.85),0.1)</f>
        <v>53.2</v>
      </c>
      <c r="L1051" s="708"/>
      <c r="M1051" s="67"/>
      <c r="N1051" s="26"/>
    </row>
    <row r="1052" spans="1:14" ht="16.5" customHeight="1">
      <c r="A1052" s="177"/>
      <c r="B1052" s="39" t="s">
        <v>85</v>
      </c>
      <c r="C1052" s="714">
        <v>25</v>
      </c>
      <c r="D1052" s="715"/>
      <c r="E1052" s="714">
        <v>41</v>
      </c>
      <c r="F1052" s="715"/>
      <c r="G1052" s="714">
        <v>37.5</v>
      </c>
      <c r="H1052" s="715"/>
      <c r="I1052" s="714">
        <v>43.8</v>
      </c>
      <c r="J1052" s="715"/>
      <c r="K1052" s="714">
        <v>31.25</v>
      </c>
      <c r="L1052" s="715"/>
      <c r="M1052" s="23"/>
      <c r="N1052" s="991"/>
    </row>
    <row r="1053" spans="1:16" ht="16.5" customHeight="1">
      <c r="A1053" s="177"/>
      <c r="B1053" s="13" t="s">
        <v>59</v>
      </c>
      <c r="C1053" s="707">
        <f>CEILING(50*$Z$1,0.1)</f>
        <v>62.5</v>
      </c>
      <c r="D1053" s="708"/>
      <c r="E1053" s="707">
        <f>CEILING(75*$Z$1,0.1)</f>
        <v>93.80000000000001</v>
      </c>
      <c r="F1053" s="708"/>
      <c r="G1053" s="707">
        <f>CEILING(70*$Z$1,0.1)</f>
        <v>87.5</v>
      </c>
      <c r="H1053" s="708"/>
      <c r="I1053" s="707">
        <f>CEILING(80*$Z$1,0.1)</f>
        <v>100</v>
      </c>
      <c r="J1053" s="708"/>
      <c r="K1053" s="707">
        <f>CEILING(60*$Z$1,0.1)</f>
        <v>75</v>
      </c>
      <c r="L1053" s="708"/>
      <c r="M1053" s="23"/>
      <c r="N1053" s="991"/>
      <c r="O1053" s="265"/>
      <c r="P1053" s="265"/>
    </row>
    <row r="1054" spans="1:16" ht="16.5" customHeight="1">
      <c r="A1054" s="177"/>
      <c r="B1054" s="13" t="s">
        <v>60</v>
      </c>
      <c r="C1054" s="707">
        <f>CEILING((C1053+25*$Z$1),0.1)</f>
        <v>93.80000000000001</v>
      </c>
      <c r="D1054" s="1047"/>
      <c r="E1054" s="707">
        <f>CEILING((E1053+25*$Z$1),0.1)</f>
        <v>125.10000000000001</v>
      </c>
      <c r="F1054" s="708"/>
      <c r="G1054" s="707">
        <f>CEILING((G1053+25*$Z$1),0.1)</f>
        <v>118.80000000000001</v>
      </c>
      <c r="H1054" s="708"/>
      <c r="I1054" s="707">
        <f>CEILING((I1053+25*$Z$1),0.1)</f>
        <v>131.3</v>
      </c>
      <c r="J1054" s="708"/>
      <c r="K1054" s="707">
        <f>CEILING((K1053+25*$Z$1),0.1)</f>
        <v>106.30000000000001</v>
      </c>
      <c r="L1054" s="708"/>
      <c r="M1054" s="23"/>
      <c r="N1054" s="991"/>
      <c r="O1054" s="265"/>
      <c r="P1054" s="265"/>
    </row>
    <row r="1055" spans="1:16" ht="18.75" customHeight="1">
      <c r="A1055" s="177"/>
      <c r="B1055" s="12" t="s">
        <v>11</v>
      </c>
      <c r="C1055" s="707">
        <f>CEILING(60*$Z$1,0.1)</f>
        <v>75</v>
      </c>
      <c r="D1055" s="708"/>
      <c r="E1055" s="707">
        <f>CEILING(85*$Z$1,0.1)</f>
        <v>106.30000000000001</v>
      </c>
      <c r="F1055" s="708"/>
      <c r="G1055" s="707">
        <f>CEILING(80*$Z$1,0.1)</f>
        <v>100</v>
      </c>
      <c r="H1055" s="708"/>
      <c r="I1055" s="707">
        <f>CEILING(90*$Z$1,0.1)</f>
        <v>112.5</v>
      </c>
      <c r="J1055" s="708"/>
      <c r="K1055" s="707">
        <f>CEILING(70*$Z$1,0.1)</f>
        <v>87.5</v>
      </c>
      <c r="L1055" s="708"/>
      <c r="M1055" s="23"/>
      <c r="N1055" s="991"/>
      <c r="O1055" s="265"/>
      <c r="P1055" s="1063"/>
    </row>
    <row r="1056" spans="1:16" ht="20.25" customHeight="1">
      <c r="A1056" s="177"/>
      <c r="B1056" s="12" t="s">
        <v>12</v>
      </c>
      <c r="C1056" s="707">
        <f>CEILING((C1055+25*$Z$1),0.1)</f>
        <v>106.30000000000001</v>
      </c>
      <c r="D1056" s="1047"/>
      <c r="E1056" s="707">
        <f>CEILING((E1055+25*$Z$1),0.1)</f>
        <v>137.6</v>
      </c>
      <c r="F1056" s="708"/>
      <c r="G1056" s="707">
        <f>CEILING((G1055+25*$Z$1),0.1)</f>
        <v>131.3</v>
      </c>
      <c r="H1056" s="708"/>
      <c r="I1056" s="707">
        <f>CEILING((I1055+25*$Z$1),0.1)</f>
        <v>143.8</v>
      </c>
      <c r="J1056" s="708"/>
      <c r="K1056" s="707">
        <f>CEILING((K1055+25*$Z$1),0.1)</f>
        <v>118.80000000000001</v>
      </c>
      <c r="L1056" s="708"/>
      <c r="M1056" s="23"/>
      <c r="N1056" s="991"/>
      <c r="O1056" s="265"/>
      <c r="P1056" s="1063"/>
    </row>
    <row r="1057" spans="1:16" ht="21" customHeight="1" thickBot="1">
      <c r="A1057" s="238" t="s">
        <v>506</v>
      </c>
      <c r="B1057" s="40" t="s">
        <v>654</v>
      </c>
      <c r="C1057" s="711">
        <v>0.15</v>
      </c>
      <c r="D1057" s="712"/>
      <c r="E1057" s="711">
        <v>0.05</v>
      </c>
      <c r="F1057" s="712"/>
      <c r="G1057" s="711">
        <v>0.1</v>
      </c>
      <c r="H1057" s="712"/>
      <c r="I1057" s="711">
        <v>0.1</v>
      </c>
      <c r="J1057" s="712"/>
      <c r="K1057" s="711">
        <v>0.1</v>
      </c>
      <c r="L1057" s="712"/>
      <c r="M1057" s="23"/>
      <c r="N1057" s="991"/>
      <c r="O1057" s="265"/>
      <c r="P1057" s="1063"/>
    </row>
    <row r="1058" spans="1:14" ht="18.75" customHeight="1" thickTop="1">
      <c r="A1058" s="752" t="s">
        <v>10</v>
      </c>
      <c r="B1058" s="752"/>
      <c r="C1058" s="752"/>
      <c r="D1058" s="752"/>
      <c r="E1058" s="752"/>
      <c r="F1058" s="752"/>
      <c r="G1058" s="752"/>
      <c r="H1058" s="752"/>
      <c r="I1058" s="752"/>
      <c r="J1058" s="752"/>
      <c r="K1058" s="1064"/>
      <c r="L1058" s="1064"/>
      <c r="M1058" s="124"/>
      <c r="N1058" s="124"/>
    </row>
    <row r="1059" spans="1:14" ht="18.75" customHeight="1">
      <c r="A1059" s="170" t="s">
        <v>653</v>
      </c>
      <c r="B1059" s="676"/>
      <c r="C1059" s="676"/>
      <c r="D1059" s="676"/>
      <c r="E1059" s="676"/>
      <c r="F1059" s="676"/>
      <c r="G1059" s="676"/>
      <c r="H1059" s="676"/>
      <c r="I1059" s="676"/>
      <c r="J1059" s="676"/>
      <c r="K1059" s="1064"/>
      <c r="L1059" s="1064"/>
      <c r="M1059" s="124"/>
      <c r="N1059" s="124"/>
    </row>
    <row r="1060" spans="1:14" ht="15" customHeight="1" thickBot="1">
      <c r="A1060" s="123"/>
      <c r="B1060" s="107"/>
      <c r="C1060" s="107"/>
      <c r="D1060" s="107"/>
      <c r="E1060" s="107"/>
      <c r="F1060" s="107"/>
      <c r="G1060" s="107"/>
      <c r="H1060" s="107"/>
      <c r="I1060" s="904"/>
      <c r="J1060" s="904"/>
      <c r="K1060" s="281"/>
      <c r="L1060" s="281"/>
      <c r="M1060" s="124"/>
      <c r="N1060" s="124"/>
    </row>
    <row r="1061" spans="1:14" ht="24" customHeight="1" hidden="1" thickTop="1">
      <c r="A1061" s="534" t="s">
        <v>49</v>
      </c>
      <c r="B1061" s="463"/>
      <c r="C1061" s="815" t="s">
        <v>579</v>
      </c>
      <c r="D1061" s="816"/>
      <c r="E1061" s="726" t="s">
        <v>580</v>
      </c>
      <c r="F1061" s="727"/>
      <c r="G1061" s="730" t="s">
        <v>581</v>
      </c>
      <c r="H1061" s="731"/>
      <c r="I1061" s="730" t="s">
        <v>582</v>
      </c>
      <c r="J1061" s="731"/>
      <c r="K1061" s="822"/>
      <c r="L1061" s="823"/>
      <c r="M1061" s="124"/>
      <c r="N1061" s="124"/>
    </row>
    <row r="1062" spans="1:14" ht="15" customHeight="1" hidden="1">
      <c r="A1062" s="549" t="s">
        <v>391</v>
      </c>
      <c r="B1062" s="84" t="s">
        <v>57</v>
      </c>
      <c r="C1062" s="707">
        <f>CEILING(55*$Z$1,0.1)</f>
        <v>68.8</v>
      </c>
      <c r="D1062" s="747"/>
      <c r="E1062" s="703">
        <f>CEILING(95*$Z$1,0.1)</f>
        <v>118.80000000000001</v>
      </c>
      <c r="F1062" s="704"/>
      <c r="G1062" s="703">
        <f>CEILING(70*$Z$1,0.1)</f>
        <v>87.5</v>
      </c>
      <c r="H1062" s="704"/>
      <c r="I1062" s="703">
        <f>CEILING(58*$Z$1,0.1)</f>
        <v>72.5</v>
      </c>
      <c r="J1062" s="704"/>
      <c r="K1062" s="714"/>
      <c r="L1062" s="753"/>
      <c r="M1062" s="124"/>
      <c r="N1062" s="124"/>
    </row>
    <row r="1063" spans="1:14" ht="15" customHeight="1" hidden="1">
      <c r="A1063" s="550" t="s">
        <v>65</v>
      </c>
      <c r="B1063" s="31" t="s">
        <v>58</v>
      </c>
      <c r="C1063" s="707">
        <f>CEILING((C1062+18*$Z$1),0.1)</f>
        <v>91.30000000000001</v>
      </c>
      <c r="D1063" s="708"/>
      <c r="E1063" s="707">
        <f>CEILING((E1062+18*$Z$1),0.1)</f>
        <v>141.3</v>
      </c>
      <c r="F1063" s="708"/>
      <c r="G1063" s="707">
        <f>CEILING((G1062+18*$Z$1),0.1)</f>
        <v>110</v>
      </c>
      <c r="H1063" s="708"/>
      <c r="I1063" s="707">
        <f>CEILING((I1062+18*$Z$1),0.1)</f>
        <v>95</v>
      </c>
      <c r="J1063" s="708"/>
      <c r="K1063" s="714"/>
      <c r="L1063" s="753"/>
      <c r="M1063" s="124"/>
      <c r="N1063" s="124"/>
    </row>
    <row r="1064" spans="1:14" ht="15" customHeight="1" hidden="1">
      <c r="A1064" s="378"/>
      <c r="B1064" s="14" t="s">
        <v>86</v>
      </c>
      <c r="C1064" s="707">
        <f>CEILING((C1062*0.85),0.1)</f>
        <v>58.5</v>
      </c>
      <c r="D1064" s="708"/>
      <c r="E1064" s="707">
        <f>CEILING((E1062*0.85),0.1)</f>
        <v>101</v>
      </c>
      <c r="F1064" s="708"/>
      <c r="G1064" s="707">
        <f>CEILING((G1062*0.85),0.1)</f>
        <v>74.4</v>
      </c>
      <c r="H1064" s="708"/>
      <c r="I1064" s="707">
        <f>CEILING((I1062*0.85),0.1)</f>
        <v>61.7</v>
      </c>
      <c r="J1064" s="708"/>
      <c r="K1064" s="714"/>
      <c r="L1064" s="753"/>
      <c r="M1064" s="124"/>
      <c r="N1064" s="124"/>
    </row>
    <row r="1065" spans="1:14" ht="15.75" customHeight="1" hidden="1" thickBot="1">
      <c r="A1065" s="551" t="s">
        <v>503</v>
      </c>
      <c r="B1065" s="15" t="s">
        <v>94</v>
      </c>
      <c r="C1065" s="718">
        <v>0</v>
      </c>
      <c r="D1065" s="719"/>
      <c r="E1065" s="720">
        <f>CEILING((E1062*0.5),0.1)</f>
        <v>59.400000000000006</v>
      </c>
      <c r="F1065" s="721"/>
      <c r="G1065" s="720">
        <f>CEILING((G1062*0.5),0.1)</f>
        <v>43.800000000000004</v>
      </c>
      <c r="H1065" s="721"/>
      <c r="I1065" s="718">
        <v>0</v>
      </c>
      <c r="J1065" s="719"/>
      <c r="K1065" s="714"/>
      <c r="L1065" s="753"/>
      <c r="M1065" s="124"/>
      <c r="N1065" s="124"/>
    </row>
    <row r="1066" spans="1:14" ht="17.25" customHeight="1" hidden="1" thickTop="1">
      <c r="A1066" s="24" t="s">
        <v>638</v>
      </c>
      <c r="B1066" s="661"/>
      <c r="C1066" s="24"/>
      <c r="D1066" s="24"/>
      <c r="E1066" s="978"/>
      <c r="F1066" s="978"/>
      <c r="G1066" s="978"/>
      <c r="H1066" s="978"/>
      <c r="I1066" s="978"/>
      <c r="J1066" s="978"/>
      <c r="K1066" s="1064"/>
      <c r="L1066" s="1064"/>
      <c r="M1066" s="124"/>
      <c r="N1066" s="124"/>
    </row>
    <row r="1067" spans="1:14" ht="15" customHeight="1" hidden="1">
      <c r="A1067" s="82" t="s">
        <v>640</v>
      </c>
      <c r="B1067" s="266"/>
      <c r="C1067" s="24"/>
      <c r="D1067" s="24"/>
      <c r="E1067" s="41"/>
      <c r="F1067" s="41"/>
      <c r="G1067" s="41"/>
      <c r="H1067" s="41"/>
      <c r="I1067" s="41"/>
      <c r="J1067" s="41"/>
      <c r="K1067" s="1064"/>
      <c r="L1067" s="1064"/>
      <c r="M1067" s="124"/>
      <c r="N1067" s="124"/>
    </row>
    <row r="1068" spans="1:14" ht="15" customHeight="1" hidden="1">
      <c r="A1068" s="170" t="s">
        <v>608</v>
      </c>
      <c r="B1068" s="60"/>
      <c r="C1068" s="60"/>
      <c r="D1068" s="60"/>
      <c r="E1068" s="60"/>
      <c r="F1068" s="60"/>
      <c r="G1068" s="60"/>
      <c r="H1068" s="60"/>
      <c r="I1068" s="60"/>
      <c r="J1068" s="60"/>
      <c r="K1068" s="1063"/>
      <c r="L1068" s="1063"/>
      <c r="M1068" s="124"/>
      <c r="N1068" s="124"/>
    </row>
    <row r="1069" spans="1:14" ht="15" customHeight="1" hidden="1">
      <c r="A1069" s="170" t="s">
        <v>609</v>
      </c>
      <c r="B1069" s="60"/>
      <c r="C1069" s="60"/>
      <c r="D1069" s="60"/>
      <c r="E1069" s="60"/>
      <c r="F1069" s="60"/>
      <c r="G1069" s="60"/>
      <c r="H1069" s="60"/>
      <c r="I1069" s="60"/>
      <c r="J1069" s="60"/>
      <c r="K1069" s="1063"/>
      <c r="L1069" s="1063"/>
      <c r="M1069" s="124"/>
      <c r="N1069" s="124"/>
    </row>
    <row r="1070" spans="1:14" ht="18" customHeight="1" thickBot="1" thickTop="1">
      <c r="A1070" s="246"/>
      <c r="B1070" s="107"/>
      <c r="C1070" s="107"/>
      <c r="D1070" s="107"/>
      <c r="E1070" s="107"/>
      <c r="F1070" s="107"/>
      <c r="G1070" s="107"/>
      <c r="H1070" s="107"/>
      <c r="I1070" s="107"/>
      <c r="J1070" s="107"/>
      <c r="K1070" s="299"/>
      <c r="L1070" s="299"/>
      <c r="M1070" s="18"/>
      <c r="N1070" s="991"/>
    </row>
    <row r="1071" spans="1:14" ht="21.75" customHeight="1" thickTop="1">
      <c r="A1071" s="699" t="s">
        <v>49</v>
      </c>
      <c r="B1071" s="532"/>
      <c r="C1071" s="803" t="s">
        <v>884</v>
      </c>
      <c r="D1071" s="804"/>
      <c r="E1071" s="726" t="s">
        <v>885</v>
      </c>
      <c r="F1071" s="727"/>
      <c r="G1071" s="730" t="s">
        <v>901</v>
      </c>
      <c r="H1071" s="731"/>
      <c r="I1071" s="730" t="s">
        <v>888</v>
      </c>
      <c r="J1071" s="731"/>
      <c r="K1071" s="300"/>
      <c r="L1071" s="299"/>
      <c r="M1071" s="18"/>
      <c r="N1071" s="991"/>
    </row>
    <row r="1072" spans="1:14" ht="15">
      <c r="A1072" s="204" t="s">
        <v>144</v>
      </c>
      <c r="B1072" s="234" t="s">
        <v>50</v>
      </c>
      <c r="C1072" s="707">
        <f>CEILING(60*$Z$1,0.1)</f>
        <v>75</v>
      </c>
      <c r="D1072" s="747"/>
      <c r="E1072" s="703">
        <f>CEILING(99*$Z$1,0.1)</f>
        <v>123.80000000000001</v>
      </c>
      <c r="F1072" s="704"/>
      <c r="G1072" s="703">
        <f>CEILING(85*$Z$1,0.1)</f>
        <v>106.30000000000001</v>
      </c>
      <c r="H1072" s="704"/>
      <c r="I1072" s="703">
        <f>CEILING(70*$Z$1,0.1)</f>
        <v>87.5</v>
      </c>
      <c r="J1072" s="704"/>
      <c r="K1072" s="300"/>
      <c r="L1072" s="299"/>
      <c r="M1072" s="18"/>
      <c r="N1072" s="991"/>
    </row>
    <row r="1073" spans="1:14" ht="15">
      <c r="A1073" s="177" t="s">
        <v>51</v>
      </c>
      <c r="B1073" s="74" t="s">
        <v>52</v>
      </c>
      <c r="C1073" s="707">
        <f>CEILING((C1072+25*$Z$1),0.1)</f>
        <v>106.30000000000001</v>
      </c>
      <c r="D1073" s="708"/>
      <c r="E1073" s="797">
        <f>CEILING((E1072+25*$Z$1),0.1)</f>
        <v>155.10000000000002</v>
      </c>
      <c r="F1073" s="798"/>
      <c r="G1073" s="797">
        <f>CEILING((G1072+25*$Z$1),0.1)</f>
        <v>137.6</v>
      </c>
      <c r="H1073" s="798"/>
      <c r="I1073" s="797">
        <f>CEILING((I1072+25*$Z$1),0.1)</f>
        <v>118.80000000000001</v>
      </c>
      <c r="J1073" s="798"/>
      <c r="K1073" s="300"/>
      <c r="L1073" s="299"/>
      <c r="M1073" s="18"/>
      <c r="N1073" s="991"/>
    </row>
    <row r="1074" spans="1:14" ht="15">
      <c r="A1074" s="230"/>
      <c r="B1074" s="14" t="s">
        <v>86</v>
      </c>
      <c r="C1074" s="707">
        <f>CEILING((C1072*0.85),0.1)</f>
        <v>63.800000000000004</v>
      </c>
      <c r="D1074" s="708"/>
      <c r="E1074" s="707">
        <f>CEILING((E1072*0.85),0.1)</f>
        <v>105.30000000000001</v>
      </c>
      <c r="F1074" s="708"/>
      <c r="G1074" s="707">
        <f>CEILING((G1072*0.85),0.1)</f>
        <v>90.4</v>
      </c>
      <c r="H1074" s="708"/>
      <c r="I1074" s="707">
        <f>CEILING((I1072*0.85),0.1)</f>
        <v>74.4</v>
      </c>
      <c r="J1074" s="708"/>
      <c r="K1074" s="299"/>
      <c r="L1074" s="299"/>
      <c r="M1074" s="18"/>
      <c r="N1074" s="991"/>
    </row>
    <row r="1075" spans="1:14" ht="15">
      <c r="A1075" s="155"/>
      <c r="B1075" s="39" t="s">
        <v>85</v>
      </c>
      <c r="C1075" s="707">
        <f>CEILING((C1072*0.5),0.1)</f>
        <v>37.5</v>
      </c>
      <c r="D1075" s="708"/>
      <c r="E1075" s="707">
        <f>CEILING((E1072*0.5),0.1)</f>
        <v>61.900000000000006</v>
      </c>
      <c r="F1075" s="708"/>
      <c r="G1075" s="707">
        <f>CEILING((G1072*0.5),0.1)</f>
        <v>53.2</v>
      </c>
      <c r="H1075" s="708"/>
      <c r="I1075" s="707">
        <f>CEILING((I1072*0.5),0.1)</f>
        <v>43.800000000000004</v>
      </c>
      <c r="J1075" s="708"/>
      <c r="K1075" s="299"/>
      <c r="L1075" s="299"/>
      <c r="M1075" s="18"/>
      <c r="N1075" s="991"/>
    </row>
    <row r="1076" spans="1:14" ht="15">
      <c r="A1076" s="1147"/>
      <c r="B1076" s="39" t="s">
        <v>55</v>
      </c>
      <c r="C1076" s="707">
        <f>CEILING(70*$Z$1,0.1)</f>
        <v>87.5</v>
      </c>
      <c r="D1076" s="708"/>
      <c r="E1076" s="707">
        <f>CEILING(109*$Z$1,0.1)</f>
        <v>136.3</v>
      </c>
      <c r="F1076" s="708"/>
      <c r="G1076" s="707">
        <f>CEILING(95*$Z$1,0.1)</f>
        <v>118.80000000000001</v>
      </c>
      <c r="H1076" s="708"/>
      <c r="I1076" s="707">
        <f>CEILING(80*$Z$1,0.1)</f>
        <v>100</v>
      </c>
      <c r="J1076" s="708"/>
      <c r="K1076" s="299"/>
      <c r="L1076" s="299"/>
      <c r="M1076" s="18"/>
      <c r="N1076" s="991"/>
    </row>
    <row r="1077" spans="1:14" ht="17.25" customHeight="1" thickBot="1">
      <c r="A1077" s="236" t="s">
        <v>519</v>
      </c>
      <c r="B1077" s="40" t="s">
        <v>62</v>
      </c>
      <c r="C1077" s="720">
        <f>CEILING(95*$Z$1,0.1)</f>
        <v>118.80000000000001</v>
      </c>
      <c r="D1077" s="721"/>
      <c r="E1077" s="720">
        <f>CEILING(134*$Z$1,0.1)</f>
        <v>167.5</v>
      </c>
      <c r="F1077" s="721"/>
      <c r="G1077" s="720">
        <f>CEILING(120*$Z$1,0.1)</f>
        <v>150</v>
      </c>
      <c r="H1077" s="721"/>
      <c r="I1077" s="720">
        <f>CEILING(105*$Z$1,0.1)</f>
        <v>131.3</v>
      </c>
      <c r="J1077" s="721"/>
      <c r="K1077" s="299"/>
      <c r="L1077" s="299"/>
      <c r="M1077" s="18"/>
      <c r="N1077" s="991"/>
    </row>
    <row r="1078" spans="1:14" ht="17.25" customHeight="1" thickTop="1">
      <c r="A1078" s="117" t="s">
        <v>776</v>
      </c>
      <c r="B1078" s="140"/>
      <c r="C1078" s="656"/>
      <c r="D1078" s="656"/>
      <c r="E1078" s="656"/>
      <c r="F1078" s="656"/>
      <c r="G1078" s="656"/>
      <c r="H1078" s="656"/>
      <c r="I1078" s="656"/>
      <c r="J1078" s="656"/>
      <c r="K1078" s="299"/>
      <c r="L1078" s="299"/>
      <c r="M1078" s="18"/>
      <c r="N1078" s="991"/>
    </row>
    <row r="1079" spans="1:14" ht="21" customHeight="1">
      <c r="A1079" s="170" t="s">
        <v>1114</v>
      </c>
      <c r="B1079" s="54"/>
      <c r="C1079" s="357"/>
      <c r="D1079" s="357"/>
      <c r="E1079" s="357"/>
      <c r="F1079" s="357"/>
      <c r="G1079" s="357"/>
      <c r="H1079" s="357"/>
      <c r="I1079" s="357"/>
      <c r="J1079" s="357"/>
      <c r="K1079" s="299"/>
      <c r="L1079" s="299"/>
      <c r="M1079" s="18"/>
      <c r="N1079" s="991"/>
    </row>
    <row r="1080" spans="1:14" ht="21.75" customHeight="1">
      <c r="A1080" s="696" t="s">
        <v>49</v>
      </c>
      <c r="B1080" s="531"/>
      <c r="C1080" s="775" t="s">
        <v>884</v>
      </c>
      <c r="D1080" s="776"/>
      <c r="E1080" s="722" t="s">
        <v>885</v>
      </c>
      <c r="F1080" s="723"/>
      <c r="G1080" s="732" t="s">
        <v>901</v>
      </c>
      <c r="H1080" s="733"/>
      <c r="I1080" s="732" t="s">
        <v>888</v>
      </c>
      <c r="J1080" s="733"/>
      <c r="K1080" s="300"/>
      <c r="L1080" s="299"/>
      <c r="M1080" s="18"/>
      <c r="N1080" s="991"/>
    </row>
    <row r="1081" spans="1:14" ht="15">
      <c r="A1081" s="204" t="s">
        <v>145</v>
      </c>
      <c r="B1081" s="234" t="s">
        <v>83</v>
      </c>
      <c r="C1081" s="707">
        <f>CEILING(47*$Z$1,0.1)</f>
        <v>58.800000000000004</v>
      </c>
      <c r="D1081" s="747"/>
      <c r="E1081" s="703">
        <f>CEILING(82*$Z$1,0.1)</f>
        <v>102.5</v>
      </c>
      <c r="F1081" s="704"/>
      <c r="G1081" s="703">
        <f>CEILING(73*$Z$1,0.1)</f>
        <v>91.30000000000001</v>
      </c>
      <c r="H1081" s="704"/>
      <c r="I1081" s="703">
        <f>CEILING(56*$Z$1,0.1)</f>
        <v>70</v>
      </c>
      <c r="J1081" s="704"/>
      <c r="K1081" s="284"/>
      <c r="L1081" s="282"/>
      <c r="M1081" s="18"/>
      <c r="N1081" s="991"/>
    </row>
    <row r="1082" spans="1:14" ht="15">
      <c r="A1082" s="177" t="s">
        <v>65</v>
      </c>
      <c r="B1082" s="74" t="s">
        <v>84</v>
      </c>
      <c r="C1082" s="707">
        <f>CEILING((C1081+25*$Z$1),0.1)</f>
        <v>90.10000000000001</v>
      </c>
      <c r="D1082" s="708"/>
      <c r="E1082" s="707">
        <f>CEILING((E1081+25*$Z$1),0.1)</f>
        <v>133.8</v>
      </c>
      <c r="F1082" s="708"/>
      <c r="G1082" s="707">
        <f>CEILING((G1081+25*$Z$1),0.1)</f>
        <v>122.60000000000001</v>
      </c>
      <c r="H1082" s="708"/>
      <c r="I1082" s="707">
        <f>CEILING((I1081+25*$Z$1),0.1)</f>
        <v>101.30000000000001</v>
      </c>
      <c r="J1082" s="708"/>
      <c r="K1082" s="284"/>
      <c r="L1082" s="282"/>
      <c r="M1082" s="18"/>
      <c r="N1082" s="991"/>
    </row>
    <row r="1083" spans="1:14" ht="15">
      <c r="A1083" s="274"/>
      <c r="B1083" s="14" t="s">
        <v>86</v>
      </c>
      <c r="C1083" s="707">
        <f>CEILING((C1081*0.85),0.1)</f>
        <v>50</v>
      </c>
      <c r="D1083" s="708"/>
      <c r="E1083" s="707">
        <f>CEILING((E1081*0.85),0.1)</f>
        <v>87.2</v>
      </c>
      <c r="F1083" s="708"/>
      <c r="G1083" s="707">
        <f>CEILING((G1081*0.85),0.1)</f>
        <v>77.7</v>
      </c>
      <c r="H1083" s="708"/>
      <c r="I1083" s="707">
        <f>CEILING((I1081*0.85),0.1)</f>
        <v>59.5</v>
      </c>
      <c r="J1083" s="708"/>
      <c r="K1083" s="284"/>
      <c r="L1083" s="282"/>
      <c r="M1083" s="18"/>
      <c r="N1083" s="991"/>
    </row>
    <row r="1084" spans="1:14" ht="15">
      <c r="A1084" s="155"/>
      <c r="B1084" s="39" t="s">
        <v>50</v>
      </c>
      <c r="C1084" s="707">
        <f>CEILING(57*$Z$1,0.1)</f>
        <v>71.3</v>
      </c>
      <c r="D1084" s="708"/>
      <c r="E1084" s="707">
        <f>CEILING(92*$Z$1,0.1)</f>
        <v>115</v>
      </c>
      <c r="F1084" s="708"/>
      <c r="G1084" s="707">
        <f>CEILING(83*$Z$1,0.1)</f>
        <v>103.80000000000001</v>
      </c>
      <c r="H1084" s="708"/>
      <c r="I1084" s="707">
        <f>CEILING(66*$Z$1,0.1)</f>
        <v>82.5</v>
      </c>
      <c r="J1084" s="708"/>
      <c r="K1084" s="284"/>
      <c r="L1084" s="282"/>
      <c r="M1084" s="18"/>
      <c r="N1084" s="991"/>
    </row>
    <row r="1085" spans="1:14" ht="15.75" thickBot="1">
      <c r="A1085" s="236" t="s">
        <v>501</v>
      </c>
      <c r="B1085" s="40" t="s">
        <v>52</v>
      </c>
      <c r="C1085" s="720">
        <f>CEILING((C1084+40*$Z$1),0.1)</f>
        <v>121.30000000000001</v>
      </c>
      <c r="D1085" s="721"/>
      <c r="E1085" s="720">
        <f>CEILING((E1084+40*$Z$1),0.1)</f>
        <v>165</v>
      </c>
      <c r="F1085" s="721"/>
      <c r="G1085" s="720">
        <f>CEILING((G1084+40*$Z$1),0.1)</f>
        <v>153.8</v>
      </c>
      <c r="H1085" s="721"/>
      <c r="I1085" s="720">
        <f>CEILING((I1084+40*$Z$1),0.1)</f>
        <v>132.5</v>
      </c>
      <c r="J1085" s="721"/>
      <c r="K1085" s="104"/>
      <c r="L1085" s="282"/>
      <c r="M1085" s="18"/>
      <c r="N1085" s="991"/>
    </row>
    <row r="1086" spans="1:14" ht="15.75" thickTop="1">
      <c r="A1086" s="938" t="s">
        <v>390</v>
      </c>
      <c r="B1086" s="939"/>
      <c r="C1086" s="939"/>
      <c r="D1086" s="939"/>
      <c r="E1086" s="939"/>
      <c r="F1086" s="939"/>
      <c r="G1086" s="939"/>
      <c r="H1086" s="939"/>
      <c r="I1086" s="939"/>
      <c r="J1086" s="940"/>
      <c r="K1086" s="104"/>
      <c r="L1086" s="282"/>
      <c r="M1086" s="18"/>
      <c r="N1086" s="991"/>
    </row>
    <row r="1087" spans="1:14" ht="18.75" customHeight="1" thickBot="1">
      <c r="A1087" s="170" t="s">
        <v>1115</v>
      </c>
      <c r="B1087" s="54"/>
      <c r="C1087" s="2"/>
      <c r="D1087" s="2"/>
      <c r="E1087" s="2"/>
      <c r="F1087" s="2"/>
      <c r="G1087" s="2"/>
      <c r="H1087" s="2"/>
      <c r="I1087" s="2"/>
      <c r="J1087" s="2"/>
      <c r="K1087" s="279"/>
      <c r="L1087" s="279"/>
      <c r="M1087" s="18"/>
      <c r="N1087" s="991"/>
    </row>
    <row r="1088" spans="1:14" ht="24.75" customHeight="1" hidden="1" thickTop="1">
      <c r="A1088" s="78" t="s">
        <v>49</v>
      </c>
      <c r="B1088" s="52"/>
      <c r="C1088" s="795" t="s">
        <v>579</v>
      </c>
      <c r="D1088" s="796"/>
      <c r="E1088" s="750" t="s">
        <v>580</v>
      </c>
      <c r="F1088" s="751"/>
      <c r="G1088" s="758" t="s">
        <v>583</v>
      </c>
      <c r="H1088" s="759"/>
      <c r="I1088" s="758" t="s">
        <v>619</v>
      </c>
      <c r="J1088" s="759"/>
      <c r="K1088" s="758" t="s">
        <v>582</v>
      </c>
      <c r="L1088" s="759"/>
      <c r="M1088" s="23"/>
      <c r="N1088" s="991"/>
    </row>
    <row r="1089" spans="1:14" ht="15" customHeight="1" hidden="1">
      <c r="A1089" s="191" t="s">
        <v>21</v>
      </c>
      <c r="B1089" s="42" t="s">
        <v>57</v>
      </c>
      <c r="C1089" s="707">
        <f>CEILING(62*$Z$1,0.1)</f>
        <v>77.5</v>
      </c>
      <c r="D1089" s="747"/>
      <c r="E1089" s="703">
        <f>CEILING(79*$Z$1,0.1)</f>
        <v>98.80000000000001</v>
      </c>
      <c r="F1089" s="704"/>
      <c r="G1089" s="703">
        <f>CEILING(72*$Z$1,0.1)</f>
        <v>90</v>
      </c>
      <c r="H1089" s="704"/>
      <c r="I1089" s="703">
        <f>CEILING(75*$Z$1,0.1)</f>
        <v>93.80000000000001</v>
      </c>
      <c r="J1089" s="704"/>
      <c r="K1089" s="703">
        <f>CEILING(53*$Z$1,0.1)</f>
        <v>66.3</v>
      </c>
      <c r="L1089" s="704"/>
      <c r="M1089" s="23"/>
      <c r="N1089" s="991"/>
    </row>
    <row r="1090" spans="1:14" ht="15.75" customHeight="1" hidden="1">
      <c r="A1090" s="177"/>
      <c r="B1090" s="14" t="s">
        <v>58</v>
      </c>
      <c r="C1090" s="707">
        <f>CEILING((C1089+20*$Z$1),0.1)</f>
        <v>102.5</v>
      </c>
      <c r="D1090" s="708"/>
      <c r="E1090" s="707">
        <f>CEILING((E1089+20*$Z$1),0.1)</f>
        <v>123.80000000000001</v>
      </c>
      <c r="F1090" s="708"/>
      <c r="G1090" s="707">
        <f>CEILING((G1089+20*$Z$1),0.1)</f>
        <v>115</v>
      </c>
      <c r="H1090" s="708"/>
      <c r="I1090" s="707">
        <f>CEILING((I1089+20*$Z$1),0.1)</f>
        <v>118.80000000000001</v>
      </c>
      <c r="J1090" s="708"/>
      <c r="K1090" s="707">
        <f>CEILING((K1089+20*$Z$1),0.1)</f>
        <v>91.30000000000001</v>
      </c>
      <c r="L1090" s="708"/>
      <c r="M1090" s="23"/>
      <c r="N1090" s="991"/>
    </row>
    <row r="1091" spans="1:14" ht="18" customHeight="1" hidden="1">
      <c r="A1091" s="1050"/>
      <c r="B1091" s="14" t="s">
        <v>86</v>
      </c>
      <c r="C1091" s="707">
        <f>CEILING(53*$Z$1,0.1)</f>
        <v>66.3</v>
      </c>
      <c r="D1091" s="708"/>
      <c r="E1091" s="707">
        <f>CEILING(67*$Z$1,0.1)</f>
        <v>83.80000000000001</v>
      </c>
      <c r="F1091" s="708"/>
      <c r="G1091" s="707">
        <f>CEILING(61*$Z$1,0.1)</f>
        <v>76.3</v>
      </c>
      <c r="H1091" s="708"/>
      <c r="I1091" s="707">
        <f>CEILING(64*$Z$1,0.1)</f>
        <v>80</v>
      </c>
      <c r="J1091" s="708"/>
      <c r="K1091" s="707">
        <f>CEILING(45*$Z$1,0.1)</f>
        <v>56.300000000000004</v>
      </c>
      <c r="L1091" s="708"/>
      <c r="M1091" s="23"/>
      <c r="N1091" s="991"/>
    </row>
    <row r="1092" spans="1:14" ht="17.25" customHeight="1" hidden="1">
      <c r="A1092" s="177" t="s">
        <v>65</v>
      </c>
      <c r="B1092" s="28" t="s">
        <v>85</v>
      </c>
      <c r="C1092" s="707">
        <f>CEILING(31*$Z$1,0.1)</f>
        <v>38.800000000000004</v>
      </c>
      <c r="D1092" s="708"/>
      <c r="E1092" s="707">
        <f>CEILING(40*$Z$1,0.1)</f>
        <v>50</v>
      </c>
      <c r="F1092" s="708"/>
      <c r="G1092" s="707">
        <f>CEILING(36*$Z$1,0.1)</f>
        <v>45</v>
      </c>
      <c r="H1092" s="708"/>
      <c r="I1092" s="707">
        <f>CEILING(38*$Z$1,0.1)</f>
        <v>47.5</v>
      </c>
      <c r="J1092" s="708"/>
      <c r="K1092" s="707">
        <f>CEILING(27*$Z$1,0.1)</f>
        <v>33.800000000000004</v>
      </c>
      <c r="L1092" s="708"/>
      <c r="M1092" s="23"/>
      <c r="N1092" s="991"/>
    </row>
    <row r="1093" spans="1:14" ht="17.25" customHeight="1" hidden="1">
      <c r="A1093" s="177"/>
      <c r="B1093" s="13" t="s">
        <v>13</v>
      </c>
      <c r="C1093" s="707">
        <f>CEILING(72*$Z$1,0.1)</f>
        <v>90</v>
      </c>
      <c r="D1093" s="708"/>
      <c r="E1093" s="707">
        <f>CEILING(89*$Z$1,0.1)</f>
        <v>111.30000000000001</v>
      </c>
      <c r="F1093" s="708"/>
      <c r="G1093" s="707">
        <f>CEILING(82*$Z$1,0.1)</f>
        <v>102.5</v>
      </c>
      <c r="H1093" s="708"/>
      <c r="I1093" s="707">
        <f>CEILING(85*$Z$1,0.1)</f>
        <v>106.30000000000001</v>
      </c>
      <c r="J1093" s="708"/>
      <c r="K1093" s="707">
        <f>CEILING(63*$Z$1,0.1)</f>
        <v>78.80000000000001</v>
      </c>
      <c r="L1093" s="708"/>
      <c r="M1093" s="23"/>
      <c r="N1093" s="991"/>
    </row>
    <row r="1094" spans="1:14" ht="17.25" customHeight="1" hidden="1" thickBot="1">
      <c r="A1094" s="153" t="s">
        <v>518</v>
      </c>
      <c r="B1094" s="125" t="s">
        <v>153</v>
      </c>
      <c r="C1094" s="720">
        <f>CEILING(82*$Z$1,0.1)</f>
        <v>102.5</v>
      </c>
      <c r="D1094" s="721"/>
      <c r="E1094" s="720">
        <f>CEILING(99*$Z$1,0.1)</f>
        <v>123.80000000000001</v>
      </c>
      <c r="F1094" s="721"/>
      <c r="G1094" s="720">
        <f>CEILING(92*$Z$1,0.1)</f>
        <v>115</v>
      </c>
      <c r="H1094" s="721"/>
      <c r="I1094" s="720">
        <f>CEILING(95*$Z$1,0.1)</f>
        <v>118.80000000000001</v>
      </c>
      <c r="J1094" s="721"/>
      <c r="K1094" s="720">
        <f>CEILING(73*$Z$1,0.1)</f>
        <v>91.30000000000001</v>
      </c>
      <c r="L1094" s="721"/>
      <c r="M1094" s="23"/>
      <c r="N1094" s="991"/>
    </row>
    <row r="1095" spans="1:14" ht="16.5" customHeight="1" hidden="1" thickTop="1">
      <c r="A1095" s="698" t="s">
        <v>482</v>
      </c>
      <c r="B1095" s="1148"/>
      <c r="C1095" s="653"/>
      <c r="D1095" s="653"/>
      <c r="E1095" s="653"/>
      <c r="F1095" s="653"/>
      <c r="G1095" s="653"/>
      <c r="H1095" s="653"/>
      <c r="I1095" s="3"/>
      <c r="J1095" s="3"/>
      <c r="K1095" s="104"/>
      <c r="L1095" s="282"/>
      <c r="M1095" s="18"/>
      <c r="N1095" s="991"/>
    </row>
    <row r="1096" spans="1:14" ht="18.75" customHeight="1" hidden="1" thickBot="1">
      <c r="A1096" s="666"/>
      <c r="B1096" s="1149"/>
      <c r="C1096" s="662"/>
      <c r="D1096" s="662"/>
      <c r="E1096" s="662"/>
      <c r="F1096" s="662"/>
      <c r="G1096" s="662"/>
      <c r="H1096" s="662"/>
      <c r="I1096" s="2"/>
      <c r="J1096" s="2"/>
      <c r="K1096" s="104"/>
      <c r="L1096" s="104"/>
      <c r="M1096" s="18"/>
      <c r="N1096" s="991"/>
    </row>
    <row r="1097" spans="1:14" ht="21.75" customHeight="1" hidden="1" thickTop="1">
      <c r="A1097" s="78" t="s">
        <v>49</v>
      </c>
      <c r="B1097" s="52"/>
      <c r="C1097" s="795" t="s">
        <v>579</v>
      </c>
      <c r="D1097" s="796"/>
      <c r="E1097" s="750" t="s">
        <v>777</v>
      </c>
      <c r="F1097" s="751"/>
      <c r="G1097" s="750" t="s">
        <v>581</v>
      </c>
      <c r="H1097" s="751"/>
      <c r="I1097" s="750" t="s">
        <v>582</v>
      </c>
      <c r="J1097" s="751"/>
      <c r="K1097" s="822"/>
      <c r="L1097" s="823"/>
      <c r="M1097" s="22"/>
      <c r="N1097" s="991"/>
    </row>
    <row r="1098" spans="1:14" ht="16.5" customHeight="1" hidden="1">
      <c r="A1098" s="191" t="s">
        <v>393</v>
      </c>
      <c r="B1098" s="42" t="s">
        <v>50</v>
      </c>
      <c r="C1098" s="707">
        <f>CEILING(53*$Z$1,0.1)</f>
        <v>66.3</v>
      </c>
      <c r="D1098" s="747"/>
      <c r="E1098" s="703">
        <f>CEILING(67*$Z$1,0.1)</f>
        <v>83.80000000000001</v>
      </c>
      <c r="F1098" s="704"/>
      <c r="G1098" s="703">
        <f>CEILING(55*$Z$1,0.1)</f>
        <v>68.8</v>
      </c>
      <c r="H1098" s="704"/>
      <c r="I1098" s="703">
        <f>CEILING(51*$Z$1,0.1)</f>
        <v>63.800000000000004</v>
      </c>
      <c r="J1098" s="704"/>
      <c r="K1098" s="714"/>
      <c r="L1098" s="753"/>
      <c r="M1098" s="18"/>
      <c r="N1098" s="991"/>
    </row>
    <row r="1099" spans="1:14" ht="17.25" customHeight="1" hidden="1">
      <c r="A1099" s="177"/>
      <c r="B1099" s="14" t="s">
        <v>52</v>
      </c>
      <c r="C1099" s="707">
        <f>CEILING(66.25*$Z$1,0.1)</f>
        <v>82.9</v>
      </c>
      <c r="D1099" s="708"/>
      <c r="E1099" s="707">
        <f>CEILING(83.75*$Z$1,0.1)</f>
        <v>104.7</v>
      </c>
      <c r="F1099" s="708"/>
      <c r="G1099" s="707">
        <f>CEILING(68.75*$Z$1,0.1)</f>
        <v>86</v>
      </c>
      <c r="H1099" s="708"/>
      <c r="I1099" s="707">
        <f>CEILING(63.75*$Z$1,0.1)</f>
        <v>79.7</v>
      </c>
      <c r="J1099" s="708"/>
      <c r="K1099" s="714"/>
      <c r="L1099" s="753"/>
      <c r="M1099" s="18"/>
      <c r="N1099" s="991"/>
    </row>
    <row r="1100" spans="1:14" ht="16.5" customHeight="1" hidden="1">
      <c r="A1100" s="177" t="s">
        <v>65</v>
      </c>
      <c r="B1100" s="14" t="s">
        <v>86</v>
      </c>
      <c r="C1100" s="707">
        <f>CEILING((C1098*0.85),0.1)</f>
        <v>56.400000000000006</v>
      </c>
      <c r="D1100" s="708"/>
      <c r="E1100" s="707">
        <f>CEILING((E1098*0.85),0.1)</f>
        <v>71.3</v>
      </c>
      <c r="F1100" s="708"/>
      <c r="G1100" s="707">
        <f>CEILING((G1098*0.85),0.1)</f>
        <v>58.5</v>
      </c>
      <c r="H1100" s="708"/>
      <c r="I1100" s="707">
        <f>CEILING((I1098*0.85),0.1)</f>
        <v>54.300000000000004</v>
      </c>
      <c r="J1100" s="708"/>
      <c r="K1100" s="714"/>
      <c r="L1100" s="753"/>
      <c r="M1100" s="18"/>
      <c r="N1100" s="991"/>
    </row>
    <row r="1101" spans="1:14" ht="15.75" customHeight="1" hidden="1">
      <c r="A1101" s="177"/>
      <c r="B1101" s="39" t="s">
        <v>185</v>
      </c>
      <c r="C1101" s="878">
        <v>0</v>
      </c>
      <c r="D1101" s="879"/>
      <c r="E1101" s="707">
        <f>CEILING((E1098*0.5),0.1)</f>
        <v>41.900000000000006</v>
      </c>
      <c r="F1101" s="708"/>
      <c r="G1101" s="707">
        <f>CEILING((G1098*0.5),0.1)</f>
        <v>34.4</v>
      </c>
      <c r="H1101" s="708"/>
      <c r="I1101" s="707">
        <f>CEILING((I1098*0.5),0.1)</f>
        <v>31.900000000000002</v>
      </c>
      <c r="J1101" s="708"/>
      <c r="K1101" s="714"/>
      <c r="L1101" s="753"/>
      <c r="M1101" s="18"/>
      <c r="N1101" s="991"/>
    </row>
    <row r="1102" spans="1:14" ht="16.5" customHeight="1" hidden="1">
      <c r="A1102" s="177"/>
      <c r="B1102" s="39" t="s">
        <v>388</v>
      </c>
      <c r="C1102" s="707">
        <f>CEILING(65.5*$Z$1,0.1)</f>
        <v>81.9</v>
      </c>
      <c r="D1102" s="747"/>
      <c r="E1102" s="707">
        <f>CEILING(79.5*$Z$1,0.1)</f>
        <v>99.4</v>
      </c>
      <c r="F1102" s="708"/>
      <c r="G1102" s="707">
        <f>CEILING(67.5*$Z$1,0.1)</f>
        <v>84.4</v>
      </c>
      <c r="H1102" s="708"/>
      <c r="I1102" s="707">
        <f>CEILING(65.5*$Z$1,0.1)</f>
        <v>81.9</v>
      </c>
      <c r="J1102" s="708"/>
      <c r="K1102" s="652"/>
      <c r="L1102" s="653"/>
      <c r="M1102" s="18"/>
      <c r="N1102" s="991"/>
    </row>
    <row r="1103" spans="1:14" ht="15.75" customHeight="1" hidden="1" thickBot="1">
      <c r="A1103" s="236" t="s">
        <v>517</v>
      </c>
      <c r="B1103" s="45" t="s">
        <v>153</v>
      </c>
      <c r="C1103" s="707">
        <f>CEILING(83*$Z$1,0.1)</f>
        <v>103.80000000000001</v>
      </c>
      <c r="D1103" s="747"/>
      <c r="E1103" s="720">
        <f>CEILING(97*$Z$1,0.1)</f>
        <v>121.30000000000001</v>
      </c>
      <c r="F1103" s="721"/>
      <c r="G1103" s="720">
        <f>CEILING(85*$Z$1,0.1)</f>
        <v>106.30000000000001</v>
      </c>
      <c r="H1103" s="721"/>
      <c r="I1103" s="720">
        <f>CEILING(83*$Z$1,0.1)</f>
        <v>103.80000000000001</v>
      </c>
      <c r="J1103" s="721"/>
      <c r="K1103" s="714"/>
      <c r="L1103" s="753"/>
      <c r="M1103" s="18"/>
      <c r="N1103" s="991"/>
    </row>
    <row r="1104" spans="1:14" ht="18.75" customHeight="1" hidden="1" thickTop="1">
      <c r="A1104" s="340" t="s">
        <v>778</v>
      </c>
      <c r="B1104" s="1150"/>
      <c r="C1104" s="1150"/>
      <c r="D1104" s="1150"/>
      <c r="E1104" s="653"/>
      <c r="F1104" s="653"/>
      <c r="G1104" s="653"/>
      <c r="H1104" s="653"/>
      <c r="I1104" s="653"/>
      <c r="J1104" s="653"/>
      <c r="K1104" s="753"/>
      <c r="L1104" s="753"/>
      <c r="M1104" s="18"/>
      <c r="N1104" s="991"/>
    </row>
    <row r="1105" spans="1:14" ht="21.75" customHeight="1" thickBot="1" thickTop="1">
      <c r="A1105" s="412"/>
      <c r="B1105" s="141"/>
      <c r="C1105" s="2"/>
      <c r="D1105" s="2"/>
      <c r="E1105" s="2"/>
      <c r="F1105" s="2"/>
      <c r="G1105" s="2"/>
      <c r="H1105" s="2"/>
      <c r="I1105" s="2"/>
      <c r="J1105" s="2"/>
      <c r="K1105" s="279"/>
      <c r="L1105" s="279"/>
      <c r="M1105" s="18"/>
      <c r="N1105" s="991"/>
    </row>
    <row r="1106" spans="1:14" ht="21" customHeight="1" thickTop="1">
      <c r="A1106" s="700" t="s">
        <v>49</v>
      </c>
      <c r="B1106" s="484"/>
      <c r="C1106" s="803" t="s">
        <v>884</v>
      </c>
      <c r="D1106" s="804"/>
      <c r="E1106" s="726" t="s">
        <v>885</v>
      </c>
      <c r="F1106" s="727"/>
      <c r="G1106" s="730" t="s">
        <v>886</v>
      </c>
      <c r="H1106" s="731"/>
      <c r="I1106" s="730" t="s">
        <v>887</v>
      </c>
      <c r="J1106" s="731"/>
      <c r="K1106" s="730" t="s">
        <v>888</v>
      </c>
      <c r="L1106" s="731"/>
      <c r="M1106" s="23"/>
      <c r="N1106" s="991"/>
    </row>
    <row r="1107" spans="1:14" ht="15.75" customHeight="1">
      <c r="A1107" s="1151" t="s">
        <v>17</v>
      </c>
      <c r="B1107" s="13" t="s">
        <v>18</v>
      </c>
      <c r="C1107" s="707">
        <f>CEILING(82*$Z$1,0.1)</f>
        <v>102.5</v>
      </c>
      <c r="D1107" s="747"/>
      <c r="E1107" s="703">
        <f>CEILING(140*$Z$1,0.1)</f>
        <v>175</v>
      </c>
      <c r="F1107" s="704"/>
      <c r="G1107" s="703">
        <f>CEILING(105*$Z$1,0.1)</f>
        <v>131.3</v>
      </c>
      <c r="H1107" s="704"/>
      <c r="I1107" s="703">
        <f>CEILING(121*$Z$1,0.1)</f>
        <v>151.3</v>
      </c>
      <c r="J1107" s="704"/>
      <c r="K1107" s="703">
        <f>CEILING(95*$Z$1,0.1)</f>
        <v>118.80000000000001</v>
      </c>
      <c r="L1107" s="704"/>
      <c r="M1107" s="23"/>
      <c r="N1107" s="991"/>
    </row>
    <row r="1108" spans="1:14" ht="17.25" customHeight="1">
      <c r="A1108" s="37" t="s">
        <v>51</v>
      </c>
      <c r="B1108" s="13" t="s">
        <v>392</v>
      </c>
      <c r="C1108" s="707">
        <f>CEILING((C1107+30*$Z$1),0.1)</f>
        <v>140</v>
      </c>
      <c r="D1108" s="708"/>
      <c r="E1108" s="707">
        <f>CEILING((E1107+50*$Z$1),0.1)</f>
        <v>237.5</v>
      </c>
      <c r="F1108" s="708"/>
      <c r="G1108" s="707">
        <f>CEILING((G1107+50*$Z$1),0.1)</f>
        <v>193.8</v>
      </c>
      <c r="H1108" s="708"/>
      <c r="I1108" s="707">
        <f>CEILING((I1107+50*$Z$1),0.1)</f>
        <v>213.8</v>
      </c>
      <c r="J1108" s="708"/>
      <c r="K1108" s="707">
        <f>CEILING((K1107+40*$Z$1),0.1)</f>
        <v>168.8</v>
      </c>
      <c r="L1108" s="708"/>
      <c r="M1108" s="23"/>
      <c r="N1108" s="991"/>
    </row>
    <row r="1109" spans="1:14" ht="18.75" customHeight="1">
      <c r="A1109" s="1071"/>
      <c r="B1109" s="138" t="s">
        <v>53</v>
      </c>
      <c r="C1109" s="707">
        <f>CEILING(68*$Z$1,0.1)</f>
        <v>85</v>
      </c>
      <c r="D1109" s="708"/>
      <c r="E1109" s="707">
        <f>CEILING(117*$Z$1,0.1)</f>
        <v>146.3</v>
      </c>
      <c r="F1109" s="708"/>
      <c r="G1109" s="707">
        <f>CEILING(88*$Z$1,0.1)</f>
        <v>110</v>
      </c>
      <c r="H1109" s="708"/>
      <c r="I1109" s="707">
        <f>CEILING(101*$Z$1,0.1)</f>
        <v>126.30000000000001</v>
      </c>
      <c r="J1109" s="708"/>
      <c r="K1109" s="707">
        <f>CEILING(79*$Z$1,0.1)</f>
        <v>98.80000000000001</v>
      </c>
      <c r="L1109" s="708"/>
      <c r="M1109" s="23"/>
      <c r="N1109" s="991"/>
    </row>
    <row r="1110" spans="1:14" ht="15" customHeight="1">
      <c r="A1110" s="1135"/>
      <c r="B1110" s="14" t="s">
        <v>248</v>
      </c>
      <c r="C1110" s="878">
        <v>0</v>
      </c>
      <c r="D1110" s="879"/>
      <c r="E1110" s="878">
        <v>0</v>
      </c>
      <c r="F1110" s="879"/>
      <c r="G1110" s="878">
        <v>0</v>
      </c>
      <c r="H1110" s="879"/>
      <c r="I1110" s="878">
        <v>0</v>
      </c>
      <c r="J1110" s="879"/>
      <c r="K1110" s="878">
        <v>0</v>
      </c>
      <c r="L1110" s="879"/>
      <c r="M1110" s="23"/>
      <c r="N1110" s="991"/>
    </row>
    <row r="1111" spans="1:14" ht="15.75" customHeight="1" thickBot="1">
      <c r="A1111" s="236" t="s">
        <v>516</v>
      </c>
      <c r="B1111" s="178" t="s">
        <v>249</v>
      </c>
      <c r="C1111" s="720">
        <f>CEILING((C1107*0.5),0.1)</f>
        <v>51.300000000000004</v>
      </c>
      <c r="D1111" s="721"/>
      <c r="E1111" s="720">
        <f>CEILING((E1107*0.5),0.1)</f>
        <v>87.5</v>
      </c>
      <c r="F1111" s="721"/>
      <c r="G1111" s="720">
        <f>CEILING((G1107*0.5),0.1)</f>
        <v>65.7</v>
      </c>
      <c r="H1111" s="721"/>
      <c r="I1111" s="720">
        <f>CEILING((I1107*0.5),0.1)</f>
        <v>75.7</v>
      </c>
      <c r="J1111" s="721"/>
      <c r="K1111" s="720">
        <f>CEILING((K1107*0.5),0.1)</f>
        <v>59.400000000000006</v>
      </c>
      <c r="L1111" s="721"/>
      <c r="M1111" s="18"/>
      <c r="N1111" s="991"/>
    </row>
    <row r="1112" spans="1:14" ht="16.5" customHeight="1" thickTop="1">
      <c r="A1112" s="82" t="s">
        <v>718</v>
      </c>
      <c r="B1112" s="1152"/>
      <c r="C1112" s="349"/>
      <c r="D1112" s="349"/>
      <c r="E1112" s="1153"/>
      <c r="F1112" s="1153"/>
      <c r="G1112" s="349"/>
      <c r="H1112" s="349"/>
      <c r="I1112" s="26"/>
      <c r="J1112" s="26"/>
      <c r="K1112" s="26"/>
      <c r="L1112" s="26"/>
      <c r="M1112" s="18"/>
      <c r="N1112" s="991"/>
    </row>
    <row r="1113" spans="1:25" s="1158" customFormat="1" ht="21.75" customHeight="1" thickBot="1">
      <c r="A1113" s="450" t="s">
        <v>1150</v>
      </c>
      <c r="B1113" s="1154"/>
      <c r="C1113" s="584"/>
      <c r="D1113" s="584"/>
      <c r="E1113" s="1155"/>
      <c r="F1113" s="1155"/>
      <c r="G1113" s="584"/>
      <c r="H1113" s="584"/>
      <c r="I1113" s="584"/>
      <c r="J1113" s="584"/>
      <c r="K1113" s="584"/>
      <c r="L1113" s="584"/>
      <c r="M1113" s="585"/>
      <c r="N1113" s="1156"/>
      <c r="O1113" s="1157"/>
      <c r="P1113" s="1157"/>
      <c r="Q1113" s="1157"/>
      <c r="R1113" s="1157"/>
      <c r="S1113" s="1157"/>
      <c r="T1113" s="1157"/>
      <c r="U1113" s="1157"/>
      <c r="V1113" s="1157"/>
      <c r="W1113" s="1157"/>
      <c r="X1113" s="1157"/>
      <c r="Y1113" s="1157"/>
    </row>
    <row r="1114" spans="1:14" ht="21" customHeight="1" hidden="1" thickTop="1">
      <c r="A1114" s="78" t="s">
        <v>49</v>
      </c>
      <c r="B1114" s="52"/>
      <c r="C1114" s="880" t="s">
        <v>579</v>
      </c>
      <c r="D1114" s="881"/>
      <c r="E1114" s="750" t="s">
        <v>580</v>
      </c>
      <c r="F1114" s="751"/>
      <c r="G1114" s="758" t="s">
        <v>581</v>
      </c>
      <c r="H1114" s="759"/>
      <c r="I1114" s="758" t="s">
        <v>582</v>
      </c>
      <c r="J1114" s="759"/>
      <c r="K1114" s="67"/>
      <c r="L1114" s="26"/>
      <c r="M1114" s="18"/>
      <c r="N1114" s="991"/>
    </row>
    <row r="1115" spans="1:14" ht="17.25" customHeight="1" hidden="1">
      <c r="A1115" s="191" t="s">
        <v>637</v>
      </c>
      <c r="B1115" s="42" t="s">
        <v>57</v>
      </c>
      <c r="C1115" s="703">
        <f>CEILING(55*$Z$1,0.1)</f>
        <v>68.8</v>
      </c>
      <c r="D1115" s="764"/>
      <c r="E1115" s="703">
        <f>CEILING(90*$Z$1,0.1)</f>
        <v>112.5</v>
      </c>
      <c r="F1115" s="704"/>
      <c r="G1115" s="703">
        <f>CEILING(70*$Z$1,0.1)</f>
        <v>87.5</v>
      </c>
      <c r="H1115" s="704"/>
      <c r="I1115" s="703">
        <f>CEILING(58*$Z$1,0.1)</f>
        <v>72.5</v>
      </c>
      <c r="J1115" s="704"/>
      <c r="K1115" s="67"/>
      <c r="L1115" s="26"/>
      <c r="M1115" s="18"/>
      <c r="N1115" s="991"/>
    </row>
    <row r="1116" spans="1:14" ht="16.5" customHeight="1" hidden="1">
      <c r="A1116" s="177" t="s">
        <v>65</v>
      </c>
      <c r="B1116" s="14" t="s">
        <v>58</v>
      </c>
      <c r="C1116" s="707">
        <f>CEILING((C1115+18*$Z$1),0.1)</f>
        <v>91.30000000000001</v>
      </c>
      <c r="D1116" s="708"/>
      <c r="E1116" s="707">
        <f>CEILING((E1115+18*$Z$1),0.1)</f>
        <v>135</v>
      </c>
      <c r="F1116" s="708"/>
      <c r="G1116" s="707">
        <f>CEILING((G1115+18*$Z$1),0.1)</f>
        <v>110</v>
      </c>
      <c r="H1116" s="708"/>
      <c r="I1116" s="707">
        <f>CEILING((I1115+18*$Z$1),0.1)</f>
        <v>95</v>
      </c>
      <c r="J1116" s="708"/>
      <c r="K1116" s="67"/>
      <c r="L1116" s="26"/>
      <c r="M1116" s="18"/>
      <c r="N1116" s="991"/>
    </row>
    <row r="1117" spans="1:14" ht="15.75" customHeight="1" hidden="1">
      <c r="A1117" s="1050"/>
      <c r="B1117" s="14" t="s">
        <v>86</v>
      </c>
      <c r="C1117" s="707">
        <f>CEILING((C1115*0.85),0.1)</f>
        <v>58.5</v>
      </c>
      <c r="D1117" s="747"/>
      <c r="E1117" s="707">
        <f>CEILING((E1115*0.85),0.1)</f>
        <v>95.7</v>
      </c>
      <c r="F1117" s="708"/>
      <c r="G1117" s="707">
        <f>CEILING((G1115*0.85),0.1)</f>
        <v>74.4</v>
      </c>
      <c r="H1117" s="708"/>
      <c r="I1117" s="707">
        <f>CEILING((I1115*0.85),0.1)</f>
        <v>61.7</v>
      </c>
      <c r="J1117" s="708"/>
      <c r="K1117" s="67"/>
      <c r="L1117" s="26"/>
      <c r="M1117" s="18"/>
      <c r="N1117" s="991"/>
    </row>
    <row r="1118" spans="1:14" ht="15.75" customHeight="1" hidden="1" thickBot="1">
      <c r="A1118" s="163" t="s">
        <v>515</v>
      </c>
      <c r="B1118" s="40" t="s">
        <v>85</v>
      </c>
      <c r="C1118" s="718">
        <v>0</v>
      </c>
      <c r="D1118" s="719"/>
      <c r="E1118" s="720">
        <f>CEILING((E1115*0.5),0.1)</f>
        <v>56.300000000000004</v>
      </c>
      <c r="F1118" s="721"/>
      <c r="G1118" s="720">
        <f>CEILING((G1115*0.5),0.1)</f>
        <v>43.800000000000004</v>
      </c>
      <c r="H1118" s="721"/>
      <c r="I1118" s="718">
        <v>0</v>
      </c>
      <c r="J1118" s="719"/>
      <c r="K1118" s="26"/>
      <c r="L1118" s="26"/>
      <c r="M1118" s="18"/>
      <c r="N1118" s="991"/>
    </row>
    <row r="1119" spans="1:14" ht="18.75" customHeight="1" hidden="1" thickTop="1">
      <c r="A1119" s="24" t="s">
        <v>638</v>
      </c>
      <c r="B1119" s="1148"/>
      <c r="C1119" s="653"/>
      <c r="D1119" s="653"/>
      <c r="E1119" s="653"/>
      <c r="F1119" s="653"/>
      <c r="G1119" s="653"/>
      <c r="H1119" s="653"/>
      <c r="I1119" s="26"/>
      <c r="J1119" s="26"/>
      <c r="K1119" s="26"/>
      <c r="L1119" s="26"/>
      <c r="M1119" s="18"/>
      <c r="N1119" s="991"/>
    </row>
    <row r="1120" spans="1:14" ht="18.75" customHeight="1" hidden="1">
      <c r="A1120" s="82" t="s">
        <v>639</v>
      </c>
      <c r="B1120" s="1148"/>
      <c r="C1120" s="653"/>
      <c r="D1120" s="653"/>
      <c r="E1120" s="653"/>
      <c r="F1120" s="653"/>
      <c r="G1120" s="653"/>
      <c r="H1120" s="653"/>
      <c r="I1120" s="26"/>
      <c r="J1120" s="26"/>
      <c r="K1120" s="26"/>
      <c r="L1120" s="26"/>
      <c r="M1120" s="18"/>
      <c r="N1120" s="991"/>
    </row>
    <row r="1121" spans="1:14" ht="18.75" customHeight="1" hidden="1">
      <c r="A1121" s="170" t="s">
        <v>610</v>
      </c>
      <c r="B1121" s="1148"/>
      <c r="C1121" s="653"/>
      <c r="D1121" s="653"/>
      <c r="E1121" s="653"/>
      <c r="F1121" s="653"/>
      <c r="G1121" s="653"/>
      <c r="H1121" s="653"/>
      <c r="I1121" s="26"/>
      <c r="J1121" s="26"/>
      <c r="K1121" s="26"/>
      <c r="L1121" s="26"/>
      <c r="M1121" s="18"/>
      <c r="N1121" s="991"/>
    </row>
    <row r="1122" spans="1:14" ht="18.75" customHeight="1" hidden="1">
      <c r="A1122" s="170" t="s">
        <v>611</v>
      </c>
      <c r="B1122" s="1148"/>
      <c r="C1122" s="653"/>
      <c r="D1122" s="653"/>
      <c r="E1122" s="653"/>
      <c r="F1122" s="653"/>
      <c r="G1122" s="653"/>
      <c r="H1122" s="653"/>
      <c r="I1122" s="26"/>
      <c r="J1122" s="26"/>
      <c r="K1122" s="26"/>
      <c r="L1122" s="26"/>
      <c r="M1122" s="18"/>
      <c r="N1122" s="991"/>
    </row>
    <row r="1123" spans="1:14" ht="15.75" customHeight="1" thickTop="1">
      <c r="A1123" s="682"/>
      <c r="B1123" s="1148"/>
      <c r="C1123" s="653"/>
      <c r="D1123" s="653"/>
      <c r="E1123" s="653"/>
      <c r="F1123" s="653"/>
      <c r="G1123" s="653"/>
      <c r="H1123" s="653"/>
      <c r="I1123" s="26"/>
      <c r="J1123" s="26"/>
      <c r="K1123" s="26"/>
      <c r="L1123" s="26"/>
      <c r="M1123" s="18"/>
      <c r="N1123" s="991"/>
    </row>
    <row r="1124" spans="1:14" ht="18.75" customHeight="1">
      <c r="A1124" s="1117" t="s">
        <v>1209</v>
      </c>
      <c r="B1124" s="1117"/>
      <c r="C1124" s="1117"/>
      <c r="D1124" s="1117"/>
      <c r="E1124" s="1117"/>
      <c r="F1124" s="1117"/>
      <c r="G1124" s="1117"/>
      <c r="H1124" s="1117"/>
      <c r="I1124" s="26"/>
      <c r="J1124" s="26"/>
      <c r="K1124" s="26"/>
      <c r="L1124" s="26"/>
      <c r="M1124" s="18"/>
      <c r="N1124" s="991"/>
    </row>
    <row r="1125" spans="1:14" ht="18.75" customHeight="1">
      <c r="A1125" s="1159" t="s">
        <v>1210</v>
      </c>
      <c r="B1125" s="1159"/>
      <c r="C1125" s="1159"/>
      <c r="D1125" s="1159"/>
      <c r="E1125" s="1159"/>
      <c r="F1125" s="1159"/>
      <c r="G1125" s="1159"/>
      <c r="H1125" s="1159"/>
      <c r="I1125" s="670"/>
      <c r="J1125" s="670"/>
      <c r="K1125" s="26"/>
      <c r="L1125" s="26"/>
      <c r="M1125" s="18"/>
      <c r="N1125" s="991"/>
    </row>
    <row r="1126" spans="1:14" ht="18.75" customHeight="1">
      <c r="A1126" s="1118" t="s">
        <v>779</v>
      </c>
      <c r="B1126" s="1118"/>
      <c r="C1126" s="1118"/>
      <c r="D1126" s="1118"/>
      <c r="E1126" s="1118"/>
      <c r="F1126" s="1118"/>
      <c r="G1126" s="1118"/>
      <c r="H1126" s="1118"/>
      <c r="I1126" s="26"/>
      <c r="J1126" s="26"/>
      <c r="K1126" s="26"/>
      <c r="L1126" s="26"/>
      <c r="M1126" s="18"/>
      <c r="N1126" s="991"/>
    </row>
    <row r="1127" spans="1:14" ht="18.75" customHeight="1">
      <c r="A1127" s="1118" t="s">
        <v>780</v>
      </c>
      <c r="B1127" s="1118"/>
      <c r="C1127" s="1118"/>
      <c r="D1127" s="1118"/>
      <c r="E1127" s="1118"/>
      <c r="F1127" s="1118"/>
      <c r="G1127" s="1118"/>
      <c r="H1127" s="1118"/>
      <c r="I1127" s="26"/>
      <c r="J1127" s="26"/>
      <c r="K1127" s="26"/>
      <c r="L1127" s="26"/>
      <c r="M1127" s="18"/>
      <c r="N1127" s="991"/>
    </row>
    <row r="1128" spans="1:14" ht="15.75" customHeight="1">
      <c r="A1128" s="20"/>
      <c r="B1128" s="20"/>
      <c r="C1128" s="20"/>
      <c r="D1128" s="20"/>
      <c r="E1128" s="20"/>
      <c r="F1128" s="20"/>
      <c r="G1128" s="20"/>
      <c r="H1128" s="20"/>
      <c r="I1128" s="20"/>
      <c r="J1128" s="20"/>
      <c r="K1128" s="104"/>
      <c r="L1128" s="282"/>
      <c r="M1128" s="18"/>
      <c r="N1128" s="991"/>
    </row>
    <row r="1129" spans="1:14" ht="16.5" customHeight="1">
      <c r="A1129" s="793" t="s">
        <v>146</v>
      </c>
      <c r="B1129" s="793"/>
      <c r="C1129" s="793"/>
      <c r="D1129" s="793"/>
      <c r="E1129" s="793"/>
      <c r="F1129" s="793"/>
      <c r="G1129" s="793"/>
      <c r="H1129" s="793"/>
      <c r="I1129" s="793"/>
      <c r="J1129" s="793"/>
      <c r="K1129" s="282"/>
      <c r="L1129" s="282"/>
      <c r="M1129" s="18"/>
      <c r="N1129" s="991"/>
    </row>
    <row r="1130" spans="1:14" ht="16.5" customHeight="1" thickBot="1">
      <c r="A1130" s="120"/>
      <c r="B1130" s="120"/>
      <c r="C1130" s="120"/>
      <c r="D1130" s="120"/>
      <c r="E1130" s="120"/>
      <c r="F1130" s="120"/>
      <c r="G1130" s="120"/>
      <c r="H1130" s="120"/>
      <c r="I1130" s="19"/>
      <c r="J1130" s="19"/>
      <c r="K1130" s="287"/>
      <c r="L1130" s="287"/>
      <c r="M1130" s="18"/>
      <c r="N1130" s="991"/>
    </row>
    <row r="1131" spans="1:14" ht="24.75" customHeight="1" thickTop="1">
      <c r="A1131" s="700" t="s">
        <v>49</v>
      </c>
      <c r="B1131" s="699"/>
      <c r="C1131" s="529" t="s">
        <v>824</v>
      </c>
      <c r="D1131" s="437"/>
      <c r="E1131" s="438" t="s">
        <v>848</v>
      </c>
      <c r="F1131" s="439"/>
      <c r="G1131" s="438" t="s">
        <v>841</v>
      </c>
      <c r="H1131" s="439"/>
      <c r="I1131" s="438" t="s">
        <v>827</v>
      </c>
      <c r="J1131" s="439"/>
      <c r="K1131" s="438" t="s">
        <v>828</v>
      </c>
      <c r="L1131" s="440"/>
      <c r="M1131" s="23"/>
      <c r="N1131" s="991"/>
    </row>
    <row r="1132" spans="1:14" ht="15.75" customHeight="1">
      <c r="A1132" s="191" t="s">
        <v>147</v>
      </c>
      <c r="B1132" s="42" t="s">
        <v>333</v>
      </c>
      <c r="C1132" s="707">
        <f>CEILING(60*$Z$1,0.1)</f>
        <v>75</v>
      </c>
      <c r="D1132" s="747"/>
      <c r="E1132" s="703">
        <f>CEILING(80*$Z$1,0.1)</f>
        <v>100</v>
      </c>
      <c r="F1132" s="704"/>
      <c r="G1132" s="703">
        <f>CEILING(75*$Z$1,0.1)</f>
        <v>93.80000000000001</v>
      </c>
      <c r="H1132" s="704"/>
      <c r="I1132" s="703">
        <f>CEILING(90*$Z$1,0.1)</f>
        <v>112.5</v>
      </c>
      <c r="J1132" s="704"/>
      <c r="K1132" s="703">
        <f>CEILING(65*$Z$1,0.1)</f>
        <v>81.30000000000001</v>
      </c>
      <c r="L1132" s="704"/>
      <c r="M1132" s="23"/>
      <c r="N1132" s="991"/>
    </row>
    <row r="1133" spans="1:14" ht="14.25" customHeight="1">
      <c r="A1133" s="177" t="s">
        <v>51</v>
      </c>
      <c r="B1133" s="14" t="s">
        <v>334</v>
      </c>
      <c r="C1133" s="707">
        <f>CEILING((C1132+40*$Z$1),0.1)</f>
        <v>125</v>
      </c>
      <c r="D1133" s="708"/>
      <c r="E1133" s="707">
        <f>CEILING((E1132+40*$Z$1),0.1)</f>
        <v>150</v>
      </c>
      <c r="F1133" s="708"/>
      <c r="G1133" s="707">
        <f>CEILING((G1132+40*$Z$1),0.1)</f>
        <v>143.8</v>
      </c>
      <c r="H1133" s="708"/>
      <c r="I1133" s="707">
        <f>CEILING((I1132+40*$Z$1),0.1)</f>
        <v>162.5</v>
      </c>
      <c r="J1133" s="708"/>
      <c r="K1133" s="707">
        <f>CEILING((K1132+40*$Z$1),0.1)</f>
        <v>131.3</v>
      </c>
      <c r="L1133" s="708"/>
      <c r="M1133" s="23"/>
      <c r="N1133" s="991"/>
    </row>
    <row r="1134" spans="1:14" ht="15.75" customHeight="1">
      <c r="A1134" s="1050"/>
      <c r="B1134" s="14" t="s">
        <v>86</v>
      </c>
      <c r="C1134" s="707">
        <f>CEILING((C1132*0.85),0.1)</f>
        <v>63.800000000000004</v>
      </c>
      <c r="D1134" s="708"/>
      <c r="E1134" s="707">
        <f>CEILING((E1132*0.85),0.1)</f>
        <v>85</v>
      </c>
      <c r="F1134" s="708"/>
      <c r="G1134" s="707">
        <f>CEILING((G1132*0.85),0.1)</f>
        <v>79.80000000000001</v>
      </c>
      <c r="H1134" s="708"/>
      <c r="I1134" s="707">
        <f>CEILING((I1132*0.85),0.1)</f>
        <v>95.7</v>
      </c>
      <c r="J1134" s="708"/>
      <c r="K1134" s="707">
        <f>CEILING((K1132*0.85),0.1)</f>
        <v>69.2</v>
      </c>
      <c r="L1134" s="708"/>
      <c r="M1134" s="23"/>
      <c r="N1134" s="991"/>
    </row>
    <row r="1135" spans="1:14" ht="15.75" customHeight="1">
      <c r="A1135" s="1050"/>
      <c r="B1135" s="14" t="s">
        <v>85</v>
      </c>
      <c r="C1135" s="707">
        <f>CEILING((C1132*0.5),0.1)</f>
        <v>37.5</v>
      </c>
      <c r="D1135" s="1047"/>
      <c r="E1135" s="707">
        <f>CEILING((E1132*0.5),0.1)</f>
        <v>50</v>
      </c>
      <c r="F1135" s="708"/>
      <c r="G1135" s="707">
        <f>CEILING((G1132*0.5),0.1)</f>
        <v>46.900000000000006</v>
      </c>
      <c r="H1135" s="708"/>
      <c r="I1135" s="707">
        <f>CEILING((I1132*0.5),0.1)</f>
        <v>56.300000000000004</v>
      </c>
      <c r="J1135" s="708"/>
      <c r="K1135" s="707">
        <f>CEILING((K1132*0.5),0.1)</f>
        <v>40.7</v>
      </c>
      <c r="L1135" s="708"/>
      <c r="M1135" s="23"/>
      <c r="N1135" s="991"/>
    </row>
    <row r="1136" spans="1:14" ht="17.25" customHeight="1" thickBot="1">
      <c r="A1136" s="238" t="s">
        <v>510</v>
      </c>
      <c r="B1136" s="40" t="s">
        <v>654</v>
      </c>
      <c r="C1136" s="711">
        <v>0.15</v>
      </c>
      <c r="D1136" s="712"/>
      <c r="E1136" s="711">
        <v>0.1</v>
      </c>
      <c r="F1136" s="712"/>
      <c r="G1136" s="711">
        <v>0.1</v>
      </c>
      <c r="H1136" s="712"/>
      <c r="I1136" s="711">
        <v>0.1</v>
      </c>
      <c r="J1136" s="712"/>
      <c r="K1136" s="711">
        <v>0.1</v>
      </c>
      <c r="L1136" s="712"/>
      <c r="M1136" s="335"/>
      <c r="N1136" s="65"/>
    </row>
    <row r="1137" spans="1:14" ht="15.75" thickTop="1">
      <c r="A1137" s="170" t="s">
        <v>653</v>
      </c>
      <c r="B1137" s="140"/>
      <c r="C1137" s="653"/>
      <c r="D1137" s="653"/>
      <c r="E1137" s="653"/>
      <c r="F1137" s="653"/>
      <c r="G1137" s="653"/>
      <c r="H1137" s="653"/>
      <c r="I1137" s="653"/>
      <c r="J1137" s="653"/>
      <c r="K1137" s="307"/>
      <c r="L1137" s="307"/>
      <c r="M1137" s="65"/>
      <c r="N1137" s="65"/>
    </row>
    <row r="1138" spans="1:14" ht="19.5" customHeight="1" thickBot="1">
      <c r="A1138" s="158"/>
      <c r="B1138" s="70"/>
      <c r="C1138" s="107"/>
      <c r="D1138" s="107"/>
      <c r="E1138" s="107"/>
      <c r="F1138" s="107"/>
      <c r="G1138" s="107"/>
      <c r="H1138" s="107"/>
      <c r="I1138" s="57"/>
      <c r="J1138" s="57"/>
      <c r="K1138" s="1063"/>
      <c r="L1138" s="1063"/>
      <c r="M1138" s="18"/>
      <c r="N1138" s="991"/>
    </row>
    <row r="1139" spans="1:14" ht="25.5" customHeight="1" thickTop="1">
      <c r="A1139" s="700" t="s">
        <v>49</v>
      </c>
      <c r="B1139" s="699"/>
      <c r="C1139" s="529" t="s">
        <v>824</v>
      </c>
      <c r="D1139" s="437"/>
      <c r="E1139" s="438" t="s">
        <v>1021</v>
      </c>
      <c r="F1139" s="439"/>
      <c r="G1139" s="438" t="s">
        <v>841</v>
      </c>
      <c r="H1139" s="439"/>
      <c r="I1139" s="438" t="s">
        <v>827</v>
      </c>
      <c r="J1139" s="439"/>
      <c r="K1139" s="438" t="s">
        <v>828</v>
      </c>
      <c r="L1139" s="440"/>
      <c r="M1139" s="23"/>
      <c r="N1139" s="991"/>
    </row>
    <row r="1140" spans="1:14" ht="15" customHeight="1">
      <c r="A1140" s="36" t="s">
        <v>148</v>
      </c>
      <c r="B1140" s="42" t="s">
        <v>57</v>
      </c>
      <c r="C1140" s="707">
        <f>CEILING(40*$Z$1,0.1)</f>
        <v>50</v>
      </c>
      <c r="D1140" s="747"/>
      <c r="E1140" s="703">
        <f>CEILING(65*$Z$1,0.1)</f>
        <v>81.30000000000001</v>
      </c>
      <c r="F1140" s="704"/>
      <c r="G1140" s="703">
        <f>CEILING(60*$Z$1,0.1)</f>
        <v>75</v>
      </c>
      <c r="H1140" s="704"/>
      <c r="I1140" s="703">
        <f>CEILING(65*$Z$1,0.1)</f>
        <v>81.30000000000001</v>
      </c>
      <c r="J1140" s="704"/>
      <c r="K1140" s="703">
        <f>CEILING(50*$Z$1,0.1)</f>
        <v>62.5</v>
      </c>
      <c r="L1140" s="704"/>
      <c r="M1140" s="23"/>
      <c r="N1140" s="991"/>
    </row>
    <row r="1141" spans="1:14" ht="15.75" customHeight="1">
      <c r="A1141" s="36"/>
      <c r="B1141" s="14" t="s">
        <v>58</v>
      </c>
      <c r="C1141" s="707">
        <f>CEILING((C1140+25*$Z$1),0.1)</f>
        <v>81.30000000000001</v>
      </c>
      <c r="D1141" s="708"/>
      <c r="E1141" s="707">
        <f>CEILING((E1140+25*$Z$1),0.1)</f>
        <v>112.60000000000001</v>
      </c>
      <c r="F1141" s="708"/>
      <c r="G1141" s="707">
        <f>CEILING((G1140+25*$Z$1),0.1)</f>
        <v>106.30000000000001</v>
      </c>
      <c r="H1141" s="708"/>
      <c r="I1141" s="707">
        <f>CEILING((I1140+25*$Z$1),0.1)</f>
        <v>112.60000000000001</v>
      </c>
      <c r="J1141" s="708"/>
      <c r="K1141" s="707">
        <f>CEILING((K1140+25*$Z$1),0.1)</f>
        <v>93.80000000000001</v>
      </c>
      <c r="L1141" s="708"/>
      <c r="M1141" s="23"/>
      <c r="N1141" s="991"/>
    </row>
    <row r="1142" spans="1:14" ht="16.5" customHeight="1">
      <c r="A1142" s="37" t="s">
        <v>65</v>
      </c>
      <c r="B1142" s="14" t="s">
        <v>86</v>
      </c>
      <c r="C1142" s="707">
        <f>CEILING((C1140*0.85),0.1)</f>
        <v>42.5</v>
      </c>
      <c r="D1142" s="708"/>
      <c r="E1142" s="707">
        <f>CEILING((E1140*0.85),0.1)</f>
        <v>69.2</v>
      </c>
      <c r="F1142" s="708"/>
      <c r="G1142" s="707">
        <f>CEILING((G1140*0.85),0.1)</f>
        <v>63.800000000000004</v>
      </c>
      <c r="H1142" s="708"/>
      <c r="I1142" s="707">
        <f>CEILING((I1140*0.85),0.1)</f>
        <v>69.2</v>
      </c>
      <c r="J1142" s="708"/>
      <c r="K1142" s="707">
        <f>CEILING((K1140*0.85),0.1)</f>
        <v>53.2</v>
      </c>
      <c r="L1142" s="708"/>
      <c r="M1142" s="23"/>
      <c r="N1142" s="991"/>
    </row>
    <row r="1143" spans="1:14" ht="15" customHeight="1">
      <c r="A1143" s="92"/>
      <c r="B1143" s="39" t="s">
        <v>85</v>
      </c>
      <c r="C1143" s="714">
        <v>25</v>
      </c>
      <c r="D1143" s="715"/>
      <c r="E1143" s="714">
        <v>40.6</v>
      </c>
      <c r="F1143" s="715"/>
      <c r="G1143" s="714">
        <v>37.5</v>
      </c>
      <c r="H1143" s="715"/>
      <c r="I1143" s="714">
        <v>40.6</v>
      </c>
      <c r="J1143" s="715"/>
      <c r="K1143" s="714">
        <v>31.2</v>
      </c>
      <c r="L1143" s="715"/>
      <c r="M1143" s="23"/>
      <c r="N1143" s="991"/>
    </row>
    <row r="1144" spans="1:14" ht="15" customHeight="1">
      <c r="A1144" s="46"/>
      <c r="B1144" s="12" t="s">
        <v>59</v>
      </c>
      <c r="C1144" s="707">
        <f>CEILING(52*$Z$1,0.1)</f>
        <v>65</v>
      </c>
      <c r="D1144" s="708"/>
      <c r="E1144" s="707">
        <f>CEILING(77*$Z$1,0.1)</f>
        <v>96.30000000000001</v>
      </c>
      <c r="F1144" s="708"/>
      <c r="G1144" s="707">
        <f>CEILING(72*$Z$1,0.1)</f>
        <v>90</v>
      </c>
      <c r="H1144" s="708"/>
      <c r="I1144" s="707">
        <f>CEILING(72*$Z$1,0.1)</f>
        <v>90</v>
      </c>
      <c r="J1144" s="708"/>
      <c r="K1144" s="707">
        <f>CEILING(62*$Z$1,0.1)</f>
        <v>77.5</v>
      </c>
      <c r="L1144" s="708"/>
      <c r="M1144" s="23"/>
      <c r="N1144" s="991"/>
    </row>
    <row r="1145" spans="1:14" ht="15.75" customHeight="1">
      <c r="A1145" s="46"/>
      <c r="B1145" s="12" t="s">
        <v>60</v>
      </c>
      <c r="C1145" s="707">
        <f>CEILING((C1144+25*$Z$1),0.1)</f>
        <v>96.30000000000001</v>
      </c>
      <c r="D1145" s="1047"/>
      <c r="E1145" s="707">
        <f>CEILING((E1144+25*$Z$1),0.1)</f>
        <v>127.60000000000001</v>
      </c>
      <c r="F1145" s="708"/>
      <c r="G1145" s="707">
        <f>CEILING((G1144+25*$Z$1),0.1)</f>
        <v>121.30000000000001</v>
      </c>
      <c r="H1145" s="708"/>
      <c r="I1145" s="707">
        <f>CEILING((I1144+25*$Z$1),0.1)</f>
        <v>121.30000000000001</v>
      </c>
      <c r="J1145" s="708"/>
      <c r="K1145" s="707">
        <f>CEILING((K1144+25*$Z$1),0.1)</f>
        <v>108.80000000000001</v>
      </c>
      <c r="L1145" s="708"/>
      <c r="M1145" s="18"/>
      <c r="N1145" s="991"/>
    </row>
    <row r="1146" spans="1:14" ht="18" customHeight="1" thickBot="1">
      <c r="A1146" s="238" t="s">
        <v>508</v>
      </c>
      <c r="B1146" s="40" t="s">
        <v>654</v>
      </c>
      <c r="C1146" s="711">
        <v>0.15</v>
      </c>
      <c r="D1146" s="712"/>
      <c r="E1146" s="711">
        <v>0.1</v>
      </c>
      <c r="F1146" s="712"/>
      <c r="G1146" s="711">
        <v>0.1</v>
      </c>
      <c r="H1146" s="712"/>
      <c r="I1146" s="711">
        <v>0.1</v>
      </c>
      <c r="J1146" s="712"/>
      <c r="K1146" s="711">
        <v>0.1</v>
      </c>
      <c r="L1146" s="712"/>
      <c r="M1146" s="18"/>
      <c r="N1146" s="991"/>
    </row>
    <row r="1147" spans="1:14" ht="17.25" customHeight="1" thickTop="1">
      <c r="A1147" s="794" t="s">
        <v>678</v>
      </c>
      <c r="B1147" s="794"/>
      <c r="C1147" s="794"/>
      <c r="D1147" s="794"/>
      <c r="E1147" s="794"/>
      <c r="F1147" s="794"/>
      <c r="G1147" s="794"/>
      <c r="H1147" s="794"/>
      <c r="I1147" s="122"/>
      <c r="J1147" s="122"/>
      <c r="K1147" s="282"/>
      <c r="L1147" s="282"/>
      <c r="M1147" s="18"/>
      <c r="N1147" s="991"/>
    </row>
    <row r="1148" spans="1:14" ht="17.25" customHeight="1">
      <c r="A1148" s="170" t="s">
        <v>653</v>
      </c>
      <c r="B1148" s="357"/>
      <c r="C1148" s="357"/>
      <c r="D1148" s="357"/>
      <c r="E1148" s="357"/>
      <c r="F1148" s="357"/>
      <c r="G1148" s="357"/>
      <c r="H1148" s="357"/>
      <c r="I1148" s="122"/>
      <c r="J1148" s="122"/>
      <c r="K1148" s="282"/>
      <c r="L1148" s="282"/>
      <c r="M1148" s="18"/>
      <c r="N1148" s="991"/>
    </row>
    <row r="1149" spans="1:14" ht="17.25" customHeight="1" thickBot="1">
      <c r="A1149" s="246"/>
      <c r="B1149" s="412"/>
      <c r="C1149" s="357"/>
      <c r="D1149" s="357"/>
      <c r="E1149" s="357"/>
      <c r="F1149" s="357"/>
      <c r="G1149" s="357"/>
      <c r="H1149" s="357"/>
      <c r="I1149" s="122"/>
      <c r="J1149" s="122"/>
      <c r="K1149" s="282"/>
      <c r="L1149" s="282"/>
      <c r="M1149" s="18"/>
      <c r="N1149" s="991"/>
    </row>
    <row r="1150" spans="1:14" ht="22.5" customHeight="1" thickTop="1">
      <c r="A1150" s="700" t="s">
        <v>49</v>
      </c>
      <c r="B1150" s="532"/>
      <c r="C1150" s="429" t="s">
        <v>1072</v>
      </c>
      <c r="D1150" s="430"/>
      <c r="E1150" s="431" t="s">
        <v>1073</v>
      </c>
      <c r="F1150" s="432"/>
      <c r="G1150" s="431" t="s">
        <v>1074</v>
      </c>
      <c r="H1150" s="432"/>
      <c r="I1150" s="431" t="s">
        <v>1075</v>
      </c>
      <c r="J1150" s="432"/>
      <c r="K1150" s="431" t="s">
        <v>987</v>
      </c>
      <c r="L1150" s="433"/>
      <c r="M1150" s="23"/>
      <c r="N1150" s="991"/>
    </row>
    <row r="1151" spans="1:14" ht="17.25" customHeight="1">
      <c r="A1151" s="36" t="s">
        <v>1070</v>
      </c>
      <c r="B1151" s="42" t="s">
        <v>214</v>
      </c>
      <c r="C1151" s="707">
        <f>CEILING(38*$Z$1,0.1)</f>
        <v>47.5</v>
      </c>
      <c r="D1151" s="747"/>
      <c r="E1151" s="703">
        <f>CEILING(65*$Z$1,0.1)</f>
        <v>81.30000000000001</v>
      </c>
      <c r="F1151" s="704"/>
      <c r="G1151" s="703">
        <f>CEILING(48*$Z$1,0.1)</f>
        <v>60</v>
      </c>
      <c r="H1151" s="704"/>
      <c r="I1151" s="703">
        <f>CEILING(54*$Z$1,0.1)</f>
        <v>67.5</v>
      </c>
      <c r="J1151" s="704"/>
      <c r="K1151" s="703">
        <f>CEILING(54*$Z$1,0.1)</f>
        <v>67.5</v>
      </c>
      <c r="L1151" s="704"/>
      <c r="M1151" s="23"/>
      <c r="N1151" s="991"/>
    </row>
    <row r="1152" spans="1:14" ht="17.25" customHeight="1">
      <c r="A1152" s="37" t="s">
        <v>65</v>
      </c>
      <c r="B1152" s="14" t="s">
        <v>215</v>
      </c>
      <c r="C1152" s="707">
        <f>CEILING((C1151+16*$Z$1),0.1)</f>
        <v>67.5</v>
      </c>
      <c r="D1152" s="708"/>
      <c r="E1152" s="707">
        <f>CEILING((E1151+16*$Z$1),0.1)</f>
        <v>101.30000000000001</v>
      </c>
      <c r="F1152" s="708"/>
      <c r="G1152" s="707">
        <f>CEILING((G1151+16*$Z$1),0.1)</f>
        <v>80</v>
      </c>
      <c r="H1152" s="708"/>
      <c r="I1152" s="707">
        <f>CEILING((I1151+16*$Z$1),0.1)</f>
        <v>87.5</v>
      </c>
      <c r="J1152" s="708"/>
      <c r="K1152" s="707">
        <f>CEILING((K1151+16*$Z$1),0.1)</f>
        <v>87.5</v>
      </c>
      <c r="L1152" s="708"/>
      <c r="M1152" s="23"/>
      <c r="N1152" s="991"/>
    </row>
    <row r="1153" spans="1:14" ht="17.25" customHeight="1">
      <c r="A1153" s="1071"/>
      <c r="B1153" s="38" t="s">
        <v>53</v>
      </c>
      <c r="C1153" s="707">
        <f>CEILING(32.3*$Z$1,0.1)</f>
        <v>40.400000000000006</v>
      </c>
      <c r="D1153" s="708"/>
      <c r="E1153" s="707">
        <f>CEILING(46.75*$Z$1,0.1)</f>
        <v>58.5</v>
      </c>
      <c r="F1153" s="708"/>
      <c r="G1153" s="707">
        <f>CEILING(38.25*$Z$1,0.1)</f>
        <v>47.900000000000006</v>
      </c>
      <c r="H1153" s="708"/>
      <c r="I1153" s="707">
        <f>CEILING(39.95*$Z$1,0.1)</f>
        <v>50</v>
      </c>
      <c r="J1153" s="708"/>
      <c r="K1153" s="707">
        <f>CEILING(33.15*$Z$1,0.1)</f>
        <v>41.5</v>
      </c>
      <c r="L1153" s="708"/>
      <c r="M1153" s="23"/>
      <c r="N1153" s="991"/>
    </row>
    <row r="1154" spans="1:14" ht="17.25" customHeight="1">
      <c r="A1154" s="1135"/>
      <c r="B1154" s="14" t="s">
        <v>100</v>
      </c>
      <c r="C1154" s="714">
        <v>0</v>
      </c>
      <c r="D1154" s="715"/>
      <c r="E1154" s="714">
        <v>0</v>
      </c>
      <c r="F1154" s="715"/>
      <c r="G1154" s="714">
        <v>0</v>
      </c>
      <c r="H1154" s="715"/>
      <c r="I1154" s="714">
        <v>0</v>
      </c>
      <c r="J1154" s="715"/>
      <c r="K1154" s="714">
        <v>0</v>
      </c>
      <c r="L1154" s="715"/>
      <c r="M1154" s="23"/>
      <c r="N1154" s="991"/>
    </row>
    <row r="1155" spans="1:14" ht="17.25" customHeight="1">
      <c r="A1155" s="1071"/>
      <c r="B1155" s="12" t="s">
        <v>1076</v>
      </c>
      <c r="C1155" s="707">
        <f>CEILING(50*$Z$1,0.1)</f>
        <v>62.5</v>
      </c>
      <c r="D1155" s="708"/>
      <c r="E1155" s="707">
        <f>CEILING(77*$Z$1,0.1)</f>
        <v>96.30000000000001</v>
      </c>
      <c r="F1155" s="708"/>
      <c r="G1155" s="707">
        <f>CEILING(60*$Z$1,0.1)</f>
        <v>75</v>
      </c>
      <c r="H1155" s="708"/>
      <c r="I1155" s="707">
        <f>CEILING(66*$Z$1,0.1)</f>
        <v>82.5</v>
      </c>
      <c r="J1155" s="708"/>
      <c r="K1155" s="707">
        <f>CEILING(66*$Z$1,0.1)</f>
        <v>82.5</v>
      </c>
      <c r="L1155" s="708"/>
      <c r="M1155" s="23"/>
      <c r="N1155" s="991"/>
    </row>
    <row r="1156" spans="1:14" ht="17.25" customHeight="1" thickBot="1">
      <c r="A1156" s="236" t="s">
        <v>1071</v>
      </c>
      <c r="B1156" s="45" t="s">
        <v>1077</v>
      </c>
      <c r="C1156" s="720">
        <f>CEILING((C1155+15*$Z$1),0.1)</f>
        <v>81.30000000000001</v>
      </c>
      <c r="D1156" s="1146"/>
      <c r="E1156" s="720">
        <f>CEILING((E1155+15*$Z$1),0.1)</f>
        <v>115.10000000000001</v>
      </c>
      <c r="F1156" s="721"/>
      <c r="G1156" s="720">
        <f>CEILING((G1155+16*$Z$1),0.1)</f>
        <v>95</v>
      </c>
      <c r="H1156" s="721"/>
      <c r="I1156" s="720">
        <f>CEILING((I1155+16*$Z$1),0.1)</f>
        <v>102.5</v>
      </c>
      <c r="J1156" s="721"/>
      <c r="K1156" s="720">
        <f>CEILING((K1155+16*$Z$1),0.1)</f>
        <v>102.5</v>
      </c>
      <c r="L1156" s="721"/>
      <c r="M1156" s="23"/>
      <c r="N1156" s="991"/>
    </row>
    <row r="1157" spans="1:14" ht="17.25" customHeight="1" thickTop="1">
      <c r="A1157" s="82" t="s">
        <v>781</v>
      </c>
      <c r="B1157" s="54"/>
      <c r="C1157" s="681"/>
      <c r="D1157" s="681"/>
      <c r="E1157" s="681"/>
      <c r="F1157" s="681"/>
      <c r="G1157" s="681"/>
      <c r="H1157" s="681"/>
      <c r="I1157" s="681"/>
      <c r="J1157" s="681"/>
      <c r="K1157" s="282"/>
      <c r="L1157" s="282"/>
      <c r="M1157" s="18"/>
      <c r="N1157" s="991"/>
    </row>
    <row r="1158" spans="1:14" ht="17.25" customHeight="1">
      <c r="A1158" s="170" t="s">
        <v>1059</v>
      </c>
      <c r="B1158" s="54"/>
      <c r="C1158" s="3"/>
      <c r="D1158" s="681"/>
      <c r="E1158" s="681"/>
      <c r="F1158" s="681"/>
      <c r="G1158" s="681"/>
      <c r="H1158" s="681"/>
      <c r="I1158" s="681"/>
      <c r="J1158" s="681"/>
      <c r="K1158" s="282"/>
      <c r="L1158" s="282"/>
      <c r="M1158" s="18"/>
      <c r="N1158" s="991"/>
    </row>
    <row r="1159" spans="1:14" ht="17.25" customHeight="1">
      <c r="A1159" s="170" t="s">
        <v>1057</v>
      </c>
      <c r="B1159" s="54"/>
      <c r="C1159" s="3"/>
      <c r="D1159" s="681"/>
      <c r="E1159" s="681"/>
      <c r="F1159" s="681"/>
      <c r="G1159" s="681"/>
      <c r="H1159" s="681"/>
      <c r="I1159" s="681"/>
      <c r="J1159" s="681"/>
      <c r="K1159" s="282"/>
      <c r="L1159" s="282"/>
      <c r="M1159" s="18"/>
      <c r="N1159" s="991"/>
    </row>
    <row r="1160" spans="1:14" ht="17.25" customHeight="1" thickBot="1">
      <c r="A1160" s="170" t="s">
        <v>1060</v>
      </c>
      <c r="B1160" s="54"/>
      <c r="C1160" s="3"/>
      <c r="D1160" s="681"/>
      <c r="E1160" s="681"/>
      <c r="F1160" s="681"/>
      <c r="G1160" s="681"/>
      <c r="H1160" s="681"/>
      <c r="I1160" s="681"/>
      <c r="J1160" s="282"/>
      <c r="K1160" s="282"/>
      <c r="L1160" s="282"/>
      <c r="M1160" s="18"/>
      <c r="N1160" s="991"/>
    </row>
    <row r="1161" spans="1:14" ht="27.75" customHeight="1" thickTop="1">
      <c r="A1161" s="700" t="s">
        <v>49</v>
      </c>
      <c r="B1161" s="532"/>
      <c r="C1161" s="726" t="s">
        <v>1213</v>
      </c>
      <c r="D1161" s="727"/>
      <c r="E1161" s="726" t="s">
        <v>885</v>
      </c>
      <c r="F1161" s="727"/>
      <c r="G1161" s="726" t="s">
        <v>715</v>
      </c>
      <c r="H1161" s="727"/>
      <c r="I1161" s="815" t="s">
        <v>716</v>
      </c>
      <c r="J1161" s="816"/>
      <c r="K1161" s="815" t="s">
        <v>582</v>
      </c>
      <c r="L1161" s="816"/>
      <c r="M1161" s="23"/>
      <c r="N1161" s="991"/>
    </row>
    <row r="1162" spans="1:14" ht="17.25" customHeight="1">
      <c r="A1162" s="36" t="s">
        <v>713</v>
      </c>
      <c r="B1162" s="42" t="s">
        <v>57</v>
      </c>
      <c r="C1162" s="707">
        <f>CEILING(62*$Z$1,0.1)</f>
        <v>77.5</v>
      </c>
      <c r="D1162" s="747"/>
      <c r="E1162" s="703">
        <f>CEILING(75*$Z$1,0.1)</f>
        <v>93.80000000000001</v>
      </c>
      <c r="F1162" s="704"/>
      <c r="G1162" s="703">
        <f>CEILING(68*$Z$1,0.1)</f>
        <v>85</v>
      </c>
      <c r="H1162" s="704"/>
      <c r="I1162" s="703">
        <f>CEILING(75*$Z$1,0.1)</f>
        <v>93.80000000000001</v>
      </c>
      <c r="J1162" s="704"/>
      <c r="K1162" s="707">
        <f>CEILING(62*$Z$1,0.1)</f>
        <v>77.5</v>
      </c>
      <c r="L1162" s="747"/>
      <c r="M1162" s="23"/>
      <c r="N1162" s="991"/>
    </row>
    <row r="1163" spans="1:14" ht="17.25" customHeight="1">
      <c r="A1163" s="37" t="s">
        <v>51</v>
      </c>
      <c r="B1163" s="14" t="s">
        <v>58</v>
      </c>
      <c r="C1163" s="707">
        <f>CEILING((C1162+25*$Z$1),0.1)</f>
        <v>108.80000000000001</v>
      </c>
      <c r="D1163" s="708"/>
      <c r="E1163" s="707">
        <f>CEILING((E1162+25*$Z$1),0.1)</f>
        <v>125.10000000000001</v>
      </c>
      <c r="F1163" s="708"/>
      <c r="G1163" s="707">
        <f>CEILING((G1162+25*$Z$1),0.1)</f>
        <v>116.30000000000001</v>
      </c>
      <c r="H1163" s="708"/>
      <c r="I1163" s="707">
        <f>CEILING((I1162+25*$Z$1),0.1)</f>
        <v>125.10000000000001</v>
      </c>
      <c r="J1163" s="708"/>
      <c r="K1163" s="707">
        <f>CEILING((K1162+25*$Z$1),0.1)</f>
        <v>108.80000000000001</v>
      </c>
      <c r="L1163" s="708"/>
      <c r="M1163" s="23"/>
      <c r="N1163" s="991"/>
    </row>
    <row r="1164" spans="1:14" ht="17.25" customHeight="1">
      <c r="A1164" s="1071"/>
      <c r="B1164" s="38" t="s">
        <v>53</v>
      </c>
      <c r="C1164" s="707">
        <f>CEILING((C1162*0.85),0.1)</f>
        <v>65.9</v>
      </c>
      <c r="D1164" s="708"/>
      <c r="E1164" s="707">
        <f>CEILING((E1162*0.85),0.1)</f>
        <v>79.80000000000001</v>
      </c>
      <c r="F1164" s="708"/>
      <c r="G1164" s="707">
        <f>CEILING((G1162*0.85),0.1)</f>
        <v>72.3</v>
      </c>
      <c r="H1164" s="708"/>
      <c r="I1164" s="707">
        <f>CEILING((I1162*0.85),0.1)</f>
        <v>79.80000000000001</v>
      </c>
      <c r="J1164" s="708"/>
      <c r="K1164" s="707">
        <f>CEILING((K1162*0.85),0.1)</f>
        <v>65.9</v>
      </c>
      <c r="L1164" s="708"/>
      <c r="M1164" s="23"/>
      <c r="N1164" s="991"/>
    </row>
    <row r="1165" spans="1:14" ht="17.25" customHeight="1">
      <c r="A1165" s="1135"/>
      <c r="B1165" s="14" t="s">
        <v>78</v>
      </c>
      <c r="C1165" s="707">
        <v>0</v>
      </c>
      <c r="D1165" s="708"/>
      <c r="E1165" s="707">
        <f>CEILING((E1162*0.5),0.1)</f>
        <v>46.900000000000006</v>
      </c>
      <c r="F1165" s="708"/>
      <c r="G1165" s="707">
        <f>CEILING((G1162*0.5),0.1)</f>
        <v>42.5</v>
      </c>
      <c r="H1165" s="708"/>
      <c r="I1165" s="707">
        <f>CEILING((I1162*0.5),0.1)</f>
        <v>46.900000000000006</v>
      </c>
      <c r="J1165" s="708"/>
      <c r="K1165" s="707">
        <v>0</v>
      </c>
      <c r="L1165" s="708"/>
      <c r="M1165" s="23"/>
      <c r="N1165" s="991"/>
    </row>
    <row r="1166" spans="1:14" ht="17.25" customHeight="1">
      <c r="A1166" s="1071"/>
      <c r="B1166" s="13" t="s">
        <v>50</v>
      </c>
      <c r="C1166" s="707">
        <f>CEILING(97*$Z$1,0.1)</f>
        <v>121.30000000000001</v>
      </c>
      <c r="D1166" s="747"/>
      <c r="E1166" s="707">
        <f>CEILING(110*$Z$1,0.1)</f>
        <v>137.5</v>
      </c>
      <c r="F1166" s="708"/>
      <c r="G1166" s="707">
        <f>CEILING(103*$Z$1,0.1)</f>
        <v>128.8</v>
      </c>
      <c r="H1166" s="708"/>
      <c r="I1166" s="707">
        <f>CEILING(110*$Z$1,0.1)</f>
        <v>137.5</v>
      </c>
      <c r="J1166" s="708"/>
      <c r="K1166" s="707">
        <f>CEILING(97*$Z$1,0.1)</f>
        <v>121.30000000000001</v>
      </c>
      <c r="L1166" s="747"/>
      <c r="M1166" s="23"/>
      <c r="N1166" s="991"/>
    </row>
    <row r="1167" spans="1:14" ht="17.25" customHeight="1">
      <c r="A1167" s="1028" t="s">
        <v>45</v>
      </c>
      <c r="B1167" s="13" t="s">
        <v>52</v>
      </c>
      <c r="C1167" s="707">
        <f>CEILING((C1166+28*$Z$1),0.1)</f>
        <v>156.3</v>
      </c>
      <c r="D1167" s="747"/>
      <c r="E1167" s="707">
        <f>CEILING((E1166+28*$Z$1),0.1)</f>
        <v>172.5</v>
      </c>
      <c r="F1167" s="708"/>
      <c r="G1167" s="707">
        <f>CEILING((G1166+28*$Z$1),0.1)</f>
        <v>163.8</v>
      </c>
      <c r="H1167" s="708"/>
      <c r="I1167" s="707">
        <f>CEILING((I1166+28*$Z$1),0.1)</f>
        <v>172.5</v>
      </c>
      <c r="J1167" s="708"/>
      <c r="K1167" s="707">
        <f>CEILING((K1166+28*$Z$1),0.1)</f>
        <v>156.3</v>
      </c>
      <c r="L1167" s="747"/>
      <c r="M1167" s="23"/>
      <c r="N1167" s="991"/>
    </row>
    <row r="1168" spans="1:14" ht="17.25" customHeight="1">
      <c r="A1168" s="1071"/>
      <c r="B1168" s="28" t="s">
        <v>62</v>
      </c>
      <c r="C1168" s="707">
        <f>CEILING(112*$Z$1,0.1)</f>
        <v>140</v>
      </c>
      <c r="D1168" s="747"/>
      <c r="E1168" s="707">
        <f>CEILING(125*$Z$1,0.1)</f>
        <v>156.3</v>
      </c>
      <c r="F1168" s="708"/>
      <c r="G1168" s="707">
        <f>CEILING(118*$Z$1,0.1)</f>
        <v>147.5</v>
      </c>
      <c r="H1168" s="708"/>
      <c r="I1168" s="707">
        <f>CEILING(125*$Z$1,0.1)</f>
        <v>156.3</v>
      </c>
      <c r="J1168" s="708"/>
      <c r="K1168" s="707">
        <f>CEILING(112*$Z$1,0.1)</f>
        <v>140</v>
      </c>
      <c r="L1168" s="747"/>
      <c r="M1168" s="23"/>
      <c r="N1168" s="991"/>
    </row>
    <row r="1169" spans="1:14" ht="17.25" customHeight="1" thickBot="1">
      <c r="A1169" s="1160" t="s">
        <v>714</v>
      </c>
      <c r="B1169" s="413" t="s">
        <v>63</v>
      </c>
      <c r="C1169" s="720">
        <f>CEILING((C1168+35*$Z$1),0.1)</f>
        <v>183.8</v>
      </c>
      <c r="D1169" s="824"/>
      <c r="E1169" s="720">
        <f>CEILING((E1168+35*$Z$1),0.1)</f>
        <v>200.10000000000002</v>
      </c>
      <c r="F1169" s="721"/>
      <c r="G1169" s="720">
        <f>CEILING((G1168+35*$Z$1),0.1)</f>
        <v>191.3</v>
      </c>
      <c r="H1169" s="721"/>
      <c r="I1169" s="720">
        <f>CEILING((I1168+35*$Z$1),0.1)</f>
        <v>200.10000000000002</v>
      </c>
      <c r="J1169" s="721"/>
      <c r="K1169" s="720">
        <f>CEILING((K1168+35*$Z$1),0.1)</f>
        <v>183.8</v>
      </c>
      <c r="L1169" s="824"/>
      <c r="M1169" s="23"/>
      <c r="N1169" s="991"/>
    </row>
    <row r="1170" spans="1:14" ht="17.25" customHeight="1" thickTop="1">
      <c r="A1170" s="24" t="s">
        <v>457</v>
      </c>
      <c r="B1170" s="357"/>
      <c r="C1170" s="357"/>
      <c r="D1170" s="357"/>
      <c r="E1170" s="357"/>
      <c r="F1170" s="357"/>
      <c r="G1170" s="357"/>
      <c r="H1170" s="357"/>
      <c r="I1170" s="122"/>
      <c r="J1170" s="122"/>
      <c r="K1170" s="282"/>
      <c r="L1170" s="282"/>
      <c r="M1170" s="18"/>
      <c r="N1170" s="991"/>
    </row>
    <row r="1171" spans="1:14" ht="17.25" customHeight="1">
      <c r="A1171" s="82" t="s">
        <v>717</v>
      </c>
      <c r="B1171" s="357"/>
      <c r="C1171" s="357"/>
      <c r="D1171" s="357"/>
      <c r="E1171" s="357"/>
      <c r="F1171" s="357"/>
      <c r="G1171" s="357"/>
      <c r="H1171" s="357"/>
      <c r="I1171" s="122"/>
      <c r="J1171" s="122"/>
      <c r="K1171" s="282"/>
      <c r="L1171" s="282"/>
      <c r="M1171" s="18"/>
      <c r="N1171" s="991"/>
    </row>
    <row r="1172" spans="1:14" ht="17.25" customHeight="1">
      <c r="A1172" s="170" t="s">
        <v>1214</v>
      </c>
      <c r="B1172" s="357"/>
      <c r="C1172" s="357"/>
      <c r="D1172" s="357"/>
      <c r="E1172" s="357"/>
      <c r="F1172" s="357"/>
      <c r="G1172" s="357"/>
      <c r="H1172" s="357"/>
      <c r="I1172" s="122"/>
      <c r="J1172" s="122"/>
      <c r="K1172" s="282"/>
      <c r="L1172" s="282"/>
      <c r="M1172" s="18"/>
      <c r="N1172" s="991"/>
    </row>
    <row r="1173" spans="1:14" ht="17.25" customHeight="1">
      <c r="A1173" s="170" t="s">
        <v>1215</v>
      </c>
      <c r="B1173" s="357"/>
      <c r="C1173" s="357"/>
      <c r="D1173" s="357"/>
      <c r="E1173" s="357"/>
      <c r="F1173" s="357"/>
      <c r="G1173" s="357"/>
      <c r="H1173" s="357"/>
      <c r="I1173" s="122"/>
      <c r="J1173" s="122"/>
      <c r="K1173" s="282"/>
      <c r="L1173" s="282"/>
      <c r="M1173" s="18"/>
      <c r="N1173" s="991"/>
    </row>
    <row r="1174" spans="1:14" ht="17.25" customHeight="1" thickBot="1">
      <c r="A1174" s="246"/>
      <c r="B1174" s="412"/>
      <c r="C1174" s="357"/>
      <c r="D1174" s="357"/>
      <c r="E1174" s="357"/>
      <c r="F1174" s="357"/>
      <c r="G1174" s="357"/>
      <c r="H1174" s="357"/>
      <c r="I1174" s="122"/>
      <c r="J1174" s="122"/>
      <c r="K1174" s="282"/>
      <c r="L1174" s="282"/>
      <c r="M1174" s="18"/>
      <c r="N1174" s="991"/>
    </row>
    <row r="1175" spans="1:14" ht="23.25" customHeight="1" thickTop="1">
      <c r="A1175" s="700" t="s">
        <v>49</v>
      </c>
      <c r="B1175" s="532"/>
      <c r="C1175" s="726" t="s">
        <v>884</v>
      </c>
      <c r="D1175" s="727"/>
      <c r="E1175" s="726" t="s">
        <v>885</v>
      </c>
      <c r="F1175" s="727"/>
      <c r="G1175" s="726" t="s">
        <v>886</v>
      </c>
      <c r="H1175" s="727"/>
      <c r="I1175" s="815" t="s">
        <v>887</v>
      </c>
      <c r="J1175" s="816"/>
      <c r="K1175" s="815" t="s">
        <v>888</v>
      </c>
      <c r="L1175" s="816"/>
      <c r="M1175" s="23"/>
      <c r="N1175" s="991"/>
    </row>
    <row r="1176" spans="1:14" ht="15" customHeight="1">
      <c r="A1176" s="36" t="s">
        <v>1043</v>
      </c>
      <c r="B1176" s="42" t="s">
        <v>57</v>
      </c>
      <c r="C1176" s="707">
        <f>CEILING(70*$Z$1,0.1)</f>
        <v>87.5</v>
      </c>
      <c r="D1176" s="747"/>
      <c r="E1176" s="703">
        <f>CEILING(125*$Z$1,0.1)</f>
        <v>156.3</v>
      </c>
      <c r="F1176" s="704"/>
      <c r="G1176" s="703">
        <f>CEILING(95*$Z$1,0.1)</f>
        <v>118.80000000000001</v>
      </c>
      <c r="H1176" s="704"/>
      <c r="I1176" s="703">
        <f>CEILING(105*$Z$1,0.1)</f>
        <v>131.3</v>
      </c>
      <c r="J1176" s="704"/>
      <c r="K1176" s="703">
        <f>CEILING(72*$Z$1,0.1)</f>
        <v>90</v>
      </c>
      <c r="L1176" s="704"/>
      <c r="M1176" s="23"/>
      <c r="N1176" s="991"/>
    </row>
    <row r="1177" spans="1:14" ht="15" customHeight="1">
      <c r="A1177" s="37" t="s">
        <v>51</v>
      </c>
      <c r="B1177" s="14" t="s">
        <v>58</v>
      </c>
      <c r="C1177" s="707">
        <f>CEILING((C1176+25*$Z$1),0.1)</f>
        <v>118.80000000000001</v>
      </c>
      <c r="D1177" s="708"/>
      <c r="E1177" s="707">
        <f>CEILING((E1176+43.5*$Z$1),0.1)</f>
        <v>210.70000000000002</v>
      </c>
      <c r="F1177" s="708"/>
      <c r="G1177" s="707">
        <f>CEILING((G1176+33*$Z$1),0.1)</f>
        <v>160.10000000000002</v>
      </c>
      <c r="H1177" s="708"/>
      <c r="I1177" s="707">
        <f>CEILING((I1176+37*$Z$1),0.1)</f>
        <v>177.60000000000002</v>
      </c>
      <c r="J1177" s="708"/>
      <c r="K1177" s="707">
        <f>CEILING((K1176+25.3*$Z$1),0.1)</f>
        <v>121.7</v>
      </c>
      <c r="L1177" s="708"/>
      <c r="M1177" s="23"/>
      <c r="N1177" s="991"/>
    </row>
    <row r="1178" spans="1:14" ht="17.25" customHeight="1">
      <c r="A1178" s="1071"/>
      <c r="B1178" s="38" t="s">
        <v>53</v>
      </c>
      <c r="C1178" s="707">
        <f>CEILING((C1176*0.85),0.1)</f>
        <v>74.4</v>
      </c>
      <c r="D1178" s="708"/>
      <c r="E1178" s="707">
        <f>CEILING((E1176*0.85),0.1)</f>
        <v>132.9</v>
      </c>
      <c r="F1178" s="708"/>
      <c r="G1178" s="707">
        <f>CEILING((G1176*0.85),0.1)</f>
        <v>101</v>
      </c>
      <c r="H1178" s="708"/>
      <c r="I1178" s="707">
        <f>CEILING((I1176*0.85),0.1)</f>
        <v>111.7</v>
      </c>
      <c r="J1178" s="708"/>
      <c r="K1178" s="707">
        <f>CEILING((K1176*0.85),0.1)</f>
        <v>76.5</v>
      </c>
      <c r="L1178" s="708"/>
      <c r="M1178" s="23"/>
      <c r="N1178" s="991"/>
    </row>
    <row r="1179" spans="1:14" ht="15" customHeight="1">
      <c r="A1179" s="1135"/>
      <c r="B1179" s="14" t="s">
        <v>78</v>
      </c>
      <c r="C1179" s="707">
        <v>0</v>
      </c>
      <c r="D1179" s="708"/>
      <c r="E1179" s="707">
        <f>CEILING((E1176*0.5),0.1)</f>
        <v>78.2</v>
      </c>
      <c r="F1179" s="708"/>
      <c r="G1179" s="707">
        <f>CEILING((G1176*0.5),0.1)</f>
        <v>59.400000000000006</v>
      </c>
      <c r="H1179" s="708"/>
      <c r="I1179" s="707">
        <f>CEILING((I1176*0.5),0.1)</f>
        <v>65.7</v>
      </c>
      <c r="J1179" s="708"/>
      <c r="K1179" s="714">
        <v>0</v>
      </c>
      <c r="L1179" s="715"/>
      <c r="M1179" s="23"/>
      <c r="N1179" s="991"/>
    </row>
    <row r="1180" spans="1:14" ht="16.5" customHeight="1">
      <c r="A1180" s="1071"/>
      <c r="B1180" s="13" t="s">
        <v>13</v>
      </c>
      <c r="C1180" s="707">
        <f>CEILING(74*$Z$1,0.1)</f>
        <v>92.5</v>
      </c>
      <c r="D1180" s="747"/>
      <c r="E1180" s="707">
        <f>CEILING(131*$Z$1,0.1)</f>
        <v>163.8</v>
      </c>
      <c r="F1180" s="708"/>
      <c r="G1180" s="707">
        <f>CEILING(100*$Z$1,0.1)</f>
        <v>125</v>
      </c>
      <c r="H1180" s="708"/>
      <c r="I1180" s="707">
        <f>CEILING(110*$Z$1,0.1)</f>
        <v>137.5</v>
      </c>
      <c r="J1180" s="708"/>
      <c r="K1180" s="707">
        <f>CEILING(76*$Z$1,0.1)</f>
        <v>95</v>
      </c>
      <c r="L1180" s="708"/>
      <c r="M1180" s="23"/>
      <c r="N1180" s="991"/>
    </row>
    <row r="1181" spans="1:14" ht="16.5" customHeight="1">
      <c r="A1181" s="1028" t="s">
        <v>45</v>
      </c>
      <c r="B1181" s="13" t="s">
        <v>14</v>
      </c>
      <c r="C1181" s="707">
        <f>CEILING((C1180+26*$Z$1),0.1)</f>
        <v>125</v>
      </c>
      <c r="D1181" s="747"/>
      <c r="E1181" s="707">
        <f>CEILING((E1180+45.5*$Z$1),0.1)</f>
        <v>220.70000000000002</v>
      </c>
      <c r="F1181" s="708"/>
      <c r="G1181" s="707">
        <f>CEILING((G1180+35*$Z$1),0.1)</f>
        <v>168.8</v>
      </c>
      <c r="H1181" s="708"/>
      <c r="I1181" s="707">
        <f>CEILING((I1180+38.5*$Z$1),0.1)</f>
        <v>185.70000000000002</v>
      </c>
      <c r="J1181" s="708"/>
      <c r="K1181" s="707">
        <f>CEILING((K1180+26.3*$Z$1),0.1)</f>
        <v>127.9</v>
      </c>
      <c r="L1181" s="708"/>
      <c r="M1181" s="23"/>
      <c r="N1181" s="991"/>
    </row>
    <row r="1182" spans="1:14" ht="16.5" customHeight="1">
      <c r="A1182" s="1071"/>
      <c r="B1182" s="28" t="s">
        <v>50</v>
      </c>
      <c r="C1182" s="707">
        <f>CEILING(77*$Z$1,0.1)</f>
        <v>96.30000000000001</v>
      </c>
      <c r="D1182" s="747"/>
      <c r="E1182" s="707">
        <f>CEILING(138*$Z$1,0.1)</f>
        <v>172.5</v>
      </c>
      <c r="F1182" s="708"/>
      <c r="G1182" s="707">
        <f>CEILING(105*$Z$1,0.1)</f>
        <v>131.3</v>
      </c>
      <c r="H1182" s="708"/>
      <c r="I1182" s="707">
        <f>CEILING(116*$Z$1,0.1)</f>
        <v>145</v>
      </c>
      <c r="J1182" s="708"/>
      <c r="K1182" s="707">
        <f>CEILING(79*$Z$1,0.1)</f>
        <v>98.80000000000001</v>
      </c>
      <c r="L1182" s="708"/>
      <c r="M1182" s="23"/>
      <c r="N1182" s="991"/>
    </row>
    <row r="1183" spans="1:14" ht="15.75" customHeight="1">
      <c r="A1183" s="1071"/>
      <c r="B1183" s="28" t="s">
        <v>52</v>
      </c>
      <c r="C1183" s="707">
        <f>CEILING((C1182+27*$Z$1),0.1)</f>
        <v>130.1</v>
      </c>
      <c r="D1183" s="747"/>
      <c r="E1183" s="707">
        <f>CEILING((E1182+48*$Z$1),0.1)</f>
        <v>232.5</v>
      </c>
      <c r="F1183" s="708"/>
      <c r="G1183" s="707">
        <f>CEILING((G1182+37*$Z$1),0.1)</f>
        <v>177.60000000000002</v>
      </c>
      <c r="H1183" s="708"/>
      <c r="I1183" s="707">
        <f>CEILING((I1182+40.5*$Z$1),0.1)</f>
        <v>195.70000000000002</v>
      </c>
      <c r="J1183" s="708"/>
      <c r="K1183" s="707">
        <f>CEILING((K1182+27.5*$Z$1),0.1)</f>
        <v>133.20000000000002</v>
      </c>
      <c r="L1183" s="708"/>
      <c r="M1183" s="23"/>
      <c r="N1183" s="991"/>
    </row>
    <row r="1184" spans="1:14" ht="16.5" customHeight="1">
      <c r="A1184" s="1071"/>
      <c r="B1184" s="13" t="s">
        <v>68</v>
      </c>
      <c r="C1184" s="707">
        <f>CEILING(88*$Z$1,0.1)</f>
        <v>110</v>
      </c>
      <c r="D1184" s="747"/>
      <c r="E1184" s="707">
        <f>CEILING(156*$Z$1,0.1)</f>
        <v>195</v>
      </c>
      <c r="F1184" s="708"/>
      <c r="G1184" s="707">
        <f>CEILING(119*$Z$1,0.1)</f>
        <v>148.8</v>
      </c>
      <c r="H1184" s="708"/>
      <c r="I1184" s="707">
        <f>CEILING(131*$Z$1,0.1)</f>
        <v>163.8</v>
      </c>
      <c r="J1184" s="708"/>
      <c r="K1184" s="707">
        <f>CEILING(90*$Z$1,0.1)</f>
        <v>112.5</v>
      </c>
      <c r="L1184" s="708"/>
      <c r="M1184" s="23"/>
      <c r="N1184" s="991"/>
    </row>
    <row r="1185" spans="1:14" ht="15.75" customHeight="1">
      <c r="A1185" s="1073"/>
      <c r="B1185" s="13" t="s">
        <v>69</v>
      </c>
      <c r="C1185" s="707">
        <f>CEILING((C1184+31*$Z$1),0.1)</f>
        <v>148.8</v>
      </c>
      <c r="D1185" s="747"/>
      <c r="E1185" s="707">
        <f>CEILING((E1184+55*$Z$1),0.1)</f>
        <v>263.8</v>
      </c>
      <c r="F1185" s="708"/>
      <c r="G1185" s="707">
        <f>CEILING((G1184+41*$Z$1),0.1)</f>
        <v>200.10000000000002</v>
      </c>
      <c r="H1185" s="708"/>
      <c r="I1185" s="707">
        <f>CEILING((I1184+46*$Z$1),0.1)</f>
        <v>221.3</v>
      </c>
      <c r="J1185" s="708"/>
      <c r="K1185" s="707">
        <f>CEILING((K1184+31.5*$Z$1),0.1)</f>
        <v>151.9</v>
      </c>
      <c r="L1185" s="708"/>
      <c r="M1185" s="23"/>
      <c r="N1185" s="991"/>
    </row>
    <row r="1186" spans="1:14" ht="15">
      <c r="A1186" s="1073"/>
      <c r="B1186" s="13" t="s">
        <v>15</v>
      </c>
      <c r="C1186" s="707">
        <f>CEILING(95*$Z$1,0.1)</f>
        <v>118.80000000000001</v>
      </c>
      <c r="D1186" s="708"/>
      <c r="E1186" s="707">
        <f>CEILING(169*$Z$1,0.1)</f>
        <v>211.3</v>
      </c>
      <c r="F1186" s="708"/>
      <c r="G1186" s="707">
        <f>CEILING(128*$Z$1,0.1)</f>
        <v>160</v>
      </c>
      <c r="H1186" s="708"/>
      <c r="I1186" s="707">
        <f>CEILING(142*$Z$1,0.1)</f>
        <v>177.5</v>
      </c>
      <c r="J1186" s="708"/>
      <c r="K1186" s="707">
        <f>CEILING(97*$Z$1,0.1)</f>
        <v>121.30000000000001</v>
      </c>
      <c r="L1186" s="708"/>
      <c r="M1186" s="18"/>
      <c r="N1186" s="991"/>
    </row>
    <row r="1187" spans="1:17" ht="15">
      <c r="A1187" s="155"/>
      <c r="B1187" s="13" t="s">
        <v>456</v>
      </c>
      <c r="C1187" s="705">
        <f>CEILING((C1186+33*$Z$1),0.1)</f>
        <v>160.10000000000002</v>
      </c>
      <c r="D1187" s="706"/>
      <c r="E1187" s="705">
        <f>CEILING((E1186+59.2*$Z$1),0.1)</f>
        <v>285.3</v>
      </c>
      <c r="F1187" s="706"/>
      <c r="G1187" s="705">
        <f>CEILING((G1186+45*$Z$1),0.1)</f>
        <v>216.3</v>
      </c>
      <c r="H1187" s="706"/>
      <c r="I1187" s="705">
        <f>CEILING((I1186+50*$Z$1),0.1)</f>
        <v>240</v>
      </c>
      <c r="J1187" s="706"/>
      <c r="K1187" s="705">
        <f>CEILING((K1186+34*$Z$1),0.1)</f>
        <v>163.8</v>
      </c>
      <c r="L1187" s="706"/>
      <c r="M1187" s="23"/>
      <c r="N1187" s="991"/>
      <c r="P1187" s="844"/>
      <c r="Q1187" s="844"/>
    </row>
    <row r="1188" spans="1:17" ht="15">
      <c r="A1188" s="271"/>
      <c r="B1188" s="393" t="s">
        <v>1045</v>
      </c>
      <c r="C1188" s="707">
        <f>CEILING(103*$Z$1,0.1)</f>
        <v>128.8</v>
      </c>
      <c r="D1188" s="747"/>
      <c r="E1188" s="703">
        <f>CEILING(177*$Z$1,0.1)</f>
        <v>221.3</v>
      </c>
      <c r="F1188" s="704"/>
      <c r="G1188" s="703">
        <f>CEILING(137*$Z$1,0.1)</f>
        <v>171.3</v>
      </c>
      <c r="H1188" s="704"/>
      <c r="I1188" s="703">
        <f>CEILING(150*$Z$1,0.1)</f>
        <v>187.5</v>
      </c>
      <c r="J1188" s="704"/>
      <c r="K1188" s="703">
        <f>CEILING(106*$Z$1,0.1)</f>
        <v>132.5</v>
      </c>
      <c r="L1188" s="704"/>
      <c r="M1188" s="23"/>
      <c r="N1188" s="991"/>
      <c r="P1188" s="753"/>
      <c r="Q1188" s="753"/>
    </row>
    <row r="1189" spans="1:17" ht="15">
      <c r="A1189" s="270" t="s">
        <v>1044</v>
      </c>
      <c r="B1189" s="28" t="s">
        <v>909</v>
      </c>
      <c r="C1189" s="707">
        <f>CEILING((C1188*0.5),0.1)</f>
        <v>64.4</v>
      </c>
      <c r="D1189" s="747"/>
      <c r="E1189" s="705">
        <f>CEILING((E1188*0.5),0.1)</f>
        <v>110.7</v>
      </c>
      <c r="F1189" s="706"/>
      <c r="G1189" s="707">
        <f>CEILING((G1188*0.5),0.1)</f>
        <v>85.7</v>
      </c>
      <c r="H1189" s="708"/>
      <c r="I1189" s="707">
        <f>CEILING((I1188*0.5),0.1)</f>
        <v>93.80000000000001</v>
      </c>
      <c r="J1189" s="708"/>
      <c r="K1189" s="705">
        <f>CEILING((K1188*0.5),0.1)</f>
        <v>66.3</v>
      </c>
      <c r="L1189" s="706"/>
      <c r="M1189" s="23"/>
      <c r="N1189" s="991"/>
      <c r="P1189" s="753"/>
      <c r="Q1189" s="753"/>
    </row>
    <row r="1190" spans="1:256" ht="17.25" customHeight="1">
      <c r="A1190" s="336" t="s">
        <v>457</v>
      </c>
      <c r="B1190" s="536"/>
      <c r="C1190" s="536"/>
      <c r="D1190" s="536"/>
      <c r="E1190" s="536"/>
      <c r="F1190" s="536"/>
      <c r="G1190" s="536"/>
      <c r="H1190" s="536"/>
      <c r="I1190" s="537"/>
      <c r="J1190" s="537"/>
      <c r="K1190" s="538"/>
      <c r="L1190" s="539"/>
      <c r="M1190" s="18"/>
      <c r="N1190" s="991"/>
      <c r="P1190" s="170"/>
      <c r="Q1190" s="170"/>
      <c r="R1190" s="170"/>
      <c r="S1190" s="170"/>
      <c r="T1190" s="170"/>
      <c r="U1190" s="170"/>
      <c r="V1190" s="170"/>
      <c r="W1190" s="170"/>
      <c r="X1190" s="170"/>
      <c r="Y1190" s="170"/>
      <c r="Z1190" s="170"/>
      <c r="AA1190" s="170"/>
      <c r="AB1190" s="170"/>
      <c r="AC1190" s="170"/>
      <c r="AD1190" s="170"/>
      <c r="AE1190" s="170"/>
      <c r="AF1190" s="170"/>
      <c r="AG1190" s="170"/>
      <c r="AH1190" s="170"/>
      <c r="AI1190" s="170"/>
      <c r="AJ1190" s="170"/>
      <c r="AK1190" s="170"/>
      <c r="AL1190" s="170"/>
      <c r="AM1190" s="170"/>
      <c r="AN1190" s="170"/>
      <c r="AO1190" s="170"/>
      <c r="AP1190" s="170"/>
      <c r="AQ1190" s="170"/>
      <c r="AR1190" s="170"/>
      <c r="AS1190" s="170"/>
      <c r="AT1190" s="170"/>
      <c r="AU1190" s="170"/>
      <c r="AV1190" s="170"/>
      <c r="AW1190" s="170"/>
      <c r="AX1190" s="170"/>
      <c r="AY1190" s="170"/>
      <c r="AZ1190" s="170"/>
      <c r="BA1190" s="170"/>
      <c r="BB1190" s="170"/>
      <c r="BC1190" s="170"/>
      <c r="BD1190" s="170"/>
      <c r="BE1190" s="170"/>
      <c r="BF1190" s="170"/>
      <c r="BG1190" s="170"/>
      <c r="BH1190" s="170"/>
      <c r="BI1190" s="170"/>
      <c r="BJ1190" s="170"/>
      <c r="BK1190" s="170"/>
      <c r="BL1190" s="170"/>
      <c r="BM1190" s="170"/>
      <c r="BN1190" s="170"/>
      <c r="BO1190" s="170"/>
      <c r="BP1190" s="170"/>
      <c r="BQ1190" s="170"/>
      <c r="BR1190" s="170"/>
      <c r="BS1190" s="170"/>
      <c r="BT1190" s="170"/>
      <c r="BU1190" s="170"/>
      <c r="BV1190" s="170"/>
      <c r="BW1190" s="170"/>
      <c r="BX1190" s="170"/>
      <c r="BY1190" s="170"/>
      <c r="BZ1190" s="170"/>
      <c r="CA1190" s="170"/>
      <c r="CB1190" s="170"/>
      <c r="CC1190" s="170"/>
      <c r="CD1190" s="170"/>
      <c r="CE1190" s="170"/>
      <c r="CF1190" s="170"/>
      <c r="CG1190" s="170"/>
      <c r="CH1190" s="170"/>
      <c r="CI1190" s="170"/>
      <c r="CJ1190" s="170"/>
      <c r="CK1190" s="170"/>
      <c r="CL1190" s="170"/>
      <c r="CM1190" s="170"/>
      <c r="CN1190" s="170"/>
      <c r="CO1190" s="170"/>
      <c r="CP1190" s="170"/>
      <c r="CQ1190" s="170"/>
      <c r="CR1190" s="170"/>
      <c r="CS1190" s="170"/>
      <c r="CT1190" s="170"/>
      <c r="CU1190" s="170"/>
      <c r="CV1190" s="170"/>
      <c r="CW1190" s="170"/>
      <c r="CX1190" s="170"/>
      <c r="CY1190" s="170"/>
      <c r="CZ1190" s="170"/>
      <c r="DA1190" s="170"/>
      <c r="DB1190" s="170"/>
      <c r="DC1190" s="170"/>
      <c r="DD1190" s="170"/>
      <c r="DE1190" s="170"/>
      <c r="DF1190" s="170"/>
      <c r="DG1190" s="170"/>
      <c r="DH1190" s="170"/>
      <c r="DI1190" s="170"/>
      <c r="DJ1190" s="170"/>
      <c r="DK1190" s="170"/>
      <c r="DL1190" s="170"/>
      <c r="DM1190" s="170"/>
      <c r="DN1190" s="170"/>
      <c r="DO1190" s="170"/>
      <c r="DP1190" s="170"/>
      <c r="DQ1190" s="170"/>
      <c r="DR1190" s="170"/>
      <c r="DS1190" s="170"/>
      <c r="DT1190" s="170"/>
      <c r="DU1190" s="170"/>
      <c r="DV1190" s="170"/>
      <c r="DW1190" s="170"/>
      <c r="DX1190" s="170"/>
      <c r="DY1190" s="170"/>
      <c r="DZ1190" s="170"/>
      <c r="EA1190" s="170"/>
      <c r="EB1190" s="170"/>
      <c r="EC1190" s="170"/>
      <c r="ED1190" s="170"/>
      <c r="EE1190" s="170"/>
      <c r="EF1190" s="170"/>
      <c r="EG1190" s="170"/>
      <c r="EH1190" s="170"/>
      <c r="EI1190" s="170"/>
      <c r="EJ1190" s="170"/>
      <c r="EK1190" s="170"/>
      <c r="EL1190" s="170"/>
      <c r="EM1190" s="170"/>
      <c r="EN1190" s="170"/>
      <c r="EO1190" s="170"/>
      <c r="EP1190" s="170"/>
      <c r="EQ1190" s="170"/>
      <c r="ER1190" s="170"/>
      <c r="ES1190" s="170"/>
      <c r="ET1190" s="170"/>
      <c r="EU1190" s="170"/>
      <c r="EV1190" s="170"/>
      <c r="EW1190" s="170"/>
      <c r="EX1190" s="170"/>
      <c r="EY1190" s="170"/>
      <c r="EZ1190" s="170"/>
      <c r="FA1190" s="170"/>
      <c r="FB1190" s="170"/>
      <c r="FC1190" s="170"/>
      <c r="FD1190" s="170"/>
      <c r="FE1190" s="170"/>
      <c r="FF1190" s="170"/>
      <c r="FG1190" s="170"/>
      <c r="FH1190" s="170"/>
      <c r="FI1190" s="170"/>
      <c r="FJ1190" s="170"/>
      <c r="FK1190" s="170"/>
      <c r="FL1190" s="170"/>
      <c r="FM1190" s="170"/>
      <c r="FN1190" s="170"/>
      <c r="FO1190" s="170"/>
      <c r="FP1190" s="170"/>
      <c r="FQ1190" s="170"/>
      <c r="FR1190" s="170"/>
      <c r="FS1190" s="170"/>
      <c r="FT1190" s="170"/>
      <c r="FU1190" s="170"/>
      <c r="FV1190" s="170"/>
      <c r="FW1190" s="170"/>
      <c r="FX1190" s="170"/>
      <c r="FY1190" s="170"/>
      <c r="FZ1190" s="170"/>
      <c r="GA1190" s="170"/>
      <c r="GB1190" s="170"/>
      <c r="GC1190" s="170"/>
      <c r="GD1190" s="170"/>
      <c r="GE1190" s="170"/>
      <c r="GF1190" s="170"/>
      <c r="GG1190" s="170"/>
      <c r="GH1190" s="170"/>
      <c r="GI1190" s="170"/>
      <c r="GJ1190" s="170"/>
      <c r="GK1190" s="170"/>
      <c r="GL1190" s="170"/>
      <c r="GM1190" s="170"/>
      <c r="GN1190" s="170"/>
      <c r="GO1190" s="170"/>
      <c r="GP1190" s="170"/>
      <c r="GQ1190" s="170"/>
      <c r="GR1190" s="170"/>
      <c r="GS1190" s="170"/>
      <c r="GT1190" s="170"/>
      <c r="GU1190" s="170"/>
      <c r="GV1190" s="170"/>
      <c r="GW1190" s="170"/>
      <c r="GX1190" s="170"/>
      <c r="GY1190" s="170"/>
      <c r="GZ1190" s="170"/>
      <c r="HA1190" s="170"/>
      <c r="HB1190" s="170"/>
      <c r="HC1190" s="170"/>
      <c r="HD1190" s="170"/>
      <c r="HE1190" s="170"/>
      <c r="HF1190" s="170"/>
      <c r="HG1190" s="170"/>
      <c r="HH1190" s="170"/>
      <c r="HI1190" s="170"/>
      <c r="HJ1190" s="170"/>
      <c r="HK1190" s="170"/>
      <c r="HL1190" s="170"/>
      <c r="HM1190" s="170"/>
      <c r="HN1190" s="170"/>
      <c r="HO1190" s="170"/>
      <c r="HP1190" s="170"/>
      <c r="HQ1190" s="170"/>
      <c r="HR1190" s="170"/>
      <c r="HS1190" s="170"/>
      <c r="HT1190" s="170"/>
      <c r="HU1190" s="170"/>
      <c r="HV1190" s="170"/>
      <c r="HW1190" s="170"/>
      <c r="HX1190" s="170"/>
      <c r="HY1190" s="170"/>
      <c r="HZ1190" s="170"/>
      <c r="IA1190" s="170"/>
      <c r="IB1190" s="170"/>
      <c r="IC1190" s="170"/>
      <c r="ID1190" s="170"/>
      <c r="IE1190" s="170"/>
      <c r="IF1190" s="170"/>
      <c r="IG1190" s="170"/>
      <c r="IH1190" s="170"/>
      <c r="II1190" s="170"/>
      <c r="IJ1190" s="170"/>
      <c r="IK1190" s="170"/>
      <c r="IL1190" s="170"/>
      <c r="IM1190" s="170"/>
      <c r="IN1190" s="170"/>
      <c r="IO1190" s="170"/>
      <c r="IP1190" s="170"/>
      <c r="IQ1190" s="170"/>
      <c r="IR1190" s="170"/>
      <c r="IS1190" s="170"/>
      <c r="IT1190" s="170"/>
      <c r="IU1190" s="170"/>
      <c r="IV1190" s="170"/>
    </row>
    <row r="1191" spans="1:17" ht="16.5" customHeight="1">
      <c r="A1191" s="1161" t="s">
        <v>1047</v>
      </c>
      <c r="B1191" s="1162"/>
      <c r="C1191" s="1162"/>
      <c r="D1191" s="1162"/>
      <c r="E1191" s="1162"/>
      <c r="F1191" s="1162"/>
      <c r="G1191" s="1162"/>
      <c r="H1191" s="1162"/>
      <c r="I1191" s="1162"/>
      <c r="J1191" s="1162"/>
      <c r="K1191" s="1162"/>
      <c r="L1191" s="1162"/>
      <c r="M1191" s="1162"/>
      <c r="N1191" s="1162"/>
      <c r="P1191" s="753"/>
      <c r="Q1191" s="753"/>
    </row>
    <row r="1192" spans="1:17" ht="16.5" customHeight="1">
      <c r="A1192" s="170" t="s">
        <v>1048</v>
      </c>
      <c r="B1192" s="357"/>
      <c r="C1192" s="357"/>
      <c r="D1192" s="357"/>
      <c r="E1192" s="357"/>
      <c r="F1192" s="357"/>
      <c r="G1192" s="357"/>
      <c r="H1192" s="357"/>
      <c r="I1192" s="357"/>
      <c r="J1192" s="357"/>
      <c r="K1192" s="357"/>
      <c r="L1192" s="357"/>
      <c r="M1192" s="357"/>
      <c r="N1192" s="357"/>
      <c r="P1192" s="653"/>
      <c r="Q1192" s="653"/>
    </row>
    <row r="1193" spans="1:17" ht="16.5" customHeight="1">
      <c r="A1193" s="170" t="s">
        <v>1031</v>
      </c>
      <c r="B1193" s="357"/>
      <c r="C1193" s="357"/>
      <c r="D1193" s="357"/>
      <c r="E1193" s="357"/>
      <c r="F1193" s="357"/>
      <c r="G1193" s="357"/>
      <c r="H1193" s="357"/>
      <c r="I1193" s="357"/>
      <c r="J1193" s="357"/>
      <c r="K1193" s="357"/>
      <c r="L1193" s="357"/>
      <c r="M1193" s="357"/>
      <c r="N1193" s="357"/>
      <c r="P1193" s="653"/>
      <c r="Q1193" s="653"/>
    </row>
    <row r="1194" spans="1:25" ht="18.75" customHeight="1" thickBot="1">
      <c r="A1194" s="272"/>
      <c r="B1194" s="107"/>
      <c r="C1194" s="107"/>
      <c r="D1194" s="107"/>
      <c r="E1194" s="107"/>
      <c r="F1194" s="107"/>
      <c r="G1194" s="107"/>
      <c r="H1194" s="107"/>
      <c r="I1194" s="339"/>
      <c r="J1194" s="339"/>
      <c r="K1194" s="282"/>
      <c r="L1194" s="282"/>
      <c r="M1194" s="18"/>
      <c r="N1194" s="991"/>
      <c r="P1194" s="753"/>
      <c r="Q1194" s="753"/>
      <c r="X1194" s="993"/>
      <c r="Y1194" s="993"/>
    </row>
    <row r="1195" spans="1:17" ht="23.25" customHeight="1" thickTop="1">
      <c r="A1195" s="700" t="s">
        <v>49</v>
      </c>
      <c r="B1195" s="532"/>
      <c r="C1195" s="815" t="s">
        <v>884</v>
      </c>
      <c r="D1195" s="816"/>
      <c r="E1195" s="726" t="s">
        <v>885</v>
      </c>
      <c r="F1195" s="727"/>
      <c r="G1195" s="730" t="s">
        <v>901</v>
      </c>
      <c r="H1195" s="731"/>
      <c r="I1195" s="730" t="s">
        <v>887</v>
      </c>
      <c r="J1195" s="731"/>
      <c r="K1195" s="730" t="s">
        <v>888</v>
      </c>
      <c r="L1195" s="731"/>
      <c r="M1195" s="18"/>
      <c r="N1195" s="991"/>
      <c r="P1195" s="753"/>
      <c r="Q1195" s="753"/>
    </row>
    <row r="1196" spans="1:14" ht="16.5" customHeight="1">
      <c r="A1196" s="53" t="s">
        <v>149</v>
      </c>
      <c r="B1196" s="42" t="s">
        <v>57</v>
      </c>
      <c r="C1196" s="707">
        <f>CEILING(55*$Z$1,0.1)</f>
        <v>68.8</v>
      </c>
      <c r="D1196" s="747"/>
      <c r="E1196" s="703">
        <f>CEILING(90*$Z$1,0.1)</f>
        <v>112.5</v>
      </c>
      <c r="F1196" s="704"/>
      <c r="G1196" s="703">
        <f>CEILING(75*$Z$1,0.1)</f>
        <v>93.80000000000001</v>
      </c>
      <c r="H1196" s="704"/>
      <c r="I1196" s="703">
        <f>CEILING(80*$Z$1,0.1)</f>
        <v>100</v>
      </c>
      <c r="J1196" s="704"/>
      <c r="K1196" s="703">
        <f>CEILING(60*$Z$1,0.1)</f>
        <v>75</v>
      </c>
      <c r="L1196" s="704"/>
      <c r="M1196" s="18"/>
      <c r="N1196" s="991"/>
    </row>
    <row r="1197" spans="1:14" ht="15" customHeight="1">
      <c r="A1197" s="51" t="s">
        <v>65</v>
      </c>
      <c r="B1197" s="14" t="s">
        <v>58</v>
      </c>
      <c r="C1197" s="707">
        <f>CEILING((C1196+17*$Z$1),0.1)</f>
        <v>90.10000000000001</v>
      </c>
      <c r="D1197" s="708"/>
      <c r="E1197" s="707">
        <f>CEILING((E1196+27*$Z$1),0.1)</f>
        <v>146.3</v>
      </c>
      <c r="F1197" s="708"/>
      <c r="G1197" s="707">
        <f>CEILING((G1196+22.3*$Z$1),0.1)</f>
        <v>121.7</v>
      </c>
      <c r="H1197" s="708"/>
      <c r="I1197" s="707">
        <f>CEILING((I1196+24*$Z$1),0.1)</f>
        <v>130</v>
      </c>
      <c r="J1197" s="708"/>
      <c r="K1197" s="707">
        <f>CEILING((K1196+18*$Z$1),0.1)</f>
        <v>97.5</v>
      </c>
      <c r="L1197" s="708"/>
      <c r="M1197" s="18"/>
      <c r="N1197" s="991"/>
    </row>
    <row r="1198" spans="1:14" ht="17.25" customHeight="1">
      <c r="A1198" s="1067"/>
      <c r="B1198" s="14" t="s">
        <v>86</v>
      </c>
      <c r="C1198" s="707">
        <f>CEILING((C1196*0.85),0.1)</f>
        <v>58.5</v>
      </c>
      <c r="D1198" s="708"/>
      <c r="E1198" s="707">
        <f>CEILING((E1196*0.85),0.1)</f>
        <v>95.7</v>
      </c>
      <c r="F1198" s="708"/>
      <c r="G1198" s="707">
        <f>CEILING((G1196*0.85),0.1)</f>
        <v>79.80000000000001</v>
      </c>
      <c r="H1198" s="708"/>
      <c r="I1198" s="707">
        <f>CEILING((I1196*0.85),0.1)</f>
        <v>85</v>
      </c>
      <c r="J1198" s="708"/>
      <c r="K1198" s="707">
        <f>CEILING((K1196*0.85),0.1)</f>
        <v>63.800000000000004</v>
      </c>
      <c r="L1198" s="708"/>
      <c r="M1198" s="22"/>
      <c r="N1198" s="22"/>
    </row>
    <row r="1199" spans="1:14" ht="15.75" customHeight="1">
      <c r="A1199" s="1028"/>
      <c r="B1199" s="14" t="s">
        <v>94</v>
      </c>
      <c r="C1199" s="714">
        <v>0</v>
      </c>
      <c r="D1199" s="715"/>
      <c r="E1199" s="707">
        <f>CEILING((E1196*0.5),0.1)</f>
        <v>56.300000000000004</v>
      </c>
      <c r="F1199" s="708"/>
      <c r="G1199" s="707">
        <f>CEILING((G1196*0.5),0.1)</f>
        <v>46.900000000000006</v>
      </c>
      <c r="H1199" s="708"/>
      <c r="I1199" s="714">
        <v>50</v>
      </c>
      <c r="J1199" s="715"/>
      <c r="K1199" s="714">
        <v>0</v>
      </c>
      <c r="L1199" s="715"/>
      <c r="M1199" s="22"/>
      <c r="N1199" s="22"/>
    </row>
    <row r="1200" spans="1:14" ht="16.5" customHeight="1">
      <c r="A1200" s="1067"/>
      <c r="B1200" s="12" t="s">
        <v>1039</v>
      </c>
      <c r="C1200" s="707">
        <f>CEILING(58*$Z$1,0.1)</f>
        <v>72.5</v>
      </c>
      <c r="D1200" s="708"/>
      <c r="E1200" s="707">
        <f>CEILING(95*$Z$1,0.1)</f>
        <v>118.80000000000001</v>
      </c>
      <c r="F1200" s="708"/>
      <c r="G1200" s="707">
        <f>CEILING(79*$Z$1,0.1)</f>
        <v>98.80000000000001</v>
      </c>
      <c r="H1200" s="708"/>
      <c r="I1200" s="707">
        <f>CEILING(84*$Z$1,0.1)</f>
        <v>105</v>
      </c>
      <c r="J1200" s="708"/>
      <c r="K1200" s="707">
        <f>CEILING(63*$Z$1,0.1)</f>
        <v>78.80000000000001</v>
      </c>
      <c r="L1200" s="708"/>
      <c r="M1200" s="22"/>
      <c r="N1200" s="22"/>
    </row>
    <row r="1201" spans="1:14" ht="15.75" customHeight="1">
      <c r="A1201" s="1067"/>
      <c r="B1201" s="12" t="s">
        <v>1040</v>
      </c>
      <c r="C1201" s="707">
        <f>CEILING((C1200+18*$Z$1),0.1)</f>
        <v>95</v>
      </c>
      <c r="D1201" s="708"/>
      <c r="E1201" s="707">
        <f>CEILING((E1200+28.5*$Z$1),0.1)</f>
        <v>154.5</v>
      </c>
      <c r="F1201" s="708"/>
      <c r="G1201" s="707">
        <f>CEILING((G1200+23.6*$Z$1),0.1)</f>
        <v>128.3</v>
      </c>
      <c r="H1201" s="708"/>
      <c r="I1201" s="707">
        <f>CEILING((I1200+25.2*$Z$1),0.1)</f>
        <v>136.5</v>
      </c>
      <c r="J1201" s="708"/>
      <c r="K1201" s="707">
        <f>CEILING((K1200+18.7*$Z$1),0.1)</f>
        <v>102.2</v>
      </c>
      <c r="L1201" s="708"/>
      <c r="M1201" s="22"/>
      <c r="N1201" s="22"/>
    </row>
    <row r="1202" spans="1:14" ht="15.75" customHeight="1">
      <c r="A1202" s="1067"/>
      <c r="B1202" s="12" t="s">
        <v>1041</v>
      </c>
      <c r="C1202" s="707">
        <f>CEILING(61*$Z$1,0.1)</f>
        <v>76.3</v>
      </c>
      <c r="D1202" s="708"/>
      <c r="E1202" s="707">
        <f>CEILING(99*$Z$1,0.1)</f>
        <v>123.80000000000001</v>
      </c>
      <c r="F1202" s="708"/>
      <c r="G1202" s="707">
        <f>CEILING(85*$Z$1,0.1)</f>
        <v>106.30000000000001</v>
      </c>
      <c r="H1202" s="708"/>
      <c r="I1202" s="707">
        <f>CEILING(88*$Z$1,0.1)</f>
        <v>110</v>
      </c>
      <c r="J1202" s="708"/>
      <c r="K1202" s="707">
        <f>CEILING(66*$Z$1,0.1)</f>
        <v>82.5</v>
      </c>
      <c r="L1202" s="708"/>
      <c r="M1202" s="22"/>
      <c r="N1202" s="22"/>
    </row>
    <row r="1203" spans="1:14" ht="18" customHeight="1" thickBot="1">
      <c r="A1203" s="163" t="s">
        <v>514</v>
      </c>
      <c r="B1203" s="45" t="s">
        <v>1042</v>
      </c>
      <c r="C1203" s="720">
        <f>CEILING((C1202+18*$Z$1),0.1)</f>
        <v>98.80000000000001</v>
      </c>
      <c r="D1203" s="721"/>
      <c r="E1203" s="720">
        <f>CEILING((E1202+30*$Z$1),0.1)</f>
        <v>161.3</v>
      </c>
      <c r="F1203" s="721"/>
      <c r="G1203" s="720">
        <f>CEILING((G1202+18*$Z$1),0.1)</f>
        <v>128.8</v>
      </c>
      <c r="H1203" s="721"/>
      <c r="I1203" s="720">
        <f>CEILING((I1202+26*$Z$1),0.1)</f>
        <v>142.5</v>
      </c>
      <c r="J1203" s="721"/>
      <c r="K1203" s="720">
        <f>CEILING((K1202+20*$Z$1),0.1)</f>
        <v>107.5</v>
      </c>
      <c r="L1203" s="721"/>
      <c r="M1203" s="65"/>
      <c r="N1203" s="65"/>
    </row>
    <row r="1204" spans="1:14" ht="16.5" customHeight="1" thickTop="1">
      <c r="A1204" s="190" t="s">
        <v>1046</v>
      </c>
      <c r="B1204" s="168"/>
      <c r="C1204" s="168"/>
      <c r="D1204" s="168"/>
      <c r="E1204" s="168"/>
      <c r="F1204" s="168"/>
      <c r="G1204" s="168"/>
      <c r="H1204" s="168"/>
      <c r="I1204" s="168"/>
      <c r="J1204" s="168"/>
      <c r="K1204" s="302"/>
      <c r="L1204" s="302"/>
      <c r="M1204" s="18"/>
      <c r="N1204" s="991"/>
    </row>
    <row r="1205" spans="1:14" ht="16.5" customHeight="1">
      <c r="A1205" s="170" t="s">
        <v>926</v>
      </c>
      <c r="B1205" s="24"/>
      <c r="C1205" s="24"/>
      <c r="D1205" s="24"/>
      <c r="E1205" s="24"/>
      <c r="F1205" s="24"/>
      <c r="G1205" s="24"/>
      <c r="H1205" s="24"/>
      <c r="I1205" s="24"/>
      <c r="J1205" s="24"/>
      <c r="K1205" s="302"/>
      <c r="L1205" s="302"/>
      <c r="M1205" s="18"/>
      <c r="N1205" s="991"/>
    </row>
    <row r="1206" spans="1:14" ht="16.5" customHeight="1">
      <c r="A1206" s="170" t="s">
        <v>1049</v>
      </c>
      <c r="B1206" s="24"/>
      <c r="C1206" s="24"/>
      <c r="D1206" s="24"/>
      <c r="E1206" s="24"/>
      <c r="F1206" s="24"/>
      <c r="G1206" s="24"/>
      <c r="H1206" s="24"/>
      <c r="I1206" s="24"/>
      <c r="J1206" s="24"/>
      <c r="K1206" s="302"/>
      <c r="L1206" s="302"/>
      <c r="M1206" s="18"/>
      <c r="N1206" s="991"/>
    </row>
    <row r="1207" spans="1:14" ht="18.75" customHeight="1">
      <c r="A1207" s="886"/>
      <c r="B1207" s="886"/>
      <c r="C1207" s="886"/>
      <c r="D1207" s="886"/>
      <c r="E1207" s="886"/>
      <c r="F1207" s="886"/>
      <c r="G1207" s="886"/>
      <c r="H1207" s="886"/>
      <c r="I1207" s="886"/>
      <c r="J1207" s="886"/>
      <c r="K1207" s="104"/>
      <c r="L1207" s="282"/>
      <c r="M1207" s="18"/>
      <c r="N1207" s="991"/>
    </row>
    <row r="1208" spans="1:14" ht="16.5" customHeight="1">
      <c r="A1208" s="1117" t="s">
        <v>782</v>
      </c>
      <c r="B1208" s="1117"/>
      <c r="C1208" s="1117"/>
      <c r="D1208" s="1117"/>
      <c r="E1208" s="1117"/>
      <c r="F1208" s="1117"/>
      <c r="G1208" s="1117"/>
      <c r="H1208" s="1117"/>
      <c r="I1208" s="26"/>
      <c r="J1208" s="26"/>
      <c r="K1208" s="104"/>
      <c r="L1208" s="104"/>
      <c r="M1208" s="18"/>
      <c r="N1208" s="991"/>
    </row>
    <row r="1209" spans="1:14" ht="16.5" customHeight="1">
      <c r="A1209" s="1163" t="s">
        <v>783</v>
      </c>
      <c r="B1209" s="1163"/>
      <c r="C1209" s="1163"/>
      <c r="D1209" s="1163"/>
      <c r="E1209" s="1163"/>
      <c r="F1209" s="1163"/>
      <c r="G1209" s="1163"/>
      <c r="H1209" s="1163"/>
      <c r="I1209" s="1163"/>
      <c r="J1209" s="1163"/>
      <c r="K1209" s="104"/>
      <c r="L1209" s="104"/>
      <c r="M1209" s="18"/>
      <c r="N1209" s="991"/>
    </row>
    <row r="1210" spans="1:14" ht="18" customHeight="1">
      <c r="A1210" s="1118" t="s">
        <v>784</v>
      </c>
      <c r="B1210" s="1118"/>
      <c r="C1210" s="1118"/>
      <c r="D1210" s="1118"/>
      <c r="E1210" s="1118"/>
      <c r="F1210" s="1118"/>
      <c r="G1210" s="1118"/>
      <c r="H1210" s="1118"/>
      <c r="I1210" s="1053"/>
      <c r="J1210" s="126"/>
      <c r="K1210" s="282"/>
      <c r="L1210" s="282"/>
      <c r="M1210" s="18"/>
      <c r="N1210" s="991"/>
    </row>
    <row r="1211" spans="1:14" ht="17.25" customHeight="1">
      <c r="A1211" s="1118" t="s">
        <v>785</v>
      </c>
      <c r="B1211" s="1118"/>
      <c r="C1211" s="1118"/>
      <c r="D1211" s="1118"/>
      <c r="E1211" s="1118"/>
      <c r="F1211" s="1118"/>
      <c r="G1211" s="1118"/>
      <c r="H1211" s="1118"/>
      <c r="I1211" s="346"/>
      <c r="J1211" s="126"/>
      <c r="K1211" s="282"/>
      <c r="L1211" s="282"/>
      <c r="M1211" s="18"/>
      <c r="N1211" s="991"/>
    </row>
    <row r="1212" spans="1:14" ht="18.75" customHeight="1">
      <c r="A1212" s="127"/>
      <c r="B1212" s="127"/>
      <c r="C1212" s="127"/>
      <c r="D1212" s="127"/>
      <c r="E1212" s="127"/>
      <c r="F1212" s="127"/>
      <c r="G1212" s="127"/>
      <c r="H1212" s="127"/>
      <c r="I1212" s="127"/>
      <c r="J1212" s="127"/>
      <c r="K1212" s="282"/>
      <c r="L1212" s="282"/>
      <c r="M1212" s="18"/>
      <c r="N1212" s="991"/>
    </row>
    <row r="1213" spans="1:14" ht="15.75">
      <c r="A1213" s="793" t="s">
        <v>323</v>
      </c>
      <c r="B1213" s="793"/>
      <c r="C1213" s="793"/>
      <c r="D1213" s="793"/>
      <c r="E1213" s="793"/>
      <c r="F1213" s="793"/>
      <c r="G1213" s="793"/>
      <c r="H1213" s="793"/>
      <c r="I1213" s="793"/>
      <c r="J1213" s="793"/>
      <c r="K1213" s="282"/>
      <c r="L1213" s="282"/>
      <c r="M1213" s="18"/>
      <c r="N1213" s="991"/>
    </row>
    <row r="1214" spans="1:14" ht="15.75" thickBot="1">
      <c r="A1214" s="891" t="s">
        <v>150</v>
      </c>
      <c r="B1214" s="891"/>
      <c r="C1214" s="891"/>
      <c r="D1214" s="891"/>
      <c r="E1214" s="891"/>
      <c r="F1214" s="891"/>
      <c r="G1214" s="891"/>
      <c r="H1214" s="891"/>
      <c r="I1214" s="891"/>
      <c r="J1214" s="891"/>
      <c r="K1214" s="104"/>
      <c r="L1214" s="282"/>
      <c r="M1214" s="18"/>
      <c r="N1214" s="991"/>
    </row>
    <row r="1215" spans="1:14" ht="23.25" customHeight="1" thickTop="1">
      <c r="A1215" s="700" t="s">
        <v>49</v>
      </c>
      <c r="B1215" s="700"/>
      <c r="C1215" s="529" t="s">
        <v>824</v>
      </c>
      <c r="D1215" s="437"/>
      <c r="E1215" s="438" t="s">
        <v>848</v>
      </c>
      <c r="F1215" s="439"/>
      <c r="G1215" s="438" t="s">
        <v>841</v>
      </c>
      <c r="H1215" s="439"/>
      <c r="I1215" s="438" t="s">
        <v>827</v>
      </c>
      <c r="J1215" s="439"/>
      <c r="K1215" s="438" t="s">
        <v>828</v>
      </c>
      <c r="L1215" s="440"/>
      <c r="M1215" s="23"/>
      <c r="N1215" s="991"/>
    </row>
    <row r="1216" spans="1:14" ht="15">
      <c r="A1216" s="210" t="s">
        <v>151</v>
      </c>
      <c r="B1216" s="28" t="s">
        <v>50</v>
      </c>
      <c r="C1216" s="707">
        <f>CEILING(90*$Z$1,0.1)</f>
        <v>112.5</v>
      </c>
      <c r="D1216" s="747"/>
      <c r="E1216" s="703">
        <f>CEILING(140*$Z$1,0.1)</f>
        <v>175</v>
      </c>
      <c r="F1216" s="704"/>
      <c r="G1216" s="703">
        <f>CEILING(110*$Z$1,0.1)</f>
        <v>137.5</v>
      </c>
      <c r="H1216" s="704"/>
      <c r="I1216" s="703">
        <f>CEILING(130*$Z$1,0.1)</f>
        <v>162.5</v>
      </c>
      <c r="J1216" s="704"/>
      <c r="K1216" s="703">
        <f>CEILING(100*$Z$1,0.1)</f>
        <v>125</v>
      </c>
      <c r="L1216" s="704"/>
      <c r="M1216" s="23"/>
      <c r="N1216" s="991"/>
    </row>
    <row r="1217" spans="1:14" ht="18.75" customHeight="1">
      <c r="A1217" s="30" t="s">
        <v>51</v>
      </c>
      <c r="B1217" s="28" t="s">
        <v>52</v>
      </c>
      <c r="C1217" s="707">
        <f>CEILING((C1216+64*$Z$1),0.1)</f>
        <v>192.5</v>
      </c>
      <c r="D1217" s="708"/>
      <c r="E1217" s="707">
        <f>CEILING((E1216+55*$Z$1),0.1)</f>
        <v>243.8</v>
      </c>
      <c r="F1217" s="708"/>
      <c r="G1217" s="707">
        <f>CEILING((G1216+55*$Z$1),0.1)</f>
        <v>206.3</v>
      </c>
      <c r="H1217" s="708"/>
      <c r="I1217" s="707">
        <f>CEILING((I1216+55*$Z$1),0.1)</f>
        <v>231.3</v>
      </c>
      <c r="J1217" s="708"/>
      <c r="K1217" s="707">
        <f>CEILING((K1216+55*$Z$1),0.1)</f>
        <v>193.8</v>
      </c>
      <c r="L1217" s="708"/>
      <c r="M1217" s="23"/>
      <c r="N1217" s="991"/>
    </row>
    <row r="1218" spans="1:14" ht="19.5" customHeight="1">
      <c r="A1218" s="30"/>
      <c r="B1218" s="14" t="s">
        <v>86</v>
      </c>
      <c r="C1218" s="707">
        <f>CEILING((C1216*0.85),0.1)</f>
        <v>95.7</v>
      </c>
      <c r="D1218" s="708"/>
      <c r="E1218" s="707">
        <f>CEILING((E1216*0.85),0.1)</f>
        <v>148.8</v>
      </c>
      <c r="F1218" s="708"/>
      <c r="G1218" s="707">
        <f>CEILING((G1216*0.85),0.1)</f>
        <v>116.9</v>
      </c>
      <c r="H1218" s="708"/>
      <c r="I1218" s="707">
        <f>CEILING((I1216*0.85),0.1)</f>
        <v>138.20000000000002</v>
      </c>
      <c r="J1218" s="708"/>
      <c r="K1218" s="707">
        <f>CEILING((K1216*0.85),0.1)</f>
        <v>106.30000000000001</v>
      </c>
      <c r="L1218" s="708"/>
      <c r="M1218" s="23"/>
      <c r="N1218" s="991"/>
    </row>
    <row r="1219" spans="1:14" ht="17.25" customHeight="1">
      <c r="A1219" s="30"/>
      <c r="B1219" s="28" t="s">
        <v>19</v>
      </c>
      <c r="C1219" s="707">
        <f>CEILING(135*$Z$1,0.1)</f>
        <v>168.8</v>
      </c>
      <c r="D1219" s="1047"/>
      <c r="E1219" s="707">
        <f>CEILING(185*$Z$1,0.1)</f>
        <v>231.3</v>
      </c>
      <c r="F1219" s="708"/>
      <c r="G1219" s="707">
        <v>193.8</v>
      </c>
      <c r="H1219" s="708"/>
      <c r="I1219" s="707">
        <f>CEILING(175*$Z$1,0.1)</f>
        <v>218.8</v>
      </c>
      <c r="J1219" s="708"/>
      <c r="K1219" s="707">
        <f>CEILING(145*$Z$1,0.1)</f>
        <v>181.3</v>
      </c>
      <c r="L1219" s="708"/>
      <c r="M1219" s="23"/>
      <c r="N1219" s="991"/>
    </row>
    <row r="1220" spans="1:14" ht="18" customHeight="1">
      <c r="A1220" s="30"/>
      <c r="B1220" s="28" t="s">
        <v>20</v>
      </c>
      <c r="C1220" s="707">
        <f>CEILING((C1219+55*$Z$1),0.1)</f>
        <v>237.60000000000002</v>
      </c>
      <c r="D1220" s="708"/>
      <c r="E1220" s="707">
        <f>CEILING((E1219+55*$Z$1),0.1)</f>
        <v>300.1</v>
      </c>
      <c r="F1220" s="708"/>
      <c r="G1220" s="707">
        <f>CEILING((G1219+55*$Z$1),0.1)</f>
        <v>262.6</v>
      </c>
      <c r="H1220" s="708"/>
      <c r="I1220" s="707">
        <f>CEILING((I1219+55*$Z$1),0.1)</f>
        <v>287.6</v>
      </c>
      <c r="J1220" s="708"/>
      <c r="K1220" s="707">
        <f>CEILING((K1219+55*$Z$1),0.1)</f>
        <v>250.10000000000002</v>
      </c>
      <c r="L1220" s="708"/>
      <c r="M1220" s="335"/>
      <c r="N1220" s="65"/>
    </row>
    <row r="1221" spans="1:14" ht="18" customHeight="1">
      <c r="A1221" s="30"/>
      <c r="B1221" s="28" t="s">
        <v>427</v>
      </c>
      <c r="C1221" s="707">
        <f>CEILING(140*$Z$1,0.1)</f>
        <v>175</v>
      </c>
      <c r="D1221" s="1047"/>
      <c r="E1221" s="707">
        <f>CEILING(190*$Z$1,0.1)</f>
        <v>237.5</v>
      </c>
      <c r="F1221" s="708"/>
      <c r="G1221" s="707">
        <f>CEILING(160*$Z$1,0.1)</f>
        <v>200</v>
      </c>
      <c r="H1221" s="708"/>
      <c r="I1221" s="707">
        <f>CEILING(180*$Z$1,0.1)</f>
        <v>225</v>
      </c>
      <c r="J1221" s="708"/>
      <c r="K1221" s="707">
        <f>CEILING(150*$Z$1,0.1)</f>
        <v>187.5</v>
      </c>
      <c r="L1221" s="708"/>
      <c r="M1221" s="335"/>
      <c r="N1221" s="65"/>
    </row>
    <row r="1222" spans="1:14" ht="18" customHeight="1">
      <c r="A1222" s="30"/>
      <c r="B1222" s="405" t="s">
        <v>428</v>
      </c>
      <c r="C1222" s="705">
        <f>CEILING((C1221+55*$Z$1),0.1)</f>
        <v>243.8</v>
      </c>
      <c r="D1222" s="706"/>
      <c r="E1222" s="705">
        <f>CEILING((E1221+55*$Z$1),0.1)</f>
        <v>306.3</v>
      </c>
      <c r="F1222" s="706"/>
      <c r="G1222" s="705">
        <f>CEILING((G1221+55*$Z$1),0.1)</f>
        <v>268.8</v>
      </c>
      <c r="H1222" s="706"/>
      <c r="I1222" s="705">
        <f>CEILING((I1221+55*$Z$1),0.1)</f>
        <v>293.8</v>
      </c>
      <c r="J1222" s="706"/>
      <c r="K1222" s="705">
        <f>CEILING((K1221+55*$Z$1),0.1)</f>
        <v>256.3</v>
      </c>
      <c r="L1222" s="706"/>
      <c r="M1222" s="335"/>
      <c r="N1222" s="65"/>
    </row>
    <row r="1223" spans="1:14" ht="17.25" customHeight="1">
      <c r="A1223" s="530"/>
      <c r="B1223" s="142" t="s">
        <v>347</v>
      </c>
      <c r="C1223" s="703">
        <f>CEILING(170*$Z$1,0.1)</f>
        <v>212.5</v>
      </c>
      <c r="D1223" s="1164"/>
      <c r="E1223" s="703">
        <f>CEILING(220*$Z$1,0.1)</f>
        <v>275</v>
      </c>
      <c r="F1223" s="704"/>
      <c r="G1223" s="703">
        <f>CEILING(190*$Z$1,0.1)</f>
        <v>237.5</v>
      </c>
      <c r="H1223" s="704"/>
      <c r="I1223" s="703">
        <f>CEILING(210*$Z$1,0.1)</f>
        <v>262.5</v>
      </c>
      <c r="J1223" s="704"/>
      <c r="K1223" s="703">
        <f>CEILING(180*$Z$1,0.1)</f>
        <v>225</v>
      </c>
      <c r="L1223" s="704"/>
      <c r="M1223" s="23"/>
      <c r="N1223" s="991"/>
    </row>
    <row r="1224" spans="1:14" ht="17.25" customHeight="1">
      <c r="A1224" s="37"/>
      <c r="B1224" s="12" t="s">
        <v>348</v>
      </c>
      <c r="C1224" s="707">
        <f>CEILING((C1223+75*$Z$1),0.1)</f>
        <v>306.3</v>
      </c>
      <c r="D1224" s="708"/>
      <c r="E1224" s="707">
        <f>CEILING((E1223+75*$Z$1),0.1)</f>
        <v>368.8</v>
      </c>
      <c r="F1224" s="708"/>
      <c r="G1224" s="707">
        <f>CEILING((G1223+70*$Z$1),0.1)</f>
        <v>325</v>
      </c>
      <c r="H1224" s="708"/>
      <c r="I1224" s="707">
        <f>CEILING((I1223+75*$Z$1),0.1)</f>
        <v>356.3</v>
      </c>
      <c r="J1224" s="708"/>
      <c r="K1224" s="707">
        <f>CEILING((K1223+75*$Z$1),0.1)</f>
        <v>318.8</v>
      </c>
      <c r="L1224" s="708"/>
      <c r="M1224" s="22"/>
      <c r="N1224" s="991"/>
    </row>
    <row r="1225" spans="1:14" ht="19.5" customHeight="1">
      <c r="A1225" s="374"/>
      <c r="B1225" s="12" t="s">
        <v>349</v>
      </c>
      <c r="C1225" s="707">
        <f>CEILING(190*$Z$1,0.1)</f>
        <v>237.5</v>
      </c>
      <c r="D1225" s="1047"/>
      <c r="E1225" s="707">
        <f>CEILING(240*$Z$1,0.1)</f>
        <v>300</v>
      </c>
      <c r="F1225" s="708"/>
      <c r="G1225" s="707">
        <f>CEILING(210*$Z$1,0.1)</f>
        <v>262.5</v>
      </c>
      <c r="H1225" s="708"/>
      <c r="I1225" s="707">
        <f>CEILING(230*$Z$1,0.1)</f>
        <v>287.5</v>
      </c>
      <c r="J1225" s="708"/>
      <c r="K1225" s="707">
        <f>CEILING(200*$Z$1,0.1)</f>
        <v>250</v>
      </c>
      <c r="L1225" s="708"/>
      <c r="M1225" s="22"/>
      <c r="N1225" s="991"/>
    </row>
    <row r="1226" spans="1:14" ht="19.5" customHeight="1">
      <c r="A1226" s="374"/>
      <c r="B1226" s="12" t="s">
        <v>1009</v>
      </c>
      <c r="C1226" s="707">
        <v>331.3</v>
      </c>
      <c r="D1226" s="708"/>
      <c r="E1226" s="707">
        <v>393.8</v>
      </c>
      <c r="F1226" s="708"/>
      <c r="G1226" s="707">
        <v>356.3</v>
      </c>
      <c r="H1226" s="708"/>
      <c r="I1226" s="707">
        <v>381.3</v>
      </c>
      <c r="J1226" s="708"/>
      <c r="K1226" s="707">
        <v>343.4</v>
      </c>
      <c r="L1226" s="708"/>
      <c r="M1226" s="22"/>
      <c r="N1226" s="991"/>
    </row>
    <row r="1227" spans="1:14" ht="19.5" customHeight="1">
      <c r="A1227" s="374"/>
      <c r="B1227" s="12" t="s">
        <v>1010</v>
      </c>
      <c r="C1227" s="707">
        <v>1663</v>
      </c>
      <c r="D1227" s="708"/>
      <c r="E1227" s="707">
        <v>1663</v>
      </c>
      <c r="F1227" s="708"/>
      <c r="G1227" s="707">
        <v>1663</v>
      </c>
      <c r="H1227" s="708"/>
      <c r="I1227" s="707">
        <v>1663</v>
      </c>
      <c r="J1227" s="708"/>
      <c r="K1227" s="707">
        <v>1663</v>
      </c>
      <c r="L1227" s="708"/>
      <c r="M1227" s="22"/>
      <c r="N1227" s="991"/>
    </row>
    <row r="1228" spans="1:14" ht="17.25" customHeight="1">
      <c r="A1228" s="37"/>
      <c r="B1228" s="39" t="s">
        <v>1011</v>
      </c>
      <c r="C1228" s="767">
        <v>0.15</v>
      </c>
      <c r="D1228" s="768"/>
      <c r="E1228" s="767">
        <v>0.1</v>
      </c>
      <c r="F1228" s="768"/>
      <c r="G1228" s="767">
        <v>0.1</v>
      </c>
      <c r="H1228" s="768"/>
      <c r="I1228" s="767">
        <v>0.1</v>
      </c>
      <c r="J1228" s="768"/>
      <c r="K1228" s="767">
        <v>0.1</v>
      </c>
      <c r="L1228" s="768"/>
      <c r="M1228" s="22"/>
      <c r="N1228" s="991"/>
    </row>
    <row r="1229" spans="1:14" ht="19.5" customHeight="1" thickBot="1">
      <c r="A1229" s="238" t="s">
        <v>508</v>
      </c>
      <c r="B1229" s="356" t="s">
        <v>1012</v>
      </c>
      <c r="C1229" s="832">
        <v>0.1</v>
      </c>
      <c r="D1229" s="833"/>
      <c r="E1229" s="832">
        <v>0.1</v>
      </c>
      <c r="F1229" s="833"/>
      <c r="G1229" s="832">
        <v>0.1</v>
      </c>
      <c r="H1229" s="833"/>
      <c r="I1229" s="832">
        <v>0.1</v>
      </c>
      <c r="J1229" s="833"/>
      <c r="K1229" s="832">
        <v>0.1</v>
      </c>
      <c r="L1229" s="833"/>
      <c r="M1229" s="22"/>
      <c r="N1229" s="22"/>
    </row>
    <row r="1230" spans="1:14" ht="15.75" customHeight="1" thickTop="1">
      <c r="A1230" s="935" t="s">
        <v>226</v>
      </c>
      <c r="B1230" s="936"/>
      <c r="C1230" s="936"/>
      <c r="D1230" s="936"/>
      <c r="E1230" s="936"/>
      <c r="F1230" s="936"/>
      <c r="G1230" s="936"/>
      <c r="H1230" s="936"/>
      <c r="I1230" s="936"/>
      <c r="J1230" s="937"/>
      <c r="K1230" s="282"/>
      <c r="L1230" s="282"/>
      <c r="M1230" s="22"/>
      <c r="N1230" s="22"/>
    </row>
    <row r="1231" spans="1:14" ht="15.75" customHeight="1">
      <c r="A1231" s="170" t="s">
        <v>1013</v>
      </c>
      <c r="B1231" s="661"/>
      <c r="C1231" s="661"/>
      <c r="D1231" s="661"/>
      <c r="E1231" s="661"/>
      <c r="F1231" s="661"/>
      <c r="G1231" s="661"/>
      <c r="H1231" s="661"/>
      <c r="I1231" s="661"/>
      <c r="J1231" s="661"/>
      <c r="K1231" s="303"/>
      <c r="L1231" s="303"/>
      <c r="M1231" s="305"/>
      <c r="N1231" s="22"/>
    </row>
    <row r="1232" spans="1:14" ht="20.25" customHeight="1" thickBot="1">
      <c r="A1232" s="128"/>
      <c r="B1232" s="129"/>
      <c r="C1232" s="130"/>
      <c r="D1232" s="130"/>
      <c r="E1232" s="130"/>
      <c r="F1232" s="130"/>
      <c r="G1232" s="130"/>
      <c r="H1232" s="130"/>
      <c r="I1232" s="949"/>
      <c r="J1232" s="949"/>
      <c r="K1232" s="104"/>
      <c r="L1232" s="282"/>
      <c r="M1232" s="65"/>
      <c r="N1232" s="65"/>
    </row>
    <row r="1233" spans="1:14" ht="24" customHeight="1" thickTop="1">
      <c r="A1233" s="687" t="s">
        <v>49</v>
      </c>
      <c r="B1233" s="687"/>
      <c r="C1233" s="529" t="s">
        <v>824</v>
      </c>
      <c r="D1233" s="437"/>
      <c r="E1233" s="438" t="s">
        <v>848</v>
      </c>
      <c r="F1233" s="439"/>
      <c r="G1233" s="438" t="s">
        <v>1014</v>
      </c>
      <c r="H1233" s="439"/>
      <c r="I1233" s="438" t="s">
        <v>827</v>
      </c>
      <c r="J1233" s="439"/>
      <c r="K1233" s="438" t="s">
        <v>828</v>
      </c>
      <c r="L1233" s="440"/>
      <c r="M1233" s="23"/>
      <c r="N1233" s="991"/>
    </row>
    <row r="1234" spans="1:14" ht="15" customHeight="1">
      <c r="A1234" s="191" t="s">
        <v>152</v>
      </c>
      <c r="B1234" s="42" t="s">
        <v>57</v>
      </c>
      <c r="C1234" s="707">
        <f>CEILING(55*$Z$1,0.1)</f>
        <v>68.8</v>
      </c>
      <c r="D1234" s="747"/>
      <c r="E1234" s="703">
        <f>CEILING(85*$Z$1,0.1)</f>
        <v>106.30000000000001</v>
      </c>
      <c r="F1234" s="704"/>
      <c r="G1234" s="703">
        <f>CEILING(75*$Z$1,0.1)</f>
        <v>93.80000000000001</v>
      </c>
      <c r="H1234" s="704"/>
      <c r="I1234" s="703">
        <f>CEILING(80*$Z$1,0.1)</f>
        <v>100</v>
      </c>
      <c r="J1234" s="704"/>
      <c r="K1234" s="703">
        <f>CEILING(75*$Z$1,0.1)</f>
        <v>93.80000000000001</v>
      </c>
      <c r="L1234" s="704"/>
      <c r="M1234" s="23"/>
      <c r="N1234" s="991"/>
    </row>
    <row r="1235" spans="1:14" ht="15">
      <c r="A1235" s="177" t="s">
        <v>65</v>
      </c>
      <c r="B1235" s="14" t="s">
        <v>58</v>
      </c>
      <c r="C1235" s="707">
        <f>CEILING((C1234+35*$Z$1),0.1)</f>
        <v>112.60000000000001</v>
      </c>
      <c r="D1235" s="708"/>
      <c r="E1235" s="707">
        <f>CEILING((E1234+35*$Z$1),0.1)</f>
        <v>150.1</v>
      </c>
      <c r="F1235" s="708"/>
      <c r="G1235" s="707">
        <f>CEILING((G1234+35*$Z$1),0.1)</f>
        <v>137.6</v>
      </c>
      <c r="H1235" s="708"/>
      <c r="I1235" s="707">
        <f>CEILING((I1234+35*$Z$1),0.1)</f>
        <v>143.8</v>
      </c>
      <c r="J1235" s="708"/>
      <c r="K1235" s="707">
        <f>CEILING((K1234+35*$Z$1),0.1)</f>
        <v>137.6</v>
      </c>
      <c r="L1235" s="708"/>
      <c r="M1235" s="23"/>
      <c r="N1235" s="991"/>
    </row>
    <row r="1236" spans="1:14" ht="15">
      <c r="A1236" s="208"/>
      <c r="B1236" s="14" t="s">
        <v>86</v>
      </c>
      <c r="C1236" s="707">
        <f>CEILING((C1234*0.85),0.1)</f>
        <v>58.5</v>
      </c>
      <c r="D1236" s="708"/>
      <c r="E1236" s="707">
        <f>CEILING((E1234*0.85),0.1)</f>
        <v>90.4</v>
      </c>
      <c r="F1236" s="708"/>
      <c r="G1236" s="707">
        <f>CEILING((G1234*0.85),0.1)</f>
        <v>79.80000000000001</v>
      </c>
      <c r="H1236" s="708"/>
      <c r="I1236" s="707">
        <f>CEILING((I1234*0.85),0.1)</f>
        <v>85</v>
      </c>
      <c r="J1236" s="708"/>
      <c r="K1236" s="707">
        <f>CEILING((K1234*0.85),0.1)</f>
        <v>79.80000000000001</v>
      </c>
      <c r="L1236" s="708"/>
      <c r="M1236" s="23"/>
      <c r="N1236" s="991"/>
    </row>
    <row r="1237" spans="1:14" ht="15">
      <c r="A1237" s="208"/>
      <c r="B1237" s="39" t="s">
        <v>85</v>
      </c>
      <c r="C1237" s="707">
        <f>CEILING((C1234*0.5),0.1)</f>
        <v>34.4</v>
      </c>
      <c r="D1237" s="708"/>
      <c r="E1237" s="707">
        <f>CEILING((E1234*0.5),0.1)</f>
        <v>53.2</v>
      </c>
      <c r="F1237" s="708"/>
      <c r="G1237" s="707">
        <f>CEILING((G1234*0.5),0.1)</f>
        <v>46.900000000000006</v>
      </c>
      <c r="H1237" s="708"/>
      <c r="I1237" s="707">
        <f>CEILING((I1234*0.5),0.1)</f>
        <v>50</v>
      </c>
      <c r="J1237" s="708"/>
      <c r="K1237" s="707">
        <f>CEILING((K1234*0.5),0.1)</f>
        <v>46.900000000000006</v>
      </c>
      <c r="L1237" s="708"/>
      <c r="M1237" s="23"/>
      <c r="N1237" s="991"/>
    </row>
    <row r="1238" spans="1:14" ht="15">
      <c r="A1238" s="208"/>
      <c r="B1238" s="12" t="s">
        <v>685</v>
      </c>
      <c r="C1238" s="707">
        <f>CEILING(65*$Z$1,0.1)</f>
        <v>81.30000000000001</v>
      </c>
      <c r="D1238" s="708"/>
      <c r="E1238" s="707">
        <f>CEILING(95*$Z$1,0.1)</f>
        <v>118.80000000000001</v>
      </c>
      <c r="F1238" s="708"/>
      <c r="G1238" s="707">
        <f>CEILING(85*$Z$1,0.1)</f>
        <v>106.30000000000001</v>
      </c>
      <c r="H1238" s="708"/>
      <c r="I1238" s="707">
        <f>CEILING(90*$Z$1,0.1)</f>
        <v>112.5</v>
      </c>
      <c r="J1238" s="708"/>
      <c r="K1238" s="707">
        <f>CEILING(85*$Z$1,0.1)</f>
        <v>106.30000000000001</v>
      </c>
      <c r="L1238" s="708"/>
      <c r="M1238" s="23"/>
      <c r="N1238" s="991"/>
    </row>
    <row r="1239" spans="1:14" ht="15">
      <c r="A1239" s="208"/>
      <c r="B1239" s="12" t="s">
        <v>686</v>
      </c>
      <c r="C1239" s="707">
        <f>CEILING((C1238+35*$Z$1),0.1)</f>
        <v>125.10000000000001</v>
      </c>
      <c r="D1239" s="708"/>
      <c r="E1239" s="707">
        <f>CEILING((E1238+35*$Z$1),0.1)</f>
        <v>162.60000000000002</v>
      </c>
      <c r="F1239" s="708"/>
      <c r="G1239" s="707">
        <f>CEILING((G1238+35*$Z$1),0.1)</f>
        <v>150.1</v>
      </c>
      <c r="H1239" s="708"/>
      <c r="I1239" s="707">
        <f>CEILING((I1238+35*$Z$1),0.1)</f>
        <v>156.3</v>
      </c>
      <c r="J1239" s="708"/>
      <c r="K1239" s="707">
        <f>CEILING((K1238+35*$Z$1),0.1)</f>
        <v>150.1</v>
      </c>
      <c r="L1239" s="708"/>
      <c r="M1239" s="18"/>
      <c r="N1239" s="991"/>
    </row>
    <row r="1240" spans="1:14" ht="15">
      <c r="A1240" s="208"/>
      <c r="B1240" s="12" t="s">
        <v>687</v>
      </c>
      <c r="C1240" s="707">
        <f>CEILING(75*$Z$1,0.1)</f>
        <v>93.80000000000001</v>
      </c>
      <c r="D1240" s="708"/>
      <c r="E1240" s="707">
        <f>CEILING(105*$Z$1,0.1)</f>
        <v>131.3</v>
      </c>
      <c r="F1240" s="708"/>
      <c r="G1240" s="707">
        <f>CEILING(95*$Z$1,0.1)</f>
        <v>118.80000000000001</v>
      </c>
      <c r="H1240" s="708"/>
      <c r="I1240" s="707">
        <f>CEILING(100*$Z$1,0.1)</f>
        <v>125</v>
      </c>
      <c r="J1240" s="708"/>
      <c r="K1240" s="707">
        <f>CEILING(95*$Z$1,0.1)</f>
        <v>118.80000000000001</v>
      </c>
      <c r="L1240" s="708"/>
      <c r="M1240" s="18"/>
      <c r="N1240" s="991"/>
    </row>
    <row r="1241" spans="1:14" ht="15">
      <c r="A1241" s="208"/>
      <c r="B1241" s="12" t="s">
        <v>688</v>
      </c>
      <c r="C1241" s="707">
        <f>CEILING((C1240+35*$Z$1),0.1)</f>
        <v>137.6</v>
      </c>
      <c r="D1241" s="708"/>
      <c r="E1241" s="707">
        <f>CEILING((E1240+35*$Z$1),0.1)</f>
        <v>175.10000000000002</v>
      </c>
      <c r="F1241" s="708"/>
      <c r="G1241" s="707">
        <f>CEILING((G1240+35*$Z$1),0.1)</f>
        <v>162.60000000000002</v>
      </c>
      <c r="H1241" s="708"/>
      <c r="I1241" s="707">
        <f>CEILING((I1240+35*$Z$1),0.1)</f>
        <v>168.8</v>
      </c>
      <c r="J1241" s="708"/>
      <c r="K1241" s="707">
        <f>CEILING((K1240+35*$Z$1),0.1)</f>
        <v>162.60000000000002</v>
      </c>
      <c r="L1241" s="708"/>
      <c r="M1241" s="18"/>
      <c r="N1241" s="991"/>
    </row>
    <row r="1242" spans="1:14" ht="15">
      <c r="A1242" s="208"/>
      <c r="B1242" s="13" t="s">
        <v>1015</v>
      </c>
      <c r="C1242" s="707">
        <v>500</v>
      </c>
      <c r="D1242" s="708"/>
      <c r="E1242" s="707">
        <v>500</v>
      </c>
      <c r="F1242" s="708"/>
      <c r="G1242" s="707">
        <v>500</v>
      </c>
      <c r="H1242" s="708"/>
      <c r="I1242" s="707">
        <v>500</v>
      </c>
      <c r="J1242" s="708"/>
      <c r="K1242" s="707">
        <v>500</v>
      </c>
      <c r="L1242" s="708"/>
      <c r="M1242" s="18"/>
      <c r="N1242" s="991"/>
    </row>
    <row r="1243" spans="1:14" ht="16.5" thickBot="1">
      <c r="A1243" s="238" t="s">
        <v>508</v>
      </c>
      <c r="B1243" s="40" t="s">
        <v>654</v>
      </c>
      <c r="C1243" s="711">
        <v>0.15</v>
      </c>
      <c r="D1243" s="712"/>
      <c r="E1243" s="711">
        <v>0.1</v>
      </c>
      <c r="F1243" s="712"/>
      <c r="G1243" s="711">
        <v>0.1</v>
      </c>
      <c r="H1243" s="712"/>
      <c r="I1243" s="711">
        <v>0.1</v>
      </c>
      <c r="J1243" s="712"/>
      <c r="K1243" s="711">
        <v>0.1</v>
      </c>
      <c r="L1243" s="712"/>
      <c r="M1243" s="22"/>
      <c r="N1243" s="22"/>
    </row>
    <row r="1244" spans="1:14" ht="15.75" thickTop="1">
      <c r="A1244" s="170" t="s">
        <v>653</v>
      </c>
      <c r="B1244" s="140"/>
      <c r="C1244" s="653"/>
      <c r="D1244" s="653"/>
      <c r="E1244" s="653"/>
      <c r="F1244" s="653"/>
      <c r="G1244" s="653"/>
      <c r="H1244" s="653"/>
      <c r="I1244" s="653"/>
      <c r="J1244" s="653"/>
      <c r="K1244" s="307"/>
      <c r="L1244" s="307"/>
      <c r="M1244" s="22"/>
      <c r="N1244" s="22"/>
    </row>
    <row r="1245" spans="1:14" ht="17.25" customHeight="1" thickBot="1">
      <c r="A1245" s="896" t="s">
        <v>1016</v>
      </c>
      <c r="B1245" s="897"/>
      <c r="C1245" s="897"/>
      <c r="D1245" s="897"/>
      <c r="E1245" s="897"/>
      <c r="F1245" s="897"/>
      <c r="G1245" s="897"/>
      <c r="H1245" s="897"/>
      <c r="I1245" s="131"/>
      <c r="J1245" s="131"/>
      <c r="K1245" s="282"/>
      <c r="L1245" s="282"/>
      <c r="M1245" s="22"/>
      <c r="N1245" s="22"/>
    </row>
    <row r="1246" spans="1:14" ht="23.25" customHeight="1" hidden="1" thickTop="1">
      <c r="A1246" s="10" t="s">
        <v>49</v>
      </c>
      <c r="B1246" s="11"/>
      <c r="C1246" s="255" t="s">
        <v>642</v>
      </c>
      <c r="D1246" s="256"/>
      <c r="E1246" s="257" t="s">
        <v>719</v>
      </c>
      <c r="F1246" s="258"/>
      <c r="G1246" s="257" t="s">
        <v>705</v>
      </c>
      <c r="H1246" s="258"/>
      <c r="I1246" s="257" t="s">
        <v>720</v>
      </c>
      <c r="J1246" s="258"/>
      <c r="K1246" s="257" t="s">
        <v>721</v>
      </c>
      <c r="L1246" s="314"/>
      <c r="M1246" s="23"/>
      <c r="N1246" s="22"/>
    </row>
    <row r="1247" spans="1:14" ht="15" hidden="1">
      <c r="A1247" s="108" t="s">
        <v>154</v>
      </c>
      <c r="B1247" s="132" t="s">
        <v>57</v>
      </c>
      <c r="C1247" s="707">
        <f>CEILING(79*$Z$1,0.1)</f>
        <v>98.80000000000001</v>
      </c>
      <c r="D1247" s="747"/>
      <c r="E1247" s="703">
        <f>CEILING(94*$Z$1,0.1)</f>
        <v>117.5</v>
      </c>
      <c r="F1247" s="704"/>
      <c r="G1247" s="703">
        <f>CEILING(88*$Z$1,0.1)</f>
        <v>110</v>
      </c>
      <c r="H1247" s="704"/>
      <c r="I1247" s="703">
        <f>CEILING(92*$Z$1,0.1)</f>
        <v>115</v>
      </c>
      <c r="J1247" s="704"/>
      <c r="K1247" s="703">
        <f>CEILING(69*$Z$1,0.1)</f>
        <v>86.30000000000001</v>
      </c>
      <c r="L1247" s="704"/>
      <c r="M1247" s="23"/>
      <c r="N1247" s="22"/>
    </row>
    <row r="1248" spans="1:14" ht="15" hidden="1">
      <c r="A1248" s="30" t="s">
        <v>51</v>
      </c>
      <c r="B1248" s="132" t="s">
        <v>58</v>
      </c>
      <c r="C1248" s="707">
        <f>CEILING((C1247+25*$Z$1),0.1)</f>
        <v>130.1</v>
      </c>
      <c r="D1248" s="708"/>
      <c r="E1248" s="707">
        <f>CEILING((E1247+25*$Z$1),0.1)</f>
        <v>148.8</v>
      </c>
      <c r="F1248" s="708"/>
      <c r="G1248" s="707">
        <f>CEILING((G1247+25*$Z$1),0.1)</f>
        <v>141.3</v>
      </c>
      <c r="H1248" s="708"/>
      <c r="I1248" s="707">
        <f>CEILING((I1247+25*$Z$1),0.1)</f>
        <v>146.3</v>
      </c>
      <c r="J1248" s="708"/>
      <c r="K1248" s="707">
        <f>CEILING((K1247+25*$Z$1),0.1)</f>
        <v>117.60000000000001</v>
      </c>
      <c r="L1248" s="708"/>
      <c r="M1248" s="22"/>
      <c r="N1248" s="22"/>
    </row>
    <row r="1249" spans="1:14" ht="15" hidden="1">
      <c r="A1249" s="165"/>
      <c r="B1249" s="133" t="s">
        <v>86</v>
      </c>
      <c r="C1249" s="707">
        <f>CEILING(67*$Z$1,0.1)</f>
        <v>83.80000000000001</v>
      </c>
      <c r="D1249" s="708"/>
      <c r="E1249" s="707">
        <f>CEILING(80*$Z$1,0.1)</f>
        <v>100</v>
      </c>
      <c r="F1249" s="708"/>
      <c r="G1249" s="707">
        <f>CEILING(75*$Z$1,0.1)</f>
        <v>93.80000000000001</v>
      </c>
      <c r="H1249" s="708"/>
      <c r="I1249" s="707">
        <f>CEILING(78*$Z$1,0.1)</f>
        <v>97.5</v>
      </c>
      <c r="J1249" s="708"/>
      <c r="K1249" s="707">
        <f>CEILING(59*$Z$1,0.1)</f>
        <v>73.8</v>
      </c>
      <c r="L1249" s="708"/>
      <c r="M1249" s="46"/>
      <c r="N1249" s="46"/>
    </row>
    <row r="1250" spans="1:14" ht="15" hidden="1">
      <c r="A1250" s="72"/>
      <c r="B1250" s="39" t="s">
        <v>85</v>
      </c>
      <c r="C1250" s="707">
        <f>CEILING(40*$Z$1,0.1)</f>
        <v>50</v>
      </c>
      <c r="D1250" s="708"/>
      <c r="E1250" s="707">
        <f>CEILING(47*$Z$1,0.1)</f>
        <v>58.800000000000004</v>
      </c>
      <c r="F1250" s="708"/>
      <c r="G1250" s="707">
        <f>CEILING(44*$Z$1,0.1)</f>
        <v>55</v>
      </c>
      <c r="H1250" s="708"/>
      <c r="I1250" s="707">
        <f>CEILING(46*$Z$1,0.1)</f>
        <v>57.5</v>
      </c>
      <c r="J1250" s="708"/>
      <c r="K1250" s="707">
        <f>CEILING(35*$Z$1,0.1)</f>
        <v>43.800000000000004</v>
      </c>
      <c r="L1250" s="708"/>
      <c r="M1250" s="46"/>
      <c r="N1250" s="46"/>
    </row>
    <row r="1251" spans="1:14" ht="15.75" hidden="1" thickBot="1">
      <c r="A1251" s="317" t="s">
        <v>513</v>
      </c>
      <c r="B1251" s="125" t="s">
        <v>384</v>
      </c>
      <c r="C1251" s="720">
        <f>CEILING(89*$Z$1,0.1)</f>
        <v>111.30000000000001</v>
      </c>
      <c r="D1251" s="721"/>
      <c r="E1251" s="720">
        <f>CEILING(104*$Z$1,0.1)</f>
        <v>130</v>
      </c>
      <c r="F1251" s="721"/>
      <c r="G1251" s="720">
        <f>CEILING(98*$Z$1,0.1)</f>
        <v>122.5</v>
      </c>
      <c r="H1251" s="721"/>
      <c r="I1251" s="720">
        <f>CEILING(102*$Z$1,0.1)</f>
        <v>127.5</v>
      </c>
      <c r="J1251" s="721"/>
      <c r="K1251" s="720">
        <f>CEILING(79*$Z$1,0.1)</f>
        <v>98.80000000000001</v>
      </c>
      <c r="L1251" s="721"/>
      <c r="M1251" s="46"/>
      <c r="N1251" s="46"/>
    </row>
    <row r="1252" spans="1:14" ht="18" customHeight="1" hidden="1" thickTop="1">
      <c r="A1252" s="117" t="s">
        <v>725</v>
      </c>
      <c r="B1252" s="117"/>
      <c r="C1252" s="117"/>
      <c r="D1252" s="117"/>
      <c r="E1252" s="117"/>
      <c r="F1252" s="117"/>
      <c r="G1252" s="117"/>
      <c r="H1252" s="117"/>
      <c r="I1252" s="117"/>
      <c r="J1252" s="117"/>
      <c r="K1252" s="104"/>
      <c r="L1252" s="104"/>
      <c r="M1252" s="46"/>
      <c r="N1252" s="46"/>
    </row>
    <row r="1253" spans="1:14" ht="18" customHeight="1" thickTop="1">
      <c r="A1253" s="1165" t="s">
        <v>49</v>
      </c>
      <c r="B1253" s="1166"/>
      <c r="C1253" s="1167" t="s">
        <v>884</v>
      </c>
      <c r="D1253" s="1167"/>
      <c r="E1253" s="1168" t="s">
        <v>885</v>
      </c>
      <c r="F1253" s="1169"/>
      <c r="G1253" s="1167" t="s">
        <v>886</v>
      </c>
      <c r="H1253" s="1167"/>
      <c r="I1253" s="1167" t="s">
        <v>887</v>
      </c>
      <c r="J1253" s="1167"/>
      <c r="K1253" s="1167" t="s">
        <v>888</v>
      </c>
      <c r="L1253" s="1167"/>
      <c r="M1253" s="46"/>
      <c r="N1253" s="46"/>
    </row>
    <row r="1254" spans="1:14" ht="24.75" customHeight="1">
      <c r="A1254" s="552" t="s">
        <v>1106</v>
      </c>
      <c r="B1254" s="553" t="s">
        <v>57</v>
      </c>
      <c r="C1254" s="894">
        <f>CEILING(85*$Z$1,0.1)</f>
        <v>106.30000000000001</v>
      </c>
      <c r="D1254" s="956"/>
      <c r="E1254" s="892">
        <f>CEILING(130*$Z$1,0.1)</f>
        <v>162.5</v>
      </c>
      <c r="F1254" s="893"/>
      <c r="G1254" s="894">
        <f>CEILING(115*$Z$1,0.1)</f>
        <v>143.8</v>
      </c>
      <c r="H1254" s="956"/>
      <c r="I1254" s="894">
        <f>CEILING(120*$Z$1,0.1)</f>
        <v>150</v>
      </c>
      <c r="J1254" s="956"/>
      <c r="K1254" s="894">
        <f>CEILING(90*$Z$1,0.1)</f>
        <v>112.5</v>
      </c>
      <c r="L1254" s="895"/>
      <c r="M1254" s="200"/>
      <c r="N1254" s="46"/>
    </row>
    <row r="1255" spans="1:14" ht="16.5" customHeight="1">
      <c r="A1255" s="554" t="s">
        <v>51</v>
      </c>
      <c r="B1255" s="555" t="s">
        <v>58</v>
      </c>
      <c r="C1255" s="894">
        <f>CEILING((C1254+30.2*$Z$1),0.1)</f>
        <v>144.1</v>
      </c>
      <c r="D1255" s="895"/>
      <c r="E1255" s="894">
        <v>220</v>
      </c>
      <c r="F1255" s="895"/>
      <c r="G1255" s="894">
        <f>CEILING((G1254+42*$Z$1),0.1)</f>
        <v>196.3</v>
      </c>
      <c r="H1255" s="895"/>
      <c r="I1255" s="894">
        <v>203</v>
      </c>
      <c r="J1255" s="895"/>
      <c r="K1255" s="894">
        <f>CEILING((K1254+31.5*$Z$1),0.1)</f>
        <v>151.9</v>
      </c>
      <c r="L1255" s="895"/>
      <c r="M1255" s="200"/>
      <c r="N1255" s="46"/>
    </row>
    <row r="1256" spans="1:14" ht="18" customHeight="1">
      <c r="A1256" s="1054"/>
      <c r="B1256" s="555" t="s">
        <v>78</v>
      </c>
      <c r="C1256" s="894">
        <v>0</v>
      </c>
      <c r="D1256" s="895"/>
      <c r="E1256" s="894">
        <f>CEILING((E1254*0.5),0.1)</f>
        <v>81.30000000000001</v>
      </c>
      <c r="F1256" s="895"/>
      <c r="G1256" s="894">
        <v>72</v>
      </c>
      <c r="H1256" s="895"/>
      <c r="I1256" s="894">
        <v>75</v>
      </c>
      <c r="J1256" s="895"/>
      <c r="K1256" s="894">
        <v>56.5</v>
      </c>
      <c r="L1256" s="895"/>
      <c r="M1256" s="200"/>
      <c r="N1256" s="46"/>
    </row>
    <row r="1257" spans="1:14" ht="18" customHeight="1">
      <c r="A1257" s="1170" t="s">
        <v>1105</v>
      </c>
      <c r="B1257" s="556" t="s">
        <v>67</v>
      </c>
      <c r="C1257" s="950">
        <f>CEILING(92*$Z$1,0.1)</f>
        <v>115</v>
      </c>
      <c r="D1257" s="951"/>
      <c r="E1257" s="950">
        <f>CEILING(140*$Z$1,0.1)</f>
        <v>175</v>
      </c>
      <c r="F1257" s="951"/>
      <c r="G1257" s="950">
        <f>CEILING(124*$Z$1,0.1)</f>
        <v>155</v>
      </c>
      <c r="H1257" s="951"/>
      <c r="I1257" s="950">
        <f>CEILING(130*$Z$1,0.1)</f>
        <v>162.5</v>
      </c>
      <c r="J1257" s="951"/>
      <c r="K1257" s="950">
        <f>CEILING(97*$Z$1,0.1)</f>
        <v>121.30000000000001</v>
      </c>
      <c r="L1257" s="951"/>
      <c r="M1257" s="46"/>
      <c r="N1257" s="46"/>
    </row>
    <row r="1258" spans="1:14" ht="18" customHeight="1">
      <c r="A1258" s="557"/>
      <c r="B1258" s="555" t="s">
        <v>612</v>
      </c>
      <c r="C1258" s="894">
        <f>CEILING(102*$Z$1,0.1)</f>
        <v>127.5</v>
      </c>
      <c r="D1258" s="895"/>
      <c r="E1258" s="892">
        <f>CEILING(156*$Z$1,0.1)</f>
        <v>195</v>
      </c>
      <c r="F1258" s="893"/>
      <c r="G1258" s="894">
        <f>CEILING(138*$Z$1,0.1)</f>
        <v>172.5</v>
      </c>
      <c r="H1258" s="895"/>
      <c r="I1258" s="894">
        <f>CEILING(144*$Z$1,0.1)</f>
        <v>180</v>
      </c>
      <c r="J1258" s="895"/>
      <c r="K1258" s="894">
        <f>CEILING(108*$Z$1,0.1)</f>
        <v>135</v>
      </c>
      <c r="L1258" s="895"/>
      <c r="M1258" s="46"/>
      <c r="N1258" s="46"/>
    </row>
    <row r="1259" spans="1:14" ht="18" customHeight="1">
      <c r="A1259" s="558"/>
      <c r="B1259" s="559" t="s">
        <v>591</v>
      </c>
      <c r="C1259" s="950">
        <f>CEILING(106*$Z$1,0.1)</f>
        <v>132.5</v>
      </c>
      <c r="D1259" s="951"/>
      <c r="E1259" s="950">
        <f>CEILING(163*$Z$1,0.1)</f>
        <v>203.8</v>
      </c>
      <c r="F1259" s="951"/>
      <c r="G1259" s="950">
        <f>CEILING(144*$Z$1,0.1)</f>
        <v>180</v>
      </c>
      <c r="H1259" s="951"/>
      <c r="I1259" s="950">
        <f>CEILING(150*$Z$1,0.1)</f>
        <v>187.5</v>
      </c>
      <c r="J1259" s="951"/>
      <c r="K1259" s="950">
        <f>CEILING(113*$Z$1,0.1)</f>
        <v>141.3</v>
      </c>
      <c r="L1259" s="951"/>
      <c r="M1259" s="46"/>
      <c r="N1259" s="46"/>
    </row>
    <row r="1260" spans="1:14" ht="18" customHeight="1">
      <c r="A1260" s="557"/>
      <c r="B1260" s="555" t="s">
        <v>1107</v>
      </c>
      <c r="C1260" s="894">
        <f>CEILING(123*$Z$1,0.1)</f>
        <v>153.8</v>
      </c>
      <c r="D1260" s="895"/>
      <c r="E1260" s="892">
        <f>CEILING(183*$Z$1,0.1)</f>
        <v>228.8</v>
      </c>
      <c r="F1260" s="893"/>
      <c r="G1260" s="894">
        <f>CEILING(163*$Z$1,0.1)</f>
        <v>203.8</v>
      </c>
      <c r="H1260" s="895"/>
      <c r="I1260" s="894">
        <f>CEILING(170*$Z$1,0.1)</f>
        <v>212.5</v>
      </c>
      <c r="J1260" s="895"/>
      <c r="K1260" s="894">
        <f>CEILING(130*$Z$1,0.1)</f>
        <v>162.5</v>
      </c>
      <c r="L1260" s="895"/>
      <c r="M1260" s="46"/>
      <c r="N1260" s="46"/>
    </row>
    <row r="1261" spans="1:14" ht="25.5" customHeight="1">
      <c r="A1261" s="554"/>
      <c r="B1261" s="559" t="s">
        <v>1108</v>
      </c>
      <c r="C1261" s="950">
        <f>CEILING((C1260*0.5),0.1)</f>
        <v>76.9</v>
      </c>
      <c r="D1261" s="951"/>
      <c r="E1261" s="950">
        <f>CEILING((E1260*0.5),0.1)</f>
        <v>114.4</v>
      </c>
      <c r="F1261" s="951"/>
      <c r="G1261" s="950">
        <f>CEILING((G1260*0.5),0.1)</f>
        <v>101.9</v>
      </c>
      <c r="H1261" s="951"/>
      <c r="I1261" s="950">
        <f>CEILING((I1260*0.5),0.1)</f>
        <v>106.30000000000001</v>
      </c>
      <c r="J1261" s="951"/>
      <c r="K1261" s="950">
        <f>CEILING((K1260*0.5),0.1)</f>
        <v>81.30000000000001</v>
      </c>
      <c r="L1261" s="951"/>
      <c r="M1261" s="46"/>
      <c r="N1261" s="46"/>
    </row>
    <row r="1262" spans="1:14" ht="15.75">
      <c r="A1262" s="1171" t="s">
        <v>1109</v>
      </c>
      <c r="B1262" s="1171"/>
      <c r="C1262" s="1171"/>
      <c r="D1262" s="1171"/>
      <c r="E1262" s="1171"/>
      <c r="F1262" s="1171"/>
      <c r="G1262" s="1171"/>
      <c r="H1262" s="1171"/>
      <c r="I1262" s="1172"/>
      <c r="J1262" s="1172"/>
      <c r="K1262" s="122"/>
      <c r="L1262" s="122"/>
      <c r="M1262" s="46"/>
      <c r="N1262" s="46"/>
    </row>
    <row r="1263" spans="1:14" ht="15.75">
      <c r="A1263" s="190" t="s">
        <v>1110</v>
      </c>
      <c r="B1263" s="168"/>
      <c r="C1263" s="168"/>
      <c r="D1263" s="168"/>
      <c r="E1263" s="168"/>
      <c r="F1263" s="168"/>
      <c r="G1263" s="168"/>
      <c r="H1263" s="1173"/>
      <c r="I1263" s="1174"/>
      <c r="J1263" s="1174"/>
      <c r="K1263" s="122"/>
      <c r="L1263" s="122"/>
      <c r="M1263" s="46"/>
      <c r="N1263" s="46"/>
    </row>
    <row r="1264" spans="1:14" ht="15" customHeight="1">
      <c r="A1264" s="170" t="s">
        <v>1111</v>
      </c>
      <c r="B1264" s="24"/>
      <c r="C1264" s="24"/>
      <c r="D1264" s="24"/>
      <c r="E1264" s="24"/>
      <c r="F1264" s="24"/>
      <c r="G1264" s="24"/>
      <c r="H1264" s="1175"/>
      <c r="I1264" s="1176"/>
      <c r="J1264" s="1176"/>
      <c r="K1264" s="122"/>
      <c r="L1264" s="122"/>
      <c r="M1264" s="46"/>
      <c r="N1264" s="46"/>
    </row>
    <row r="1265" spans="1:14" ht="15.75" customHeight="1">
      <c r="A1265" s="170" t="s">
        <v>1112</v>
      </c>
      <c r="B1265" s="24"/>
      <c r="C1265" s="24"/>
      <c r="D1265" s="24"/>
      <c r="E1265" s="24"/>
      <c r="F1265" s="24"/>
      <c r="G1265" s="24"/>
      <c r="H1265" s="117"/>
      <c r="I1265" s="117"/>
      <c r="J1265" s="117"/>
      <c r="K1265" s="122"/>
      <c r="L1265" s="122"/>
      <c r="M1265" s="46"/>
      <c r="N1265" s="46"/>
    </row>
    <row r="1266" spans="1:14" ht="33" customHeight="1" hidden="1" thickTop="1">
      <c r="A1266" s="10" t="s">
        <v>49</v>
      </c>
      <c r="B1266" s="11"/>
      <c r="C1266" s="255" t="s">
        <v>642</v>
      </c>
      <c r="D1266" s="256"/>
      <c r="E1266" s="257" t="s">
        <v>719</v>
      </c>
      <c r="F1266" s="258"/>
      <c r="G1266" s="257" t="s">
        <v>705</v>
      </c>
      <c r="H1266" s="258"/>
      <c r="I1266" s="609" t="s">
        <v>720</v>
      </c>
      <c r="J1266" s="610"/>
      <c r="K1266" s="122"/>
      <c r="L1266" s="122"/>
      <c r="M1266" s="46"/>
      <c r="N1266" s="46"/>
    </row>
    <row r="1267" spans="1:14" ht="15.75" customHeight="1" hidden="1">
      <c r="A1267" s="108" t="s">
        <v>723</v>
      </c>
      <c r="B1267" s="132" t="s">
        <v>57</v>
      </c>
      <c r="C1267" s="703">
        <f>CEILING(64*$Z$1,0.1)</f>
        <v>80</v>
      </c>
      <c r="D1267" s="704"/>
      <c r="E1267" s="703">
        <f>CEILING(80*$Z$1,0.1)</f>
        <v>100</v>
      </c>
      <c r="F1267" s="704"/>
      <c r="G1267" s="703">
        <f>CEILING(74*$Z$1,0.1)</f>
        <v>92.5</v>
      </c>
      <c r="H1267" s="704"/>
      <c r="I1267" s="703">
        <f>CEILING(77*$Z$1,0.1)</f>
        <v>96.30000000000001</v>
      </c>
      <c r="J1267" s="704"/>
      <c r="K1267" s="122"/>
      <c r="L1267" s="122"/>
      <c r="M1267" s="46"/>
      <c r="N1267" s="46"/>
    </row>
    <row r="1268" spans="1:14" ht="17.25" customHeight="1" hidden="1">
      <c r="A1268" s="30" t="s">
        <v>65</v>
      </c>
      <c r="B1268" s="132" t="s">
        <v>58</v>
      </c>
      <c r="C1268" s="707">
        <f>CEILING((C1267+20*$Z$1),0.1)</f>
        <v>105</v>
      </c>
      <c r="D1268" s="708"/>
      <c r="E1268" s="707">
        <f>CEILING((E1267+20*$Z$1),0.1)</f>
        <v>125</v>
      </c>
      <c r="F1268" s="708"/>
      <c r="G1268" s="707">
        <f>CEILING((G1267+20*$Z$1),0.1)</f>
        <v>117.5</v>
      </c>
      <c r="H1268" s="708"/>
      <c r="I1268" s="707">
        <f>CEILING((I1267+20*$Z$1),0.1)</f>
        <v>121.30000000000001</v>
      </c>
      <c r="J1268" s="708"/>
      <c r="K1268" s="122"/>
      <c r="L1268" s="122"/>
      <c r="M1268" s="46"/>
      <c r="N1268" s="46"/>
    </row>
    <row r="1269" spans="1:14" ht="17.25" customHeight="1" hidden="1">
      <c r="A1269" s="165"/>
      <c r="B1269" s="133" t="s">
        <v>86</v>
      </c>
      <c r="C1269" s="707">
        <f>CEILING(54*$Z$1,0.1)</f>
        <v>67.5</v>
      </c>
      <c r="D1269" s="708"/>
      <c r="E1269" s="707">
        <f>CEILING(68*$Z$1,0.1)</f>
        <v>85</v>
      </c>
      <c r="F1269" s="708"/>
      <c r="G1269" s="707">
        <f>CEILING(63*$Z$1,0.1)</f>
        <v>78.80000000000001</v>
      </c>
      <c r="H1269" s="708"/>
      <c r="I1269" s="707">
        <f>CEILING(65*$Z$1,0.1)</f>
        <v>81.30000000000001</v>
      </c>
      <c r="J1269" s="708"/>
      <c r="K1269" s="122"/>
      <c r="L1269" s="122"/>
      <c r="M1269" s="46"/>
      <c r="N1269" s="46"/>
    </row>
    <row r="1270" spans="1:14" ht="25.5" customHeight="1" hidden="1">
      <c r="A1270" s="72"/>
      <c r="B1270" s="39" t="s">
        <v>85</v>
      </c>
      <c r="C1270" s="707">
        <f>CEILING((C1267*0.5),0.1)</f>
        <v>40</v>
      </c>
      <c r="D1270" s="708"/>
      <c r="E1270" s="707">
        <f>CEILING((E1267*0.5),0.1)</f>
        <v>50</v>
      </c>
      <c r="F1270" s="708"/>
      <c r="G1270" s="707">
        <f>CEILING((G1267*0.5),0.1)</f>
        <v>46.300000000000004</v>
      </c>
      <c r="H1270" s="708"/>
      <c r="I1270" s="707">
        <f>CEILING((I1267*0.5),0.1)</f>
        <v>48.2</v>
      </c>
      <c r="J1270" s="708"/>
      <c r="K1270" s="365"/>
      <c r="L1270" s="122"/>
      <c r="M1270" s="46"/>
      <c r="N1270" s="46"/>
    </row>
    <row r="1271" spans="1:14" ht="15.75" hidden="1" thickBot="1">
      <c r="A1271" s="317" t="s">
        <v>513</v>
      </c>
      <c r="B1271" s="125" t="s">
        <v>62</v>
      </c>
      <c r="C1271" s="720">
        <f>CEILING(94*$Z$1,0.1)</f>
        <v>117.5</v>
      </c>
      <c r="D1271" s="721"/>
      <c r="E1271" s="720">
        <f>CEILING(110*$Z$1,0.1)</f>
        <v>137.5</v>
      </c>
      <c r="F1271" s="721"/>
      <c r="G1271" s="720">
        <f>CEILING(104*$Z$1,0.1)</f>
        <v>130</v>
      </c>
      <c r="H1271" s="721"/>
      <c r="I1271" s="705">
        <f>CEILING(107*$Z$1,0.1)</f>
        <v>133.8</v>
      </c>
      <c r="J1271" s="706"/>
      <c r="K1271" s="365"/>
      <c r="L1271" s="122"/>
      <c r="M1271" s="46"/>
      <c r="N1271" s="46"/>
    </row>
    <row r="1272" spans="1:14" ht="15.75" hidden="1" thickTop="1">
      <c r="A1272" s="117" t="s">
        <v>724</v>
      </c>
      <c r="B1272" s="117"/>
      <c r="C1272" s="117"/>
      <c r="D1272" s="117"/>
      <c r="E1272" s="117"/>
      <c r="F1272" s="117"/>
      <c r="G1272" s="117"/>
      <c r="H1272" s="117"/>
      <c r="I1272" s="117"/>
      <c r="J1272" s="117"/>
      <c r="K1272" s="122"/>
      <c r="L1272" s="122"/>
      <c r="M1272" s="46"/>
      <c r="N1272" s="46"/>
    </row>
    <row r="1273" spans="1:14" ht="8.25" customHeight="1" thickBot="1">
      <c r="A1273" s="123"/>
      <c r="B1273" s="123"/>
      <c r="C1273" s="117"/>
      <c r="D1273" s="117"/>
      <c r="E1273" s="117"/>
      <c r="F1273" s="117"/>
      <c r="G1273" s="117"/>
      <c r="H1273" s="117"/>
      <c r="I1273" s="117"/>
      <c r="J1273" s="117"/>
      <c r="K1273" s="122"/>
      <c r="L1273" s="122"/>
      <c r="M1273" s="46"/>
      <c r="N1273" s="46"/>
    </row>
    <row r="1274" spans="1:14" ht="29.25" customHeight="1" thickTop="1">
      <c r="A1274" s="476" t="s">
        <v>49</v>
      </c>
      <c r="B1274" s="462"/>
      <c r="C1274" s="815" t="s">
        <v>884</v>
      </c>
      <c r="D1274" s="816"/>
      <c r="E1274" s="663" t="s">
        <v>970</v>
      </c>
      <c r="F1274" s="664"/>
      <c r="G1274" s="730" t="s">
        <v>888</v>
      </c>
      <c r="H1274" s="731"/>
      <c r="I1274" s="822"/>
      <c r="J1274" s="823"/>
      <c r="K1274" s="122"/>
      <c r="L1274" s="122"/>
      <c r="M1274" s="46"/>
      <c r="N1274" s="46"/>
    </row>
    <row r="1275" spans="1:14" ht="15" customHeight="1">
      <c r="A1275" s="85" t="s">
        <v>155</v>
      </c>
      <c r="B1275" s="179" t="s">
        <v>72</v>
      </c>
      <c r="C1275" s="703">
        <v>65</v>
      </c>
      <c r="D1275" s="704"/>
      <c r="E1275" s="703">
        <v>85</v>
      </c>
      <c r="F1275" s="704"/>
      <c r="G1275" s="703">
        <v>65</v>
      </c>
      <c r="H1275" s="704"/>
      <c r="I1275" s="714"/>
      <c r="J1275" s="753"/>
      <c r="K1275" s="122"/>
      <c r="L1275" s="122"/>
      <c r="M1275" s="18"/>
      <c r="N1275" s="991"/>
    </row>
    <row r="1276" spans="1:14" ht="16.5" customHeight="1">
      <c r="A1276" s="30" t="s">
        <v>65</v>
      </c>
      <c r="B1276" s="28" t="s">
        <v>16</v>
      </c>
      <c r="C1276" s="707">
        <v>81.3</v>
      </c>
      <c r="D1276" s="708"/>
      <c r="E1276" s="707">
        <v>106.3</v>
      </c>
      <c r="F1276" s="708"/>
      <c r="G1276" s="707">
        <v>81.3</v>
      </c>
      <c r="H1276" s="708"/>
      <c r="I1276" s="714"/>
      <c r="J1276" s="753"/>
      <c r="K1276" s="122"/>
      <c r="L1276" s="122"/>
      <c r="M1276" s="18"/>
      <c r="N1276" s="991"/>
    </row>
    <row r="1277" spans="1:14" ht="16.5" customHeight="1">
      <c r="A1277" s="37"/>
      <c r="B1277" s="138" t="s">
        <v>962</v>
      </c>
      <c r="C1277" s="714">
        <v>0</v>
      </c>
      <c r="D1277" s="715"/>
      <c r="E1277" s="714">
        <v>0</v>
      </c>
      <c r="F1277" s="715"/>
      <c r="G1277" s="714">
        <v>0</v>
      </c>
      <c r="H1277" s="715"/>
      <c r="I1277" s="714"/>
      <c r="J1277" s="753"/>
      <c r="K1277" s="122"/>
      <c r="L1277" s="122"/>
      <c r="M1277" s="18"/>
      <c r="N1277" s="991"/>
    </row>
    <row r="1278" spans="1:14" ht="23.25" customHeight="1">
      <c r="A1278" s="37"/>
      <c r="B1278" s="12" t="s">
        <v>156</v>
      </c>
      <c r="C1278" s="707">
        <v>71.3</v>
      </c>
      <c r="D1278" s="708"/>
      <c r="E1278" s="707">
        <v>91.3</v>
      </c>
      <c r="F1278" s="708"/>
      <c r="G1278" s="707">
        <v>71.3</v>
      </c>
      <c r="H1278" s="708"/>
      <c r="I1278" s="714"/>
      <c r="J1278" s="753"/>
      <c r="K1278" s="122"/>
      <c r="L1278" s="122"/>
      <c r="M1278" s="18"/>
      <c r="N1278" s="991"/>
    </row>
    <row r="1279" spans="1:14" ht="24.75" customHeight="1">
      <c r="A1279" s="37"/>
      <c r="B1279" s="12" t="s">
        <v>1006</v>
      </c>
      <c r="C1279" s="707">
        <v>87.5</v>
      </c>
      <c r="D1279" s="747"/>
      <c r="E1279" s="707">
        <v>112.5</v>
      </c>
      <c r="F1279" s="708"/>
      <c r="G1279" s="707">
        <v>87.5</v>
      </c>
      <c r="H1279" s="708"/>
      <c r="I1279" s="714"/>
      <c r="J1279" s="753"/>
      <c r="K1279" s="122"/>
      <c r="L1279" s="122"/>
      <c r="M1279" s="18"/>
      <c r="N1279" s="991"/>
    </row>
    <row r="1280" spans="1:14" ht="15.75" customHeight="1">
      <c r="A1280" s="37"/>
      <c r="B1280" s="38" t="s">
        <v>371</v>
      </c>
      <c r="C1280" s="707">
        <v>57.5</v>
      </c>
      <c r="D1280" s="747"/>
      <c r="E1280" s="707">
        <v>72.5</v>
      </c>
      <c r="F1280" s="708"/>
      <c r="G1280" s="707">
        <v>57.5</v>
      </c>
      <c r="H1280" s="708"/>
      <c r="I1280" s="652"/>
      <c r="J1280" s="653"/>
      <c r="K1280" s="122"/>
      <c r="L1280" s="122"/>
      <c r="M1280" s="22"/>
      <c r="N1280" s="22"/>
    </row>
    <row r="1281" spans="1:14" ht="14.25" customHeight="1" thickBot="1">
      <c r="A1281" s="87" t="s">
        <v>512</v>
      </c>
      <c r="B1281" s="40" t="s">
        <v>1007</v>
      </c>
      <c r="C1281" s="720">
        <v>77.5</v>
      </c>
      <c r="D1281" s="824"/>
      <c r="E1281" s="720">
        <v>97.5</v>
      </c>
      <c r="F1281" s="721"/>
      <c r="G1281" s="720">
        <v>77.5</v>
      </c>
      <c r="H1281" s="721"/>
      <c r="I1281" s="714"/>
      <c r="J1281" s="753"/>
      <c r="K1281" s="122"/>
      <c r="L1281" s="122"/>
      <c r="M1281" s="65"/>
      <c r="N1281" s="65"/>
    </row>
    <row r="1282" spans="1:16" ht="16.5" customHeight="1" thickTop="1">
      <c r="A1282" s="327" t="s">
        <v>444</v>
      </c>
      <c r="B1282" s="140"/>
      <c r="C1282" s="653"/>
      <c r="D1282" s="653"/>
      <c r="E1282" s="653"/>
      <c r="F1282" s="653"/>
      <c r="G1282" s="653"/>
      <c r="H1282" s="653"/>
      <c r="I1282" s="653"/>
      <c r="J1282" s="653"/>
      <c r="K1282" s="301"/>
      <c r="L1282" s="301"/>
      <c r="M1282" s="1104"/>
      <c r="N1282" s="1104"/>
      <c r="O1282" s="1104"/>
      <c r="P1282" s="1104"/>
    </row>
    <row r="1283" spans="1:16" ht="14.25" customHeight="1">
      <c r="A1283" s="327" t="s">
        <v>1008</v>
      </c>
      <c r="B1283" s="140"/>
      <c r="C1283" s="653"/>
      <c r="D1283" s="653"/>
      <c r="E1283" s="653"/>
      <c r="F1283" s="653"/>
      <c r="G1283" s="653"/>
      <c r="H1283" s="653"/>
      <c r="I1283" s="653"/>
      <c r="J1283" s="653"/>
      <c r="K1283" s="302"/>
      <c r="L1283" s="301"/>
      <c r="M1283" s="1104"/>
      <c r="N1283" s="1104"/>
      <c r="O1283" s="1104"/>
      <c r="P1283" s="1104"/>
    </row>
    <row r="1284" spans="1:16" ht="16.5" customHeight="1">
      <c r="A1284" s="687" t="s">
        <v>49</v>
      </c>
      <c r="B1284" s="531"/>
      <c r="C1284" s="775" t="s">
        <v>884</v>
      </c>
      <c r="D1284" s="776"/>
      <c r="E1284" s="722" t="s">
        <v>885</v>
      </c>
      <c r="F1284" s="723"/>
      <c r="G1284" s="732" t="s">
        <v>901</v>
      </c>
      <c r="H1284" s="733"/>
      <c r="I1284" s="732" t="s">
        <v>888</v>
      </c>
      <c r="J1284" s="733"/>
      <c r="K1284" s="302"/>
      <c r="L1284" s="302"/>
      <c r="M1284" s="1104"/>
      <c r="N1284" s="1104"/>
      <c r="O1284" s="1104"/>
      <c r="P1284" s="1104"/>
    </row>
    <row r="1285" spans="1:16" ht="15.75" customHeight="1">
      <c r="A1285" s="204" t="s">
        <v>22</v>
      </c>
      <c r="B1285" s="234" t="s">
        <v>57</v>
      </c>
      <c r="C1285" s="707">
        <f>CEILING(50*$Z$1,0.1)</f>
        <v>62.5</v>
      </c>
      <c r="D1285" s="747"/>
      <c r="E1285" s="703">
        <f>CEILING(97*$Z$1,0.1)</f>
        <v>121.30000000000001</v>
      </c>
      <c r="F1285" s="704"/>
      <c r="G1285" s="703">
        <f>CEILING(77*$Z$1,0.1)</f>
        <v>96.30000000000001</v>
      </c>
      <c r="H1285" s="704"/>
      <c r="I1285" s="703">
        <f>CEILING(61*$Z$1,0.1)</f>
        <v>76.3</v>
      </c>
      <c r="J1285" s="704"/>
      <c r="K1285" s="302"/>
      <c r="L1285" s="303"/>
      <c r="M1285" s="1104"/>
      <c r="N1285" s="1104"/>
      <c r="O1285" s="1104"/>
      <c r="P1285" s="1104"/>
    </row>
    <row r="1286" spans="1:16" ht="18" customHeight="1">
      <c r="A1286" s="177" t="s">
        <v>65</v>
      </c>
      <c r="B1286" s="74" t="s">
        <v>58</v>
      </c>
      <c r="C1286" s="707">
        <f>CEILING((C1285+25*$Z$1),0.1)</f>
        <v>93.80000000000001</v>
      </c>
      <c r="D1286" s="708"/>
      <c r="E1286" s="707">
        <f>CEILING((E1285+25*$Z$1),0.1)</f>
        <v>152.6</v>
      </c>
      <c r="F1286" s="708"/>
      <c r="G1286" s="707">
        <f>CEILING((G1285+25*$Z$1),0.1)</f>
        <v>127.60000000000001</v>
      </c>
      <c r="H1286" s="708"/>
      <c r="I1286" s="707">
        <f>CEILING((I1285+25*$Z$1),0.1)</f>
        <v>107.60000000000001</v>
      </c>
      <c r="J1286" s="708"/>
      <c r="K1286" s="302"/>
      <c r="L1286" s="303"/>
      <c r="M1286" s="1104"/>
      <c r="N1286" s="1104"/>
      <c r="O1286" s="1104"/>
      <c r="P1286" s="1104"/>
    </row>
    <row r="1287" spans="1:16" ht="15">
      <c r="A1287" s="274"/>
      <c r="B1287" s="14" t="s">
        <v>86</v>
      </c>
      <c r="C1287" s="707">
        <f>CEILING((C1285*0.85),0.1)</f>
        <v>53.2</v>
      </c>
      <c r="D1287" s="708"/>
      <c r="E1287" s="707">
        <f>CEILING((E1285*0.85),0.1)</f>
        <v>103.2</v>
      </c>
      <c r="F1287" s="708"/>
      <c r="G1287" s="707">
        <f>CEILING((G1285*0.85),0.1)</f>
        <v>81.9</v>
      </c>
      <c r="H1287" s="708"/>
      <c r="I1287" s="707">
        <f>CEILING((I1285*0.85),0.1)</f>
        <v>64.9</v>
      </c>
      <c r="J1287" s="708"/>
      <c r="K1287" s="302"/>
      <c r="L1287" s="303"/>
      <c r="M1287" s="1104"/>
      <c r="N1287" s="1104"/>
      <c r="O1287" s="1104"/>
      <c r="P1287" s="1104"/>
    </row>
    <row r="1288" spans="1:16" ht="15.75" customHeight="1">
      <c r="A1288" s="155"/>
      <c r="B1288" s="39" t="s">
        <v>85</v>
      </c>
      <c r="C1288" s="707">
        <f>CEILING((C1285*0.5),0.1)</f>
        <v>31.3</v>
      </c>
      <c r="D1288" s="708"/>
      <c r="E1288" s="707">
        <f>CEILING((E1285*0.5),0.1)</f>
        <v>60.7</v>
      </c>
      <c r="F1288" s="708"/>
      <c r="G1288" s="707">
        <f>CEILING((G1285*0.5),0.1)</f>
        <v>48.2</v>
      </c>
      <c r="H1288" s="708"/>
      <c r="I1288" s="707">
        <f>CEILING((I1285*0.5),0.1)</f>
        <v>38.2</v>
      </c>
      <c r="J1288" s="708"/>
      <c r="K1288" s="302"/>
      <c r="L1288" s="302"/>
      <c r="M1288" s="1104"/>
      <c r="N1288" s="1104"/>
      <c r="O1288" s="1104"/>
      <c r="P1288" s="1104"/>
    </row>
    <row r="1289" spans="1:16" ht="16.5" customHeight="1">
      <c r="A1289" s="155"/>
      <c r="B1289" s="39" t="s">
        <v>62</v>
      </c>
      <c r="C1289" s="707">
        <f>CEILING((C1285+40*$Z$1),0.1)</f>
        <v>112.5</v>
      </c>
      <c r="D1289" s="708"/>
      <c r="E1289" s="707">
        <f>CEILING((E1285+40*$Z$1),0.1)</f>
        <v>171.3</v>
      </c>
      <c r="F1289" s="708"/>
      <c r="G1289" s="707">
        <f>CEILING((G1285+40*$Z$1),0.1)</f>
        <v>146.3</v>
      </c>
      <c r="H1289" s="708"/>
      <c r="I1289" s="707">
        <f>CEILING((I1285+40*$Z$1),0.1)</f>
        <v>126.30000000000001</v>
      </c>
      <c r="J1289" s="708"/>
      <c r="K1289" s="302"/>
      <c r="L1289" s="302"/>
      <c r="M1289" s="1104"/>
      <c r="N1289" s="1104"/>
      <c r="O1289" s="1104"/>
      <c r="P1289" s="1104"/>
    </row>
    <row r="1290" spans="1:16" ht="15" customHeight="1">
      <c r="A1290" s="153" t="s">
        <v>511</v>
      </c>
      <c r="B1290" s="356" t="s">
        <v>63</v>
      </c>
      <c r="C1290" s="705">
        <f>CEILING((C1289+40*$Z$1),0.1)</f>
        <v>162.5</v>
      </c>
      <c r="D1290" s="706"/>
      <c r="E1290" s="705">
        <f>CEILING((E1289+40*$Z$1),0.1)</f>
        <v>221.3</v>
      </c>
      <c r="F1290" s="706"/>
      <c r="G1290" s="705">
        <f>CEILING((G1289+40*$Z$1),0.1)</f>
        <v>196.3</v>
      </c>
      <c r="H1290" s="706"/>
      <c r="I1290" s="705">
        <f>CEILING((I1289+40*$Z$1),0.1)</f>
        <v>176.3</v>
      </c>
      <c r="J1290" s="706"/>
      <c r="K1290" s="302"/>
      <c r="L1290" s="302"/>
      <c r="M1290" s="1104"/>
      <c r="N1290" s="1104"/>
      <c r="O1290" s="1104"/>
      <c r="P1290" s="1104"/>
    </row>
    <row r="1291" spans="1:16" ht="16.5" customHeight="1">
      <c r="A1291" s="117" t="s">
        <v>786</v>
      </c>
      <c r="B1291" s="140"/>
      <c r="C1291" s="656"/>
      <c r="D1291" s="656"/>
      <c r="E1291" s="656"/>
      <c r="F1291" s="656"/>
      <c r="G1291" s="656"/>
      <c r="H1291" s="656"/>
      <c r="I1291" s="656"/>
      <c r="J1291" s="656"/>
      <c r="K1291" s="302"/>
      <c r="L1291" s="303"/>
      <c r="M1291" s="1104"/>
      <c r="N1291" s="1104"/>
      <c r="O1291" s="1104"/>
      <c r="P1291" s="1104"/>
    </row>
    <row r="1292" spans="1:16" ht="15">
      <c r="A1292" s="458" t="s">
        <v>1017</v>
      </c>
      <c r="B1292" s="32"/>
      <c r="C1292" s="32"/>
      <c r="D1292" s="32"/>
      <c r="E1292" s="32"/>
      <c r="F1292" s="32"/>
      <c r="G1292" s="32"/>
      <c r="H1292" s="32"/>
      <c r="I1292" s="32"/>
      <c r="J1292" s="1140"/>
      <c r="K1292" s="302"/>
      <c r="L1292" s="303"/>
      <c r="M1292" s="1104"/>
      <c r="N1292" s="1104"/>
      <c r="O1292" s="1104"/>
      <c r="P1292" s="1104"/>
    </row>
    <row r="1293" spans="1:16" ht="15">
      <c r="A1293" s="657" t="s">
        <v>49</v>
      </c>
      <c r="B1293" s="528"/>
      <c r="C1293" s="775" t="s">
        <v>884</v>
      </c>
      <c r="D1293" s="776"/>
      <c r="E1293" s="722" t="s">
        <v>970</v>
      </c>
      <c r="F1293" s="723"/>
      <c r="G1293" s="732" t="s">
        <v>888</v>
      </c>
      <c r="H1293" s="733"/>
      <c r="I1293" s="822"/>
      <c r="J1293" s="823"/>
      <c r="K1293" s="1177"/>
      <c r="L1293" s="999"/>
      <c r="M1293" s="1104"/>
      <c r="N1293" s="1104"/>
      <c r="O1293" s="1104"/>
      <c r="P1293" s="1104"/>
    </row>
    <row r="1294" spans="1:16" ht="15">
      <c r="A1294" s="85" t="s">
        <v>157</v>
      </c>
      <c r="B1294" s="179" t="s">
        <v>102</v>
      </c>
      <c r="C1294" s="703">
        <v>43.8</v>
      </c>
      <c r="D1294" s="764"/>
      <c r="E1294" s="703">
        <v>47.5</v>
      </c>
      <c r="F1294" s="704"/>
      <c r="G1294" s="703">
        <v>43.8</v>
      </c>
      <c r="H1294" s="704"/>
      <c r="I1294" s="714"/>
      <c r="J1294" s="753"/>
      <c r="K1294" s="302"/>
      <c r="L1294" s="303"/>
      <c r="M1294" s="1104"/>
      <c r="N1294" s="1104"/>
      <c r="O1294" s="1104"/>
      <c r="P1294" s="1104"/>
    </row>
    <row r="1295" spans="1:16" ht="15">
      <c r="A1295" s="67"/>
      <c r="B1295" s="28" t="s">
        <v>16</v>
      </c>
      <c r="C1295" s="707">
        <v>55</v>
      </c>
      <c r="D1295" s="747"/>
      <c r="E1295" s="707">
        <v>60</v>
      </c>
      <c r="F1295" s="708"/>
      <c r="G1295" s="707">
        <v>55</v>
      </c>
      <c r="H1295" s="708"/>
      <c r="I1295" s="714"/>
      <c r="J1295" s="753"/>
      <c r="K1295" s="302"/>
      <c r="L1295" s="303"/>
      <c r="M1295" s="1104"/>
      <c r="N1295" s="1104"/>
      <c r="O1295" s="1104"/>
      <c r="P1295" s="1104"/>
    </row>
    <row r="1296" spans="1:14" ht="21.75" customHeight="1">
      <c r="A1296" s="51" t="s">
        <v>98</v>
      </c>
      <c r="B1296" s="138" t="s">
        <v>962</v>
      </c>
      <c r="C1296" s="714">
        <v>0</v>
      </c>
      <c r="D1296" s="753"/>
      <c r="E1296" s="714">
        <v>0</v>
      </c>
      <c r="F1296" s="715"/>
      <c r="G1296" s="714">
        <v>0</v>
      </c>
      <c r="H1296" s="715"/>
      <c r="I1296" s="714"/>
      <c r="J1296" s="753"/>
      <c r="K1296" s="829"/>
      <c r="L1296" s="829"/>
      <c r="M1296" s="829"/>
      <c r="N1296" s="829"/>
    </row>
    <row r="1297" spans="1:14" ht="16.5" customHeight="1">
      <c r="A1297" s="177"/>
      <c r="B1297" s="12" t="s">
        <v>120</v>
      </c>
      <c r="C1297" s="707">
        <v>62.5</v>
      </c>
      <c r="D1297" s="747"/>
      <c r="E1297" s="707">
        <v>66.3</v>
      </c>
      <c r="F1297" s="708"/>
      <c r="G1297" s="707">
        <v>62.5</v>
      </c>
      <c r="H1297" s="708"/>
      <c r="I1297" s="714"/>
      <c r="J1297" s="753"/>
      <c r="K1297" s="656"/>
      <c r="L1297" s="656"/>
      <c r="M1297" s="653"/>
      <c r="N1297" s="653"/>
    </row>
    <row r="1298" spans="1:14" ht="18" customHeight="1">
      <c r="A1298" s="177"/>
      <c r="B1298" s="12" t="s">
        <v>121</v>
      </c>
      <c r="C1298" s="707">
        <v>73.8</v>
      </c>
      <c r="D1298" s="747"/>
      <c r="E1298" s="707">
        <v>78.8</v>
      </c>
      <c r="F1298" s="708"/>
      <c r="G1298" s="707">
        <v>73.8</v>
      </c>
      <c r="H1298" s="708"/>
      <c r="I1298" s="714"/>
      <c r="J1298" s="753"/>
      <c r="K1298" s="656"/>
      <c r="L1298" s="656"/>
      <c r="M1298" s="653"/>
      <c r="N1298" s="653"/>
    </row>
    <row r="1299" spans="1:14" ht="18" customHeight="1" thickBot="1">
      <c r="A1299" s="87" t="s">
        <v>512</v>
      </c>
      <c r="B1299" s="527" t="s">
        <v>268</v>
      </c>
      <c r="C1299" s="705">
        <v>50</v>
      </c>
      <c r="D1299" s="890"/>
      <c r="E1299" s="705">
        <v>52.5</v>
      </c>
      <c r="F1299" s="706"/>
      <c r="G1299" s="705">
        <v>50</v>
      </c>
      <c r="H1299" s="706"/>
      <c r="I1299" s="714"/>
      <c r="J1299" s="753"/>
      <c r="K1299" s="656"/>
      <c r="L1299" s="656"/>
      <c r="M1299" s="653"/>
      <c r="N1299" s="653"/>
    </row>
    <row r="1300" spans="1:14" ht="18" customHeight="1" thickTop="1">
      <c r="A1300" s="327" t="s">
        <v>445</v>
      </c>
      <c r="B1300" s="47"/>
      <c r="C1300" s="653"/>
      <c r="D1300" s="653"/>
      <c r="E1300" s="653"/>
      <c r="F1300" s="653"/>
      <c r="G1300" s="653"/>
      <c r="H1300" s="653"/>
      <c r="I1300" s="653"/>
      <c r="J1300" s="653"/>
      <c r="K1300" s="656"/>
      <c r="L1300" s="656"/>
      <c r="M1300" s="653"/>
      <c r="N1300" s="653"/>
    </row>
    <row r="1301" spans="1:14" ht="15.75" customHeight="1">
      <c r="A1301" s="103"/>
      <c r="B1301" s="103"/>
      <c r="C1301" s="103"/>
      <c r="D1301" s="103"/>
      <c r="E1301" s="103"/>
      <c r="F1301" s="103"/>
      <c r="G1301" s="103"/>
      <c r="H1301" s="103"/>
      <c r="I1301" s="103"/>
      <c r="J1301" s="22"/>
      <c r="K1301" s="968"/>
      <c r="L1301" s="968"/>
      <c r="M1301" s="653"/>
      <c r="N1301" s="653"/>
    </row>
    <row r="1302" spans="1:14" ht="15">
      <c r="A1302" s="1163" t="s">
        <v>787</v>
      </c>
      <c r="B1302" s="1163"/>
      <c r="C1302" s="1163"/>
      <c r="D1302" s="1163"/>
      <c r="E1302" s="1163"/>
      <c r="F1302" s="1163"/>
      <c r="G1302" s="1163"/>
      <c r="H1302" s="1163"/>
      <c r="I1302" s="1163"/>
      <c r="J1302" s="1163"/>
      <c r="K1302" s="104"/>
      <c r="L1302" s="104"/>
      <c r="M1302" s="48"/>
      <c r="N1302" s="48"/>
    </row>
    <row r="1303" spans="1:14" ht="17.25" customHeight="1">
      <c r="A1303" s="1163" t="s">
        <v>783</v>
      </c>
      <c r="B1303" s="1163"/>
      <c r="C1303" s="1163"/>
      <c r="D1303" s="1163"/>
      <c r="E1303" s="1163"/>
      <c r="F1303" s="1163"/>
      <c r="G1303" s="1163"/>
      <c r="H1303" s="1163"/>
      <c r="I1303" s="1163"/>
      <c r="J1303" s="1163"/>
      <c r="K1303" s="104"/>
      <c r="L1303" s="104"/>
      <c r="M1303" s="48"/>
      <c r="N1303" s="48"/>
    </row>
    <row r="1304" spans="1:16" ht="27" customHeight="1">
      <c r="A1304" s="1178" t="s">
        <v>401</v>
      </c>
      <c r="B1304" s="1178"/>
      <c r="C1304" s="1178"/>
      <c r="D1304" s="1178"/>
      <c r="E1304" s="1178"/>
      <c r="F1304" s="1178"/>
      <c r="G1304" s="1178"/>
      <c r="H1304" s="1178"/>
      <c r="I1304" s="1178"/>
      <c r="J1304" s="1178"/>
      <c r="K1304" s="104"/>
      <c r="L1304" s="104"/>
      <c r="M1304" s="48"/>
      <c r="N1304" s="48"/>
      <c r="O1304" s="1032"/>
      <c r="P1304" s="1032"/>
    </row>
    <row r="1305" spans="1:16" ht="15">
      <c r="A1305" s="1163" t="s">
        <v>788</v>
      </c>
      <c r="B1305" s="1163"/>
      <c r="C1305" s="1163"/>
      <c r="D1305" s="1163"/>
      <c r="E1305" s="1163"/>
      <c r="F1305" s="1163"/>
      <c r="G1305" s="1163"/>
      <c r="H1305" s="1163"/>
      <c r="I1305" s="1163"/>
      <c r="J1305" s="1163"/>
      <c r="K1305" s="291"/>
      <c r="L1305" s="104"/>
      <c r="M1305" s="22"/>
      <c r="N1305" s="22"/>
      <c r="O1305" s="1032"/>
      <c r="P1305" s="1032"/>
    </row>
    <row r="1306" spans="1:14" ht="17.25" customHeight="1">
      <c r="A1306" s="135"/>
      <c r="B1306" s="135"/>
      <c r="C1306" s="135"/>
      <c r="D1306" s="135"/>
      <c r="E1306" s="135"/>
      <c r="F1306" s="135"/>
      <c r="G1306" s="136"/>
      <c r="H1306" s="136"/>
      <c r="I1306" s="134"/>
      <c r="J1306" s="33"/>
      <c r="K1306" s="291"/>
      <c r="L1306" s="291"/>
      <c r="M1306" s="192"/>
      <c r="N1306" s="192"/>
    </row>
    <row r="1307" spans="1:13" ht="15" customHeight="1">
      <c r="A1307" s="137"/>
      <c r="B1307" s="136"/>
      <c r="C1307" s="136"/>
      <c r="D1307" s="136"/>
      <c r="E1307" s="136"/>
      <c r="F1307" s="136"/>
      <c r="G1307" s="136"/>
      <c r="H1307" s="136"/>
      <c r="I1307" s="134"/>
      <c r="J1307" s="185"/>
      <c r="K1307" s="291"/>
      <c r="L1307" s="291"/>
      <c r="M1307" s="992"/>
    </row>
    <row r="1308" spans="1:31" ht="15.75">
      <c r="A1308" s="1179" t="s">
        <v>404</v>
      </c>
      <c r="B1308" s="1179"/>
      <c r="C1308" s="1179"/>
      <c r="D1308" s="1179"/>
      <c r="E1308" s="1179"/>
      <c r="F1308" s="1179"/>
      <c r="G1308" s="1179"/>
      <c r="H1308" s="1179"/>
      <c r="I1308" s="1179"/>
      <c r="J1308" s="1179"/>
      <c r="K1308" s="291"/>
      <c r="L1308" s="291"/>
      <c r="M1308" s="992"/>
      <c r="S1308" s="22"/>
      <c r="T1308" s="22"/>
      <c r="Z1308" s="992"/>
      <c r="AA1308" s="992"/>
      <c r="AB1308" s="992"/>
      <c r="AC1308" s="992"/>
      <c r="AD1308" s="992"/>
      <c r="AE1308" s="992"/>
    </row>
    <row r="1309" spans="1:27" ht="15.75" thickBot="1">
      <c r="A1309" s="120"/>
      <c r="B1309" s="120"/>
      <c r="C1309" s="121"/>
      <c r="D1309" s="121"/>
      <c r="E1309" s="121"/>
      <c r="F1309" s="121"/>
      <c r="G1309" s="121"/>
      <c r="H1309" s="121"/>
      <c r="I1309" s="120"/>
      <c r="J1309" s="1180"/>
      <c r="K1309" s="379"/>
      <c r="L1309" s="291"/>
      <c r="M1309" s="992"/>
      <c r="Z1309" s="992"/>
      <c r="AA1309" s="992"/>
    </row>
    <row r="1310" spans="1:14" ht="15.75" thickTop="1">
      <c r="A1310" s="683" t="s">
        <v>49</v>
      </c>
      <c r="B1310" s="462" t="s">
        <v>111</v>
      </c>
      <c r="C1310" s="815" t="s">
        <v>884</v>
      </c>
      <c r="D1310" s="816"/>
      <c r="E1310" s="726" t="s">
        <v>618</v>
      </c>
      <c r="F1310" s="727"/>
      <c r="G1310" s="730" t="s">
        <v>698</v>
      </c>
      <c r="H1310" s="731"/>
      <c r="I1310" s="730" t="s">
        <v>582</v>
      </c>
      <c r="J1310" s="731"/>
      <c r="K1310" s="104"/>
      <c r="L1310" s="104"/>
      <c r="M1310" s="48"/>
      <c r="N1310" s="48"/>
    </row>
    <row r="1311" spans="1:14" ht="15">
      <c r="A1311" s="211" t="s">
        <v>159</v>
      </c>
      <c r="B1311" s="148" t="s">
        <v>333</v>
      </c>
      <c r="C1311" s="707">
        <f>CEILING(60*$Z$1,0.1)</f>
        <v>75</v>
      </c>
      <c r="D1311" s="747"/>
      <c r="E1311" s="703">
        <f>CEILING(70*$Z$1,0.1)</f>
        <v>87.5</v>
      </c>
      <c r="F1311" s="704"/>
      <c r="G1311" s="703">
        <f>CEILING(65*$Z$1,0.1)</f>
        <v>81.30000000000001</v>
      </c>
      <c r="H1311" s="704"/>
      <c r="I1311" s="703">
        <f>CEILING(55*$Z$1,0.1)</f>
        <v>68.8</v>
      </c>
      <c r="J1311" s="704"/>
      <c r="K1311" s="282"/>
      <c r="L1311" s="282"/>
      <c r="M1311" s="48"/>
      <c r="N1311" s="48"/>
    </row>
    <row r="1312" spans="1:14" ht="22.5" customHeight="1">
      <c r="A1312" s="37" t="s">
        <v>51</v>
      </c>
      <c r="B1312" s="13" t="s">
        <v>334</v>
      </c>
      <c r="C1312" s="707">
        <f>CEILING((C1311+40*$Z$1),0.1)</f>
        <v>125</v>
      </c>
      <c r="D1312" s="747"/>
      <c r="E1312" s="707">
        <f>CEILING((E1311+40*$Z$1),0.1)</f>
        <v>137.5</v>
      </c>
      <c r="F1312" s="708"/>
      <c r="G1312" s="707">
        <f>CEILING((G1311+40*$Z$1),0.1)</f>
        <v>131.3</v>
      </c>
      <c r="H1312" s="708"/>
      <c r="I1312" s="707">
        <f>CEILING((I1311+40*$Z$1),0.1)</f>
        <v>118.80000000000001</v>
      </c>
      <c r="J1312" s="708"/>
      <c r="K1312" s="284"/>
      <c r="L1312" s="282"/>
      <c r="M1312" s="48"/>
      <c r="N1312" s="48"/>
    </row>
    <row r="1313" spans="1:14" ht="15.75" customHeight="1">
      <c r="A1313" s="37"/>
      <c r="B1313" s="132" t="s">
        <v>86</v>
      </c>
      <c r="C1313" s="707">
        <f>CEILING((C1311*0.85),0.1)</f>
        <v>63.800000000000004</v>
      </c>
      <c r="D1313" s="708"/>
      <c r="E1313" s="707">
        <v>74.4</v>
      </c>
      <c r="F1313" s="708"/>
      <c r="G1313" s="707">
        <f>CEILING((G1311*0.85),0.1)</f>
        <v>69.2</v>
      </c>
      <c r="H1313" s="708"/>
      <c r="I1313" s="707">
        <f>CEILING((I1311*0.85),0.1)</f>
        <v>58.5</v>
      </c>
      <c r="J1313" s="708"/>
      <c r="K1313" s="284"/>
      <c r="L1313" s="282"/>
      <c r="M1313" s="48"/>
      <c r="N1313" s="48"/>
    </row>
    <row r="1314" spans="1:14" ht="15.75" customHeight="1">
      <c r="A1314" s="92"/>
      <c r="B1314" s="132" t="s">
        <v>85</v>
      </c>
      <c r="C1314" s="707">
        <f>CEILING((C1311*0.5),0.1)</f>
        <v>37.5</v>
      </c>
      <c r="D1314" s="708"/>
      <c r="E1314" s="707">
        <f>CEILING((E1311*0.5),0.1)</f>
        <v>43.800000000000004</v>
      </c>
      <c r="F1314" s="708"/>
      <c r="G1314" s="707">
        <f>CEILING((G1311*0.5),0.1)</f>
        <v>40.7</v>
      </c>
      <c r="H1314" s="708"/>
      <c r="I1314" s="707">
        <f>CEILING((I1311*0.5),0.1)</f>
        <v>34.4</v>
      </c>
      <c r="J1314" s="708"/>
      <c r="K1314" s="284"/>
      <c r="L1314" s="282"/>
      <c r="M1314" s="48"/>
      <c r="N1314" s="48"/>
    </row>
    <row r="1315" spans="1:14" ht="15.75" customHeight="1" thickBot="1">
      <c r="A1315" s="238" t="s">
        <v>510</v>
      </c>
      <c r="B1315" s="40" t="s">
        <v>654</v>
      </c>
      <c r="C1315" s="711">
        <v>0.05</v>
      </c>
      <c r="D1315" s="712"/>
      <c r="E1315" s="711">
        <v>0.05</v>
      </c>
      <c r="F1315" s="712"/>
      <c r="G1315" s="711">
        <v>0.05</v>
      </c>
      <c r="H1315" s="712"/>
      <c r="I1315" s="711">
        <v>0.05</v>
      </c>
      <c r="J1315" s="712"/>
      <c r="K1315" s="284"/>
      <c r="L1315" s="282"/>
      <c r="M1315" s="48"/>
      <c r="N1315" s="48"/>
    </row>
    <row r="1316" spans="1:14" ht="15" customHeight="1" thickTop="1">
      <c r="A1316" s="170" t="s">
        <v>653</v>
      </c>
      <c r="B1316" s="357"/>
      <c r="C1316" s="357"/>
      <c r="D1316" s="357"/>
      <c r="E1316" s="357"/>
      <c r="F1316" s="357"/>
      <c r="G1316" s="357"/>
      <c r="H1316" s="357"/>
      <c r="I1316" s="357"/>
      <c r="J1316" s="357"/>
      <c r="K1316" s="284"/>
      <c r="L1316" s="282"/>
      <c r="M1316" s="48"/>
      <c r="N1316" s="48"/>
    </row>
    <row r="1317" spans="1:14" ht="15.75" thickBot="1">
      <c r="A1317" s="444" t="s">
        <v>899</v>
      </c>
      <c r="B1317" s="412"/>
      <c r="C1317" s="357"/>
      <c r="D1317" s="357"/>
      <c r="E1317" s="357"/>
      <c r="F1317" s="357"/>
      <c r="G1317" s="357"/>
      <c r="H1317" s="357"/>
      <c r="I1317" s="357"/>
      <c r="J1317" s="357"/>
      <c r="K1317" s="379"/>
      <c r="L1317" s="104"/>
      <c r="M1317" s="48"/>
      <c r="N1317" s="48"/>
    </row>
    <row r="1318" spans="1:14" ht="21.75" customHeight="1" thickTop="1">
      <c r="A1318" s="476" t="s">
        <v>49</v>
      </c>
      <c r="B1318" s="462" t="s">
        <v>111</v>
      </c>
      <c r="C1318" s="815" t="s">
        <v>884</v>
      </c>
      <c r="D1318" s="816"/>
      <c r="E1318" s="726" t="s">
        <v>885</v>
      </c>
      <c r="F1318" s="727"/>
      <c r="G1318" s="730" t="s">
        <v>901</v>
      </c>
      <c r="H1318" s="731"/>
      <c r="I1318" s="730" t="s">
        <v>888</v>
      </c>
      <c r="J1318" s="731"/>
      <c r="K1318" s="291"/>
      <c r="L1318" s="104"/>
      <c r="M1318" s="48"/>
      <c r="N1318" s="48"/>
    </row>
    <row r="1319" spans="1:14" ht="24.75" customHeight="1">
      <c r="A1319" s="85" t="s">
        <v>597</v>
      </c>
      <c r="B1319" s="138" t="s">
        <v>599</v>
      </c>
      <c r="C1319" s="703">
        <f>CEILING(29*$Z$1,0.1)</f>
        <v>36.300000000000004</v>
      </c>
      <c r="D1319" s="764"/>
      <c r="E1319" s="703">
        <f>CEILING(46*$Z$1,0.1)</f>
        <v>57.5</v>
      </c>
      <c r="F1319" s="704"/>
      <c r="G1319" s="703">
        <f>CEILING(35*$Z$1,0.1)</f>
        <v>43.800000000000004</v>
      </c>
      <c r="H1319" s="704"/>
      <c r="I1319" s="703">
        <f>CEILING(35*$Z$1,0.1)</f>
        <v>43.800000000000004</v>
      </c>
      <c r="J1319" s="704"/>
      <c r="K1319" s="379"/>
      <c r="L1319" s="104"/>
      <c r="M1319" s="48"/>
      <c r="N1319" s="48"/>
    </row>
    <row r="1320" spans="1:14" ht="15">
      <c r="A1320" s="30" t="s">
        <v>65</v>
      </c>
      <c r="B1320" s="31" t="s">
        <v>600</v>
      </c>
      <c r="C1320" s="707">
        <f>CEILING(37.7*$Z$1,0.1)</f>
        <v>47.2</v>
      </c>
      <c r="D1320" s="747"/>
      <c r="E1320" s="707">
        <f>CEILING(60*$Z$1,0.1)</f>
        <v>75</v>
      </c>
      <c r="F1320" s="708"/>
      <c r="G1320" s="707">
        <f>CEILING(45.5*$Z$1,0.1)</f>
        <v>56.900000000000006</v>
      </c>
      <c r="H1320" s="708"/>
      <c r="I1320" s="707">
        <f>CEILING(45.5*$Z$1,0.1)</f>
        <v>56.900000000000006</v>
      </c>
      <c r="J1320" s="708"/>
      <c r="K1320" s="379"/>
      <c r="L1320" s="104"/>
      <c r="M1320" s="48"/>
      <c r="N1320" s="48"/>
    </row>
    <row r="1321" spans="1:14" ht="15">
      <c r="A1321" s="37"/>
      <c r="B1321" s="14" t="s">
        <v>100</v>
      </c>
      <c r="C1321" s="714">
        <v>0</v>
      </c>
      <c r="D1321" s="753"/>
      <c r="E1321" s="707">
        <v>0</v>
      </c>
      <c r="F1321" s="708"/>
      <c r="G1321" s="707">
        <v>0</v>
      </c>
      <c r="H1321" s="708"/>
      <c r="I1321" s="714">
        <v>0</v>
      </c>
      <c r="J1321" s="715"/>
      <c r="K1321" s="379"/>
      <c r="L1321" s="104"/>
      <c r="M1321" s="48"/>
      <c r="N1321" s="48"/>
    </row>
    <row r="1322" spans="1:14" ht="15">
      <c r="A1322" s="37"/>
      <c r="B1322" s="12" t="s">
        <v>601</v>
      </c>
      <c r="C1322" s="707">
        <f>CEILING(32*$Z$1,0.1)</f>
        <v>40</v>
      </c>
      <c r="D1322" s="747"/>
      <c r="E1322" s="707">
        <f>CEILING(51*$Z$1,0.1)</f>
        <v>63.800000000000004</v>
      </c>
      <c r="F1322" s="708"/>
      <c r="G1322" s="707">
        <f>CEILING(39*$Z$1,0.1)</f>
        <v>48.800000000000004</v>
      </c>
      <c r="H1322" s="708"/>
      <c r="I1322" s="707">
        <f>CEILING(39*$Z$1,0.1)</f>
        <v>48.800000000000004</v>
      </c>
      <c r="J1322" s="708"/>
      <c r="K1322" s="379"/>
      <c r="L1322" s="104"/>
      <c r="M1322" s="48"/>
      <c r="N1322" s="48"/>
    </row>
    <row r="1323" spans="1:14" ht="15.75" thickBot="1">
      <c r="A1323" s="87" t="s">
        <v>598</v>
      </c>
      <c r="B1323" s="45" t="s">
        <v>602</v>
      </c>
      <c r="C1323" s="720">
        <f>CEILING(43.2*$Z$1,0.1)</f>
        <v>54</v>
      </c>
      <c r="D1323" s="824"/>
      <c r="E1323" s="720">
        <f>CEILING(64*$Z$1,0.1)</f>
        <v>80</v>
      </c>
      <c r="F1323" s="721"/>
      <c r="G1323" s="720">
        <f>CEILING(52.7*$Z$1,0.1)</f>
        <v>65.9</v>
      </c>
      <c r="H1323" s="721"/>
      <c r="I1323" s="720">
        <f>CEILING(52.7*$Z$1,0.1)</f>
        <v>65.9</v>
      </c>
      <c r="J1323" s="721"/>
      <c r="K1323" s="379"/>
      <c r="L1323" s="104"/>
      <c r="M1323" s="48"/>
      <c r="N1323" s="48"/>
    </row>
    <row r="1324" spans="1:14" ht="15.75" thickTop="1">
      <c r="A1324" s="117" t="s">
        <v>603</v>
      </c>
      <c r="B1324" s="357"/>
      <c r="C1324" s="357"/>
      <c r="D1324" s="357"/>
      <c r="E1324" s="357"/>
      <c r="F1324" s="357"/>
      <c r="G1324" s="357"/>
      <c r="H1324" s="357"/>
      <c r="I1324" s="357"/>
      <c r="J1324" s="357"/>
      <c r="K1324" s="379"/>
      <c r="L1324" s="104"/>
      <c r="M1324" s="48"/>
      <c r="N1324" s="48"/>
    </row>
    <row r="1325" spans="1:16" ht="22.5" customHeight="1" thickBot="1">
      <c r="A1325" s="55"/>
      <c r="B1325" s="56"/>
      <c r="C1325" s="2"/>
      <c r="D1325" s="2"/>
      <c r="E1325" s="2"/>
      <c r="F1325" s="2"/>
      <c r="G1325" s="2"/>
      <c r="H1325" s="2"/>
      <c r="I1325" s="1"/>
      <c r="J1325" s="1140"/>
      <c r="K1325" s="104"/>
      <c r="L1325" s="104"/>
      <c r="M1325" s="48"/>
      <c r="N1325" s="48"/>
      <c r="O1325" s="1032"/>
      <c r="P1325" s="1032"/>
    </row>
    <row r="1326" spans="1:16" ht="27" customHeight="1" thickTop="1">
      <c r="A1326" s="476" t="s">
        <v>49</v>
      </c>
      <c r="B1326" s="462" t="s">
        <v>111</v>
      </c>
      <c r="C1326" s="815" t="s">
        <v>884</v>
      </c>
      <c r="D1326" s="816"/>
      <c r="E1326" s="726" t="s">
        <v>885</v>
      </c>
      <c r="F1326" s="727"/>
      <c r="G1326" s="730" t="s">
        <v>901</v>
      </c>
      <c r="H1326" s="731"/>
      <c r="I1326" s="730" t="s">
        <v>888</v>
      </c>
      <c r="J1326" s="731"/>
      <c r="K1326" s="104"/>
      <c r="L1326" s="104"/>
      <c r="M1326" s="48"/>
      <c r="N1326" s="48"/>
      <c r="O1326" s="1032"/>
      <c r="P1326" s="1032"/>
    </row>
    <row r="1327" spans="1:16" ht="15">
      <c r="A1327" s="139" t="s">
        <v>604</v>
      </c>
      <c r="B1327" s="31" t="s">
        <v>57</v>
      </c>
      <c r="C1327" s="703">
        <f>CEILING(40*$Z$1,0.1)</f>
        <v>50</v>
      </c>
      <c r="D1327" s="764"/>
      <c r="E1327" s="703">
        <f>CEILING(62*$Z$1,0.1)</f>
        <v>77.5</v>
      </c>
      <c r="F1327" s="704"/>
      <c r="G1327" s="703">
        <f>CEILING(46*$Z$1,0.1)</f>
        <v>57.5</v>
      </c>
      <c r="H1327" s="704"/>
      <c r="I1327" s="703">
        <f>CEILING(46*$Z$1,0.1)</f>
        <v>57.5</v>
      </c>
      <c r="J1327" s="704"/>
      <c r="K1327" s="291"/>
      <c r="L1327" s="104"/>
      <c r="M1327" s="22"/>
      <c r="N1327" s="22"/>
      <c r="O1327" s="1032"/>
      <c r="P1327" s="1032"/>
    </row>
    <row r="1328" spans="1:14" ht="17.25" customHeight="1">
      <c r="A1328" s="30" t="s">
        <v>65</v>
      </c>
      <c r="B1328" s="31" t="s">
        <v>58</v>
      </c>
      <c r="C1328" s="707">
        <v>67.5</v>
      </c>
      <c r="D1328" s="747"/>
      <c r="E1328" s="707">
        <f>CEILING(83.7*$Z$1,0.1)</f>
        <v>104.7</v>
      </c>
      <c r="F1328" s="708"/>
      <c r="G1328" s="707">
        <f>CEILING(62.1*$Z$1,0.1)</f>
        <v>77.7</v>
      </c>
      <c r="H1328" s="708"/>
      <c r="I1328" s="707">
        <f>CEILING(62.1*$Z$1,0.1)</f>
        <v>77.7</v>
      </c>
      <c r="J1328" s="708"/>
      <c r="K1328" s="291"/>
      <c r="L1328" s="291"/>
      <c r="M1328" s="192"/>
      <c r="N1328" s="192"/>
    </row>
    <row r="1329" spans="1:14" ht="15.75" customHeight="1">
      <c r="A1329" s="30"/>
      <c r="B1329" s="14" t="s">
        <v>100</v>
      </c>
      <c r="C1329" s="714">
        <v>0</v>
      </c>
      <c r="D1329" s="753"/>
      <c r="E1329" s="707">
        <f>CEILING((E1327*0.5),0.1)</f>
        <v>38.800000000000004</v>
      </c>
      <c r="F1329" s="708"/>
      <c r="G1329" s="707">
        <f>CEILING((G1327*0.5),0.1)</f>
        <v>28.8</v>
      </c>
      <c r="H1329" s="708"/>
      <c r="I1329" s="714">
        <v>28.8</v>
      </c>
      <c r="J1329" s="715"/>
      <c r="K1329" s="291"/>
      <c r="L1329" s="291"/>
      <c r="M1329" s="192"/>
      <c r="N1329" s="192"/>
    </row>
    <row r="1330" spans="1:13" ht="15" customHeight="1">
      <c r="A1330" s="30"/>
      <c r="B1330" s="12" t="s">
        <v>423</v>
      </c>
      <c r="C1330" s="707">
        <f>CEILING(46*$Z$1,0.1)</f>
        <v>57.5</v>
      </c>
      <c r="D1330" s="747"/>
      <c r="E1330" s="707">
        <f>CEILING(71*$Z$1,0.1)</f>
        <v>88.80000000000001</v>
      </c>
      <c r="F1330" s="708"/>
      <c r="G1330" s="707">
        <f>CEILING(53*$Z$1,0.1)</f>
        <v>66.3</v>
      </c>
      <c r="H1330" s="708"/>
      <c r="I1330" s="707">
        <f>CEILING(53*$Z$1,0.1)</f>
        <v>66.3</v>
      </c>
      <c r="J1330" s="708"/>
      <c r="K1330" s="291"/>
      <c r="L1330" s="291"/>
      <c r="M1330" s="992"/>
    </row>
    <row r="1331" spans="1:31" ht="15.75" thickBot="1">
      <c r="A1331" s="87" t="s">
        <v>598</v>
      </c>
      <c r="B1331" s="45" t="s">
        <v>52</v>
      </c>
      <c r="C1331" s="720">
        <f>CEILING(62.1*$Z$1,0.1)</f>
        <v>77.7</v>
      </c>
      <c r="D1331" s="824"/>
      <c r="E1331" s="720">
        <f>CEILING(95.9*$Z$1,0.1)</f>
        <v>119.9</v>
      </c>
      <c r="F1331" s="721"/>
      <c r="G1331" s="720">
        <f>CEILING(71.6*$Z$1,0.1)</f>
        <v>89.5</v>
      </c>
      <c r="H1331" s="721"/>
      <c r="I1331" s="720">
        <f>CEILING(71.6*$Z$1,0.1)</f>
        <v>89.5</v>
      </c>
      <c r="J1331" s="721"/>
      <c r="K1331" s="291"/>
      <c r="L1331" s="291"/>
      <c r="M1331" s="992"/>
      <c r="S1331" s="22"/>
      <c r="T1331" s="22"/>
      <c r="Z1331" s="992"/>
      <c r="AA1331" s="992"/>
      <c r="AB1331" s="992"/>
      <c r="AC1331" s="992"/>
      <c r="AD1331" s="992"/>
      <c r="AE1331" s="992"/>
    </row>
    <row r="1332" spans="1:27" ht="16.5" thickBot="1" thickTop="1">
      <c r="A1332" s="79"/>
      <c r="B1332" s="149"/>
      <c r="C1332" s="665"/>
      <c r="D1332" s="665"/>
      <c r="E1332" s="665"/>
      <c r="F1332" s="665"/>
      <c r="G1332" s="665"/>
      <c r="H1332" s="665"/>
      <c r="I1332" s="656"/>
      <c r="J1332" s="656"/>
      <c r="K1332" s="291"/>
      <c r="L1332" s="291"/>
      <c r="M1332" s="992"/>
      <c r="Z1332" s="992"/>
      <c r="AA1332" s="992"/>
    </row>
    <row r="1333" spans="1:27" ht="15.75" thickTop="1">
      <c r="A1333" s="476" t="s">
        <v>49</v>
      </c>
      <c r="B1333" s="462" t="s">
        <v>111</v>
      </c>
      <c r="C1333" s="815" t="s">
        <v>884</v>
      </c>
      <c r="D1333" s="816"/>
      <c r="E1333" s="726" t="s">
        <v>965</v>
      </c>
      <c r="F1333" s="727"/>
      <c r="G1333" s="730" t="s">
        <v>918</v>
      </c>
      <c r="H1333" s="731"/>
      <c r="I1333" s="730" t="s">
        <v>888</v>
      </c>
      <c r="J1333" s="731"/>
      <c r="K1333" s="291"/>
      <c r="L1333" s="291"/>
      <c r="M1333" s="992"/>
      <c r="Z1333" s="992"/>
      <c r="AA1333" s="992"/>
    </row>
    <row r="1334" spans="1:27" ht="15">
      <c r="A1334" s="139" t="s">
        <v>605</v>
      </c>
      <c r="B1334" s="31" t="s">
        <v>57</v>
      </c>
      <c r="C1334" s="703">
        <f>CEILING(44*$Z$1,0.1)</f>
        <v>55</v>
      </c>
      <c r="D1334" s="764"/>
      <c r="E1334" s="703">
        <f>CEILING(71*$Z$1,0.1)</f>
        <v>88.80000000000001</v>
      </c>
      <c r="F1334" s="704"/>
      <c r="G1334" s="703">
        <f>CEILING(53*$Z$1,0.1)</f>
        <v>66.3</v>
      </c>
      <c r="H1334" s="704"/>
      <c r="I1334" s="703">
        <f>CEILING(53*$Z$1,0.1)</f>
        <v>66.3</v>
      </c>
      <c r="J1334" s="704"/>
      <c r="K1334" s="291"/>
      <c r="L1334" s="291"/>
      <c r="M1334" s="992"/>
      <c r="Z1334" s="992"/>
      <c r="AA1334" s="992"/>
    </row>
    <row r="1335" spans="1:27" ht="23.25" customHeight="1">
      <c r="A1335" s="30" t="s">
        <v>65</v>
      </c>
      <c r="B1335" s="31" t="s">
        <v>58</v>
      </c>
      <c r="C1335" s="707">
        <f>CEILING(57.2*$Z$1,0.1)</f>
        <v>71.5</v>
      </c>
      <c r="D1335" s="747"/>
      <c r="E1335" s="707">
        <f>CEILING(92.3*$Z$1,0.1)</f>
        <v>115.4</v>
      </c>
      <c r="F1335" s="708"/>
      <c r="G1335" s="707">
        <f>CEILING(68.9*$Z$1,0.1)</f>
        <v>86.2</v>
      </c>
      <c r="H1335" s="708"/>
      <c r="I1335" s="707">
        <v>86.2</v>
      </c>
      <c r="J1335" s="708"/>
      <c r="K1335" s="291"/>
      <c r="L1335" s="291"/>
      <c r="M1335" s="1032"/>
      <c r="N1335" s="1032"/>
      <c r="O1335" s="1032"/>
      <c r="Z1335" s="992"/>
      <c r="AA1335" s="992"/>
    </row>
    <row r="1336" spans="1:27" ht="15">
      <c r="A1336" s="30"/>
      <c r="B1336" s="14" t="s">
        <v>100</v>
      </c>
      <c r="C1336" s="707">
        <v>0</v>
      </c>
      <c r="D1336" s="747"/>
      <c r="E1336" s="707">
        <f>CEILING((E1334*0.5),0.1)</f>
        <v>44.400000000000006</v>
      </c>
      <c r="F1336" s="708"/>
      <c r="G1336" s="707">
        <f>CEILING((G1334*0.5),0.1)</f>
        <v>33.2</v>
      </c>
      <c r="H1336" s="708"/>
      <c r="I1336" s="707">
        <v>33.2</v>
      </c>
      <c r="J1336" s="708"/>
      <c r="K1336" s="291"/>
      <c r="L1336" s="291"/>
      <c r="M1336" s="1140"/>
      <c r="N1336" s="1032"/>
      <c r="O1336" s="1032"/>
      <c r="Z1336" s="992"/>
      <c r="AA1336" s="992"/>
    </row>
    <row r="1337" spans="1:25" ht="15">
      <c r="A1337" s="30"/>
      <c r="B1337" s="12" t="s">
        <v>423</v>
      </c>
      <c r="C1337" s="707">
        <f>CEILING(51*$Z$1,0.1)</f>
        <v>63.800000000000004</v>
      </c>
      <c r="D1337" s="747"/>
      <c r="E1337" s="707">
        <f>CEILING(82*$Z$1,0.1)</f>
        <v>102.5</v>
      </c>
      <c r="F1337" s="708"/>
      <c r="G1337" s="707">
        <f>CEILING(61*$Z$1,0.1)</f>
        <v>76.3</v>
      </c>
      <c r="H1337" s="708"/>
      <c r="I1337" s="707">
        <f>CEILING(61*$Z$1,0.1)</f>
        <v>76.3</v>
      </c>
      <c r="J1337" s="708"/>
      <c r="K1337" s="104"/>
      <c r="L1337" s="291"/>
      <c r="M1337" s="1105"/>
      <c r="N1337" s="1032"/>
      <c r="O1337" s="1032"/>
      <c r="W1337" s="993"/>
      <c r="X1337" s="993"/>
      <c r="Y1337" s="993"/>
    </row>
    <row r="1338" spans="1:25" ht="15.75" thickBot="1">
      <c r="A1338" s="87" t="s">
        <v>598</v>
      </c>
      <c r="B1338" s="45" t="s">
        <v>52</v>
      </c>
      <c r="C1338" s="720">
        <f>CEILING(63.8*$Z$1,0.1)</f>
        <v>79.80000000000001</v>
      </c>
      <c r="D1338" s="824"/>
      <c r="E1338" s="720">
        <f>CEILING(106.6*$Z$1,0.1)</f>
        <v>133.3</v>
      </c>
      <c r="F1338" s="721"/>
      <c r="G1338" s="720">
        <f>CEILING(79.3*$Z$1,0.1)</f>
        <v>99.2</v>
      </c>
      <c r="H1338" s="721"/>
      <c r="I1338" s="720">
        <f>CEILING(79.3*$Z$1,0.1)</f>
        <v>99.2</v>
      </c>
      <c r="J1338" s="721"/>
      <c r="K1338" s="286"/>
      <c r="L1338" s="104"/>
      <c r="M1338" s="1105"/>
      <c r="N1338" s="1032"/>
      <c r="O1338" s="1032"/>
      <c r="P1338" s="829"/>
      <c r="Q1338" s="829"/>
      <c r="R1338" s="172"/>
      <c r="S1338" s="172"/>
      <c r="W1338" s="993"/>
      <c r="X1338" s="993"/>
      <c r="Y1338" s="993"/>
    </row>
    <row r="1339" spans="1:25" ht="16.5" thickBot="1" thickTop="1">
      <c r="A1339" s="123"/>
      <c r="B1339" s="123"/>
      <c r="C1339" s="123"/>
      <c r="D1339" s="123"/>
      <c r="E1339" s="123"/>
      <c r="F1339" s="123"/>
      <c r="G1339" s="123"/>
      <c r="H1339" s="123"/>
      <c r="I1339" s="676"/>
      <c r="J1339" s="1105"/>
      <c r="K1339" s="286"/>
      <c r="L1339" s="286"/>
      <c r="M1339" s="1105"/>
      <c r="N1339" s="1032"/>
      <c r="O1339" s="1032"/>
      <c r="P1339" s="17"/>
      <c r="Q1339" s="17"/>
      <c r="R1339" s="17"/>
      <c r="S1339" s="17"/>
      <c r="W1339" s="993"/>
      <c r="X1339" s="993"/>
      <c r="Y1339" s="993"/>
    </row>
    <row r="1340" spans="1:25" ht="15.75" thickTop="1">
      <c r="A1340" s="476" t="s">
        <v>49</v>
      </c>
      <c r="B1340" s="486" t="s">
        <v>115</v>
      </c>
      <c r="C1340" s="815" t="s">
        <v>884</v>
      </c>
      <c r="D1340" s="816"/>
      <c r="E1340" s="726" t="s">
        <v>970</v>
      </c>
      <c r="F1340" s="727"/>
      <c r="G1340" s="730" t="s">
        <v>888</v>
      </c>
      <c r="H1340" s="731"/>
      <c r="I1340" s="822"/>
      <c r="J1340" s="823"/>
      <c r="K1340" s="286"/>
      <c r="L1340" s="286"/>
      <c r="M1340" s="1105"/>
      <c r="N1340" s="1032"/>
      <c r="O1340" s="1032"/>
      <c r="P1340" s="17"/>
      <c r="Q1340" s="17"/>
      <c r="R1340" s="17"/>
      <c r="S1340" s="17"/>
      <c r="W1340" s="993"/>
      <c r="X1340" s="993"/>
      <c r="Y1340" s="993"/>
    </row>
    <row r="1341" spans="1:25" ht="15">
      <c r="A1341" s="85" t="s">
        <v>160</v>
      </c>
      <c r="B1341" s="138" t="s">
        <v>57</v>
      </c>
      <c r="C1341" s="703">
        <f>CEILING(38*$Z$1,0.1)</f>
        <v>47.5</v>
      </c>
      <c r="D1341" s="764"/>
      <c r="E1341" s="703">
        <f>CEILING(40*$Z$1,0.1)</f>
        <v>50</v>
      </c>
      <c r="F1341" s="704"/>
      <c r="G1341" s="703">
        <f>CEILING(38*$Z$1,0.1)</f>
        <v>47.5</v>
      </c>
      <c r="H1341" s="704"/>
      <c r="I1341" s="714"/>
      <c r="J1341" s="753"/>
      <c r="K1341" s="1064"/>
      <c r="L1341" s="1064"/>
      <c r="M1341" s="1105"/>
      <c r="N1341" s="1032"/>
      <c r="O1341" s="1032"/>
      <c r="P1341" s="3"/>
      <c r="Q1341" s="3"/>
      <c r="R1341" s="3"/>
      <c r="S1341" s="3"/>
      <c r="W1341" s="993"/>
      <c r="X1341" s="993"/>
      <c r="Y1341" s="993"/>
    </row>
    <row r="1342" spans="1:25" ht="15">
      <c r="A1342" s="67"/>
      <c r="B1342" s="31" t="s">
        <v>58</v>
      </c>
      <c r="C1342" s="707">
        <f>CEILING(48*$Z$1,0.1)</f>
        <v>60</v>
      </c>
      <c r="D1342" s="747"/>
      <c r="E1342" s="707">
        <f>CEILING(50*$Z$1,0.1)</f>
        <v>62.5</v>
      </c>
      <c r="F1342" s="708"/>
      <c r="G1342" s="707">
        <f>CEILING(48*$Z$1,0.1)</f>
        <v>60</v>
      </c>
      <c r="H1342" s="708"/>
      <c r="I1342" s="714"/>
      <c r="J1342" s="753"/>
      <c r="K1342" s="1064"/>
      <c r="L1342" s="1064"/>
      <c r="M1342" s="1105"/>
      <c r="N1342" s="1032"/>
      <c r="O1342" s="1032"/>
      <c r="P1342" s="3"/>
      <c r="Q1342" s="3"/>
      <c r="R1342" s="3"/>
      <c r="S1342" s="3"/>
      <c r="W1342" s="993"/>
      <c r="X1342" s="993"/>
      <c r="Y1342" s="993"/>
    </row>
    <row r="1343" spans="1:25" ht="15">
      <c r="A1343" s="30" t="s">
        <v>65</v>
      </c>
      <c r="B1343" s="38" t="s">
        <v>53</v>
      </c>
      <c r="C1343" s="707">
        <f>CEILING(30*$Z$1,0.1)</f>
        <v>37.5</v>
      </c>
      <c r="D1343" s="747"/>
      <c r="E1343" s="707">
        <f>CEILING(36*$Z$1,0.1)</f>
        <v>45</v>
      </c>
      <c r="F1343" s="708"/>
      <c r="G1343" s="707">
        <f>CEILING(30*$Z$1,0.1)</f>
        <v>37.5</v>
      </c>
      <c r="H1343" s="708"/>
      <c r="I1343" s="714"/>
      <c r="J1343" s="753"/>
      <c r="K1343" s="1064"/>
      <c r="L1343" s="1064"/>
      <c r="M1343" s="1105"/>
      <c r="N1343" s="1032"/>
      <c r="O1343" s="1032"/>
      <c r="P1343" s="3"/>
      <c r="Q1343" s="3"/>
      <c r="R1343" s="3"/>
      <c r="S1343" s="3"/>
      <c r="W1343" s="993"/>
      <c r="X1343" s="993"/>
      <c r="Y1343" s="993"/>
    </row>
    <row r="1344" spans="1:25" ht="18.75" customHeight="1">
      <c r="A1344" s="37"/>
      <c r="B1344" s="138" t="s">
        <v>962</v>
      </c>
      <c r="C1344" s="714">
        <v>0</v>
      </c>
      <c r="D1344" s="753"/>
      <c r="E1344" s="714">
        <v>0</v>
      </c>
      <c r="F1344" s="715"/>
      <c r="G1344" s="714">
        <v>0</v>
      </c>
      <c r="H1344" s="715"/>
      <c r="I1344" s="714"/>
      <c r="J1344" s="753"/>
      <c r="K1344" s="1064"/>
      <c r="L1344" s="1064"/>
      <c r="M1344" s="1105"/>
      <c r="N1344" s="1032"/>
      <c r="O1344" s="1032"/>
      <c r="P1344" s="3"/>
      <c r="Q1344" s="3"/>
      <c r="R1344" s="3"/>
      <c r="S1344" s="3"/>
      <c r="W1344" s="993"/>
      <c r="X1344" s="993"/>
      <c r="Y1344" s="993"/>
    </row>
    <row r="1345" spans="1:25" ht="18.75" customHeight="1">
      <c r="A1345" s="37"/>
      <c r="B1345" s="12" t="s">
        <v>161</v>
      </c>
      <c r="C1345" s="707">
        <f>CEILING(43*$Z$1,0.1)</f>
        <v>53.800000000000004</v>
      </c>
      <c r="D1345" s="747"/>
      <c r="E1345" s="707">
        <f>CEILING(45*$Z$1,0.1)</f>
        <v>56.300000000000004</v>
      </c>
      <c r="F1345" s="708"/>
      <c r="G1345" s="707">
        <f>CEILING(43*$Z$1,0.1)</f>
        <v>53.800000000000004</v>
      </c>
      <c r="H1345" s="708"/>
      <c r="I1345" s="652"/>
      <c r="J1345" s="653"/>
      <c r="K1345" s="1064"/>
      <c r="L1345" s="1064"/>
      <c r="M1345" s="1105"/>
      <c r="N1345" s="1032"/>
      <c r="O1345" s="1032"/>
      <c r="P1345" s="3"/>
      <c r="Q1345" s="3"/>
      <c r="R1345" s="3"/>
      <c r="S1345" s="3"/>
      <c r="W1345" s="993"/>
      <c r="X1345" s="993"/>
      <c r="Y1345" s="993"/>
    </row>
    <row r="1346" spans="1:25" ht="15.75" thickBot="1">
      <c r="A1346" s="87" t="s">
        <v>499</v>
      </c>
      <c r="B1346" s="45" t="s">
        <v>162</v>
      </c>
      <c r="C1346" s="720">
        <f>CEILING(53*$Z$1,0.1)</f>
        <v>66.3</v>
      </c>
      <c r="D1346" s="824"/>
      <c r="E1346" s="720">
        <f>CEILING(55*$Z$1,0.1)</f>
        <v>68.8</v>
      </c>
      <c r="F1346" s="721"/>
      <c r="G1346" s="720">
        <f>CEILING(53*$Z$1,0.1)</f>
        <v>66.3</v>
      </c>
      <c r="H1346" s="721"/>
      <c r="I1346" s="714"/>
      <c r="J1346" s="753"/>
      <c r="K1346" s="1064"/>
      <c r="L1346" s="1064"/>
      <c r="M1346" s="1105"/>
      <c r="N1346" s="1032"/>
      <c r="O1346" s="1032"/>
      <c r="P1346" s="3"/>
      <c r="Q1346" s="3"/>
      <c r="R1346" s="3"/>
      <c r="S1346" s="3"/>
      <c r="W1346" s="993"/>
      <c r="X1346" s="993"/>
      <c r="Y1346" s="993"/>
    </row>
    <row r="1347" spans="1:25" ht="15.75" thickTop="1">
      <c r="A1347" s="327" t="s">
        <v>1005</v>
      </c>
      <c r="B1347" s="47"/>
      <c r="C1347" s="653"/>
      <c r="D1347" s="653"/>
      <c r="E1347" s="653"/>
      <c r="F1347" s="653"/>
      <c r="G1347" s="653"/>
      <c r="H1347" s="653"/>
      <c r="I1347" s="653"/>
      <c r="J1347" s="653"/>
      <c r="K1347" s="1064"/>
      <c r="L1347" s="1064"/>
      <c r="M1347" s="1105"/>
      <c r="N1347" s="1032"/>
      <c r="O1347" s="1032"/>
      <c r="P1347" s="3"/>
      <c r="Q1347" s="3"/>
      <c r="R1347" s="3"/>
      <c r="S1347" s="3"/>
      <c r="W1347" s="993"/>
      <c r="X1347" s="993"/>
      <c r="Y1347" s="993"/>
    </row>
    <row r="1348" spans="1:25" ht="15.75" thickBot="1">
      <c r="A1348" s="79"/>
      <c r="B1348" s="56"/>
      <c r="C1348" s="2"/>
      <c r="D1348" s="2"/>
      <c r="E1348" s="2"/>
      <c r="F1348" s="2"/>
      <c r="G1348" s="2"/>
      <c r="H1348" s="2"/>
      <c r="I1348" s="3"/>
      <c r="J1348" s="183"/>
      <c r="K1348" s="1064"/>
      <c r="L1348" s="1064"/>
      <c r="P1348" s="3"/>
      <c r="Q1348" s="3"/>
      <c r="R1348" s="3"/>
      <c r="S1348" s="3"/>
      <c r="W1348" s="993"/>
      <c r="X1348" s="993"/>
      <c r="Y1348" s="993"/>
    </row>
    <row r="1349" spans="1:25" ht="15.75" thickTop="1">
      <c r="A1349" s="700" t="s">
        <v>49</v>
      </c>
      <c r="B1349" s="486" t="s">
        <v>111</v>
      </c>
      <c r="C1349" s="815" t="s">
        <v>884</v>
      </c>
      <c r="D1349" s="816"/>
      <c r="E1349" s="726" t="s">
        <v>970</v>
      </c>
      <c r="F1349" s="727"/>
      <c r="G1349" s="730" t="s">
        <v>888</v>
      </c>
      <c r="H1349" s="731"/>
      <c r="I1349" s="184"/>
      <c r="J1349" s="3"/>
      <c r="K1349" s="281"/>
      <c r="L1349" s="281"/>
      <c r="M1349" s="1032"/>
      <c r="N1349" s="1032"/>
      <c r="P1349" s="3"/>
      <c r="Q1349" s="3"/>
      <c r="R1349" s="3"/>
      <c r="S1349" s="3"/>
      <c r="W1349" s="993"/>
      <c r="X1349" s="993"/>
      <c r="Y1349" s="993"/>
    </row>
    <row r="1350" spans="1:25" ht="15">
      <c r="A1350" s="139" t="s">
        <v>23</v>
      </c>
      <c r="B1350" s="31" t="s">
        <v>57</v>
      </c>
      <c r="C1350" s="703">
        <f>CEILING(28*$Z$1,0.1)</f>
        <v>35</v>
      </c>
      <c r="D1350" s="764"/>
      <c r="E1350" s="703">
        <f>CEILING(35*$Z$1,0.1)</f>
        <v>43.800000000000004</v>
      </c>
      <c r="F1350" s="704"/>
      <c r="G1350" s="703">
        <f>CEILING(28*$Z$1,0.1)</f>
        <v>35</v>
      </c>
      <c r="H1350" s="704"/>
      <c r="I1350" s="4"/>
      <c r="J1350" s="3"/>
      <c r="K1350" s="1181"/>
      <c r="L1350" s="1181"/>
      <c r="M1350" s="308"/>
      <c r="N1350" s="308"/>
      <c r="P1350" s="3"/>
      <c r="Q1350" s="3"/>
      <c r="R1350" s="3"/>
      <c r="S1350" s="3"/>
      <c r="W1350" s="993"/>
      <c r="X1350" s="993"/>
      <c r="Y1350" s="993"/>
    </row>
    <row r="1351" spans="1:25" ht="15">
      <c r="A1351" s="30" t="s">
        <v>98</v>
      </c>
      <c r="B1351" s="31" t="s">
        <v>58</v>
      </c>
      <c r="C1351" s="707">
        <f>CEILING(34*$Z$1,0.1)</f>
        <v>42.5</v>
      </c>
      <c r="D1351" s="747"/>
      <c r="E1351" s="707">
        <f>CEILING(42*$Z$1,0.1)</f>
        <v>52.5</v>
      </c>
      <c r="F1351" s="708"/>
      <c r="G1351" s="707">
        <f>CEILING(34*$Z$1,0.1)</f>
        <v>42.5</v>
      </c>
      <c r="H1351" s="708"/>
      <c r="I1351" s="4"/>
      <c r="J1351" s="3"/>
      <c r="K1351" s="1181"/>
      <c r="L1351" s="1181"/>
      <c r="M1351" s="309"/>
      <c r="N1351" s="309"/>
      <c r="P1351" s="3"/>
      <c r="Q1351" s="3"/>
      <c r="R1351" s="3"/>
      <c r="S1351" s="3"/>
      <c r="W1351" s="993"/>
      <c r="X1351" s="993"/>
      <c r="Y1351" s="993"/>
    </row>
    <row r="1352" spans="1:25" ht="15">
      <c r="A1352" s="30"/>
      <c r="B1352" s="31" t="s">
        <v>728</v>
      </c>
      <c r="C1352" s="714">
        <v>0</v>
      </c>
      <c r="D1352" s="753"/>
      <c r="E1352" s="714">
        <v>0</v>
      </c>
      <c r="F1352" s="715"/>
      <c r="G1352" s="714">
        <v>0</v>
      </c>
      <c r="H1352" s="715"/>
      <c r="I1352" s="4"/>
      <c r="J1352" s="3"/>
      <c r="K1352" s="1181"/>
      <c r="L1352" s="1181"/>
      <c r="M1352" s="653"/>
      <c r="N1352" s="653"/>
      <c r="P1352" s="3"/>
      <c r="Q1352" s="3"/>
      <c r="R1352" s="3"/>
      <c r="S1352" s="3"/>
      <c r="W1352" s="993"/>
      <c r="X1352" s="993"/>
      <c r="Y1352" s="993"/>
    </row>
    <row r="1353" spans="1:25" ht="15.75" thickBot="1">
      <c r="A1353" s="337" t="s">
        <v>509</v>
      </c>
      <c r="B1353" s="125" t="s">
        <v>729</v>
      </c>
      <c r="C1353" s="720">
        <f>CEILING((C1350*0.7),0.1)</f>
        <v>24.5</v>
      </c>
      <c r="D1353" s="824"/>
      <c r="E1353" s="720">
        <f>CEILING((E1350*0.7),0.1)</f>
        <v>30.700000000000003</v>
      </c>
      <c r="F1353" s="721"/>
      <c r="G1353" s="720">
        <f>CEILING((G1350*0.7),0.1)</f>
        <v>24.5</v>
      </c>
      <c r="H1353" s="721"/>
      <c r="I1353" s="4"/>
      <c r="J1353" s="62"/>
      <c r="K1353" s="1181"/>
      <c r="L1353" s="1181"/>
      <c r="M1353" s="653"/>
      <c r="N1353" s="653"/>
      <c r="P1353" s="3"/>
      <c r="Q1353" s="3"/>
      <c r="R1353" s="3"/>
      <c r="S1353" s="3"/>
      <c r="W1353" s="993"/>
      <c r="X1353" s="993"/>
      <c r="Y1353" s="993"/>
    </row>
    <row r="1354" spans="1:25" ht="15.75" thickTop="1">
      <c r="A1354" s="82" t="s">
        <v>455</v>
      </c>
      <c r="B1354" s="47"/>
      <c r="C1354" s="653"/>
      <c r="D1354" s="653"/>
      <c r="E1354" s="653"/>
      <c r="F1354" s="653"/>
      <c r="G1354" s="653"/>
      <c r="H1354" s="653"/>
      <c r="I1354" s="3"/>
      <c r="J1354" s="62"/>
      <c r="K1354" s="1181"/>
      <c r="L1354" s="1181"/>
      <c r="M1354" s="653"/>
      <c r="N1354" s="653"/>
      <c r="P1354" s="3"/>
      <c r="Q1354" s="3"/>
      <c r="R1354" s="3"/>
      <c r="S1354" s="3"/>
      <c r="W1354" s="993"/>
      <c r="X1354" s="993"/>
      <c r="Y1354" s="993"/>
    </row>
    <row r="1355" spans="1:25" ht="15">
      <c r="A1355" s="240" t="s">
        <v>736</v>
      </c>
      <c r="B1355" s="240"/>
      <c r="C1355" s="240"/>
      <c r="D1355" s="240"/>
      <c r="E1355" s="240"/>
      <c r="F1355" s="240"/>
      <c r="G1355" s="240"/>
      <c r="H1355" s="240"/>
      <c r="I1355" s="62"/>
      <c r="J1355" s="62"/>
      <c r="K1355" s="1181"/>
      <c r="L1355" s="1181"/>
      <c r="M1355" s="653"/>
      <c r="N1355" s="653"/>
      <c r="P1355" s="3"/>
      <c r="Q1355" s="3"/>
      <c r="R1355" s="3"/>
      <c r="S1355" s="3"/>
      <c r="V1355" s="993"/>
      <c r="W1355" s="993"/>
      <c r="X1355" s="993"/>
      <c r="Y1355" s="993"/>
    </row>
    <row r="1356" spans="1:25" ht="15">
      <c r="A1356" s="82"/>
      <c r="B1356" s="54"/>
      <c r="C1356" s="3"/>
      <c r="D1356" s="3"/>
      <c r="E1356" s="3"/>
      <c r="F1356" s="3"/>
      <c r="G1356" s="3"/>
      <c r="H1356" s="3"/>
      <c r="I1356" s="3"/>
      <c r="J1356" s="22"/>
      <c r="K1356" s="1181"/>
      <c r="L1356" s="1181"/>
      <c r="M1356" s="653"/>
      <c r="N1356" s="653"/>
      <c r="P1356" s="3"/>
      <c r="Q1356" s="3"/>
      <c r="R1356" s="3"/>
      <c r="S1356" s="3"/>
      <c r="V1356" s="993"/>
      <c r="W1356" s="993"/>
      <c r="X1356" s="993"/>
      <c r="Y1356" s="993"/>
    </row>
    <row r="1357" spans="1:25" ht="15">
      <c r="A1357" s="1163" t="s">
        <v>1147</v>
      </c>
      <c r="B1357" s="1163"/>
      <c r="C1357" s="1163"/>
      <c r="D1357" s="1163"/>
      <c r="E1357" s="1163"/>
      <c r="F1357" s="1163"/>
      <c r="G1357" s="1163"/>
      <c r="H1357" s="1163"/>
      <c r="I1357" s="18"/>
      <c r="J1357" s="22"/>
      <c r="K1357" s="1181"/>
      <c r="L1357" s="1181"/>
      <c r="M1357" s="653"/>
      <c r="N1357" s="653"/>
      <c r="P1357" s="1032"/>
      <c r="Q1357" s="1032"/>
      <c r="R1357" s="1032"/>
      <c r="S1357" s="1032"/>
      <c r="V1357" s="993"/>
      <c r="W1357" s="993"/>
      <c r="X1357" s="993"/>
      <c r="Y1357" s="993"/>
    </row>
    <row r="1358" spans="1:25" ht="15">
      <c r="A1358" s="1159" t="s">
        <v>816</v>
      </c>
      <c r="B1358" s="1159"/>
      <c r="C1358" s="1159"/>
      <c r="D1358" s="1159"/>
      <c r="E1358" s="1159"/>
      <c r="F1358" s="1159"/>
      <c r="G1358" s="1159"/>
      <c r="H1358" s="1159"/>
      <c r="I1358" s="670"/>
      <c r="J1358" s="670"/>
      <c r="K1358" s="1181"/>
      <c r="L1358" s="1181"/>
      <c r="M1358" s="653"/>
      <c r="N1358" s="653"/>
      <c r="V1358" s="993"/>
      <c r="W1358" s="993"/>
      <c r="X1358" s="993"/>
      <c r="Y1358" s="993"/>
    </row>
    <row r="1359" spans="1:18" ht="15">
      <c r="A1359" s="1163" t="s">
        <v>789</v>
      </c>
      <c r="B1359" s="1163"/>
      <c r="C1359" s="1163"/>
      <c r="D1359" s="1163"/>
      <c r="E1359" s="1163"/>
      <c r="F1359" s="1163"/>
      <c r="G1359" s="1163"/>
      <c r="H1359" s="1163"/>
      <c r="I1359" s="18"/>
      <c r="J1359" s="33"/>
      <c r="K1359" s="1181"/>
      <c r="L1359" s="1181"/>
      <c r="M1359" s="653"/>
      <c r="N1359" s="653"/>
      <c r="O1359" s="1032"/>
      <c r="P1359" s="1032"/>
      <c r="Q1359" s="1032"/>
      <c r="R1359" s="1032"/>
    </row>
    <row r="1360" spans="1:25" ht="15" customHeight="1">
      <c r="A1360" s="20"/>
      <c r="B1360" s="20"/>
      <c r="C1360" s="20"/>
      <c r="D1360" s="20"/>
      <c r="E1360" s="20"/>
      <c r="F1360" s="20"/>
      <c r="G1360" s="20"/>
      <c r="H1360" s="20"/>
      <c r="I1360" s="33"/>
      <c r="J1360" s="33"/>
      <c r="K1360" s="1181"/>
      <c r="L1360" s="1181"/>
      <c r="M1360" s="653"/>
      <c r="N1360" s="653"/>
      <c r="O1360" s="172"/>
      <c r="P1360" s="92"/>
      <c r="Q1360" s="172"/>
      <c r="R1360" s="92"/>
      <c r="X1360" s="993"/>
      <c r="Y1360" s="993"/>
    </row>
    <row r="1361" spans="1:25" ht="15.75">
      <c r="A1361" s="32" t="s">
        <v>24</v>
      </c>
      <c r="B1361" s="33"/>
      <c r="C1361" s="33"/>
      <c r="D1361" s="33"/>
      <c r="E1361" s="33"/>
      <c r="F1361" s="33"/>
      <c r="G1361" s="33"/>
      <c r="H1361" s="33"/>
      <c r="I1361" s="33"/>
      <c r="J1361" s="185"/>
      <c r="K1361" s="1181"/>
      <c r="L1361" s="1181"/>
      <c r="M1361" s="653"/>
      <c r="N1361" s="653"/>
      <c r="O1361" s="17"/>
      <c r="P1361" s="17"/>
      <c r="Q1361" s="17"/>
      <c r="R1361" s="17"/>
      <c r="X1361" s="993"/>
      <c r="Y1361" s="993"/>
    </row>
    <row r="1362" spans="1:25" ht="15.75">
      <c r="A1362" s="909" t="s">
        <v>163</v>
      </c>
      <c r="B1362" s="909"/>
      <c r="C1362" s="909"/>
      <c r="D1362" s="909"/>
      <c r="E1362" s="909"/>
      <c r="F1362" s="909"/>
      <c r="G1362" s="909"/>
      <c r="H1362" s="909"/>
      <c r="I1362" s="185"/>
      <c r="J1362" s="121"/>
      <c r="K1362" s="1181"/>
      <c r="L1362" s="1181"/>
      <c r="M1362" s="653"/>
      <c r="N1362" s="653"/>
      <c r="O1362" s="27"/>
      <c r="P1362" s="1182"/>
      <c r="Q1362" s="27"/>
      <c r="R1362" s="27"/>
      <c r="X1362" s="993"/>
      <c r="Y1362" s="993"/>
    </row>
    <row r="1363" spans="1:25" ht="15.75" thickBot="1">
      <c r="A1363" s="120"/>
      <c r="B1363" s="120"/>
      <c r="C1363" s="120"/>
      <c r="D1363" s="120"/>
      <c r="E1363" s="120"/>
      <c r="F1363" s="120"/>
      <c r="G1363" s="120"/>
      <c r="H1363" s="120"/>
      <c r="I1363" s="121"/>
      <c r="J1363" s="1140"/>
      <c r="K1363" s="1181"/>
      <c r="L1363" s="1181"/>
      <c r="M1363" s="653"/>
      <c r="N1363" s="653"/>
      <c r="O1363" s="27"/>
      <c r="P1363" s="1182"/>
      <c r="Q1363" s="27"/>
      <c r="R1363" s="27"/>
      <c r="X1363" s="993"/>
      <c r="Y1363" s="993"/>
    </row>
    <row r="1364" spans="1:25" ht="15.75" thickTop="1">
      <c r="A1364" s="742" t="s">
        <v>49</v>
      </c>
      <c r="B1364" s="689"/>
      <c r="C1364" s="754" t="s">
        <v>884</v>
      </c>
      <c r="D1364" s="755"/>
      <c r="E1364" s="754" t="s">
        <v>892</v>
      </c>
      <c r="F1364" s="755"/>
      <c r="G1364" s="754" t="s">
        <v>893</v>
      </c>
      <c r="H1364" s="755"/>
      <c r="I1364" s="760" t="s">
        <v>887</v>
      </c>
      <c r="J1364" s="761"/>
      <c r="K1364" s="760" t="s">
        <v>888</v>
      </c>
      <c r="L1364" s="967"/>
      <c r="M1364" s="966"/>
      <c r="N1364" s="829"/>
      <c r="O1364" s="27"/>
      <c r="P1364" s="1182"/>
      <c r="Q1364" s="27"/>
      <c r="R1364" s="27"/>
      <c r="X1364" s="993"/>
      <c r="Y1364" s="993"/>
    </row>
    <row r="1365" spans="1:25" ht="15">
      <c r="A1365" s="828"/>
      <c r="B1365" s="689"/>
      <c r="C1365" s="447" t="s">
        <v>111</v>
      </c>
      <c r="D1365" s="447" t="s">
        <v>113</v>
      </c>
      <c r="E1365" s="447" t="s">
        <v>111</v>
      </c>
      <c r="F1365" s="447" t="s">
        <v>158</v>
      </c>
      <c r="G1365" s="447" t="s">
        <v>111</v>
      </c>
      <c r="H1365" s="448" t="s">
        <v>113</v>
      </c>
      <c r="I1365" s="447" t="s">
        <v>111</v>
      </c>
      <c r="J1365" s="447" t="s">
        <v>113</v>
      </c>
      <c r="K1365" s="447" t="s">
        <v>111</v>
      </c>
      <c r="L1365" s="448" t="s">
        <v>113</v>
      </c>
      <c r="M1365" s="312"/>
      <c r="N1365" s="309"/>
      <c r="O1365" s="27"/>
      <c r="P1365" s="1182"/>
      <c r="Q1365" s="27"/>
      <c r="R1365" s="27"/>
      <c r="X1365" s="993"/>
      <c r="Y1365" s="993"/>
    </row>
    <row r="1366" spans="1:16" ht="15">
      <c r="A1366" s="384" t="s">
        <v>164</v>
      </c>
      <c r="B1366" s="142" t="s">
        <v>333</v>
      </c>
      <c r="C1366" s="455">
        <f>CEILING(120*$Z$1,0.1)</f>
        <v>150</v>
      </c>
      <c r="D1366" s="647"/>
      <c r="E1366" s="649">
        <f>CEILING(145*$Z$1,0.1)</f>
        <v>181.3</v>
      </c>
      <c r="F1366" s="647"/>
      <c r="G1366" s="649">
        <f>CEILING(120*$Z$1,0.1)</f>
        <v>150</v>
      </c>
      <c r="H1366" s="647"/>
      <c r="I1366" s="649">
        <f>CEILING(130*$Z$1,0.1)</f>
        <v>162.5</v>
      </c>
      <c r="J1366" s="363"/>
      <c r="K1366" s="649">
        <f>CEILING(120*$Z$1,0.1)</f>
        <v>150</v>
      </c>
      <c r="L1366" s="647"/>
      <c r="M1366" s="647"/>
      <c r="N1366" s="656"/>
      <c r="O1366" s="3"/>
      <c r="P1366" s="3"/>
    </row>
    <row r="1367" spans="1:25" ht="15">
      <c r="A1367" s="382" t="s">
        <v>51</v>
      </c>
      <c r="B1367" s="12" t="s">
        <v>334</v>
      </c>
      <c r="C1367" s="454">
        <f>CEILING((C1366+70*$Z$1),0.1)</f>
        <v>237.5</v>
      </c>
      <c r="D1367" s="358"/>
      <c r="E1367" s="647">
        <f>CEILING((E1366+70*$Z$1),0.1)</f>
        <v>268.8</v>
      </c>
      <c r="F1367" s="363"/>
      <c r="G1367" s="647">
        <f>CEILING((G1366+70*$Z$1),0.1)</f>
        <v>237.5</v>
      </c>
      <c r="H1367" s="363"/>
      <c r="I1367" s="647">
        <f>CEILING((I1366+70*$Z$1),0.1)</f>
        <v>250</v>
      </c>
      <c r="J1367" s="363"/>
      <c r="K1367" s="658">
        <f>CEILING((K1366+70*$Z$1),0.1)</f>
        <v>237.5</v>
      </c>
      <c r="L1367" s="658"/>
      <c r="M1367" s="647"/>
      <c r="N1367" s="656"/>
      <c r="O1367" s="27"/>
      <c r="P1367" s="1182"/>
      <c r="Q1367" s="27"/>
      <c r="R1367" s="27"/>
      <c r="X1367" s="993"/>
      <c r="Y1367" s="993"/>
    </row>
    <row r="1368" spans="1:25" ht="15">
      <c r="A1368" s="382"/>
      <c r="B1368" s="133" t="s">
        <v>86</v>
      </c>
      <c r="C1368" s="454">
        <f>CEILING((C1366*0.85),0.1)</f>
        <v>127.5</v>
      </c>
      <c r="D1368" s="358"/>
      <c r="E1368" s="647">
        <f>CEILING((E1366*0.85),0.1)</f>
        <v>154.20000000000002</v>
      </c>
      <c r="F1368" s="363"/>
      <c r="G1368" s="647">
        <f>CEILING((G1366*0.85),0.1)</f>
        <v>127.5</v>
      </c>
      <c r="H1368" s="363"/>
      <c r="I1368" s="647">
        <f>CEILING((I1366*0.85),0.1)</f>
        <v>138.20000000000002</v>
      </c>
      <c r="J1368" s="363"/>
      <c r="K1368" s="647">
        <f>CEILING((K1366*0.85),0.1)</f>
        <v>127.5</v>
      </c>
      <c r="L1368" s="647"/>
      <c r="M1368" s="647"/>
      <c r="N1368" s="656"/>
      <c r="O1368" s="360"/>
      <c r="P1368" s="1183"/>
      <c r="Q1368" s="27"/>
      <c r="R1368" s="27"/>
      <c r="X1368" s="993"/>
      <c r="Y1368" s="993"/>
    </row>
    <row r="1369" spans="1:25" ht="15">
      <c r="A1369" s="1067"/>
      <c r="B1369" s="28" t="s">
        <v>85</v>
      </c>
      <c r="C1369" s="454">
        <f>CEILING((C1366*0.5),0.1)</f>
        <v>75</v>
      </c>
      <c r="D1369" s="647"/>
      <c r="E1369" s="647">
        <f>CEILING((E1366*0.5),0.1)</f>
        <v>90.7</v>
      </c>
      <c r="F1369" s="647"/>
      <c r="G1369" s="647">
        <f>CEILING((G1366*0.5),0.1)</f>
        <v>75</v>
      </c>
      <c r="H1369" s="647"/>
      <c r="I1369" s="647">
        <f>CEILING((I1366*0.5),0.1)</f>
        <v>81.30000000000001</v>
      </c>
      <c r="J1369" s="363"/>
      <c r="K1369" s="647">
        <f>CEILING((K1366*0.5),0.1)</f>
        <v>75</v>
      </c>
      <c r="L1369" s="647"/>
      <c r="M1369" s="647"/>
      <c r="N1369" s="656"/>
      <c r="O1369" s="361"/>
      <c r="P1369" s="1184"/>
      <c r="Q1369" s="212"/>
      <c r="R1369" s="212"/>
      <c r="X1369" s="993"/>
      <c r="Y1369" s="993"/>
    </row>
    <row r="1370" spans="1:25" ht="15">
      <c r="A1370" s="1033"/>
      <c r="B1370" s="12" t="s">
        <v>260</v>
      </c>
      <c r="C1370" s="454">
        <f>CEILING(133*$Z$1,0.1)</f>
        <v>166.3</v>
      </c>
      <c r="D1370" s="363"/>
      <c r="E1370" s="647">
        <f>CEILING(158*$Z$1,0.1)</f>
        <v>197.5</v>
      </c>
      <c r="F1370" s="363"/>
      <c r="G1370" s="647">
        <f>CEILING(133*$Z$1,0.1)</f>
        <v>166.3</v>
      </c>
      <c r="H1370" s="647"/>
      <c r="I1370" s="647">
        <f>CEILING(143*$Z$1,0.1)</f>
        <v>178.8</v>
      </c>
      <c r="J1370" s="363"/>
      <c r="K1370" s="647">
        <f>CEILING(133*$Z$1,0.1)</f>
        <v>166.3</v>
      </c>
      <c r="L1370" s="647"/>
      <c r="M1370" s="647"/>
      <c r="N1370" s="656"/>
      <c r="O1370" s="1105"/>
      <c r="P1370" s="1105"/>
      <c r="X1370" s="993"/>
      <c r="Y1370" s="993"/>
    </row>
    <row r="1371" spans="1:25" ht="15">
      <c r="A1371" s="1034"/>
      <c r="B1371" s="12" t="s">
        <v>261</v>
      </c>
      <c r="C1371" s="454">
        <f>CEILING((C1370+80*$Z$1),0.1)</f>
        <v>266.3</v>
      </c>
      <c r="D1371" s="363"/>
      <c r="E1371" s="647">
        <f>CEILING((E1370+80*$Z$1),0.1)</f>
        <v>297.5</v>
      </c>
      <c r="F1371" s="363"/>
      <c r="G1371" s="647">
        <f>CEILING((G1370+80*$Z$1),0.1)</f>
        <v>266.3</v>
      </c>
      <c r="H1371" s="647"/>
      <c r="I1371" s="647">
        <f>CEILING((I1370+80*$Z$1),0.1)</f>
        <v>278.8</v>
      </c>
      <c r="J1371" s="363"/>
      <c r="K1371" s="647">
        <f>CEILING((K1370+80*$Z$1),0.1)</f>
        <v>266.3</v>
      </c>
      <c r="L1371" s="647"/>
      <c r="M1371" s="647"/>
      <c r="N1371" s="656"/>
      <c r="O1371" s="1105"/>
      <c r="P1371" s="1105"/>
      <c r="X1371" s="993"/>
      <c r="Y1371" s="993"/>
    </row>
    <row r="1372" spans="1:25" ht="15" customHeight="1">
      <c r="A1372" s="1034"/>
      <c r="B1372" s="14" t="s">
        <v>281</v>
      </c>
      <c r="C1372" s="454">
        <f>CEILING(147*$Z$1,0.1)</f>
        <v>183.8</v>
      </c>
      <c r="D1372" s="363"/>
      <c r="E1372" s="647">
        <f>CEILING(172*$Z$1,0.1)</f>
        <v>215</v>
      </c>
      <c r="F1372" s="363"/>
      <c r="G1372" s="647">
        <f>CEILING(147*$Z$1,0.1)</f>
        <v>183.8</v>
      </c>
      <c r="H1372" s="647"/>
      <c r="I1372" s="647">
        <f>CEILING(157*$Z$1,0.1)</f>
        <v>196.3</v>
      </c>
      <c r="J1372" s="363"/>
      <c r="K1372" s="647">
        <f>CEILING(147*$Z$1,0.1)</f>
        <v>183.8</v>
      </c>
      <c r="L1372" s="647"/>
      <c r="M1372" s="647"/>
      <c r="N1372" s="656"/>
      <c r="O1372" s="1105"/>
      <c r="P1372" s="1105"/>
      <c r="X1372" s="993"/>
      <c r="Y1372" s="993"/>
    </row>
    <row r="1373" spans="1:25" ht="15" customHeight="1">
      <c r="A1373" s="382"/>
      <c r="B1373" s="14" t="s">
        <v>282</v>
      </c>
      <c r="C1373" s="454">
        <f>CEILING((C1372+90*$Z$1),0.1)</f>
        <v>296.3</v>
      </c>
      <c r="D1373" s="363"/>
      <c r="E1373" s="647">
        <f>CEILING((E1372+90*$Z$1),0.1)</f>
        <v>327.5</v>
      </c>
      <c r="F1373" s="363"/>
      <c r="G1373" s="647">
        <f>CEILING((G1372+90*$Z$1),0.1)</f>
        <v>296.3</v>
      </c>
      <c r="H1373" s="363"/>
      <c r="I1373" s="647">
        <f>CEILING((I1372+90*$Z$1),0.1)</f>
        <v>308.8</v>
      </c>
      <c r="J1373" s="423"/>
      <c r="K1373" s="647">
        <f>CEILING((K1372+90*$Z$1),0.1)</f>
        <v>296.3</v>
      </c>
      <c r="L1373" s="306"/>
      <c r="M1373" s="647"/>
      <c r="N1373" s="653"/>
      <c r="O1373" s="1105"/>
      <c r="P1373" s="1105"/>
      <c r="X1373" s="993"/>
      <c r="Y1373" s="993"/>
    </row>
    <row r="1374" spans="1:25" ht="16.5" customHeight="1">
      <c r="A1374" s="382"/>
      <c r="B1374" s="14" t="s">
        <v>623</v>
      </c>
      <c r="C1374" s="454">
        <f>CEILING(150*$Z$1,0.1)</f>
        <v>187.5</v>
      </c>
      <c r="D1374" s="363"/>
      <c r="E1374" s="647">
        <f>CEILING(175*$Z$1,0.1)</f>
        <v>218.8</v>
      </c>
      <c r="F1374" s="363"/>
      <c r="G1374" s="647">
        <f>CEILING(150*$Z$1,0.1)</f>
        <v>187.5</v>
      </c>
      <c r="H1374" s="363"/>
      <c r="I1374" s="647">
        <f>CEILING(160*$Z$1,0.1)</f>
        <v>200</v>
      </c>
      <c r="J1374" s="423"/>
      <c r="K1374" s="647">
        <f>CEILING(150*$Z$1,0.1)</f>
        <v>187.5</v>
      </c>
      <c r="L1374" s="306"/>
      <c r="M1374" s="647"/>
      <c r="N1374" s="653"/>
      <c r="O1374" s="1105"/>
      <c r="P1374" s="1105"/>
      <c r="X1374" s="993"/>
      <c r="Y1374" s="993"/>
    </row>
    <row r="1375" spans="1:25" ht="15">
      <c r="A1375" s="382"/>
      <c r="B1375" s="14" t="s">
        <v>429</v>
      </c>
      <c r="C1375" s="454">
        <f>CEILING((C1374+90*$Z$1),0.1)</f>
        <v>300</v>
      </c>
      <c r="D1375" s="363"/>
      <c r="E1375" s="647">
        <f>CEILING((E1374+90*$Z$1),0.1)</f>
        <v>331.3</v>
      </c>
      <c r="F1375" s="363"/>
      <c r="G1375" s="647">
        <f>CEILING((G1374+90*$Z$1),0.1)</f>
        <v>300</v>
      </c>
      <c r="H1375" s="363"/>
      <c r="I1375" s="647">
        <f>CEILING((I1374+90*$Z$1),0.1)</f>
        <v>312.5</v>
      </c>
      <c r="J1375" s="423"/>
      <c r="K1375" s="647">
        <f>CEILING((K1374+90*$Z$1),0.1)</f>
        <v>300</v>
      </c>
      <c r="L1375" s="306"/>
      <c r="M1375" s="647"/>
      <c r="N1375" s="653"/>
      <c r="O1375" s="829"/>
      <c r="P1375" s="829"/>
      <c r="X1375" s="993"/>
      <c r="Y1375" s="993"/>
    </row>
    <row r="1376" spans="1:16" ht="15">
      <c r="A1376" s="374"/>
      <c r="B1376" s="14" t="s">
        <v>625</v>
      </c>
      <c r="C1376" s="454">
        <f>CEILING(180*$Z$1,0.1)</f>
        <v>225</v>
      </c>
      <c r="D1376" s="363"/>
      <c r="E1376" s="647">
        <f>CEILING(205*$Z$1,0.1)</f>
        <v>256.3</v>
      </c>
      <c r="F1376" s="363"/>
      <c r="G1376" s="647">
        <f>CEILING(180*$Z$1,0.1)</f>
        <v>225</v>
      </c>
      <c r="H1376" s="363"/>
      <c r="I1376" s="647">
        <f>CEILING(190*$Z$1,0.1)</f>
        <v>237.5</v>
      </c>
      <c r="J1376" s="423"/>
      <c r="K1376" s="647">
        <f>CEILING(180*$Z$1,0.1)</f>
        <v>225</v>
      </c>
      <c r="L1376" s="306"/>
      <c r="M1376" s="647"/>
      <c r="N1376" s="653"/>
      <c r="O1376" s="653"/>
      <c r="P1376" s="653"/>
    </row>
    <row r="1377" spans="1:16" ht="16.5" thickBot="1">
      <c r="A1377" s="383" t="s">
        <v>508</v>
      </c>
      <c r="B1377" s="15" t="s">
        <v>624</v>
      </c>
      <c r="C1377" s="364">
        <f>CEILING((C1376+100*$Z$1),0.1)</f>
        <v>350</v>
      </c>
      <c r="D1377" s="364"/>
      <c r="E1377" s="364">
        <f>CEILING((E1376+100*$Z$1),0.1)</f>
        <v>381.3</v>
      </c>
      <c r="F1377" s="364"/>
      <c r="G1377" s="364">
        <f>CEILING((G1376+100*$Z$1),0.1)</f>
        <v>350</v>
      </c>
      <c r="H1377" s="364"/>
      <c r="I1377" s="377">
        <f>CEILING((I1376+100*$Z$1),0.1)</f>
        <v>362.5</v>
      </c>
      <c r="J1377" s="616"/>
      <c r="K1377" s="377">
        <f>CEILING((K1376+100*$Z$1),0.1)</f>
        <v>350</v>
      </c>
      <c r="L1377" s="632"/>
      <c r="M1377" s="647"/>
      <c r="N1377" s="653"/>
      <c r="O1377" s="653"/>
      <c r="P1377" s="653"/>
    </row>
    <row r="1378" spans="1:16" ht="15.75" thickTop="1">
      <c r="A1378" s="458" t="s">
        <v>894</v>
      </c>
      <c r="B1378" s="20"/>
      <c r="C1378" s="20"/>
      <c r="D1378" s="20"/>
      <c r="E1378" s="20"/>
      <c r="F1378" s="20"/>
      <c r="G1378" s="20"/>
      <c r="H1378" s="20"/>
      <c r="I1378" s="20"/>
      <c r="J1378" s="143"/>
      <c r="K1378" s="281"/>
      <c r="L1378" s="291"/>
      <c r="M1378" s="351"/>
      <c r="N1378" s="305"/>
      <c r="O1378" s="3"/>
      <c r="P1378" s="3"/>
    </row>
    <row r="1379" spans="1:16" ht="15">
      <c r="A1379" s="752" t="s">
        <v>262</v>
      </c>
      <c r="B1379" s="752"/>
      <c r="C1379" s="752"/>
      <c r="D1379" s="752"/>
      <c r="E1379" s="752"/>
      <c r="F1379" s="752"/>
      <c r="G1379" s="752"/>
      <c r="H1379" s="752"/>
      <c r="I1379" s="752"/>
      <c r="J1379" s="752"/>
      <c r="K1379" s="281"/>
      <c r="L1379" s="291"/>
      <c r="M1379" s="351"/>
      <c r="N1379" s="305"/>
      <c r="O1379" s="3"/>
      <c r="P1379" s="3"/>
    </row>
    <row r="1380" spans="1:16" ht="15">
      <c r="A1380" s="170" t="s">
        <v>895</v>
      </c>
      <c r="B1380" s="676"/>
      <c r="C1380" s="676"/>
      <c r="D1380" s="676"/>
      <c r="E1380" s="676"/>
      <c r="F1380" s="676"/>
      <c r="G1380" s="676"/>
      <c r="H1380" s="676"/>
      <c r="I1380" s="676"/>
      <c r="J1380" s="676"/>
      <c r="K1380" s="104"/>
      <c r="L1380" s="281"/>
      <c r="M1380" s="351"/>
      <c r="N1380" s="305"/>
      <c r="O1380" s="3"/>
      <c r="P1380" s="3"/>
    </row>
    <row r="1381" spans="1:16" ht="15.75" thickBot="1">
      <c r="A1381" s="144"/>
      <c r="B1381" s="145"/>
      <c r="C1381" s="145"/>
      <c r="D1381" s="145"/>
      <c r="E1381" s="145"/>
      <c r="F1381" s="145"/>
      <c r="G1381" s="145"/>
      <c r="H1381" s="145"/>
      <c r="I1381" s="241"/>
      <c r="J1381" s="92"/>
      <c r="K1381" s="104"/>
      <c r="L1381" s="281"/>
      <c r="M1381" s="351"/>
      <c r="N1381" s="305"/>
      <c r="O1381" s="3"/>
      <c r="P1381" s="3"/>
    </row>
    <row r="1382" spans="1:14" ht="17.25" customHeight="1" thickTop="1">
      <c r="A1382" s="910" t="s">
        <v>49</v>
      </c>
      <c r="B1382" s="459"/>
      <c r="C1382" s="754" t="s">
        <v>884</v>
      </c>
      <c r="D1382" s="755"/>
      <c r="E1382" s="754" t="s">
        <v>892</v>
      </c>
      <c r="F1382" s="755"/>
      <c r="G1382" s="754" t="s">
        <v>893</v>
      </c>
      <c r="H1382" s="755"/>
      <c r="I1382" s="760" t="s">
        <v>887</v>
      </c>
      <c r="J1382" s="761"/>
      <c r="K1382" s="760" t="s">
        <v>888</v>
      </c>
      <c r="L1382" s="967"/>
      <c r="M1382" s="966"/>
      <c r="N1382" s="829"/>
    </row>
    <row r="1383" spans="1:14" ht="15">
      <c r="A1383" s="911"/>
      <c r="B1383" s="690"/>
      <c r="C1383" s="447" t="s">
        <v>111</v>
      </c>
      <c r="D1383" s="447" t="s">
        <v>113</v>
      </c>
      <c r="E1383" s="447" t="s">
        <v>111</v>
      </c>
      <c r="F1383" s="447" t="s">
        <v>158</v>
      </c>
      <c r="G1383" s="447" t="s">
        <v>111</v>
      </c>
      <c r="H1383" s="448" t="s">
        <v>113</v>
      </c>
      <c r="I1383" s="447" t="s">
        <v>111</v>
      </c>
      <c r="J1383" s="447" t="s">
        <v>113</v>
      </c>
      <c r="K1383" s="447" t="s">
        <v>111</v>
      </c>
      <c r="L1383" s="448" t="s">
        <v>113</v>
      </c>
      <c r="M1383" s="312"/>
      <c r="N1383" s="309"/>
    </row>
    <row r="1384" spans="1:14" ht="15">
      <c r="A1384" s="243" t="s">
        <v>165</v>
      </c>
      <c r="B1384" s="142" t="s">
        <v>333</v>
      </c>
      <c r="C1384" s="455">
        <f>CEILING(120*$Z$1,0.1)</f>
        <v>150</v>
      </c>
      <c r="D1384" s="647"/>
      <c r="E1384" s="649">
        <f>CEILING(140*$Z$1,0.1)</f>
        <v>175</v>
      </c>
      <c r="F1384" s="647"/>
      <c r="G1384" s="649">
        <f>CEILING(120*$Z$1,0.1)</f>
        <v>150</v>
      </c>
      <c r="H1384" s="647"/>
      <c r="I1384" s="649">
        <f>CEILING(130*$Z$1,0.1)</f>
        <v>162.5</v>
      </c>
      <c r="J1384" s="363"/>
      <c r="K1384" s="596">
        <f>CEILING(80*$Z$1,0.1)</f>
        <v>100</v>
      </c>
      <c r="L1384" s="649"/>
      <c r="M1384" s="647"/>
      <c r="N1384" s="656"/>
    </row>
    <row r="1385" spans="1:14" ht="15">
      <c r="A1385" s="244" t="s">
        <v>51</v>
      </c>
      <c r="B1385" s="12" t="s">
        <v>334</v>
      </c>
      <c r="C1385" s="454">
        <f>CEILING((C1384+70*$Z$1),0.1)</f>
        <v>237.5</v>
      </c>
      <c r="D1385" s="358"/>
      <c r="E1385" s="647">
        <f>CEILING((E1384+70*$Z$1),0.1)</f>
        <v>262.5</v>
      </c>
      <c r="F1385" s="363"/>
      <c r="G1385" s="647">
        <f>CEILING((G1384+70*$Z$1),0.1)</f>
        <v>237.5</v>
      </c>
      <c r="H1385" s="363"/>
      <c r="I1385" s="647">
        <f>CEILING((I1384+70*$Z$1),0.1)</f>
        <v>250</v>
      </c>
      <c r="J1385" s="363"/>
      <c r="K1385" s="363">
        <f>CEILING((K1384+50*$Z$1),0.1)</f>
        <v>162.5</v>
      </c>
      <c r="L1385" s="647"/>
      <c r="M1385" s="647"/>
      <c r="N1385" s="656"/>
    </row>
    <row r="1386" spans="1:14" ht="15">
      <c r="A1386" s="1033"/>
      <c r="B1386" s="132" t="s">
        <v>86</v>
      </c>
      <c r="C1386" s="454">
        <f>CEILING((C1384*0.85),0.1)</f>
        <v>127.5</v>
      </c>
      <c r="D1386" s="358"/>
      <c r="E1386" s="647">
        <f>CEILING((E1384*0.85),0.1)</f>
        <v>148.8</v>
      </c>
      <c r="F1386" s="363"/>
      <c r="G1386" s="647">
        <f>CEILING((G1384*0.85),0.1)</f>
        <v>127.5</v>
      </c>
      <c r="H1386" s="363"/>
      <c r="I1386" s="647">
        <f>CEILING((I1384*0.85),0.1)</f>
        <v>138.20000000000002</v>
      </c>
      <c r="J1386" s="363"/>
      <c r="K1386" s="363">
        <f>CEILING((K1384*0.85),0.1)</f>
        <v>85</v>
      </c>
      <c r="L1386" s="647"/>
      <c r="M1386" s="647"/>
      <c r="N1386" s="656"/>
    </row>
    <row r="1387" spans="1:14" ht="15">
      <c r="A1387" s="1034"/>
      <c r="B1387" s="28" t="s">
        <v>85</v>
      </c>
      <c r="C1387" s="454">
        <f>CEILING((C1384*0.5),0.1)</f>
        <v>75</v>
      </c>
      <c r="D1387" s="647"/>
      <c r="E1387" s="647">
        <f>CEILING((E1384*0.5),0.1)</f>
        <v>87.5</v>
      </c>
      <c r="F1387" s="647"/>
      <c r="G1387" s="647">
        <f>CEILING((G1384*0.5),0.1)</f>
        <v>75</v>
      </c>
      <c r="H1387" s="647"/>
      <c r="I1387" s="647">
        <f>CEILING((I1384*0.5),0.1)</f>
        <v>81.30000000000001</v>
      </c>
      <c r="J1387" s="363"/>
      <c r="K1387" s="363">
        <f>CEILING((K1384*0.5),0.1)</f>
        <v>50</v>
      </c>
      <c r="L1387" s="647"/>
      <c r="M1387" s="647"/>
      <c r="N1387" s="656"/>
    </row>
    <row r="1388" spans="1:14" ht="15">
      <c r="A1388" s="1034"/>
      <c r="B1388" s="13" t="s">
        <v>335</v>
      </c>
      <c r="C1388" s="454">
        <f>CEILING(130*$Z$1,0.1)</f>
        <v>162.5</v>
      </c>
      <c r="D1388" s="363"/>
      <c r="E1388" s="647">
        <f>CEILING(150*$Z$1,0.1)</f>
        <v>187.5</v>
      </c>
      <c r="F1388" s="363"/>
      <c r="G1388" s="647">
        <f>CEILING(130*$Z$1,0.1)</f>
        <v>162.5</v>
      </c>
      <c r="H1388" s="647"/>
      <c r="I1388" s="647">
        <f>CEILING(140*$Z$1,0.1)</f>
        <v>175</v>
      </c>
      <c r="J1388" s="363"/>
      <c r="K1388" s="363">
        <f>CEILING(88*$Z$1,0.1)</f>
        <v>110</v>
      </c>
      <c r="L1388" s="647"/>
      <c r="M1388" s="647"/>
      <c r="N1388" s="656"/>
    </row>
    <row r="1389" spans="1:14" ht="15">
      <c r="A1389" s="382"/>
      <c r="B1389" s="13" t="s">
        <v>336</v>
      </c>
      <c r="C1389" s="454">
        <f>CEILING((C1388+70*$Z$1),0.1)</f>
        <v>250</v>
      </c>
      <c r="D1389" s="363"/>
      <c r="E1389" s="647">
        <f>CEILING((E1388+70*$Z$1),0.1)</f>
        <v>275</v>
      </c>
      <c r="F1389" s="363"/>
      <c r="G1389" s="647">
        <f>CEILING((G1388+70*$Z$1),0.1)</f>
        <v>250</v>
      </c>
      <c r="H1389" s="647"/>
      <c r="I1389" s="647">
        <f>CEILING((I1388+70*$Z$1),0.1)</f>
        <v>262.5</v>
      </c>
      <c r="J1389" s="363"/>
      <c r="K1389" s="363">
        <f>CEILING((K1388+50*$Z$1),0.1)</f>
        <v>172.5</v>
      </c>
      <c r="L1389" s="647"/>
      <c r="M1389" s="647"/>
      <c r="N1389" s="656"/>
    </row>
    <row r="1390" spans="1:14" ht="15">
      <c r="A1390" s="374"/>
      <c r="B1390" s="14" t="s">
        <v>621</v>
      </c>
      <c r="C1390" s="454">
        <f>CEILING(155*$Z$1,0.1)</f>
        <v>193.8</v>
      </c>
      <c r="D1390" s="363"/>
      <c r="E1390" s="647">
        <f>CEILING(175*$Z$1,0.1)</f>
        <v>218.8</v>
      </c>
      <c r="F1390" s="363"/>
      <c r="G1390" s="647">
        <f>CEILING(155*$Z$1,0.1)</f>
        <v>193.8</v>
      </c>
      <c r="H1390" s="647"/>
      <c r="I1390" s="647">
        <f>CEILING(165*$Z$1,0.1)</f>
        <v>206.3</v>
      </c>
      <c r="J1390" s="363"/>
      <c r="K1390" s="611"/>
      <c r="L1390" s="284"/>
      <c r="M1390" s="647"/>
      <c r="N1390" s="656"/>
    </row>
    <row r="1391" spans="1:14" ht="16.5" thickBot="1">
      <c r="A1391" s="383" t="s">
        <v>507</v>
      </c>
      <c r="B1391" s="15" t="s">
        <v>622</v>
      </c>
      <c r="C1391" s="460">
        <f>CEILING((C1390+80*$Z$1),0.1)</f>
        <v>293.8</v>
      </c>
      <c r="D1391" s="364"/>
      <c r="E1391" s="651">
        <f>CEILING((E1390+80*$Z$1),0.1)</f>
        <v>318.8</v>
      </c>
      <c r="F1391" s="364"/>
      <c r="G1391" s="651">
        <f>CEILING((G1390+80*$Z$1),0.1)</f>
        <v>293.8</v>
      </c>
      <c r="H1391" s="651"/>
      <c r="I1391" s="658">
        <f>CEILING((I1390+80*$Z$1),0.1)</f>
        <v>306.3</v>
      </c>
      <c r="J1391" s="377"/>
      <c r="K1391" s="612"/>
      <c r="L1391" s="633"/>
      <c r="M1391" s="647"/>
      <c r="N1391" s="656"/>
    </row>
    <row r="1392" spans="1:13" ht="15.75" thickTop="1">
      <c r="A1392" s="20"/>
      <c r="B1392" s="20"/>
      <c r="C1392" s="20"/>
      <c r="D1392" s="20"/>
      <c r="E1392" s="20"/>
      <c r="F1392" s="20"/>
      <c r="G1392" s="20"/>
      <c r="H1392" s="20"/>
      <c r="I1392" s="20"/>
      <c r="J1392" s="143"/>
      <c r="K1392" s="104"/>
      <c r="L1392" s="282"/>
      <c r="M1392" s="992"/>
    </row>
    <row r="1393" spans="1:13" ht="15">
      <c r="A1393" s="117" t="s">
        <v>620</v>
      </c>
      <c r="B1393" s="143"/>
      <c r="C1393" s="143"/>
      <c r="D1393" s="143"/>
      <c r="E1393" s="143"/>
      <c r="F1393" s="143"/>
      <c r="G1393" s="143"/>
      <c r="H1393" s="143"/>
      <c r="I1393" s="143"/>
      <c r="J1393" s="242"/>
      <c r="K1393" s="104"/>
      <c r="L1393" s="282"/>
      <c r="M1393" s="992"/>
    </row>
    <row r="1394" spans="1:13" ht="15">
      <c r="A1394" s="752" t="s">
        <v>337</v>
      </c>
      <c r="B1394" s="752"/>
      <c r="C1394" s="752"/>
      <c r="D1394" s="752"/>
      <c r="E1394" s="752"/>
      <c r="F1394" s="752"/>
      <c r="G1394" s="752"/>
      <c r="H1394" s="752"/>
      <c r="I1394" s="752"/>
      <c r="J1394" s="752"/>
      <c r="K1394" s="265"/>
      <c r="L1394" s="104"/>
      <c r="M1394" s="992"/>
    </row>
    <row r="1395" spans="1:13" ht="15.75" customHeight="1">
      <c r="A1395" s="170" t="s">
        <v>896</v>
      </c>
      <c r="B1395" s="676"/>
      <c r="C1395" s="676"/>
      <c r="D1395" s="676"/>
      <c r="E1395" s="676"/>
      <c r="F1395" s="676"/>
      <c r="G1395" s="676"/>
      <c r="H1395" s="676"/>
      <c r="I1395" s="676"/>
      <c r="J1395" s="676"/>
      <c r="K1395" s="823"/>
      <c r="L1395" s="823"/>
      <c r="M1395" s="1032"/>
    </row>
    <row r="1396" spans="1:13" ht="15.75" thickBot="1">
      <c r="A1396" s="144"/>
      <c r="B1396" s="146"/>
      <c r="C1396" s="146"/>
      <c r="D1396" s="146"/>
      <c r="E1396" s="146"/>
      <c r="F1396" s="146"/>
      <c r="G1396" s="146"/>
      <c r="H1396" s="146"/>
      <c r="I1396" s="242"/>
      <c r="J1396" s="1140"/>
      <c r="K1396" s="309"/>
      <c r="L1396" s="309"/>
      <c r="M1396" s="1032"/>
    </row>
    <row r="1397" spans="1:14" ht="15.75" thickTop="1">
      <c r="A1397" s="900" t="s">
        <v>49</v>
      </c>
      <c r="B1397" s="435"/>
      <c r="C1397" s="754" t="s">
        <v>884</v>
      </c>
      <c r="D1397" s="755"/>
      <c r="E1397" s="754" t="s">
        <v>892</v>
      </c>
      <c r="F1397" s="755"/>
      <c r="G1397" s="754" t="s">
        <v>893</v>
      </c>
      <c r="H1397" s="755"/>
      <c r="I1397" s="760" t="s">
        <v>887</v>
      </c>
      <c r="J1397" s="761"/>
      <c r="K1397" s="760" t="s">
        <v>888</v>
      </c>
      <c r="L1397" s="761"/>
      <c r="M1397" s="966"/>
      <c r="N1397" s="829"/>
    </row>
    <row r="1398" spans="1:14" ht="15">
      <c r="A1398" s="901"/>
      <c r="B1398" s="673"/>
      <c r="C1398" s="447" t="s">
        <v>111</v>
      </c>
      <c r="D1398" s="447" t="s">
        <v>113</v>
      </c>
      <c r="E1398" s="447" t="s">
        <v>111</v>
      </c>
      <c r="F1398" s="447" t="s">
        <v>158</v>
      </c>
      <c r="G1398" s="447" t="s">
        <v>111</v>
      </c>
      <c r="H1398" s="448" t="s">
        <v>113</v>
      </c>
      <c r="I1398" s="447" t="s">
        <v>111</v>
      </c>
      <c r="J1398" s="447" t="s">
        <v>113</v>
      </c>
      <c r="K1398" s="447" t="s">
        <v>111</v>
      </c>
      <c r="L1398" s="447" t="s">
        <v>113</v>
      </c>
      <c r="M1398" s="312"/>
      <c r="N1398" s="309"/>
    </row>
    <row r="1399" spans="1:25" ht="15">
      <c r="A1399" s="89" t="s">
        <v>166</v>
      </c>
      <c r="B1399" s="14" t="s">
        <v>57</v>
      </c>
      <c r="C1399" s="455">
        <f>CEILING(80*$Z$1,0.1)</f>
        <v>100</v>
      </c>
      <c r="D1399" s="647"/>
      <c r="E1399" s="649">
        <f>CEILING(105*$Z$1,0.1)</f>
        <v>131.3</v>
      </c>
      <c r="F1399" s="647"/>
      <c r="G1399" s="649">
        <f>CEILING(80*$Z$1,0.1)</f>
        <v>100</v>
      </c>
      <c r="H1399" s="647"/>
      <c r="I1399" s="649">
        <f>CEILING(90*$Z$1,0.1)</f>
        <v>112.5</v>
      </c>
      <c r="J1399" s="363"/>
      <c r="K1399" s="455">
        <f>CEILING(80*$Z$1,0.1)</f>
        <v>100</v>
      </c>
      <c r="L1399" s="363"/>
      <c r="M1399" s="647"/>
      <c r="N1399" s="656"/>
      <c r="Y1399" s="993"/>
    </row>
    <row r="1400" spans="1:14" ht="15">
      <c r="A1400" s="37" t="s">
        <v>65</v>
      </c>
      <c r="B1400" s="14" t="s">
        <v>58</v>
      </c>
      <c r="C1400" s="454">
        <f>CEILING((C1399+50*$Z$1),0.1)</f>
        <v>162.5</v>
      </c>
      <c r="D1400" s="358"/>
      <c r="E1400" s="647">
        <f>CEILING((E1399+50*$Z$1),0.1)</f>
        <v>193.8</v>
      </c>
      <c r="F1400" s="363"/>
      <c r="G1400" s="647">
        <f>CEILING((G1399+50*$Z$1),0.1)</f>
        <v>162.5</v>
      </c>
      <c r="H1400" s="363"/>
      <c r="I1400" s="647">
        <f>CEILING((I1399+50*$Z$1),0.1)</f>
        <v>175</v>
      </c>
      <c r="J1400" s="363"/>
      <c r="K1400" s="454">
        <f>CEILING((K1399+50*$Z$1),0.1)</f>
        <v>162.5</v>
      </c>
      <c r="L1400" s="363"/>
      <c r="M1400" s="647"/>
      <c r="N1400" s="656"/>
    </row>
    <row r="1401" spans="1:14" ht="17.25" customHeight="1">
      <c r="A1401" s="1033"/>
      <c r="B1401" s="133" t="s">
        <v>86</v>
      </c>
      <c r="C1401" s="454">
        <f>CEILING((C1399*0.85),0.1)</f>
        <v>85</v>
      </c>
      <c r="D1401" s="358"/>
      <c r="E1401" s="647">
        <f>CEILING((E1399*0.85),0.1)</f>
        <v>111.7</v>
      </c>
      <c r="F1401" s="363"/>
      <c r="G1401" s="647">
        <f>CEILING((G1399*0.85),0.1)</f>
        <v>85</v>
      </c>
      <c r="H1401" s="363"/>
      <c r="I1401" s="647">
        <f>CEILING((I1399*0.85),0.1)</f>
        <v>95.7</v>
      </c>
      <c r="J1401" s="363"/>
      <c r="K1401" s="454">
        <f>CEILING((K1399*0.85),0.1)</f>
        <v>85</v>
      </c>
      <c r="L1401" s="363"/>
      <c r="M1401" s="647"/>
      <c r="N1401" s="656"/>
    </row>
    <row r="1402" spans="1:14" ht="18.75" customHeight="1">
      <c r="A1402" s="1034"/>
      <c r="B1402" s="28" t="s">
        <v>85</v>
      </c>
      <c r="C1402" s="454">
        <f>CEILING((C1399*0.5),0.1)</f>
        <v>50</v>
      </c>
      <c r="D1402" s="647"/>
      <c r="E1402" s="647">
        <f>CEILING((E1399*0.5),0.1)</f>
        <v>65.7</v>
      </c>
      <c r="F1402" s="647"/>
      <c r="G1402" s="647">
        <f>CEILING((G1399*0.5),0.1)</f>
        <v>50</v>
      </c>
      <c r="H1402" s="647"/>
      <c r="I1402" s="647">
        <f>CEILING((I1399*0.5),0.1)</f>
        <v>56.300000000000004</v>
      </c>
      <c r="J1402" s="363"/>
      <c r="K1402" s="454">
        <f>CEILING((K1399*0.5),0.1)</f>
        <v>50</v>
      </c>
      <c r="L1402" s="363"/>
      <c r="M1402" s="647"/>
      <c r="N1402" s="656"/>
    </row>
    <row r="1403" spans="1:14" ht="16.5" customHeight="1">
      <c r="A1403" s="1034"/>
      <c r="B1403" s="12" t="s">
        <v>167</v>
      </c>
      <c r="C1403" s="454">
        <f>CEILING(88*$Z$1,0.1)</f>
        <v>110</v>
      </c>
      <c r="D1403" s="363"/>
      <c r="E1403" s="647">
        <f>CEILING(113*$Z$1,0.1)</f>
        <v>141.3</v>
      </c>
      <c r="F1403" s="363"/>
      <c r="G1403" s="647">
        <f>CEILING(88*$Z$1,0.1)</f>
        <v>110</v>
      </c>
      <c r="H1403" s="363"/>
      <c r="I1403" s="647">
        <f>CEILING(98*$Z$1,0.1)</f>
        <v>122.5</v>
      </c>
      <c r="J1403" s="363"/>
      <c r="K1403" s="454">
        <f>CEILING(88*$Z$1,0.1)</f>
        <v>110</v>
      </c>
      <c r="L1403" s="363"/>
      <c r="M1403" s="647"/>
      <c r="N1403" s="656"/>
    </row>
    <row r="1404" spans="1:14" ht="15.75" customHeight="1" thickBot="1">
      <c r="A1404" s="238" t="s">
        <v>506</v>
      </c>
      <c r="B1404" s="45" t="s">
        <v>168</v>
      </c>
      <c r="C1404" s="461">
        <f>CEILING((C1403+50*$Z$1),0.1)</f>
        <v>172.5</v>
      </c>
      <c r="D1404" s="364"/>
      <c r="E1404" s="364">
        <f>CEILING((E1403+50*$Z$1),0.1)</f>
        <v>203.8</v>
      </c>
      <c r="F1404" s="364"/>
      <c r="G1404" s="364">
        <f>CEILING((G1403+50*$Z$1),0.1)</f>
        <v>172.5</v>
      </c>
      <c r="H1404" s="364"/>
      <c r="I1404" s="377">
        <f>CEILING((I1403+50*$Z$1),0.1)</f>
        <v>185</v>
      </c>
      <c r="J1404" s="377"/>
      <c r="K1404" s="461">
        <f>CEILING((K1403+50*$Z$1),0.1)</f>
        <v>172.5</v>
      </c>
      <c r="L1404" s="377"/>
      <c r="M1404" s="647"/>
      <c r="N1404" s="656"/>
    </row>
    <row r="1405" spans="1:13" ht="16.5" customHeight="1" thickTop="1">
      <c r="A1405" s="458" t="s">
        <v>898</v>
      </c>
      <c r="B1405" s="20"/>
      <c r="C1405" s="20"/>
      <c r="D1405" s="20"/>
      <c r="E1405" s="20"/>
      <c r="F1405" s="20"/>
      <c r="G1405" s="20"/>
      <c r="H1405" s="20"/>
      <c r="I1405" s="670"/>
      <c r="J1405" s="362"/>
      <c r="K1405" s="656"/>
      <c r="L1405" s="656"/>
      <c r="M1405" s="1032"/>
    </row>
    <row r="1406" spans="1:13" ht="15" customHeight="1">
      <c r="A1406" s="752" t="s">
        <v>236</v>
      </c>
      <c r="B1406" s="752"/>
      <c r="C1406" s="752"/>
      <c r="D1406" s="752"/>
      <c r="E1406" s="752"/>
      <c r="F1406" s="752"/>
      <c r="G1406" s="752"/>
      <c r="H1406" s="752"/>
      <c r="I1406" s="752"/>
      <c r="J1406" s="752"/>
      <c r="K1406" s="656"/>
      <c r="L1406" s="656"/>
      <c r="M1406" s="1032"/>
    </row>
    <row r="1407" spans="1:14" ht="16.5" customHeight="1">
      <c r="A1407" s="170" t="s">
        <v>897</v>
      </c>
      <c r="B1407" s="676"/>
      <c r="C1407" s="676"/>
      <c r="D1407" s="676"/>
      <c r="E1407" s="676"/>
      <c r="F1407" s="676"/>
      <c r="G1407" s="676"/>
      <c r="H1407" s="676"/>
      <c r="I1407" s="676"/>
      <c r="J1407" s="676"/>
      <c r="K1407" s="656"/>
      <c r="L1407" s="656"/>
      <c r="M1407" s="1105"/>
      <c r="N1407" s="1104"/>
    </row>
    <row r="1408" spans="1:14" ht="15" customHeight="1" thickBot="1">
      <c r="A1408" s="117"/>
      <c r="B1408" s="143"/>
      <c r="C1408" s="313"/>
      <c r="D1408" s="313"/>
      <c r="E1408" s="313"/>
      <c r="F1408" s="313"/>
      <c r="G1408" s="313"/>
      <c r="H1408" s="313"/>
      <c r="I1408" s="362"/>
      <c r="J1408" s="678"/>
      <c r="K1408" s="656"/>
      <c r="L1408" s="656"/>
      <c r="M1408" s="1105"/>
      <c r="N1408" s="1104"/>
    </row>
    <row r="1409" spans="1:14" ht="16.5" customHeight="1" hidden="1" thickTop="1">
      <c r="A1409" s="898" t="s">
        <v>49</v>
      </c>
      <c r="B1409" s="825"/>
      <c r="C1409" s="827" t="s">
        <v>579</v>
      </c>
      <c r="D1409" s="827"/>
      <c r="E1409" s="758" t="s">
        <v>751</v>
      </c>
      <c r="F1409" s="759"/>
      <c r="G1409" s="750" t="s">
        <v>752</v>
      </c>
      <c r="H1409" s="751"/>
      <c r="I1409" s="830"/>
      <c r="J1409" s="831"/>
      <c r="K1409" s="656"/>
      <c r="L1409" s="656"/>
      <c r="M1409" s="1105"/>
      <c r="N1409" s="1104"/>
    </row>
    <row r="1410" spans="1:14" ht="16.5" customHeight="1" hidden="1">
      <c r="A1410" s="899"/>
      <c r="B1410" s="826"/>
      <c r="C1410" s="102" t="s">
        <v>111</v>
      </c>
      <c r="D1410" s="102" t="s">
        <v>113</v>
      </c>
      <c r="E1410" s="102" t="s">
        <v>111</v>
      </c>
      <c r="F1410" s="102" t="s">
        <v>113</v>
      </c>
      <c r="G1410" s="102" t="s">
        <v>111</v>
      </c>
      <c r="H1410" s="102" t="s">
        <v>113</v>
      </c>
      <c r="I1410" s="631"/>
      <c r="J1410" s="631"/>
      <c r="K1410" s="656"/>
      <c r="L1410" s="656"/>
      <c r="M1410" s="1104"/>
      <c r="N1410" s="1104"/>
    </row>
    <row r="1411" spans="1:21" ht="20.25" customHeight="1" hidden="1" thickBot="1">
      <c r="A1411" s="89" t="s">
        <v>405</v>
      </c>
      <c r="B1411" s="14" t="s">
        <v>57</v>
      </c>
      <c r="C1411" s="649">
        <f>CEILING(90*$Z$1,0.1)</f>
        <v>112.5</v>
      </c>
      <c r="D1411" s="649"/>
      <c r="E1411" s="649">
        <f>CEILING(170*$Z$1,0.1)</f>
        <v>212.5</v>
      </c>
      <c r="F1411" s="649"/>
      <c r="G1411" s="649">
        <f>CEILING(140*$Z$1,0.1)</f>
        <v>175</v>
      </c>
      <c r="H1411" s="649"/>
      <c r="I1411" s="649"/>
      <c r="J1411" s="596"/>
      <c r="K1411" s="679"/>
      <c r="L1411" s="679"/>
      <c r="M1411" s="952"/>
      <c r="N1411" s="952"/>
      <c r="R1411" s="952"/>
      <c r="S1411" s="952"/>
      <c r="T1411" s="952"/>
      <c r="U1411" s="952"/>
    </row>
    <row r="1412" spans="1:21" ht="17.25" customHeight="1" hidden="1" thickTop="1">
      <c r="A1412" s="37" t="s">
        <v>51</v>
      </c>
      <c r="B1412" s="14" t="s">
        <v>58</v>
      </c>
      <c r="C1412" s="647">
        <f>CEILING(140*$Z$1,0.1)</f>
        <v>175</v>
      </c>
      <c r="D1412" s="358"/>
      <c r="E1412" s="647">
        <f>CEILING(230*$Z$1,0.1)</f>
        <v>287.5</v>
      </c>
      <c r="F1412" s="358"/>
      <c r="G1412" s="647">
        <f>CEILING(190*$Z$1,0.1)</f>
        <v>237.5</v>
      </c>
      <c r="H1412" s="358"/>
      <c r="I1412" s="647"/>
      <c r="J1412" s="363"/>
      <c r="K1412" s="969"/>
      <c r="L1412" s="970"/>
      <c r="M1412" s="953"/>
      <c r="N1412" s="952"/>
      <c r="R1412" s="17"/>
      <c r="S1412" s="17"/>
      <c r="T1412" s="17"/>
      <c r="U1412" s="17"/>
    </row>
    <row r="1413" spans="1:21" ht="17.25" customHeight="1" hidden="1">
      <c r="A1413" s="37"/>
      <c r="B1413" s="133" t="s">
        <v>86</v>
      </c>
      <c r="C1413" s="647">
        <f>CEILING(76.5*$Z$1,0.1)</f>
        <v>95.7</v>
      </c>
      <c r="D1413" s="358"/>
      <c r="E1413" s="647">
        <f>CEILING(144.5*$Z$1,0.1)</f>
        <v>180.70000000000002</v>
      </c>
      <c r="F1413" s="358"/>
      <c r="G1413" s="647">
        <f>CEILING(119*$Z$1,0.1)</f>
        <v>148.8</v>
      </c>
      <c r="H1413" s="358"/>
      <c r="I1413" s="647"/>
      <c r="J1413" s="363"/>
      <c r="K1413" s="634"/>
      <c r="L1413" s="634"/>
      <c r="M1413" s="680"/>
      <c r="N1413" s="679"/>
      <c r="R1413" s="17"/>
      <c r="S1413" s="17"/>
      <c r="T1413" s="17"/>
      <c r="U1413" s="17"/>
    </row>
    <row r="1414" spans="1:25" ht="15.75" hidden="1" thickBot="1">
      <c r="A1414" s="414" t="s">
        <v>505</v>
      </c>
      <c r="B1414" s="40" t="s">
        <v>85</v>
      </c>
      <c r="C1414" s="651">
        <f>CEILING((C1411*0.5),0.1)</f>
        <v>56.300000000000004</v>
      </c>
      <c r="D1414" s="651"/>
      <c r="E1414" s="651">
        <f>CEILING((E1411*0.5),0.1)</f>
        <v>106.30000000000001</v>
      </c>
      <c r="F1414" s="651"/>
      <c r="G1414" s="651">
        <f>CEILING((G1411*0.5),0.1)</f>
        <v>87.5</v>
      </c>
      <c r="H1414" s="651"/>
      <c r="I1414" s="377"/>
      <c r="J1414" s="377"/>
      <c r="K1414" s="635"/>
      <c r="L1414" s="312"/>
      <c r="M1414" s="312"/>
      <c r="N1414" s="309"/>
      <c r="R1414" s="3"/>
      <c r="S1414" s="3"/>
      <c r="T1414" s="3"/>
      <c r="U1414" s="3"/>
      <c r="W1414" s="1185"/>
      <c r="X1414" s="1185"/>
      <c r="Y1414" s="1185"/>
    </row>
    <row r="1415" spans="1:25" ht="15.75" hidden="1" thickTop="1">
      <c r="A1415" s="20" t="s">
        <v>406</v>
      </c>
      <c r="B1415" s="117"/>
      <c r="C1415" s="117"/>
      <c r="D1415" s="117"/>
      <c r="E1415" s="117"/>
      <c r="F1415" s="117"/>
      <c r="G1415" s="117"/>
      <c r="H1415" s="117"/>
      <c r="I1415" s="676"/>
      <c r="J1415" s="676"/>
      <c r="K1415" s="656"/>
      <c r="L1415" s="656"/>
      <c r="M1415" s="653"/>
      <c r="N1415" s="653"/>
      <c r="R1415" s="262"/>
      <c r="S1415" s="3"/>
      <c r="T1415" s="262"/>
      <c r="U1415" s="3"/>
      <c r="W1415" s="1185"/>
      <c r="X1415" s="1185"/>
      <c r="Y1415" s="1185"/>
    </row>
    <row r="1416" spans="1:25" ht="16.5" thickBot="1" thickTop="1">
      <c r="A1416" s="123"/>
      <c r="B1416" s="123"/>
      <c r="C1416" s="123"/>
      <c r="D1416" s="123"/>
      <c r="E1416" s="123"/>
      <c r="F1416" s="123"/>
      <c r="G1416" s="117"/>
      <c r="H1416" s="117"/>
      <c r="I1416" s="676"/>
      <c r="J1416" s="1105"/>
      <c r="K1416" s="656"/>
      <c r="L1416" s="656"/>
      <c r="M1416" s="333"/>
      <c r="N1416" s="653"/>
      <c r="R1416" s="3"/>
      <c r="S1416" s="3"/>
      <c r="T1416" s="3"/>
      <c r="U1416" s="3"/>
      <c r="W1416" s="1185"/>
      <c r="X1416" s="1185"/>
      <c r="Y1416" s="1185"/>
    </row>
    <row r="1417" spans="1:25" ht="15.75" customHeight="1" thickTop="1">
      <c r="A1417" s="595" t="s">
        <v>49</v>
      </c>
      <c r="B1417" s="459"/>
      <c r="C1417" s="754" t="s">
        <v>1162</v>
      </c>
      <c r="D1417" s="755"/>
      <c r="E1417" s="756" t="s">
        <v>888</v>
      </c>
      <c r="F1417" s="757"/>
      <c r="G1417" s="709"/>
      <c r="H1417" s="710"/>
      <c r="I1417" s="829"/>
      <c r="J1417" s="829"/>
      <c r="K1417" s="656"/>
      <c r="L1417" s="656"/>
      <c r="M1417" s="653"/>
      <c r="N1417" s="653"/>
      <c r="R1417" s="3"/>
      <c r="S1417" s="3"/>
      <c r="T1417" s="3"/>
      <c r="U1417" s="3"/>
      <c r="W1417" s="1185"/>
      <c r="X1417" s="1185"/>
      <c r="Y1417" s="1185"/>
    </row>
    <row r="1418" spans="1:25" ht="15">
      <c r="A1418" s="525"/>
      <c r="B1418" s="689"/>
      <c r="C1418" s="443" t="s">
        <v>111</v>
      </c>
      <c r="D1418" s="443" t="s">
        <v>113</v>
      </c>
      <c r="E1418" s="443" t="s">
        <v>111</v>
      </c>
      <c r="F1418" s="443" t="s">
        <v>113</v>
      </c>
      <c r="G1418" s="709"/>
      <c r="H1418" s="710"/>
      <c r="I1418" s="309"/>
      <c r="J1418" s="309"/>
      <c r="K1418" s="656"/>
      <c r="L1418" s="656"/>
      <c r="M1418" s="653"/>
      <c r="N1418" s="653"/>
      <c r="O1418" s="1032"/>
      <c r="R1418" s="3"/>
      <c r="S1418" s="3"/>
      <c r="T1418" s="3"/>
      <c r="U1418" s="3"/>
      <c r="W1418" s="1185"/>
      <c r="X1418" s="1185"/>
      <c r="Y1418" s="1185"/>
    </row>
    <row r="1419" spans="1:25" ht="15">
      <c r="A1419" s="204" t="s">
        <v>169</v>
      </c>
      <c r="B1419" s="42" t="s">
        <v>57</v>
      </c>
      <c r="C1419" s="649">
        <f>CEILING(90*$Z$1,0.1)</f>
        <v>112.5</v>
      </c>
      <c r="D1419" s="649"/>
      <c r="E1419" s="649">
        <f>CEILING(75*$Z$1,0.1)</f>
        <v>93.80000000000001</v>
      </c>
      <c r="F1419" s="596"/>
      <c r="G1419" s="709"/>
      <c r="H1419" s="710"/>
      <c r="I1419" s="656"/>
      <c r="J1419" s="656"/>
      <c r="K1419" s="656"/>
      <c r="L1419" s="656"/>
      <c r="M1419" s="653"/>
      <c r="N1419" s="653"/>
      <c r="R1419" s="262"/>
      <c r="S1419" s="3"/>
      <c r="T1419" s="262"/>
      <c r="U1419" s="3"/>
      <c r="W1419" s="1185"/>
      <c r="X1419" s="1185"/>
      <c r="Y1419" s="1185"/>
    </row>
    <row r="1420" spans="1:25" ht="15">
      <c r="A1420" s="177" t="s">
        <v>65</v>
      </c>
      <c r="B1420" s="14" t="s">
        <v>58</v>
      </c>
      <c r="C1420" s="647">
        <f>CEILING((C1419+40*$Z$1),0.1)</f>
        <v>162.5</v>
      </c>
      <c r="D1420" s="358"/>
      <c r="E1420" s="647">
        <f>CEILING((E1419+40*$Z$1),0.1)</f>
        <v>143.8</v>
      </c>
      <c r="F1420" s="358"/>
      <c r="G1420" s="709"/>
      <c r="H1420" s="710"/>
      <c r="I1420" s="656"/>
      <c r="J1420" s="656"/>
      <c r="K1420" s="656"/>
      <c r="L1420" s="656"/>
      <c r="M1420" s="333"/>
      <c r="N1420" s="653"/>
      <c r="R1420" s="3"/>
      <c r="S1420" s="3"/>
      <c r="T1420" s="172"/>
      <c r="U1420" s="172"/>
      <c r="W1420" s="1185"/>
      <c r="X1420" s="1185"/>
      <c r="Y1420" s="1185"/>
    </row>
    <row r="1421" spans="1:25" ht="15">
      <c r="A1421" s="1186"/>
      <c r="B1421" s="133" t="s">
        <v>86</v>
      </c>
      <c r="C1421" s="647">
        <f>CEILING((C1419*0.85),0.1)</f>
        <v>95.7</v>
      </c>
      <c r="D1421" s="358"/>
      <c r="E1421" s="647">
        <f>CEILING((E1419*0.85),0.1)</f>
        <v>79.80000000000001</v>
      </c>
      <c r="F1421" s="358"/>
      <c r="G1421" s="709"/>
      <c r="H1421" s="710"/>
      <c r="I1421" s="656"/>
      <c r="J1421" s="656"/>
      <c r="K1421" s="656"/>
      <c r="L1421" s="656"/>
      <c r="M1421" s="653"/>
      <c r="N1421" s="653"/>
      <c r="R1421" s="3"/>
      <c r="S1421" s="3"/>
      <c r="T1421" s="17"/>
      <c r="U1421" s="17"/>
      <c r="W1421" s="1185"/>
      <c r="X1421" s="1185"/>
      <c r="Y1421" s="1185"/>
    </row>
    <row r="1422" spans="1:25" ht="15">
      <c r="A1422" s="235"/>
      <c r="B1422" s="39" t="s">
        <v>85</v>
      </c>
      <c r="C1422" s="647">
        <f>CEILING((C1419*0.5),0.1)</f>
        <v>56.300000000000004</v>
      </c>
      <c r="D1422" s="647"/>
      <c r="E1422" s="647">
        <f>CEILING((E1419*0.5),0.1)</f>
        <v>46.900000000000006</v>
      </c>
      <c r="F1422" s="363"/>
      <c r="G1422" s="709"/>
      <c r="H1422" s="710"/>
      <c r="I1422" s="656"/>
      <c r="J1422" s="656"/>
      <c r="K1422" s="656"/>
      <c r="L1422" s="656"/>
      <c r="M1422" s="653"/>
      <c r="N1422" s="653"/>
      <c r="R1422" s="1032"/>
      <c r="S1422" s="1032"/>
      <c r="T1422" s="3"/>
      <c r="U1422" s="3"/>
      <c r="W1422" s="1185"/>
      <c r="X1422" s="1185"/>
      <c r="Y1422" s="1185"/>
    </row>
    <row r="1423" spans="1:25" ht="15">
      <c r="A1423" s="235"/>
      <c r="B1423" s="14" t="s">
        <v>153</v>
      </c>
      <c r="C1423" s="647">
        <f>CEILING(150*$Z$1,0.1)</f>
        <v>187.5</v>
      </c>
      <c r="D1423" s="358"/>
      <c r="E1423" s="647">
        <f>CEILING(135*$Z$1,0.1)</f>
        <v>168.8</v>
      </c>
      <c r="F1423" s="358"/>
      <c r="G1423" s="709"/>
      <c r="H1423" s="710"/>
      <c r="I1423" s="656"/>
      <c r="J1423" s="656"/>
      <c r="K1423" s="302"/>
      <c r="L1423" s="1187"/>
      <c r="M1423" s="1105"/>
      <c r="N1423" s="1105"/>
      <c r="T1423" s="3"/>
      <c r="U1423" s="3"/>
      <c r="W1423" s="1185"/>
      <c r="X1423" s="1185"/>
      <c r="Y1423" s="1185"/>
    </row>
    <row r="1424" spans="1:25" ht="15">
      <c r="A1424" s="597" t="s">
        <v>504</v>
      </c>
      <c r="B1424" s="220" t="s">
        <v>276</v>
      </c>
      <c r="C1424" s="658">
        <f>CEILING((C1423+40*$Z$1),0.1)</f>
        <v>237.5</v>
      </c>
      <c r="D1424" s="377"/>
      <c r="E1424" s="658">
        <f>CEILING((E1423+40*$Z$1),0.1)</f>
        <v>218.8</v>
      </c>
      <c r="F1424" s="377"/>
      <c r="G1424" s="709"/>
      <c r="H1424" s="710"/>
      <c r="I1424" s="656"/>
      <c r="J1424" s="656"/>
      <c r="K1424" s="636"/>
      <c r="L1424" s="636"/>
      <c r="M1424" s="1105"/>
      <c r="N1424" s="1105"/>
      <c r="T1424" s="3"/>
      <c r="U1424" s="3"/>
      <c r="W1424" s="1185"/>
      <c r="X1424" s="1185"/>
      <c r="Y1424" s="1185"/>
    </row>
    <row r="1425" spans="1:25" s="1190" customFormat="1" ht="15">
      <c r="A1425" s="579" t="s">
        <v>1163</v>
      </c>
      <c r="B1425" s="1188"/>
      <c r="C1425" s="589"/>
      <c r="D1425" s="590"/>
      <c r="E1425" s="589"/>
      <c r="F1425" s="590"/>
      <c r="G1425" s="591"/>
      <c r="H1425" s="591"/>
      <c r="I1425" s="589"/>
      <c r="J1425" s="589"/>
      <c r="K1425" s="594"/>
      <c r="L1425" s="594"/>
      <c r="M1425" s="1189"/>
      <c r="N1425" s="1189"/>
      <c r="O1425" s="1189"/>
      <c r="P1425" s="1189"/>
      <c r="Q1425" s="1189"/>
      <c r="R1425" s="1189"/>
      <c r="S1425" s="1189"/>
      <c r="T1425" s="593"/>
      <c r="U1425" s="593"/>
      <c r="V1425" s="1189"/>
      <c r="W1425" s="1185"/>
      <c r="X1425" s="1185"/>
      <c r="Y1425" s="1185"/>
    </row>
    <row r="1426" spans="1:25" s="1192" customFormat="1" ht="15">
      <c r="A1426" s="170" t="s">
        <v>1164</v>
      </c>
      <c r="B1426" s="676"/>
      <c r="C1426" s="589"/>
      <c r="D1426" s="590"/>
      <c r="E1426" s="589"/>
      <c r="F1426" s="590"/>
      <c r="G1426" s="591"/>
      <c r="H1426" s="591"/>
      <c r="I1426" s="589"/>
      <c r="J1426" s="589"/>
      <c r="K1426" s="592"/>
      <c r="L1426" s="592"/>
      <c r="M1426" s="1191"/>
      <c r="N1426" s="1191"/>
      <c r="O1426" s="1191"/>
      <c r="P1426" s="1191"/>
      <c r="Q1426" s="1191"/>
      <c r="R1426" s="1191"/>
      <c r="S1426" s="1191"/>
      <c r="T1426" s="593"/>
      <c r="U1426" s="593"/>
      <c r="V1426" s="1191"/>
      <c r="W1426" s="1185"/>
      <c r="X1426" s="1185"/>
      <c r="Y1426" s="1185"/>
    </row>
    <row r="1427" spans="1:25" ht="16.5" customHeight="1" thickBot="1">
      <c r="A1427" s="170" t="s">
        <v>1165</v>
      </c>
      <c r="B1427" s="676"/>
      <c r="C1427" s="676"/>
      <c r="D1427" s="676"/>
      <c r="E1427" s="676"/>
      <c r="F1427" s="676"/>
      <c r="G1427" s="676"/>
      <c r="H1427" s="676"/>
      <c r="I1427" s="676"/>
      <c r="J1427" s="676"/>
      <c r="K1427" s="656"/>
      <c r="L1427" s="656"/>
      <c r="M1427" s="1032"/>
      <c r="W1427" s="1185"/>
      <c r="X1427" s="1185"/>
      <c r="Y1427" s="1185"/>
    </row>
    <row r="1428" spans="1:25" ht="15.75" customHeight="1" thickTop="1">
      <c r="A1428" s="687" t="s">
        <v>49</v>
      </c>
      <c r="B1428" s="686"/>
      <c r="C1428" s="754" t="s">
        <v>1002</v>
      </c>
      <c r="D1428" s="755"/>
      <c r="E1428" s="756" t="s">
        <v>1200</v>
      </c>
      <c r="F1428" s="757"/>
      <c r="G1428" s="726" t="s">
        <v>991</v>
      </c>
      <c r="H1428" s="727"/>
      <c r="I1428" s="760" t="s">
        <v>886</v>
      </c>
      <c r="J1428" s="761"/>
      <c r="K1428" s="964" t="s">
        <v>584</v>
      </c>
      <c r="L1428" s="965"/>
      <c r="M1428" s="760" t="s">
        <v>888</v>
      </c>
      <c r="N1428" s="761"/>
      <c r="W1428" s="1185"/>
      <c r="X1428" s="1185"/>
      <c r="Y1428" s="1185"/>
    </row>
    <row r="1429" spans="1:25" ht="15">
      <c r="A1429" s="699"/>
      <c r="B1429" s="689"/>
      <c r="C1429" s="722" t="s">
        <v>1003</v>
      </c>
      <c r="D1429" s="723"/>
      <c r="E1429" s="522"/>
      <c r="F1429" s="523"/>
      <c r="G1429" s="694"/>
      <c r="H1429" s="695"/>
      <c r="I1429" s="760"/>
      <c r="J1429" s="761"/>
      <c r="K1429" s="524"/>
      <c r="L1429" s="613"/>
      <c r="M1429" s="760"/>
      <c r="N1429" s="761"/>
      <c r="Q1429" s="172"/>
      <c r="R1429" s="172"/>
      <c r="W1429" s="1185"/>
      <c r="X1429" s="1185"/>
      <c r="Y1429" s="1185"/>
    </row>
    <row r="1430" spans="1:26" ht="15">
      <c r="A1430" s="688"/>
      <c r="B1430" s="673"/>
      <c r="C1430" s="443" t="s">
        <v>111</v>
      </c>
      <c r="D1430" s="443" t="s">
        <v>113</v>
      </c>
      <c r="E1430" s="443" t="s">
        <v>111</v>
      </c>
      <c r="F1430" s="443" t="s">
        <v>113</v>
      </c>
      <c r="G1430" s="443" t="s">
        <v>111</v>
      </c>
      <c r="H1430" s="526" t="s">
        <v>113</v>
      </c>
      <c r="I1430" s="443" t="s">
        <v>111</v>
      </c>
      <c r="J1430" s="443" t="s">
        <v>113</v>
      </c>
      <c r="K1430" s="443" t="s">
        <v>111</v>
      </c>
      <c r="L1430" s="443" t="s">
        <v>113</v>
      </c>
      <c r="M1430" s="443" t="s">
        <v>111</v>
      </c>
      <c r="N1430" s="443" t="s">
        <v>113</v>
      </c>
      <c r="Q1430" s="17"/>
      <c r="R1430" s="17"/>
      <c r="T1430" s="1185"/>
      <c r="U1430" s="1185"/>
      <c r="V1430" s="1185"/>
      <c r="W1430" s="1185"/>
      <c r="X1430" s="1185"/>
      <c r="Y1430" s="1185"/>
      <c r="Z1430" s="1185"/>
    </row>
    <row r="1431" spans="1:26" ht="15">
      <c r="A1431" s="204" t="s">
        <v>1000</v>
      </c>
      <c r="B1431" s="42" t="s">
        <v>57</v>
      </c>
      <c r="C1431" s="647">
        <f>CEILING(85*$Z$1,0.1)</f>
        <v>106.30000000000001</v>
      </c>
      <c r="D1431" s="647"/>
      <c r="E1431" s="647">
        <f>CEILING(77*$Z$1,0.1)</f>
        <v>96.30000000000001</v>
      </c>
      <c r="F1431" s="647"/>
      <c r="G1431" s="647">
        <f>CEILING(105*$Z$1,0.1)</f>
        <v>131.3</v>
      </c>
      <c r="H1431" s="647"/>
      <c r="I1431" s="647">
        <f>CEILING(90*$Z$1,0.1)</f>
        <v>112.5</v>
      </c>
      <c r="J1431" s="363"/>
      <c r="K1431" s="647">
        <f>CEILING(99*$Z$1,0.1)</f>
        <v>123.80000000000001</v>
      </c>
      <c r="L1431" s="363"/>
      <c r="M1431" s="647">
        <f>CEILING(99*$Z$1,0.1)</f>
        <v>123.80000000000001</v>
      </c>
      <c r="N1431" s="363"/>
      <c r="Q1431" s="3"/>
      <c r="R1431" s="3"/>
      <c r="S1431" s="1032"/>
      <c r="T1431" s="1185"/>
      <c r="U1431" s="1185"/>
      <c r="V1431" s="1185"/>
      <c r="W1431" s="1185"/>
      <c r="X1431" s="1185"/>
      <c r="Y1431" s="1185"/>
      <c r="Z1431" s="1185"/>
    </row>
    <row r="1432" spans="1:26" ht="17.25" customHeight="1">
      <c r="A1432" s="177" t="s">
        <v>65</v>
      </c>
      <c r="B1432" s="14" t="s">
        <v>58</v>
      </c>
      <c r="C1432" s="647">
        <v>149</v>
      </c>
      <c r="D1432" s="358"/>
      <c r="E1432" s="647">
        <v>135</v>
      </c>
      <c r="F1432" s="358"/>
      <c r="G1432" s="647">
        <f>CEILING(147*$Z$1,0.1)</f>
        <v>183.8</v>
      </c>
      <c r="H1432" s="358"/>
      <c r="I1432" s="647">
        <f>CEILING(126*$Z$1,0.1)</f>
        <v>157.5</v>
      </c>
      <c r="J1432" s="358"/>
      <c r="K1432" s="647">
        <f>CEILING(139*$Z$1,0.1)</f>
        <v>173.8</v>
      </c>
      <c r="L1432" s="358"/>
      <c r="M1432" s="647">
        <f>CEILING(139*$Z$1,0.1)</f>
        <v>173.8</v>
      </c>
      <c r="N1432" s="358"/>
      <c r="Q1432" s="3"/>
      <c r="R1432" s="3"/>
      <c r="S1432" s="1032"/>
      <c r="T1432" s="1185"/>
      <c r="U1432" s="1185"/>
      <c r="V1432" s="1185"/>
      <c r="W1432" s="1185"/>
      <c r="X1432" s="1185"/>
      <c r="Y1432" s="1185"/>
      <c r="Z1432" s="1185"/>
    </row>
    <row r="1433" spans="1:26" ht="15">
      <c r="A1433" s="1186"/>
      <c r="B1433" s="133" t="s">
        <v>86</v>
      </c>
      <c r="C1433" s="647">
        <f>CEILING((C1431*0.85),0.1)</f>
        <v>90.4</v>
      </c>
      <c r="D1433" s="358"/>
      <c r="E1433" s="647">
        <f>CEILING((E1431*0.85),0.1)</f>
        <v>81.9</v>
      </c>
      <c r="F1433" s="358"/>
      <c r="G1433" s="647">
        <f>CEILING((G1431*0.85),0.1)</f>
        <v>111.7</v>
      </c>
      <c r="H1433" s="358"/>
      <c r="I1433" s="647">
        <f>CEILING((I1431*0.85),0.1)</f>
        <v>95.7</v>
      </c>
      <c r="J1433" s="358"/>
      <c r="K1433" s="647">
        <f>CEILING((K1431*0.85),0.1)</f>
        <v>105.30000000000001</v>
      </c>
      <c r="L1433" s="358"/>
      <c r="M1433" s="647">
        <f>CEILING((M1431*0.85),0.1)</f>
        <v>105.30000000000001</v>
      </c>
      <c r="N1433" s="358"/>
      <c r="Q1433" s="3"/>
      <c r="R1433" s="3"/>
      <c r="S1433" s="1032"/>
      <c r="T1433" s="1185"/>
      <c r="U1433" s="1185"/>
      <c r="V1433" s="1185"/>
      <c r="W1433" s="1185"/>
      <c r="X1433" s="1185"/>
      <c r="Y1433" s="1185"/>
      <c r="Z1433" s="1185"/>
    </row>
    <row r="1434" spans="1:26" ht="15">
      <c r="A1434" s="261"/>
      <c r="B1434" s="31" t="s">
        <v>78</v>
      </c>
      <c r="C1434" s="647">
        <f>CEILING((C1431*0.5),0.1)</f>
        <v>53.2</v>
      </c>
      <c r="D1434" s="358"/>
      <c r="E1434" s="647">
        <f>CEILING((E1431*0.5),0.1)</f>
        <v>48.2</v>
      </c>
      <c r="F1434" s="358"/>
      <c r="G1434" s="647">
        <f>CEILING((G1431*0.5),0.1)</f>
        <v>65.7</v>
      </c>
      <c r="H1434" s="358"/>
      <c r="I1434" s="647">
        <f>CEILING((I1431*0.5),0.1)</f>
        <v>56.300000000000004</v>
      </c>
      <c r="J1434" s="358"/>
      <c r="K1434" s="647">
        <f>CEILING((K1431*0.5),0.1)</f>
        <v>61.900000000000006</v>
      </c>
      <c r="L1434" s="358"/>
      <c r="M1434" s="647">
        <f>CEILING((M1431*0.5),0.1)</f>
        <v>61.900000000000006</v>
      </c>
      <c r="N1434" s="358"/>
      <c r="Q1434" s="3"/>
      <c r="R1434" s="3"/>
      <c r="S1434" s="1032"/>
      <c r="T1434" s="1185"/>
      <c r="U1434" s="1185"/>
      <c r="V1434" s="1185"/>
      <c r="W1434" s="1185"/>
      <c r="X1434" s="1185"/>
      <c r="Y1434" s="1185"/>
      <c r="Z1434" s="1185"/>
    </row>
    <row r="1435" spans="1:26" ht="15">
      <c r="A1435" s="85"/>
      <c r="B1435" s="14" t="s">
        <v>13</v>
      </c>
      <c r="C1435" s="647">
        <f>CEILING(93*$Z$1,0.1)</f>
        <v>116.30000000000001</v>
      </c>
      <c r="D1435" s="358"/>
      <c r="E1435" s="647">
        <f>CEILING(85*$Z$1,0.1)</f>
        <v>106.30000000000001</v>
      </c>
      <c r="F1435" s="358"/>
      <c r="G1435" s="647">
        <f>CEILING(113*$Z$1,0.1)</f>
        <v>141.3</v>
      </c>
      <c r="H1435" s="358"/>
      <c r="I1435" s="647">
        <f>CEILING(98*$Z$1,0.1)</f>
        <v>122.5</v>
      </c>
      <c r="J1435" s="358"/>
      <c r="K1435" s="647">
        <f>CEILING(107*$Z$1,0.1)</f>
        <v>133.8</v>
      </c>
      <c r="L1435" s="358"/>
      <c r="M1435" s="647">
        <f>CEILING(107*$Z$1,0.1)</f>
        <v>133.8</v>
      </c>
      <c r="N1435" s="358"/>
      <c r="Q1435" s="3"/>
      <c r="R1435" s="3"/>
      <c r="S1435" s="1032"/>
      <c r="T1435" s="1185"/>
      <c r="U1435" s="1185"/>
      <c r="V1435" s="1185"/>
      <c r="W1435" s="1185"/>
      <c r="X1435" s="1185"/>
      <c r="Y1435" s="1185"/>
      <c r="Z1435" s="1185"/>
    </row>
    <row r="1436" spans="1:26" ht="15">
      <c r="A1436" s="177"/>
      <c r="B1436" s="14" t="s">
        <v>14</v>
      </c>
      <c r="C1436" s="647">
        <f>CEILING(130*$Z$1,0.1)</f>
        <v>162.5</v>
      </c>
      <c r="D1436" s="358"/>
      <c r="E1436" s="647">
        <f>CEILING(119*$Z$1,0.1)</f>
        <v>148.8</v>
      </c>
      <c r="F1436" s="358"/>
      <c r="G1436" s="647">
        <f>CEILING(158*$Z$1,0.1)</f>
        <v>197.5</v>
      </c>
      <c r="H1436" s="358"/>
      <c r="I1436" s="647">
        <f>CEILING(137*$Z$1,0.1)</f>
        <v>171.3</v>
      </c>
      <c r="J1436" s="358"/>
      <c r="K1436" s="647">
        <f>CEILING(150*$Z$1,0.1)</f>
        <v>187.5</v>
      </c>
      <c r="L1436" s="358"/>
      <c r="M1436" s="647">
        <f>CEILING(150*$Z$1,0.1)</f>
        <v>187.5</v>
      </c>
      <c r="N1436" s="358"/>
      <c r="Q1436" s="3"/>
      <c r="R1436" s="3"/>
      <c r="S1436" s="1032"/>
      <c r="T1436" s="1185"/>
      <c r="U1436" s="1185"/>
      <c r="V1436" s="1185"/>
      <c r="W1436" s="1185"/>
      <c r="X1436" s="1185"/>
      <c r="Y1436" s="1185"/>
      <c r="Z1436" s="1185"/>
    </row>
    <row r="1437" spans="1:26" ht="18.75" customHeight="1">
      <c r="A1437" s="1186"/>
      <c r="B1437" s="14" t="s">
        <v>229</v>
      </c>
      <c r="C1437" s="647">
        <f>CEILING(115*$Z$1,0.1)</f>
        <v>143.8</v>
      </c>
      <c r="D1437" s="358"/>
      <c r="E1437" s="647">
        <f>CEILING(107*$Z$1,0.1)</f>
        <v>133.8</v>
      </c>
      <c r="F1437" s="358"/>
      <c r="G1437" s="647">
        <f>CEILING(135*$Z$1,0.1)</f>
        <v>168.8</v>
      </c>
      <c r="H1437" s="358"/>
      <c r="I1437" s="647">
        <f>CEILING(120*$Z$1,0.1)</f>
        <v>150</v>
      </c>
      <c r="J1437" s="358"/>
      <c r="K1437" s="647">
        <f>CEILING(129*$Z$1,0.1)</f>
        <v>161.3</v>
      </c>
      <c r="L1437" s="358"/>
      <c r="M1437" s="647">
        <f>CEILING(129*$Z$1,0.1)</f>
        <v>161.3</v>
      </c>
      <c r="N1437" s="358"/>
      <c r="Q1437" s="1032"/>
      <c r="R1437" s="1032"/>
      <c r="S1437" s="1032"/>
      <c r="T1437" s="1185"/>
      <c r="U1437" s="1185"/>
      <c r="V1437" s="1185"/>
      <c r="W1437" s="1185"/>
      <c r="X1437" s="1185"/>
      <c r="Y1437" s="1185"/>
      <c r="Z1437" s="1185"/>
    </row>
    <row r="1438" spans="1:26" ht="15.75" thickBot="1">
      <c r="A1438" s="373" t="s">
        <v>1001</v>
      </c>
      <c r="B1438" s="15" t="s">
        <v>230</v>
      </c>
      <c r="C1438" s="651">
        <f>CEILING(161*$Z$1,0.1)</f>
        <v>201.3</v>
      </c>
      <c r="D1438" s="359"/>
      <c r="E1438" s="651">
        <f>CEILING(150*$Z$1,0.1)</f>
        <v>187.5</v>
      </c>
      <c r="F1438" s="359"/>
      <c r="G1438" s="651">
        <f>CEILING(189*$Z$1,0.1)</f>
        <v>236.3</v>
      </c>
      <c r="H1438" s="359"/>
      <c r="I1438" s="658">
        <f>CEILING(168*$Z$1,0.1)</f>
        <v>210</v>
      </c>
      <c r="J1438" s="377"/>
      <c r="K1438" s="658">
        <f>CEILING(181*$Z$1,0.1)</f>
        <v>226.3</v>
      </c>
      <c r="L1438" s="377"/>
      <c r="M1438" s="658">
        <f>CEILING(181*$Z$1,0.1)</f>
        <v>226.3</v>
      </c>
      <c r="N1438" s="377"/>
      <c r="R1438" s="1032"/>
      <c r="S1438" s="1032"/>
      <c r="T1438" s="1185"/>
      <c r="U1438" s="1185"/>
      <c r="V1438" s="1185"/>
      <c r="W1438" s="1185"/>
      <c r="X1438" s="1185"/>
      <c r="Y1438" s="1185"/>
      <c r="Z1438" s="1185"/>
    </row>
    <row r="1439" spans="1:26" ht="15" customHeight="1" thickTop="1">
      <c r="A1439" s="82" t="s">
        <v>1004</v>
      </c>
      <c r="B1439" s="54"/>
      <c r="C1439" s="3"/>
      <c r="D1439" s="3"/>
      <c r="E1439" s="3"/>
      <c r="F1439" s="3"/>
      <c r="G1439" s="3"/>
      <c r="H1439" s="3"/>
      <c r="I1439" s="3"/>
      <c r="J1439" s="3"/>
      <c r="K1439" s="653"/>
      <c r="L1439" s="653"/>
      <c r="M1439" s="992"/>
      <c r="R1439" s="1032"/>
      <c r="S1439" s="1032"/>
      <c r="T1439" s="1185"/>
      <c r="U1439" s="1185"/>
      <c r="V1439" s="1185"/>
      <c r="W1439" s="1185"/>
      <c r="X1439" s="1185"/>
      <c r="Y1439" s="1185"/>
      <c r="Z1439" s="1185"/>
    </row>
    <row r="1440" spans="1:26" ht="15.75" thickBot="1">
      <c r="A1440" s="123"/>
      <c r="B1440" s="123"/>
      <c r="C1440" s="117"/>
      <c r="D1440" s="117"/>
      <c r="E1440" s="117"/>
      <c r="F1440" s="117"/>
      <c r="G1440" s="117"/>
      <c r="H1440" s="117"/>
      <c r="I1440" s="117"/>
      <c r="J1440" s="117"/>
      <c r="K1440" s="653"/>
      <c r="L1440" s="653"/>
      <c r="M1440" s="992"/>
      <c r="R1440" s="1032"/>
      <c r="S1440" s="1032"/>
      <c r="T1440" s="1185"/>
      <c r="U1440" s="1185"/>
      <c r="V1440" s="1185"/>
      <c r="W1440" s="1185"/>
      <c r="X1440" s="1185"/>
      <c r="Y1440" s="1185"/>
      <c r="Z1440" s="1185"/>
    </row>
    <row r="1441" spans="1:26" ht="15.75" thickTop="1">
      <c r="A1441" s="742" t="s">
        <v>49</v>
      </c>
      <c r="B1441" s="520"/>
      <c r="C1441" s="754" t="s">
        <v>884</v>
      </c>
      <c r="D1441" s="755"/>
      <c r="E1441" s="726" t="s">
        <v>1050</v>
      </c>
      <c r="F1441" s="727"/>
      <c r="G1441" s="769" t="s">
        <v>586</v>
      </c>
      <c r="H1441" s="770"/>
      <c r="I1441" s="280"/>
      <c r="J1441" s="264"/>
      <c r="K1441" s="653"/>
      <c r="L1441" s="653"/>
      <c r="M1441" s="992"/>
      <c r="R1441" s="1032"/>
      <c r="S1441" s="1032"/>
      <c r="T1441" s="1185"/>
      <c r="U1441" s="1185"/>
      <c r="V1441" s="1185"/>
      <c r="W1441" s="1185"/>
      <c r="X1441" s="1185"/>
      <c r="Y1441" s="1185"/>
      <c r="Z1441" s="1185"/>
    </row>
    <row r="1442" spans="1:26" ht="15">
      <c r="A1442" s="828"/>
      <c r="B1442" s="520"/>
      <c r="C1442" s="447" t="s">
        <v>111</v>
      </c>
      <c r="D1442" s="447" t="s">
        <v>113</v>
      </c>
      <c r="E1442" s="447" t="s">
        <v>111</v>
      </c>
      <c r="F1442" s="448" t="s">
        <v>113</v>
      </c>
      <c r="G1442" s="447" t="s">
        <v>111</v>
      </c>
      <c r="H1442" s="448" t="s">
        <v>113</v>
      </c>
      <c r="I1442" s="16"/>
      <c r="J1442" s="17"/>
      <c r="K1442" s="653"/>
      <c r="L1442" s="653"/>
      <c r="M1442" s="992"/>
      <c r="R1442" s="1032"/>
      <c r="S1442" s="1032"/>
      <c r="T1442" s="1185"/>
      <c r="U1442" s="1185"/>
      <c r="V1442" s="1185"/>
      <c r="W1442" s="1185"/>
      <c r="X1442" s="1185"/>
      <c r="Y1442" s="1185"/>
      <c r="Z1442" s="1185"/>
    </row>
    <row r="1443" spans="1:26" ht="15">
      <c r="A1443" s="36" t="s">
        <v>170</v>
      </c>
      <c r="B1443" s="42" t="s">
        <v>57</v>
      </c>
      <c r="C1443" s="647">
        <f>CEILING(115*$Z$1,0.1)</f>
        <v>143.8</v>
      </c>
      <c r="D1443" s="647"/>
      <c r="E1443" s="647">
        <f>CEILING(125*$Z$1,0.1)</f>
        <v>156.3</v>
      </c>
      <c r="F1443" s="647"/>
      <c r="G1443" s="647">
        <f>CEILING(115*$Z$1,0.1)</f>
        <v>143.8</v>
      </c>
      <c r="H1443" s="647"/>
      <c r="I1443" s="4"/>
      <c r="J1443" s="3"/>
      <c r="K1443" s="653"/>
      <c r="L1443" s="653"/>
      <c r="M1443" s="22"/>
      <c r="N1443" s="991"/>
      <c r="R1443" s="1032"/>
      <c r="S1443" s="1032"/>
      <c r="T1443" s="1185"/>
      <c r="U1443" s="1185"/>
      <c r="V1443" s="1185"/>
      <c r="W1443" s="1185"/>
      <c r="X1443" s="1185"/>
      <c r="Y1443" s="1185"/>
      <c r="Z1443" s="1185"/>
    </row>
    <row r="1444" spans="1:26" ht="15">
      <c r="A1444" s="37" t="s">
        <v>51</v>
      </c>
      <c r="B1444" s="14" t="s">
        <v>58</v>
      </c>
      <c r="C1444" s="647">
        <f>CEILING((C1443+50*$Z$1),0.1)</f>
        <v>206.3</v>
      </c>
      <c r="D1444" s="358"/>
      <c r="E1444" s="647">
        <f>CEILING((E1443+50*$Z$1),0.1)</f>
        <v>218.8</v>
      </c>
      <c r="F1444" s="358"/>
      <c r="G1444" s="647">
        <f>CEILING((G1443+50*$Z$1),0.1)</f>
        <v>206.3</v>
      </c>
      <c r="H1444" s="358"/>
      <c r="I1444" s="4"/>
      <c r="J1444" s="3"/>
      <c r="K1444" s="653"/>
      <c r="L1444" s="653"/>
      <c r="M1444" s="22"/>
      <c r="N1444" s="991"/>
      <c r="R1444" s="1032"/>
      <c r="S1444" s="1032"/>
      <c r="T1444" s="1185"/>
      <c r="U1444" s="1185"/>
      <c r="V1444" s="1185"/>
      <c r="W1444" s="1185"/>
      <c r="X1444" s="1185"/>
      <c r="Y1444" s="1185"/>
      <c r="Z1444" s="1185"/>
    </row>
    <row r="1445" spans="1:26" ht="15">
      <c r="A1445" s="1028"/>
      <c r="B1445" s="133" t="s">
        <v>86</v>
      </c>
      <c r="C1445" s="647">
        <f>CEILING((C1443*0.85),0.1)</f>
        <v>122.30000000000001</v>
      </c>
      <c r="D1445" s="358"/>
      <c r="E1445" s="647">
        <f>CEILING((E1443*0.85),0.1)</f>
        <v>132.9</v>
      </c>
      <c r="F1445" s="358"/>
      <c r="G1445" s="647">
        <f>CEILING((G1443*0.85),0.1)</f>
        <v>122.30000000000001</v>
      </c>
      <c r="H1445" s="358"/>
      <c r="I1445" s="4"/>
      <c r="J1445" s="3"/>
      <c r="K1445" s="653"/>
      <c r="L1445" s="653"/>
      <c r="M1445" s="22"/>
      <c r="N1445" s="991"/>
      <c r="R1445" s="1032"/>
      <c r="S1445" s="1032"/>
      <c r="T1445" s="1185"/>
      <c r="U1445" s="1185"/>
      <c r="V1445" s="1185"/>
      <c r="W1445" s="1185"/>
      <c r="X1445" s="1185"/>
      <c r="Y1445" s="1185"/>
      <c r="Z1445" s="1185"/>
    </row>
    <row r="1446" spans="1:26" ht="15.75" thickBot="1">
      <c r="A1446" s="86" t="s">
        <v>487</v>
      </c>
      <c r="B1446" s="15" t="s">
        <v>78</v>
      </c>
      <c r="C1446" s="647">
        <f>CEILING((C1443*0.5),0.1)</f>
        <v>71.9</v>
      </c>
      <c r="D1446" s="647"/>
      <c r="E1446" s="647">
        <f>CEILING((E1443*0.5),0.1)</f>
        <v>78.2</v>
      </c>
      <c r="F1446" s="647"/>
      <c r="G1446" s="647">
        <f>CEILING((G1443*0.5),0.1)</f>
        <v>71.9</v>
      </c>
      <c r="H1446" s="647"/>
      <c r="I1446" s="4"/>
      <c r="J1446" s="3"/>
      <c r="K1446" s="653"/>
      <c r="L1446" s="653"/>
      <c r="M1446" s="22"/>
      <c r="N1446" s="991"/>
      <c r="R1446" s="1032"/>
      <c r="S1446" s="1032"/>
      <c r="T1446" s="1185"/>
      <c r="U1446" s="1185"/>
      <c r="V1446" s="1185"/>
      <c r="W1446" s="1185"/>
      <c r="X1446" s="1185"/>
      <c r="Y1446" s="1185"/>
      <c r="Z1446" s="1185"/>
    </row>
    <row r="1447" spans="1:26" ht="15.75" thickTop="1">
      <c r="A1447" s="117" t="s">
        <v>1058</v>
      </c>
      <c r="B1447" s="186"/>
      <c r="C1447" s="186"/>
      <c r="D1447" s="186"/>
      <c r="E1447" s="186"/>
      <c r="F1447" s="186"/>
      <c r="G1447" s="186"/>
      <c r="H1447" s="186"/>
      <c r="I1447" s="103"/>
      <c r="J1447" s="187"/>
      <c r="K1447" s="319"/>
      <c r="L1447" s="319"/>
      <c r="M1447" s="669"/>
      <c r="N1447" s="669"/>
      <c r="R1447" s="3"/>
      <c r="S1447" s="3"/>
      <c r="T1447" s="1185"/>
      <c r="U1447" s="1185"/>
      <c r="V1447" s="1185"/>
      <c r="W1447" s="1185"/>
      <c r="X1447" s="1185"/>
      <c r="Y1447" s="1185"/>
      <c r="Z1447" s="1185"/>
    </row>
    <row r="1448" spans="1:26" ht="15">
      <c r="A1448" s="170" t="s">
        <v>1055</v>
      </c>
      <c r="B1448" s="54"/>
      <c r="C1448" s="3"/>
      <c r="D1448" s="3"/>
      <c r="E1448" s="3"/>
      <c r="F1448" s="3"/>
      <c r="G1448" s="3"/>
      <c r="H1448" s="3"/>
      <c r="I1448" s="653"/>
      <c r="J1448" s="653"/>
      <c r="K1448" s="310"/>
      <c r="L1448" s="310"/>
      <c r="M1448" s="309"/>
      <c r="N1448" s="309"/>
      <c r="R1448" s="954"/>
      <c r="S1448" s="954"/>
      <c r="T1448" s="1185"/>
      <c r="U1448" s="1185"/>
      <c r="V1448" s="1185"/>
      <c r="W1448" s="1185"/>
      <c r="X1448" s="1185"/>
      <c r="Y1448" s="1185"/>
      <c r="Z1448" s="1185"/>
    </row>
    <row r="1449" spans="1:26" ht="15">
      <c r="A1449" s="170" t="s">
        <v>1057</v>
      </c>
      <c r="B1449" s="54"/>
      <c r="C1449" s="3"/>
      <c r="D1449" s="3"/>
      <c r="E1449" s="3"/>
      <c r="F1449" s="3"/>
      <c r="G1449" s="3"/>
      <c r="H1449" s="3"/>
      <c r="I1449" s="653"/>
      <c r="J1449" s="653"/>
      <c r="K1449" s="307"/>
      <c r="L1449" s="307"/>
      <c r="M1449" s="653"/>
      <c r="N1449" s="653"/>
      <c r="R1449" s="17"/>
      <c r="S1449" s="17"/>
      <c r="T1449" s="1185"/>
      <c r="U1449" s="1185"/>
      <c r="V1449" s="1185"/>
      <c r="W1449" s="1185"/>
      <c r="X1449" s="1185"/>
      <c r="Y1449" s="1185"/>
      <c r="Z1449" s="1185"/>
    </row>
    <row r="1450" spans="1:26" ht="15">
      <c r="A1450" s="170" t="s">
        <v>1056</v>
      </c>
      <c r="B1450" s="54"/>
      <c r="C1450" s="3"/>
      <c r="D1450" s="3"/>
      <c r="E1450" s="3"/>
      <c r="F1450" s="3"/>
      <c r="G1450" s="3"/>
      <c r="H1450" s="3"/>
      <c r="I1450" s="653"/>
      <c r="J1450" s="653"/>
      <c r="K1450" s="307"/>
      <c r="L1450" s="307"/>
      <c r="M1450" s="653"/>
      <c r="N1450" s="653"/>
      <c r="R1450" s="3"/>
      <c r="S1450" s="3"/>
      <c r="T1450" s="1185"/>
      <c r="U1450" s="1185"/>
      <c r="V1450" s="1185"/>
      <c r="W1450" s="1185"/>
      <c r="X1450" s="1185"/>
      <c r="Y1450" s="1185"/>
      <c r="Z1450" s="1185"/>
    </row>
    <row r="1451" spans="1:26" ht="15">
      <c r="A1451" s="782" t="s">
        <v>49</v>
      </c>
      <c r="B1451" s="540"/>
      <c r="C1451" s="760" t="s">
        <v>884</v>
      </c>
      <c r="D1451" s="761"/>
      <c r="E1451" s="722" t="s">
        <v>991</v>
      </c>
      <c r="F1451" s="723"/>
      <c r="G1451" s="784" t="s">
        <v>901</v>
      </c>
      <c r="H1451" s="785"/>
      <c r="I1451" s="976" t="s">
        <v>999</v>
      </c>
      <c r="J1451" s="977"/>
      <c r="K1451" s="307"/>
      <c r="L1451" s="307"/>
      <c r="M1451" s="653"/>
      <c r="N1451" s="653"/>
      <c r="R1451" s="3"/>
      <c r="S1451" s="3"/>
      <c r="T1451" s="1185"/>
      <c r="U1451" s="1185"/>
      <c r="V1451" s="1185"/>
      <c r="W1451" s="1185"/>
      <c r="X1451" s="1185"/>
      <c r="Y1451" s="1185"/>
      <c r="Z1451" s="1185"/>
    </row>
    <row r="1452" spans="1:26" ht="15">
      <c r="A1452" s="783"/>
      <c r="B1452" s="521"/>
      <c r="C1452" s="447" t="s">
        <v>111</v>
      </c>
      <c r="D1452" s="447" t="s">
        <v>113</v>
      </c>
      <c r="E1452" s="447" t="s">
        <v>111</v>
      </c>
      <c r="F1452" s="447" t="s">
        <v>113</v>
      </c>
      <c r="G1452" s="447" t="s">
        <v>111</v>
      </c>
      <c r="H1452" s="448" t="s">
        <v>113</v>
      </c>
      <c r="I1452" s="447" t="s">
        <v>111</v>
      </c>
      <c r="J1452" s="447" t="s">
        <v>113</v>
      </c>
      <c r="K1452" s="307"/>
      <c r="L1452" s="307"/>
      <c r="M1452" s="653"/>
      <c r="N1452" s="653"/>
      <c r="R1452" s="3"/>
      <c r="S1452" s="3"/>
      <c r="T1452" s="1185"/>
      <c r="U1452" s="1185"/>
      <c r="V1452" s="1185"/>
      <c r="W1452" s="1185"/>
      <c r="X1452" s="1185"/>
      <c r="Y1452" s="1185"/>
      <c r="Z1452" s="1185"/>
    </row>
    <row r="1453" spans="1:26" ht="15">
      <c r="A1453" s="36" t="s">
        <v>587</v>
      </c>
      <c r="B1453" s="42" t="s">
        <v>57</v>
      </c>
      <c r="C1453" s="647">
        <f>CEILING(80*$Z$1,0.1)</f>
        <v>100</v>
      </c>
      <c r="D1453" s="647"/>
      <c r="E1453" s="647">
        <f>CEILING(120*$Z$1,0.1)</f>
        <v>150</v>
      </c>
      <c r="F1453" s="647"/>
      <c r="G1453" s="647">
        <f>CEILING(90*$Z$1,0.1)</f>
        <v>112.5</v>
      </c>
      <c r="H1453" s="647"/>
      <c r="I1453" s="647">
        <f>CEILING(80*$Z$1,0.1)</f>
        <v>100</v>
      </c>
      <c r="J1453" s="363"/>
      <c r="K1453" s="265"/>
      <c r="L1453" s="265"/>
      <c r="M1453" s="22"/>
      <c r="N1453" s="140"/>
      <c r="O1453" s="1032"/>
      <c r="R1453" s="3"/>
      <c r="S1453" s="3"/>
      <c r="T1453" s="1185"/>
      <c r="U1453" s="1185"/>
      <c r="V1453" s="1185"/>
      <c r="W1453" s="1185"/>
      <c r="X1453" s="1185"/>
      <c r="Y1453" s="1185"/>
      <c r="Z1453" s="1185"/>
    </row>
    <row r="1454" spans="1:26" ht="15">
      <c r="A1454" s="37" t="s">
        <v>65</v>
      </c>
      <c r="B1454" s="14" t="s">
        <v>58</v>
      </c>
      <c r="C1454" s="647">
        <f>CEILING((C1453+36*$Z$1),0.1)</f>
        <v>145</v>
      </c>
      <c r="D1454" s="647"/>
      <c r="E1454" s="647">
        <f>CEILING((E1453+55*$Z$1),0.1)</f>
        <v>218.8</v>
      </c>
      <c r="F1454" s="647"/>
      <c r="G1454" s="647">
        <f>CEILING((G1453+41*$Z$1),0.1)</f>
        <v>163.8</v>
      </c>
      <c r="H1454" s="647"/>
      <c r="I1454" s="647">
        <f>CEILING((I1453+36*$Z$1),0.1)</f>
        <v>145</v>
      </c>
      <c r="J1454" s="358"/>
      <c r="K1454" s="292"/>
      <c r="L1454" s="292"/>
      <c r="M1454" s="992"/>
      <c r="R1454" s="3"/>
      <c r="S1454" s="3"/>
      <c r="T1454" s="1185"/>
      <c r="U1454" s="1185"/>
      <c r="V1454" s="1185"/>
      <c r="W1454" s="1185"/>
      <c r="X1454" s="1185"/>
      <c r="Y1454" s="1185"/>
      <c r="Z1454" s="1185"/>
    </row>
    <row r="1455" spans="1:26" ht="15">
      <c r="A1455" s="37"/>
      <c r="B1455" s="133" t="s">
        <v>86</v>
      </c>
      <c r="C1455" s="647">
        <f>CEILING((C1453*0.85),0.1)</f>
        <v>85</v>
      </c>
      <c r="D1455" s="358"/>
      <c r="E1455" s="647">
        <f>CEILING((E1453*0.85),0.1)</f>
        <v>127.5</v>
      </c>
      <c r="F1455" s="358"/>
      <c r="G1455" s="647">
        <f>CEILING((G1453*0.85),0.1)</f>
        <v>95.7</v>
      </c>
      <c r="H1455" s="358"/>
      <c r="I1455" s="647">
        <f>CEILING((I1453*0.85),0.1)</f>
        <v>85</v>
      </c>
      <c r="J1455" s="358"/>
      <c r="K1455" s="319"/>
      <c r="L1455" s="319"/>
      <c r="M1455" s="992"/>
      <c r="R1455" s="3"/>
      <c r="S1455" s="3"/>
      <c r="T1455" s="1185"/>
      <c r="U1455" s="1185"/>
      <c r="V1455" s="1185"/>
      <c r="W1455" s="1185"/>
      <c r="X1455" s="1185"/>
      <c r="Y1455" s="1185"/>
      <c r="Z1455" s="1185"/>
    </row>
    <row r="1456" spans="1:26" ht="15.75" thickBot="1">
      <c r="A1456" s="86" t="s">
        <v>503</v>
      </c>
      <c r="B1456" s="369" t="s">
        <v>78</v>
      </c>
      <c r="C1456" s="651">
        <v>0</v>
      </c>
      <c r="D1456" s="651"/>
      <c r="E1456" s="651">
        <f>CEILING((E1453*0.5),0.1)</f>
        <v>75</v>
      </c>
      <c r="F1456" s="651"/>
      <c r="G1456" s="651">
        <f>CEILING((G1453*0.5),0.1)</f>
        <v>56.300000000000004</v>
      </c>
      <c r="H1456" s="651"/>
      <c r="I1456" s="377">
        <f>CEILING((I1453*0.5),0.1)</f>
        <v>50</v>
      </c>
      <c r="J1456" s="377"/>
      <c r="K1456" s="309"/>
      <c r="L1456" s="309"/>
      <c r="M1456" s="1032"/>
      <c r="T1456" s="1185"/>
      <c r="U1456" s="1185"/>
      <c r="V1456" s="1185"/>
      <c r="W1456" s="1185"/>
      <c r="X1456" s="1185"/>
      <c r="Y1456" s="1185"/>
      <c r="Z1456" s="1185"/>
    </row>
    <row r="1457" spans="1:26" ht="15" customHeight="1" thickTop="1">
      <c r="A1457" s="82" t="s">
        <v>458</v>
      </c>
      <c r="B1457" s="54"/>
      <c r="C1457" s="3"/>
      <c r="D1457" s="3"/>
      <c r="E1457" s="3"/>
      <c r="F1457" s="3"/>
      <c r="G1457" s="3"/>
      <c r="H1457" s="3"/>
      <c r="I1457" s="653"/>
      <c r="J1457" s="653"/>
      <c r="K1457" s="656"/>
      <c r="L1457" s="656"/>
      <c r="M1457" s="1032"/>
      <c r="R1457" s="954"/>
      <c r="S1457" s="954"/>
      <c r="T1457" s="1185"/>
      <c r="U1457" s="1185"/>
      <c r="V1457" s="1185"/>
      <c r="W1457" s="1185"/>
      <c r="X1457" s="1185"/>
      <c r="Y1457" s="1185"/>
      <c r="Z1457" s="1185"/>
    </row>
    <row r="1458" spans="1:26" ht="15">
      <c r="A1458" s="170" t="s">
        <v>1051</v>
      </c>
      <c r="B1458" s="54"/>
      <c r="C1458" s="3"/>
      <c r="D1458" s="3"/>
      <c r="E1458" s="3"/>
      <c r="F1458" s="3"/>
      <c r="G1458" s="3"/>
      <c r="H1458" s="3"/>
      <c r="I1458" s="653"/>
      <c r="J1458" s="653"/>
      <c r="K1458" s="656"/>
      <c r="L1458" s="656"/>
      <c r="M1458" s="992"/>
      <c r="R1458" s="17"/>
      <c r="S1458" s="17"/>
      <c r="T1458" s="1185"/>
      <c r="U1458" s="1185"/>
      <c r="V1458" s="1185"/>
      <c r="W1458" s="1185"/>
      <c r="X1458" s="1185"/>
      <c r="Y1458" s="1185"/>
      <c r="Z1458" s="1185"/>
    </row>
    <row r="1459" spans="1:26" ht="15">
      <c r="A1459" s="170" t="s">
        <v>1053</v>
      </c>
      <c r="B1459" s="54"/>
      <c r="C1459" s="3"/>
      <c r="D1459" s="3"/>
      <c r="E1459" s="3"/>
      <c r="F1459" s="3"/>
      <c r="G1459" s="3"/>
      <c r="H1459" s="3"/>
      <c r="I1459" s="653"/>
      <c r="J1459" s="653"/>
      <c r="K1459" s="656"/>
      <c r="L1459" s="656"/>
      <c r="M1459" s="992"/>
      <c r="R1459" s="3"/>
      <c r="S1459" s="3"/>
      <c r="T1459" s="1185"/>
      <c r="U1459" s="1185"/>
      <c r="V1459" s="1185"/>
      <c r="W1459" s="1185"/>
      <c r="X1459" s="1185"/>
      <c r="Y1459" s="1185"/>
      <c r="Z1459" s="1185"/>
    </row>
    <row r="1460" spans="1:26" ht="15.75" thickBot="1">
      <c r="A1460" s="170" t="s">
        <v>1052</v>
      </c>
      <c r="B1460" s="54"/>
      <c r="C1460" s="3"/>
      <c r="D1460" s="3"/>
      <c r="E1460" s="3"/>
      <c r="F1460" s="3"/>
      <c r="G1460" s="3"/>
      <c r="H1460" s="3"/>
      <c r="I1460" s="653"/>
      <c r="J1460" s="653"/>
      <c r="K1460" s="656"/>
      <c r="L1460" s="656"/>
      <c r="M1460" s="1032"/>
      <c r="R1460" s="3"/>
      <c r="S1460" s="3"/>
      <c r="T1460" s="1185"/>
      <c r="U1460" s="1185"/>
      <c r="V1460" s="1185"/>
      <c r="W1460" s="1185"/>
      <c r="X1460" s="1185"/>
      <c r="Y1460" s="1185"/>
      <c r="Z1460" s="1185"/>
    </row>
    <row r="1461" spans="1:26" ht="15.75" thickTop="1">
      <c r="A1461" s="782" t="s">
        <v>49</v>
      </c>
      <c r="B1461" s="623"/>
      <c r="C1461" s="754" t="s">
        <v>975</v>
      </c>
      <c r="D1461" s="755"/>
      <c r="E1461" s="726" t="s">
        <v>976</v>
      </c>
      <c r="F1461" s="727"/>
      <c r="G1461" s="722" t="s">
        <v>977</v>
      </c>
      <c r="H1461" s="723"/>
      <c r="I1461" s="823"/>
      <c r="J1461" s="823"/>
      <c r="K1461" s="656"/>
      <c r="L1461" s="656"/>
      <c r="M1461" s="18"/>
      <c r="N1461" s="991"/>
      <c r="R1461" s="3"/>
      <c r="S1461" s="3"/>
      <c r="T1461" s="1185"/>
      <c r="U1461" s="1185"/>
      <c r="V1461" s="1185"/>
      <c r="W1461" s="1185"/>
      <c r="X1461" s="1185"/>
      <c r="Y1461" s="1185"/>
      <c r="Z1461" s="1185"/>
    </row>
    <row r="1462" spans="1:19" ht="15">
      <c r="A1462" s="783"/>
      <c r="B1462" s="446"/>
      <c r="C1462" s="447" t="s">
        <v>111</v>
      </c>
      <c r="D1462" s="447" t="s">
        <v>113</v>
      </c>
      <c r="E1462" s="447" t="s">
        <v>111</v>
      </c>
      <c r="F1462" s="448" t="s">
        <v>113</v>
      </c>
      <c r="G1462" s="447" t="s">
        <v>111</v>
      </c>
      <c r="H1462" s="447" t="s">
        <v>113</v>
      </c>
      <c r="I1462" s="309"/>
      <c r="J1462" s="309"/>
      <c r="K1462" s="656"/>
      <c r="L1462" s="656"/>
      <c r="M1462" s="18"/>
      <c r="N1462" s="991"/>
      <c r="R1462" s="3"/>
      <c r="S1462" s="3"/>
    </row>
    <row r="1463" spans="1:14" ht="15">
      <c r="A1463" s="36" t="s">
        <v>171</v>
      </c>
      <c r="B1463" s="142" t="s">
        <v>57</v>
      </c>
      <c r="C1463" s="511">
        <f>CEILING(67.5*$Z$1,0.1)</f>
        <v>84.4</v>
      </c>
      <c r="D1463" s="511"/>
      <c r="E1463" s="511">
        <f>CEILING(63*$Z$1,0.1)</f>
        <v>78.80000000000001</v>
      </c>
      <c r="F1463" s="511"/>
      <c r="G1463" s="511">
        <f>CEILING(63*$Z$1,0.1)</f>
        <v>78.80000000000001</v>
      </c>
      <c r="H1463" s="512"/>
      <c r="I1463" s="653"/>
      <c r="J1463" s="653"/>
      <c r="K1463" s="302"/>
      <c r="L1463" s="422"/>
      <c r="M1463" s="18"/>
      <c r="N1463" s="991"/>
    </row>
    <row r="1464" spans="1:14" ht="15">
      <c r="A1464" s="156" t="s">
        <v>65</v>
      </c>
      <c r="B1464" s="12" t="s">
        <v>58</v>
      </c>
      <c r="C1464" s="511">
        <f>CEILING((C1463+20*$Z$1),0.1)</f>
        <v>109.4</v>
      </c>
      <c r="D1464" s="512"/>
      <c r="E1464" s="511">
        <f>CEILING((E1463+20*$Z$1),0.1)</f>
        <v>103.80000000000001</v>
      </c>
      <c r="F1464" s="511"/>
      <c r="G1464" s="511">
        <f>CEILING((G1463+20*$Z$1),0.1)</f>
        <v>103.80000000000001</v>
      </c>
      <c r="H1464" s="512"/>
      <c r="I1464" s="653"/>
      <c r="J1464" s="653"/>
      <c r="K1464" s="302"/>
      <c r="L1464" s="422"/>
      <c r="M1464" s="18"/>
      <c r="N1464" s="991"/>
    </row>
    <row r="1465" spans="1:14" ht="18" customHeight="1">
      <c r="A1465" s="1028" t="s">
        <v>978</v>
      </c>
      <c r="B1465" s="133" t="s">
        <v>86</v>
      </c>
      <c r="C1465" s="511">
        <f>CEILING((C1463*0.85),0.1)</f>
        <v>71.8</v>
      </c>
      <c r="D1465" s="512"/>
      <c r="E1465" s="511">
        <f>CEILING((E1463*0.85),0.1)</f>
        <v>67</v>
      </c>
      <c r="F1465" s="511"/>
      <c r="G1465" s="511">
        <f>CEILING((G1463*0.85),0.1)</f>
        <v>67</v>
      </c>
      <c r="H1465" s="512"/>
      <c r="I1465" s="653"/>
      <c r="J1465" s="653"/>
      <c r="K1465" s="302"/>
      <c r="L1465" s="302"/>
      <c r="M1465" s="18"/>
      <c r="N1465" s="991"/>
    </row>
    <row r="1466" spans="1:25" s="1087" customFormat="1" ht="18" customHeight="1" thickBot="1">
      <c r="A1466" s="115" t="s">
        <v>502</v>
      </c>
      <c r="B1466" s="40" t="s">
        <v>78</v>
      </c>
      <c r="C1466" s="515">
        <f>CEILING((C1463*0.5),0.1)</f>
        <v>42.2</v>
      </c>
      <c r="D1466" s="515"/>
      <c r="E1466" s="515">
        <f>CEILING((E1463*0.5),0.1)</f>
        <v>39.400000000000006</v>
      </c>
      <c r="F1466" s="515"/>
      <c r="G1466" s="516">
        <f>CEILING((G1463*0.5),0.1)</f>
        <v>39.400000000000006</v>
      </c>
      <c r="H1466" s="517"/>
      <c r="I1466" s="653"/>
      <c r="J1466" s="653"/>
      <c r="K1466" s="292"/>
      <c r="L1466" s="292"/>
      <c r="M1466" s="504"/>
      <c r="N1466" s="1193"/>
      <c r="O1466" s="1086"/>
      <c r="P1466" s="1086"/>
      <c r="Q1466" s="1086"/>
      <c r="R1466" s="1086"/>
      <c r="S1466" s="1086"/>
      <c r="T1466" s="1086"/>
      <c r="U1466" s="1086"/>
      <c r="V1466" s="1086"/>
      <c r="W1466" s="1086"/>
      <c r="X1466" s="1086"/>
      <c r="Y1466" s="1086"/>
    </row>
    <row r="1467" spans="1:14" ht="15.75" thickTop="1">
      <c r="A1467" s="82" t="s">
        <v>745</v>
      </c>
      <c r="B1467" s="54"/>
      <c r="C1467" s="3"/>
      <c r="D1467" s="3"/>
      <c r="E1467" s="3"/>
      <c r="F1467" s="3"/>
      <c r="G1467" s="3"/>
      <c r="H1467" s="3"/>
      <c r="I1467" s="3"/>
      <c r="J1467" s="1105"/>
      <c r="K1467" s="319"/>
      <c r="L1467" s="319"/>
      <c r="M1467" s="305"/>
      <c r="N1467" s="991"/>
    </row>
    <row r="1468" spans="1:14" ht="15.75" thickBot="1">
      <c r="A1468" s="77"/>
      <c r="B1468" s="61"/>
      <c r="C1468" s="61"/>
      <c r="D1468" s="61"/>
      <c r="E1468" s="61"/>
      <c r="F1468" s="61"/>
      <c r="G1468" s="61"/>
      <c r="H1468" s="61"/>
      <c r="I1468" s="62"/>
      <c r="J1468" s="1140"/>
      <c r="K1468" s="309"/>
      <c r="L1468" s="309"/>
      <c r="M1468" s="305"/>
      <c r="N1468" s="991"/>
    </row>
    <row r="1469" spans="1:14" ht="15.75" customHeight="1" thickTop="1">
      <c r="A1469" s="934" t="s">
        <v>49</v>
      </c>
      <c r="B1469" s="500"/>
      <c r="C1469" s="932" t="s">
        <v>884</v>
      </c>
      <c r="D1469" s="933"/>
      <c r="E1469" s="730" t="s">
        <v>885</v>
      </c>
      <c r="F1469" s="731"/>
      <c r="G1469" s="780" t="s">
        <v>971</v>
      </c>
      <c r="H1469" s="781"/>
      <c r="I1469" s="614" t="s">
        <v>862</v>
      </c>
      <c r="J1469" s="615"/>
      <c r="K1469" s="656"/>
      <c r="L1469" s="307"/>
      <c r="M1469" s="305"/>
      <c r="N1469" s="991"/>
    </row>
    <row r="1470" spans="1:14" ht="15">
      <c r="A1470" s="783"/>
      <c r="B1470" s="503"/>
      <c r="C1470" s="447" t="s">
        <v>111</v>
      </c>
      <c r="D1470" s="447" t="s">
        <v>113</v>
      </c>
      <c r="E1470" s="447" t="s">
        <v>111</v>
      </c>
      <c r="F1470" s="447" t="s">
        <v>113</v>
      </c>
      <c r="G1470" s="447" t="s">
        <v>111</v>
      </c>
      <c r="H1470" s="448" t="s">
        <v>113</v>
      </c>
      <c r="I1470" s="447" t="s">
        <v>111</v>
      </c>
      <c r="J1470" s="447" t="s">
        <v>113</v>
      </c>
      <c r="K1470" s="656"/>
      <c r="L1470" s="307"/>
      <c r="M1470" s="305"/>
      <c r="N1470" s="991"/>
    </row>
    <row r="1471" spans="1:14" ht="15">
      <c r="A1471" s="29" t="s">
        <v>293</v>
      </c>
      <c r="B1471" s="31" t="s">
        <v>72</v>
      </c>
      <c r="C1471" s="647">
        <f>CEILING(70*$Z$1,0.1)</f>
        <v>87.5</v>
      </c>
      <c r="D1471" s="647"/>
      <c r="E1471" s="647">
        <f>CEILING(79*$Z$1,0.1)</f>
        <v>98.80000000000001</v>
      </c>
      <c r="F1471" s="647"/>
      <c r="G1471" s="647">
        <f>CEILING(70*$Z$1,0.1)</f>
        <v>87.5</v>
      </c>
      <c r="H1471" s="647"/>
      <c r="I1471" s="647">
        <f>CEILING(70*$Z$1,0.1)</f>
        <v>87.5</v>
      </c>
      <c r="J1471" s="363"/>
      <c r="K1471" s="656"/>
      <c r="L1471" s="307"/>
      <c r="M1471" s="305"/>
      <c r="N1471" s="991"/>
    </row>
    <row r="1472" spans="1:14" ht="15">
      <c r="A1472" s="30" t="s">
        <v>65</v>
      </c>
      <c r="B1472" s="31" t="s">
        <v>73</v>
      </c>
      <c r="C1472" s="647">
        <f>CEILING((C1471+25*$Z$1),0.1)</f>
        <v>118.80000000000001</v>
      </c>
      <c r="D1472" s="358"/>
      <c r="E1472" s="647">
        <f>CEILING((E1471+25*$Z$1),0.1)</f>
        <v>130.1</v>
      </c>
      <c r="F1472" s="363"/>
      <c r="G1472" s="647">
        <f>CEILING((G1471+25*$Z$1),0.1)</f>
        <v>118.80000000000001</v>
      </c>
      <c r="H1472" s="363"/>
      <c r="I1472" s="647">
        <f>CEILING((I1471+25*$Z$1),0.1)</f>
        <v>118.80000000000001</v>
      </c>
      <c r="J1472" s="363"/>
      <c r="K1472" s="656"/>
      <c r="L1472" s="307"/>
      <c r="M1472" s="653"/>
      <c r="N1472" s="3"/>
    </row>
    <row r="1473" spans="1:14" ht="15">
      <c r="A1473" s="22"/>
      <c r="B1473" s="31" t="s">
        <v>363</v>
      </c>
      <c r="C1473" s="647">
        <f>CEILING((C1471*0.85),0.1)</f>
        <v>74.4</v>
      </c>
      <c r="D1473" s="358"/>
      <c r="E1473" s="647">
        <f>CEILING((E1471*0.85),0.1)</f>
        <v>84</v>
      </c>
      <c r="F1473" s="363"/>
      <c r="G1473" s="647">
        <f>CEILING((G1471*0.85),0.1)</f>
        <v>74.4</v>
      </c>
      <c r="H1473" s="363"/>
      <c r="I1473" s="647">
        <f>CEILING((I1471*0.85),0.1)</f>
        <v>74.4</v>
      </c>
      <c r="J1473" s="363"/>
      <c r="K1473" s="656"/>
      <c r="L1473" s="307"/>
      <c r="M1473" s="653"/>
      <c r="N1473" s="3"/>
    </row>
    <row r="1474" spans="1:14" ht="15">
      <c r="A1474" s="22"/>
      <c r="B1474" s="31" t="s">
        <v>78</v>
      </c>
      <c r="C1474" s="647">
        <f>CEILING((C1471*0.5),0.1)</f>
        <v>43.800000000000004</v>
      </c>
      <c r="D1474" s="647"/>
      <c r="E1474" s="647">
        <f>CEILING((E1471*0.5),0.1)</f>
        <v>49.400000000000006</v>
      </c>
      <c r="F1474" s="647"/>
      <c r="G1474" s="647">
        <f>CEILING((G1471*0.5),0.1)</f>
        <v>43.800000000000004</v>
      </c>
      <c r="H1474" s="647"/>
      <c r="I1474" s="363">
        <f>CEILING((I1471*0.5),0.1)</f>
        <v>43.800000000000004</v>
      </c>
      <c r="J1474" s="363"/>
      <c r="K1474" s="656"/>
      <c r="L1474" s="307"/>
      <c r="M1474" s="653"/>
      <c r="N1474" s="3"/>
    </row>
    <row r="1475" spans="1:14" ht="15">
      <c r="A1475" s="22"/>
      <c r="B1475" s="31" t="s">
        <v>246</v>
      </c>
      <c r="C1475" s="647">
        <f>CEILING(80*$Z$1,0.1)</f>
        <v>100</v>
      </c>
      <c r="D1475" s="363"/>
      <c r="E1475" s="647">
        <f>CEILING(89*$Z$1,0.1)</f>
        <v>111.30000000000001</v>
      </c>
      <c r="F1475" s="363"/>
      <c r="G1475" s="647">
        <f>CEILING(80*$Z$1,0.1)</f>
        <v>100</v>
      </c>
      <c r="H1475" s="363"/>
      <c r="I1475" s="647">
        <f>CEILING(80*$Z$1,0.1)</f>
        <v>100</v>
      </c>
      <c r="J1475" s="363"/>
      <c r="K1475" s="656"/>
      <c r="L1475" s="307"/>
      <c r="M1475" s="653"/>
      <c r="N1475" s="3"/>
    </row>
    <row r="1476" spans="1:14" ht="15.75" thickBot="1">
      <c r="A1476" s="87" t="s">
        <v>501</v>
      </c>
      <c r="B1476" s="178" t="s">
        <v>247</v>
      </c>
      <c r="C1476" s="651">
        <f>CEILING((C1475+30*$Z$1),0.1)</f>
        <v>137.5</v>
      </c>
      <c r="D1476" s="359"/>
      <c r="E1476" s="651">
        <f>CEILING((E1475+30*$Z$1),0.1)</f>
        <v>148.8</v>
      </c>
      <c r="F1476" s="364"/>
      <c r="G1476" s="651">
        <f>CEILING((G1475+30*$Z$1),0.1)</f>
        <v>137.5</v>
      </c>
      <c r="H1476" s="364"/>
      <c r="I1476" s="658">
        <f>CEILING((I1475+30*$Z$1),0.1)</f>
        <v>137.5</v>
      </c>
      <c r="J1476" s="377"/>
      <c r="K1476" s="656"/>
      <c r="L1476" s="307"/>
      <c r="M1476" s="653"/>
      <c r="N1476" s="3"/>
    </row>
    <row r="1477" spans="1:14" ht="15.75" thickTop="1">
      <c r="A1477" s="323" t="s">
        <v>431</v>
      </c>
      <c r="B1477" s="140"/>
      <c r="C1477" s="3"/>
      <c r="D1477" s="3"/>
      <c r="E1477" s="3"/>
      <c r="F1477" s="3"/>
      <c r="G1477" s="3"/>
      <c r="H1477" s="3"/>
      <c r="I1477" s="3"/>
      <c r="J1477" s="3"/>
      <c r="K1477" s="265"/>
      <c r="L1477" s="265"/>
      <c r="M1477" s="3"/>
      <c r="N1477" s="3"/>
    </row>
    <row r="1478" spans="1:14" ht="20.25" customHeight="1">
      <c r="A1478" s="20" t="s">
        <v>790</v>
      </c>
      <c r="B1478" s="117"/>
      <c r="C1478" s="117"/>
      <c r="D1478" s="117"/>
      <c r="E1478" s="117"/>
      <c r="F1478" s="117"/>
      <c r="G1478" s="117"/>
      <c r="H1478" s="117"/>
      <c r="I1478" s="3"/>
      <c r="J1478" s="3"/>
      <c r="K1478" s="265"/>
      <c r="L1478" s="265"/>
      <c r="M1478" s="18"/>
      <c r="N1478" s="991"/>
    </row>
    <row r="1479" spans="1:14" ht="20.25" customHeight="1">
      <c r="A1479" s="170" t="s">
        <v>957</v>
      </c>
      <c r="B1479" s="117"/>
      <c r="C1479" s="117"/>
      <c r="D1479" s="117"/>
      <c r="E1479" s="117"/>
      <c r="F1479" s="117"/>
      <c r="G1479" s="117"/>
      <c r="H1479" s="117"/>
      <c r="I1479" s="117"/>
      <c r="J1479" s="117"/>
      <c r="K1479" s="265"/>
      <c r="L1479" s="265"/>
      <c r="M1479" s="18"/>
      <c r="N1479" s="991"/>
    </row>
    <row r="1480" spans="1:14" ht="25.5" customHeight="1" thickBot="1">
      <c r="A1480" s="50" t="s">
        <v>972</v>
      </c>
      <c r="B1480" s="50"/>
      <c r="C1480" s="50"/>
      <c r="D1480" s="50"/>
      <c r="E1480" s="50"/>
      <c r="F1480" s="50"/>
      <c r="G1480" s="50"/>
      <c r="H1480" s="50"/>
      <c r="I1480" s="50"/>
      <c r="J1480" s="1194"/>
      <c r="K1480" s="265"/>
      <c r="L1480" s="265"/>
      <c r="M1480" s="18"/>
      <c r="N1480" s="991"/>
    </row>
    <row r="1481" spans="1:14" ht="15" customHeight="1" hidden="1">
      <c r="A1481" s="671" t="s">
        <v>49</v>
      </c>
      <c r="B1481" s="500"/>
      <c r="C1481" s="905" t="s">
        <v>884</v>
      </c>
      <c r="D1481" s="906"/>
      <c r="E1481" s="730" t="s">
        <v>885</v>
      </c>
      <c r="F1481" s="731"/>
      <c r="G1481" s="780" t="s">
        <v>971</v>
      </c>
      <c r="H1481" s="781"/>
      <c r="I1481" s="501" t="s">
        <v>862</v>
      </c>
      <c r="J1481" s="502"/>
      <c r="K1481" s="93"/>
      <c r="L1481" s="265"/>
      <c r="M1481" s="18"/>
      <c r="N1481" s="991"/>
    </row>
    <row r="1482" spans="1:14" ht="31.5" customHeight="1" thickTop="1">
      <c r="A1482" s="448" t="s">
        <v>49</v>
      </c>
      <c r="B1482" s="448" t="s">
        <v>113</v>
      </c>
      <c r="C1482" s="448" t="s">
        <v>111</v>
      </c>
      <c r="D1482" s="508" t="s">
        <v>113</v>
      </c>
      <c r="E1482" s="507" t="s">
        <v>111</v>
      </c>
      <c r="F1482" s="448" t="s">
        <v>113</v>
      </c>
      <c r="G1482" s="448" t="s">
        <v>111</v>
      </c>
      <c r="H1482" s="448" t="s">
        <v>113</v>
      </c>
      <c r="I1482" s="448" t="s">
        <v>111</v>
      </c>
      <c r="J1482" s="447" t="s">
        <v>113</v>
      </c>
      <c r="K1482" s="282"/>
      <c r="L1482" s="282"/>
      <c r="M1482" s="18"/>
      <c r="N1482" s="22"/>
    </row>
    <row r="1483" spans="1:14" ht="15">
      <c r="A1483" s="171" t="s">
        <v>364</v>
      </c>
      <c r="B1483" s="31" t="s">
        <v>57</v>
      </c>
      <c r="C1483" s="647">
        <f>CEILING(60*$Z$1,0.1)</f>
        <v>75</v>
      </c>
      <c r="D1483" s="4"/>
      <c r="E1483" s="647">
        <f>CEILING(69*$Z$1,0.1)</f>
        <v>86.30000000000001</v>
      </c>
      <c r="F1483" s="4"/>
      <c r="G1483" s="647">
        <f>CEILING(60*$Z$1,0.1)</f>
        <v>75</v>
      </c>
      <c r="H1483" s="4"/>
      <c r="I1483" s="647">
        <f>CEILING(60*$Z$1,0.1)</f>
        <v>75</v>
      </c>
      <c r="J1483" s="9"/>
      <c r="K1483" s="282"/>
      <c r="L1483" s="282"/>
      <c r="M1483" s="18"/>
      <c r="N1483" s="22"/>
    </row>
    <row r="1484" spans="1:14" ht="15">
      <c r="A1484" s="51" t="s">
        <v>98</v>
      </c>
      <c r="B1484" s="31" t="s">
        <v>58</v>
      </c>
      <c r="C1484" s="647">
        <f>CEILING((C1483+20*$Z$1),0.1)</f>
        <v>100</v>
      </c>
      <c r="D1484" s="4"/>
      <c r="E1484" s="647">
        <f>CEILING((E1483+20*$Z$1),0.1)</f>
        <v>111.30000000000001</v>
      </c>
      <c r="F1484" s="652"/>
      <c r="G1484" s="647">
        <f>CEILING((G1483+20*$Z$1),0.1)</f>
        <v>100</v>
      </c>
      <c r="H1484" s="652"/>
      <c r="I1484" s="647">
        <f>CEILING((I1483+20*$Z$1),0.1)</f>
        <v>100</v>
      </c>
      <c r="J1484" s="5"/>
      <c r="K1484" s="282"/>
      <c r="L1484" s="282"/>
      <c r="M1484" s="18"/>
      <c r="N1484" s="22"/>
    </row>
    <row r="1485" spans="1:25" ht="15">
      <c r="A1485" s="51"/>
      <c r="B1485" s="31" t="s">
        <v>53</v>
      </c>
      <c r="C1485" s="647">
        <f>CEILING((C1483*0.85),0.1)</f>
        <v>63.800000000000004</v>
      </c>
      <c r="D1485" s="5"/>
      <c r="E1485" s="647">
        <f>CEILING((E1483*0.85),0.1)</f>
        <v>73.4</v>
      </c>
      <c r="F1485" s="423"/>
      <c r="G1485" s="647">
        <f>CEILING((G1483*0.85),0.1)</f>
        <v>63.800000000000004</v>
      </c>
      <c r="H1485" s="652"/>
      <c r="I1485" s="647">
        <f>CEILING((I1483*0.85),0.1)</f>
        <v>63.800000000000004</v>
      </c>
      <c r="J1485" s="5"/>
      <c r="K1485" s="104"/>
      <c r="L1485" s="282"/>
      <c r="M1485" s="18"/>
      <c r="N1485" s="22"/>
      <c r="S1485" s="1185"/>
      <c r="T1485" s="1185"/>
      <c r="U1485" s="1185"/>
      <c r="V1485" s="1185"/>
      <c r="W1485" s="1185"/>
      <c r="X1485" s="1185"/>
      <c r="Y1485" s="1185"/>
    </row>
    <row r="1486" spans="1:25" ht="15">
      <c r="A1486" s="51"/>
      <c r="B1486" s="31" t="s">
        <v>78</v>
      </c>
      <c r="C1486" s="647">
        <f>CEILING((C1483*0.5),0.1)</f>
        <v>37.5</v>
      </c>
      <c r="D1486" s="4"/>
      <c r="E1486" s="647">
        <f>CEILING((E1483*0.5),0.1)</f>
        <v>43.2</v>
      </c>
      <c r="F1486" s="652"/>
      <c r="G1486" s="647">
        <f>CEILING((G1483*0.5),0.1)</f>
        <v>37.5</v>
      </c>
      <c r="H1486" s="652"/>
      <c r="I1486" s="647">
        <f>CEILING((I1483*0.5),0.1)</f>
        <v>37.5</v>
      </c>
      <c r="J1486" s="5"/>
      <c r="K1486" s="104"/>
      <c r="L1486" s="282"/>
      <c r="M1486" s="18"/>
      <c r="N1486" s="22"/>
      <c r="S1486" s="1185"/>
      <c r="T1486" s="1185"/>
      <c r="U1486" s="1185"/>
      <c r="V1486" s="1185"/>
      <c r="W1486" s="1185"/>
      <c r="X1486" s="1185"/>
      <c r="Y1486" s="1185"/>
    </row>
    <row r="1487" spans="1:25" ht="17.25" customHeight="1">
      <c r="A1487" s="51"/>
      <c r="B1487" s="39" t="s">
        <v>50</v>
      </c>
      <c r="C1487" s="647">
        <f>CEILING(70*$Z$1,0.1)</f>
        <v>87.5</v>
      </c>
      <c r="D1487" s="363"/>
      <c r="E1487" s="647">
        <f>CEILING(79*$Z$1,0.1)</f>
        <v>98.80000000000001</v>
      </c>
      <c r="F1487" s="363"/>
      <c r="G1487" s="647">
        <f>CEILING(70*$Z$1,0.1)</f>
        <v>87.5</v>
      </c>
      <c r="H1487" s="363"/>
      <c r="I1487" s="647">
        <f>CEILING(70*$Z$1,0.1)</f>
        <v>87.5</v>
      </c>
      <c r="J1487" s="5"/>
      <c r="K1487" s="104"/>
      <c r="L1487" s="282"/>
      <c r="M1487" s="18"/>
      <c r="N1487" s="22"/>
      <c r="S1487" s="1185"/>
      <c r="T1487" s="1185"/>
      <c r="U1487" s="1185"/>
      <c r="V1487" s="1185"/>
      <c r="W1487" s="1185"/>
      <c r="X1487" s="1185"/>
      <c r="Y1487" s="1185"/>
    </row>
    <row r="1488" spans="1:25" ht="16.5" customHeight="1" thickBot="1">
      <c r="A1488" s="87" t="s">
        <v>500</v>
      </c>
      <c r="B1488" s="40" t="s">
        <v>52</v>
      </c>
      <c r="C1488" s="651">
        <f>CEILING((C1487+20*$Z$1),0.1)</f>
        <v>112.5</v>
      </c>
      <c r="D1488" s="359"/>
      <c r="E1488" s="651">
        <f>CEILING((E1487+20*$Z$1),0.1)</f>
        <v>123.80000000000001</v>
      </c>
      <c r="F1488" s="364"/>
      <c r="G1488" s="651">
        <f>CEILING((G1487+20*$Z$1),0.1)</f>
        <v>112.5</v>
      </c>
      <c r="H1488" s="364"/>
      <c r="I1488" s="658">
        <f>CEILING((I1487+20*$Z$1),0.1)</f>
        <v>112.5</v>
      </c>
      <c r="J1488" s="607"/>
      <c r="K1488" s="104"/>
      <c r="L1488" s="282"/>
      <c r="M1488" s="18"/>
      <c r="N1488" s="22"/>
      <c r="S1488" s="1185"/>
      <c r="T1488" s="1185"/>
      <c r="U1488" s="1185"/>
      <c r="V1488" s="1185"/>
      <c r="W1488" s="1185"/>
      <c r="X1488" s="1185"/>
      <c r="Y1488" s="1185"/>
    </row>
    <row r="1489" spans="1:25" ht="16.5" customHeight="1" thickTop="1">
      <c r="A1489" s="323" t="s">
        <v>365</v>
      </c>
      <c r="B1489" s="140"/>
      <c r="C1489" s="656"/>
      <c r="D1489" s="656"/>
      <c r="E1489" s="656"/>
      <c r="F1489" s="656"/>
      <c r="G1489" s="656"/>
      <c r="H1489" s="656"/>
      <c r="I1489" s="656"/>
      <c r="J1489" s="3"/>
      <c r="K1489" s="282"/>
      <c r="L1489" s="282"/>
      <c r="M1489" s="18"/>
      <c r="N1489" s="22"/>
      <c r="S1489" s="1185"/>
      <c r="T1489" s="1185"/>
      <c r="U1489" s="1185"/>
      <c r="V1489" s="1185"/>
      <c r="W1489" s="1185"/>
      <c r="X1489" s="1185"/>
      <c r="Y1489" s="1185"/>
    </row>
    <row r="1490" spans="1:25" ht="16.5" customHeight="1">
      <c r="A1490" s="20" t="s">
        <v>790</v>
      </c>
      <c r="B1490" s="140"/>
      <c r="C1490" s="656"/>
      <c r="D1490" s="656"/>
      <c r="E1490" s="656"/>
      <c r="F1490" s="656"/>
      <c r="G1490" s="656"/>
      <c r="H1490" s="656"/>
      <c r="I1490" s="656"/>
      <c r="J1490" s="3"/>
      <c r="K1490" s="282"/>
      <c r="L1490" s="282"/>
      <c r="M1490" s="18"/>
      <c r="N1490" s="22"/>
      <c r="S1490" s="1185"/>
      <c r="T1490" s="1185"/>
      <c r="U1490" s="1185"/>
      <c r="V1490" s="1185"/>
      <c r="W1490" s="1185"/>
      <c r="X1490" s="1185"/>
      <c r="Y1490" s="1185"/>
    </row>
    <row r="1491" spans="1:25" ht="18" customHeight="1">
      <c r="A1491" s="170" t="s">
        <v>957</v>
      </c>
      <c r="B1491" s="54"/>
      <c r="C1491" s="3"/>
      <c r="D1491" s="3"/>
      <c r="E1491" s="3"/>
      <c r="F1491" s="3"/>
      <c r="G1491" s="3"/>
      <c r="H1491" s="3"/>
      <c r="I1491" s="3"/>
      <c r="J1491" s="117"/>
      <c r="K1491" s="282"/>
      <c r="L1491" s="282"/>
      <c r="M1491" s="18"/>
      <c r="N1491" s="22"/>
      <c r="S1491" s="1185"/>
      <c r="T1491" s="1185"/>
      <c r="U1491" s="1185"/>
      <c r="V1491" s="1185"/>
      <c r="W1491" s="1185"/>
      <c r="X1491" s="1185"/>
      <c r="Y1491" s="1185"/>
    </row>
    <row r="1492" spans="1:25" ht="18" customHeight="1" thickBot="1">
      <c r="A1492" s="117"/>
      <c r="B1492" s="123"/>
      <c r="C1492" s="117"/>
      <c r="D1492" s="117"/>
      <c r="E1492" s="117"/>
      <c r="F1492" s="117"/>
      <c r="G1492" s="117"/>
      <c r="H1492" s="117"/>
      <c r="I1492" s="117"/>
      <c r="J1492" s="117"/>
      <c r="K1492" s="282"/>
      <c r="L1492" s="282"/>
      <c r="M1492" s="18"/>
      <c r="N1492" s="22"/>
      <c r="S1492" s="1185"/>
      <c r="T1492" s="1185"/>
      <c r="U1492" s="1185"/>
      <c r="V1492" s="1185"/>
      <c r="W1492" s="1185"/>
      <c r="X1492" s="1185"/>
      <c r="Y1492" s="1185"/>
    </row>
    <row r="1493" spans="1:25" ht="18" customHeight="1" thickBot="1" thickTop="1">
      <c r="A1493" s="777" t="s">
        <v>49</v>
      </c>
      <c r="B1493" s="787"/>
      <c r="C1493" s="791" t="s">
        <v>984</v>
      </c>
      <c r="D1493" s="792"/>
      <c r="E1493" s="791" t="s">
        <v>986</v>
      </c>
      <c r="F1493" s="931"/>
      <c r="G1493" s="117"/>
      <c r="H1493" s="117"/>
      <c r="I1493" s="117"/>
      <c r="J1493" s="117"/>
      <c r="K1493" s="282"/>
      <c r="L1493" s="282"/>
      <c r="M1493" s="18"/>
      <c r="N1493" s="22"/>
      <c r="S1493" s="1185"/>
      <c r="T1493" s="1185"/>
      <c r="U1493" s="1185"/>
      <c r="V1493" s="1185"/>
      <c r="W1493" s="1185"/>
      <c r="X1493" s="1185"/>
      <c r="Y1493" s="1185"/>
    </row>
    <row r="1494" spans="1:25" ht="18" customHeight="1" thickTop="1">
      <c r="A1494" s="778"/>
      <c r="B1494" s="788"/>
      <c r="C1494" s="730" t="s">
        <v>985</v>
      </c>
      <c r="D1494" s="731"/>
      <c r="E1494" s="780" t="s">
        <v>987</v>
      </c>
      <c r="F1494" s="781"/>
      <c r="G1494" s="974"/>
      <c r="H1494" s="975"/>
      <c r="I1494" s="954"/>
      <c r="J1494" s="954"/>
      <c r="K1494" s="282"/>
      <c r="L1494" s="282"/>
      <c r="M1494" s="18"/>
      <c r="N1494" s="22"/>
      <c r="S1494" s="1185"/>
      <c r="T1494" s="1185"/>
      <c r="U1494" s="1185"/>
      <c r="V1494" s="1185"/>
      <c r="W1494" s="1185"/>
      <c r="X1494" s="1185"/>
      <c r="Y1494" s="1185"/>
    </row>
    <row r="1495" spans="1:25" ht="18" customHeight="1">
      <c r="A1495" s="779"/>
      <c r="B1495" s="617"/>
      <c r="C1495" s="447" t="s">
        <v>111</v>
      </c>
      <c r="D1495" s="447" t="s">
        <v>113</v>
      </c>
      <c r="E1495" s="447" t="s">
        <v>111</v>
      </c>
      <c r="F1495" s="448" t="s">
        <v>113</v>
      </c>
      <c r="G1495" s="312"/>
      <c r="H1495" s="309"/>
      <c r="I1495" s="309"/>
      <c r="J1495" s="309"/>
      <c r="K1495" s="282"/>
      <c r="L1495" s="282"/>
      <c r="M1495" s="18"/>
      <c r="N1495" s="22"/>
      <c r="S1495" s="1185"/>
      <c r="T1495" s="1185"/>
      <c r="U1495" s="1185"/>
      <c r="V1495" s="1185"/>
      <c r="W1495" s="1185"/>
      <c r="X1495" s="1185"/>
      <c r="Y1495" s="1185"/>
    </row>
    <row r="1496" spans="1:25" ht="18" customHeight="1">
      <c r="A1496" s="53" t="s">
        <v>172</v>
      </c>
      <c r="B1496" s="84" t="s">
        <v>57</v>
      </c>
      <c r="C1496" s="647">
        <f>CEILING(42*$Z$1,0.1)</f>
        <v>52.5</v>
      </c>
      <c r="D1496" s="647"/>
      <c r="E1496" s="647">
        <f>CEILING(40*$Z$1,0.1)</f>
        <v>50</v>
      </c>
      <c r="F1496" s="647"/>
      <c r="G1496" s="652"/>
      <c r="H1496" s="653"/>
      <c r="I1496" s="653"/>
      <c r="J1496" s="653"/>
      <c r="K1496" s="282"/>
      <c r="L1496" s="282"/>
      <c r="M1496" s="18"/>
      <c r="N1496" s="22"/>
      <c r="S1496" s="1185"/>
      <c r="T1496" s="1185"/>
      <c r="U1496" s="1185"/>
      <c r="V1496" s="1185"/>
      <c r="W1496" s="1185"/>
      <c r="X1496" s="1185"/>
      <c r="Y1496" s="1185"/>
    </row>
    <row r="1497" spans="1:25" ht="18" customHeight="1">
      <c r="A1497" s="51" t="s">
        <v>65</v>
      </c>
      <c r="B1497" s="31" t="s">
        <v>58</v>
      </c>
      <c r="C1497" s="647">
        <f>CEILING(53*$Z$1,0.1)</f>
        <v>66.3</v>
      </c>
      <c r="D1497" s="358"/>
      <c r="E1497" s="647">
        <f>CEILING(50*$Z$1,0.1)</f>
        <v>62.5</v>
      </c>
      <c r="F1497" s="358"/>
      <c r="G1497" s="652"/>
      <c r="H1497" s="653"/>
      <c r="I1497" s="653"/>
      <c r="J1497" s="653"/>
      <c r="K1497" s="282"/>
      <c r="L1497" s="282"/>
      <c r="M1497" s="18"/>
      <c r="N1497" s="22"/>
      <c r="S1497" s="1185"/>
      <c r="T1497" s="1185"/>
      <c r="U1497" s="1185"/>
      <c r="V1497" s="1185"/>
      <c r="W1497" s="1185"/>
      <c r="X1497" s="1185"/>
      <c r="Y1497" s="1185"/>
    </row>
    <row r="1498" spans="1:25" ht="18" customHeight="1">
      <c r="A1498" s="51"/>
      <c r="B1498" s="138" t="s">
        <v>86</v>
      </c>
      <c r="C1498" s="647">
        <f>CEILING(34*$Z$1,0.1)</f>
        <v>42.5</v>
      </c>
      <c r="D1498" s="358"/>
      <c r="E1498" s="647">
        <f>CEILING(32*$Z$1,0.1)</f>
        <v>40</v>
      </c>
      <c r="F1498" s="358"/>
      <c r="G1498" s="652"/>
      <c r="H1498" s="653"/>
      <c r="I1498" s="653"/>
      <c r="J1498" s="653"/>
      <c r="K1498" s="282"/>
      <c r="L1498" s="282"/>
      <c r="M1498" s="18"/>
      <c r="N1498" s="22"/>
      <c r="S1498" s="1185"/>
      <c r="T1498" s="1185"/>
      <c r="U1498" s="1185"/>
      <c r="V1498" s="1185"/>
      <c r="W1498" s="1185"/>
      <c r="X1498" s="1185"/>
      <c r="Y1498" s="1185"/>
    </row>
    <row r="1499" spans="1:25" ht="15">
      <c r="A1499" s="180"/>
      <c r="B1499" s="138" t="s">
        <v>91</v>
      </c>
      <c r="C1499" s="647">
        <v>0</v>
      </c>
      <c r="D1499" s="358"/>
      <c r="E1499" s="647">
        <v>0</v>
      </c>
      <c r="F1499" s="358"/>
      <c r="G1499" s="652"/>
      <c r="H1499" s="653"/>
      <c r="I1499" s="653"/>
      <c r="J1499" s="653"/>
      <c r="K1499" s="679"/>
      <c r="L1499" s="679"/>
      <c r="M1499" s="1032"/>
      <c r="S1499" s="1185"/>
      <c r="T1499" s="1185"/>
      <c r="U1499" s="1185"/>
      <c r="V1499" s="1185"/>
      <c r="W1499" s="1185"/>
      <c r="X1499" s="1185"/>
      <c r="Y1499" s="1185"/>
    </row>
    <row r="1500" spans="1:25" ht="15.75" thickBot="1">
      <c r="A1500" s="87" t="s">
        <v>499</v>
      </c>
      <c r="B1500" s="15" t="s">
        <v>92</v>
      </c>
      <c r="C1500" s="651">
        <f>CEILING((C1496*0.5),0.1)</f>
        <v>26.3</v>
      </c>
      <c r="D1500" s="651"/>
      <c r="E1500" s="651">
        <f>CEILING((E1496*0.5),0.1)</f>
        <v>25</v>
      </c>
      <c r="F1500" s="359"/>
      <c r="G1500" s="652"/>
      <c r="H1500" s="653"/>
      <c r="I1500" s="653"/>
      <c r="J1500" s="653"/>
      <c r="K1500" s="310"/>
      <c r="L1500" s="310"/>
      <c r="M1500" s="1032"/>
      <c r="S1500" s="1185"/>
      <c r="T1500" s="1185"/>
      <c r="U1500" s="1185"/>
      <c r="V1500" s="1185"/>
      <c r="W1500" s="1185"/>
      <c r="X1500" s="1185"/>
      <c r="Y1500" s="1185"/>
    </row>
    <row r="1501" spans="1:25" ht="16.5" customHeight="1" thickTop="1">
      <c r="A1501" s="116" t="s">
        <v>446</v>
      </c>
      <c r="B1501" s="31" t="s">
        <v>447</v>
      </c>
      <c r="C1501" s="647">
        <v>65</v>
      </c>
      <c r="D1501" s="647"/>
      <c r="E1501" s="647">
        <f>CEILING(50*$Z$1,0.1)</f>
        <v>62.5</v>
      </c>
      <c r="F1501" s="647"/>
      <c r="G1501" s="652"/>
      <c r="H1501" s="653"/>
      <c r="I1501" s="653"/>
      <c r="J1501" s="653"/>
      <c r="K1501" s="307"/>
      <c r="L1501" s="307"/>
      <c r="M1501" s="992"/>
      <c r="S1501" s="1185"/>
      <c r="T1501" s="1185"/>
      <c r="U1501" s="1185"/>
      <c r="V1501" s="1185"/>
      <c r="W1501" s="1185"/>
      <c r="X1501" s="1185"/>
      <c r="Y1501" s="1185"/>
    </row>
    <row r="1502" spans="1:25" ht="15">
      <c r="A1502" s="51" t="s">
        <v>65</v>
      </c>
      <c r="B1502" s="31" t="s">
        <v>448</v>
      </c>
      <c r="C1502" s="647">
        <f>CEILING(72*$Z$1,0.1)</f>
        <v>90</v>
      </c>
      <c r="D1502" s="358"/>
      <c r="E1502" s="647">
        <f>CEILING(70*$Z$1,0.1)</f>
        <v>87.5</v>
      </c>
      <c r="F1502" s="358"/>
      <c r="G1502" s="652"/>
      <c r="H1502" s="653"/>
      <c r="I1502" s="653"/>
      <c r="J1502" s="653"/>
      <c r="K1502" s="307"/>
      <c r="L1502" s="307"/>
      <c r="M1502" s="992"/>
      <c r="S1502" s="1185"/>
      <c r="T1502" s="1185"/>
      <c r="U1502" s="1185"/>
      <c r="V1502" s="1185"/>
      <c r="W1502" s="1185"/>
      <c r="X1502" s="1185"/>
      <c r="Y1502" s="1185"/>
    </row>
    <row r="1503" spans="1:25" ht="15">
      <c r="A1503" s="180"/>
      <c r="B1503" s="138" t="s">
        <v>91</v>
      </c>
      <c r="C1503" s="647">
        <v>0</v>
      </c>
      <c r="D1503" s="358"/>
      <c r="E1503" s="647">
        <v>0</v>
      </c>
      <c r="F1503" s="358"/>
      <c r="G1503" s="652"/>
      <c r="H1503" s="653"/>
      <c r="I1503" s="653"/>
      <c r="J1503" s="653"/>
      <c r="K1503" s="307"/>
      <c r="L1503" s="307"/>
      <c r="M1503" s="992"/>
      <c r="S1503" s="1185"/>
      <c r="T1503" s="1185"/>
      <c r="U1503" s="1185"/>
      <c r="V1503" s="1185"/>
      <c r="W1503" s="1185"/>
      <c r="X1503" s="1185"/>
      <c r="Y1503" s="1185"/>
    </row>
    <row r="1504" spans="1:25" ht="15">
      <c r="A1504" s="180"/>
      <c r="B1504" s="138" t="s">
        <v>92</v>
      </c>
      <c r="C1504" s="647">
        <f>CEILING((C1501*0.5),0.1)</f>
        <v>32.5</v>
      </c>
      <c r="D1504" s="647"/>
      <c r="E1504" s="647">
        <f>CEILING((E1501*0.5),0.1)</f>
        <v>31.3</v>
      </c>
      <c r="F1504" s="647"/>
      <c r="G1504" s="652"/>
      <c r="H1504" s="653"/>
      <c r="I1504" s="653"/>
      <c r="J1504" s="653"/>
      <c r="K1504" s="307"/>
      <c r="L1504" s="307"/>
      <c r="M1504" s="992"/>
      <c r="S1504" s="1185"/>
      <c r="T1504" s="1185"/>
      <c r="U1504" s="1185"/>
      <c r="V1504" s="1185"/>
      <c r="W1504" s="1185"/>
      <c r="X1504" s="1185"/>
      <c r="Y1504" s="1185"/>
    </row>
    <row r="1505" spans="1:25" ht="15.75" thickBot="1">
      <c r="A1505" s="87" t="s">
        <v>499</v>
      </c>
      <c r="B1505" s="15" t="s">
        <v>988</v>
      </c>
      <c r="C1505" s="651">
        <f>CEILING(154*$Z$1,0.1)</f>
        <v>192.5</v>
      </c>
      <c r="D1505" s="359"/>
      <c r="E1505" s="651">
        <f>CEILING(154*$Z$1,0.1)</f>
        <v>192.5</v>
      </c>
      <c r="F1505" s="359"/>
      <c r="G1505" s="652"/>
      <c r="H1505" s="653"/>
      <c r="I1505" s="653"/>
      <c r="J1505" s="653"/>
      <c r="K1505" s="307"/>
      <c r="L1505" s="307"/>
      <c r="M1505" s="992"/>
      <c r="S1505" s="1185"/>
      <c r="T1505" s="1185"/>
      <c r="U1505" s="1185"/>
      <c r="V1505" s="1185"/>
      <c r="W1505" s="1185"/>
      <c r="X1505" s="1185"/>
      <c r="Y1505" s="1185"/>
    </row>
    <row r="1506" spans="1:25" ht="15.75" thickTop="1">
      <c r="A1506" s="116" t="s">
        <v>415</v>
      </c>
      <c r="B1506" s="31" t="s">
        <v>447</v>
      </c>
      <c r="C1506" s="647">
        <f>CEILING(62*$Z$1,0.1)</f>
        <v>77.5</v>
      </c>
      <c r="D1506" s="647"/>
      <c r="E1506" s="647">
        <f>CEILING(80*$Z$1,0.1)</f>
        <v>100</v>
      </c>
      <c r="F1506" s="647"/>
      <c r="G1506" s="652"/>
      <c r="H1506" s="653"/>
      <c r="I1506" s="653"/>
      <c r="J1506" s="653"/>
      <c r="K1506" s="1064"/>
      <c r="L1506" s="1064"/>
      <c r="M1506" s="992"/>
      <c r="S1506" s="1185"/>
      <c r="T1506" s="1185"/>
      <c r="U1506" s="1185"/>
      <c r="V1506" s="1185"/>
      <c r="W1506" s="1185"/>
      <c r="X1506" s="1185"/>
      <c r="Y1506" s="1185"/>
    </row>
    <row r="1507" spans="1:25" ht="15">
      <c r="A1507" s="51" t="s">
        <v>65</v>
      </c>
      <c r="B1507" s="31" t="s">
        <v>448</v>
      </c>
      <c r="C1507" s="647">
        <f>CEILING(82*$Z$1,0.1)</f>
        <v>102.5</v>
      </c>
      <c r="D1507" s="358"/>
      <c r="E1507" s="647">
        <f>CEILING(80*$Z$1,0.1)</f>
        <v>100</v>
      </c>
      <c r="F1507" s="358"/>
      <c r="G1507" s="652"/>
      <c r="H1507" s="653"/>
      <c r="I1507" s="653"/>
      <c r="J1507" s="653"/>
      <c r="K1507" s="1064"/>
      <c r="L1507" s="1064"/>
      <c r="M1507" s="992"/>
      <c r="S1507" s="1185"/>
      <c r="T1507" s="1185"/>
      <c r="U1507" s="1185"/>
      <c r="V1507" s="1185"/>
      <c r="W1507" s="1185"/>
      <c r="X1507" s="1185"/>
      <c r="Y1507" s="1185"/>
    </row>
    <row r="1508" spans="1:25" ht="15">
      <c r="A1508" s="180"/>
      <c r="B1508" s="138" t="s">
        <v>91</v>
      </c>
      <c r="C1508" s="647">
        <v>0</v>
      </c>
      <c r="D1508" s="358"/>
      <c r="E1508" s="647">
        <v>0</v>
      </c>
      <c r="F1508" s="358"/>
      <c r="G1508" s="652"/>
      <c r="H1508" s="653"/>
      <c r="I1508" s="653"/>
      <c r="J1508" s="653"/>
      <c r="K1508" s="1064"/>
      <c r="L1508" s="1064"/>
      <c r="M1508" s="992"/>
      <c r="S1508" s="1185"/>
      <c r="T1508" s="1185"/>
      <c r="U1508" s="1185"/>
      <c r="V1508" s="1185"/>
      <c r="W1508" s="1185"/>
      <c r="X1508" s="1185"/>
      <c r="Y1508" s="1185"/>
    </row>
    <row r="1509" spans="1:25" ht="15">
      <c r="A1509" s="180"/>
      <c r="B1509" s="138" t="s">
        <v>92</v>
      </c>
      <c r="C1509" s="647">
        <f>CEILING((C1506*0.5),0.1)</f>
        <v>38.800000000000004</v>
      </c>
      <c r="D1509" s="647"/>
      <c r="E1509" s="647">
        <f>CEILING((E1506*0.5),0.1)</f>
        <v>50</v>
      </c>
      <c r="F1509" s="647"/>
      <c r="G1509" s="652"/>
      <c r="H1509" s="653"/>
      <c r="I1509" s="653"/>
      <c r="J1509" s="653"/>
      <c r="K1509" s="679"/>
      <c r="L1509" s="679"/>
      <c r="M1509" s="1032"/>
      <c r="P1509" s="1032"/>
      <c r="Q1509" s="3"/>
      <c r="R1509" s="3"/>
      <c r="S1509" s="1185"/>
      <c r="T1509" s="1185"/>
      <c r="U1509" s="1185"/>
      <c r="V1509" s="1185"/>
      <c r="W1509" s="1185"/>
      <c r="X1509" s="1185"/>
      <c r="Y1509" s="1185"/>
    </row>
    <row r="1510" spans="1:25" ht="15.75" thickBot="1">
      <c r="A1510" s="87" t="s">
        <v>498</v>
      </c>
      <c r="B1510" s="275" t="s">
        <v>989</v>
      </c>
      <c r="C1510" s="651">
        <f>CEILING(215*$Z$1,0.1)</f>
        <v>268.8</v>
      </c>
      <c r="D1510" s="359"/>
      <c r="E1510" s="651">
        <f>CEILING(215*$Z$1,0.1)</f>
        <v>268.8</v>
      </c>
      <c r="F1510" s="359"/>
      <c r="G1510" s="652"/>
      <c r="H1510" s="653"/>
      <c r="I1510" s="653"/>
      <c r="J1510" s="653"/>
      <c r="K1510" s="310"/>
      <c r="L1510" s="310"/>
      <c r="M1510" s="1032"/>
      <c r="P1510" s="1032"/>
      <c r="Q1510" s="3"/>
      <c r="R1510" s="3"/>
      <c r="S1510" s="1185"/>
      <c r="T1510" s="1185"/>
      <c r="U1510" s="1185"/>
      <c r="V1510" s="1185"/>
      <c r="W1510" s="1185"/>
      <c r="X1510" s="1185"/>
      <c r="Y1510" s="1185"/>
    </row>
    <row r="1511" spans="1:25" ht="15.75" thickTop="1">
      <c r="A1511" s="327" t="s">
        <v>791</v>
      </c>
      <c r="B1511" s="54"/>
      <c r="C1511" s="3"/>
      <c r="D1511" s="3"/>
      <c r="E1511" s="3"/>
      <c r="F1511" s="3"/>
      <c r="G1511" s="653"/>
      <c r="H1511" s="653"/>
      <c r="I1511" s="653"/>
      <c r="J1511" s="653"/>
      <c r="K1511" s="307"/>
      <c r="L1511" s="307"/>
      <c r="M1511" s="992"/>
      <c r="P1511" s="1032"/>
      <c r="Q1511" s="1032"/>
      <c r="R1511" s="1032"/>
      <c r="S1511" s="1185"/>
      <c r="T1511" s="1185"/>
      <c r="U1511" s="1185"/>
      <c r="V1511" s="1185"/>
      <c r="W1511" s="1185"/>
      <c r="X1511" s="1185"/>
      <c r="Y1511" s="1185"/>
    </row>
    <row r="1512" spans="1:25" ht="15.75" thickBot="1">
      <c r="A1512" s="347"/>
      <c r="B1512" s="56"/>
      <c r="C1512" s="3"/>
      <c r="D1512" s="3"/>
      <c r="E1512" s="3"/>
      <c r="F1512" s="3"/>
      <c r="G1512" s="653"/>
      <c r="H1512" s="653"/>
      <c r="I1512" s="653"/>
      <c r="J1512" s="653"/>
      <c r="K1512" s="307"/>
      <c r="L1512" s="307"/>
      <c r="M1512" s="992"/>
      <c r="S1512" s="1185"/>
      <c r="T1512" s="1185"/>
      <c r="U1512" s="1185"/>
      <c r="V1512" s="1185"/>
      <c r="W1512" s="1185"/>
      <c r="X1512" s="1185"/>
      <c r="Y1512" s="1185"/>
    </row>
    <row r="1513" spans="1:25" ht="15.75" thickTop="1">
      <c r="A1513" s="789" t="s">
        <v>49</v>
      </c>
      <c r="B1513" s="520"/>
      <c r="C1513" s="754" t="s">
        <v>884</v>
      </c>
      <c r="D1513" s="755"/>
      <c r="E1513" s="726" t="s">
        <v>885</v>
      </c>
      <c r="F1513" s="727"/>
      <c r="G1513" s="769" t="s">
        <v>992</v>
      </c>
      <c r="H1513" s="770"/>
      <c r="I1513" s="311"/>
      <c r="J1513" s="308"/>
      <c r="K1513" s="307"/>
      <c r="L1513" s="307"/>
      <c r="M1513" s="992"/>
      <c r="S1513" s="1185"/>
      <c r="T1513" s="1185"/>
      <c r="U1513" s="1185"/>
      <c r="V1513" s="1185"/>
      <c r="W1513" s="1185"/>
      <c r="X1513" s="1185"/>
      <c r="Y1513" s="1185"/>
    </row>
    <row r="1514" spans="1:25" ht="17.25" customHeight="1">
      <c r="A1514" s="790"/>
      <c r="B1514" s="521"/>
      <c r="C1514" s="447" t="s">
        <v>111</v>
      </c>
      <c r="D1514" s="447" t="s">
        <v>113</v>
      </c>
      <c r="E1514" s="447" t="s">
        <v>111</v>
      </c>
      <c r="F1514" s="448" t="s">
        <v>113</v>
      </c>
      <c r="G1514" s="447" t="s">
        <v>111</v>
      </c>
      <c r="H1514" s="448" t="s">
        <v>113</v>
      </c>
      <c r="I1514" s="312"/>
      <c r="J1514" s="309"/>
      <c r="K1514" s="1042"/>
      <c r="L1514" s="1042"/>
      <c r="M1514" s="992"/>
      <c r="S1514" s="1185"/>
      <c r="T1514" s="1185"/>
      <c r="U1514" s="1185"/>
      <c r="V1514" s="1185"/>
      <c r="W1514" s="1185"/>
      <c r="X1514" s="1185"/>
      <c r="Y1514" s="1185"/>
    </row>
    <row r="1515" spans="1:13" ht="15">
      <c r="A1515" s="36" t="s">
        <v>739</v>
      </c>
      <c r="B1515" s="84" t="s">
        <v>57</v>
      </c>
      <c r="C1515" s="647">
        <f>CEILING(30*$Z$1,0.1)</f>
        <v>37.5</v>
      </c>
      <c r="D1515" s="647"/>
      <c r="E1515" s="647">
        <f>CEILING(40*$Z$1,0.1)</f>
        <v>50</v>
      </c>
      <c r="F1515" s="647"/>
      <c r="G1515" s="647">
        <f>CEILING(30*$Z$1,0.1)</f>
        <v>37.5</v>
      </c>
      <c r="H1515" s="647"/>
      <c r="I1515" s="652"/>
      <c r="J1515" s="653"/>
      <c r="K1515" s="679"/>
      <c r="L1515" s="679"/>
      <c r="M1515" s="1032"/>
    </row>
    <row r="1516" spans="1:13" ht="15">
      <c r="A1516" s="37" t="s">
        <v>98</v>
      </c>
      <c r="B1516" s="31" t="s">
        <v>58</v>
      </c>
      <c r="C1516" s="647">
        <f>CEILING((C1515+12*$Z$1),0.1)</f>
        <v>52.5</v>
      </c>
      <c r="D1516" s="358"/>
      <c r="E1516" s="647">
        <f>CEILING((E1515+12*$Z$1),0.1)</f>
        <v>65</v>
      </c>
      <c r="F1516" s="363"/>
      <c r="G1516" s="647">
        <f>CEILING((G1515+12*$Z$1),0.1)</f>
        <v>52.5</v>
      </c>
      <c r="H1516" s="358"/>
      <c r="I1516" s="652"/>
      <c r="J1516" s="653"/>
      <c r="K1516" s="679"/>
      <c r="L1516" s="679"/>
      <c r="M1516" s="1032"/>
    </row>
    <row r="1517" spans="1:13" ht="15">
      <c r="A1517" s="37"/>
      <c r="B1517" s="31" t="s">
        <v>53</v>
      </c>
      <c r="C1517" s="647">
        <f>CEILING((C1515*0.85),0.1)</f>
        <v>31.900000000000002</v>
      </c>
      <c r="D1517" s="358"/>
      <c r="E1517" s="647">
        <f>CEILING((E1515*0.85),0.1)</f>
        <v>42.5</v>
      </c>
      <c r="F1517" s="358"/>
      <c r="G1517" s="647">
        <f>CEILING((G1515*0.85),0.1)</f>
        <v>31.900000000000002</v>
      </c>
      <c r="H1517" s="358"/>
      <c r="I1517" s="652"/>
      <c r="J1517" s="653"/>
      <c r="K1517" s="310"/>
      <c r="L1517" s="310"/>
      <c r="M1517" s="1032"/>
    </row>
    <row r="1518" spans="1:25" ht="16.5" customHeight="1" thickBot="1">
      <c r="A1518" s="86" t="s">
        <v>496</v>
      </c>
      <c r="B1518" s="15" t="s">
        <v>78</v>
      </c>
      <c r="C1518" s="651">
        <f>CEILING((C1515*0.5),0.1)</f>
        <v>18.8</v>
      </c>
      <c r="D1518" s="651"/>
      <c r="E1518" s="651">
        <f>CEILING((E1515*0.5),0.1)</f>
        <v>25</v>
      </c>
      <c r="F1518" s="651"/>
      <c r="G1518" s="651">
        <f>CEILING((G1515*0.5),0.1)</f>
        <v>18.8</v>
      </c>
      <c r="H1518" s="651"/>
      <c r="I1518" s="652"/>
      <c r="J1518" s="653"/>
      <c r="K1518" s="307"/>
      <c r="L1518" s="307"/>
      <c r="M1518" s="992"/>
      <c r="W1518" s="993"/>
      <c r="X1518" s="993"/>
      <c r="Y1518" s="993"/>
    </row>
    <row r="1519" spans="1:25" ht="15.75" thickTop="1">
      <c r="A1519" s="170" t="s">
        <v>1059</v>
      </c>
      <c r="B1519" s="54"/>
      <c r="C1519" s="3"/>
      <c r="D1519" s="656"/>
      <c r="E1519" s="656"/>
      <c r="F1519" s="656"/>
      <c r="G1519" s="656"/>
      <c r="H1519" s="656"/>
      <c r="I1519" s="653"/>
      <c r="J1519" s="653"/>
      <c r="K1519" s="307"/>
      <c r="L1519" s="307"/>
      <c r="M1519" s="992"/>
      <c r="W1519" s="993"/>
      <c r="X1519" s="993"/>
      <c r="Y1519" s="993"/>
    </row>
    <row r="1520" spans="1:25" ht="15">
      <c r="A1520" s="170" t="s">
        <v>1057</v>
      </c>
      <c r="B1520" s="54"/>
      <c r="C1520" s="3"/>
      <c r="D1520" s="117"/>
      <c r="E1520" s="117"/>
      <c r="F1520" s="117"/>
      <c r="G1520" s="117"/>
      <c r="H1520" s="117"/>
      <c r="I1520" s="22"/>
      <c r="J1520" s="992"/>
      <c r="K1520" s="307"/>
      <c r="L1520" s="307"/>
      <c r="M1520" s="992"/>
      <c r="W1520" s="993"/>
      <c r="X1520" s="993"/>
      <c r="Y1520" s="993"/>
    </row>
    <row r="1521" spans="1:25" ht="15">
      <c r="A1521" s="170" t="s">
        <v>1064</v>
      </c>
      <c r="B1521" s="54"/>
      <c r="C1521" s="3"/>
      <c r="D1521" s="117"/>
      <c r="E1521" s="117"/>
      <c r="F1521" s="117"/>
      <c r="G1521" s="117"/>
      <c r="H1521" s="117"/>
      <c r="I1521" s="22"/>
      <c r="J1521" s="992"/>
      <c r="K1521" s="307"/>
      <c r="L1521" s="307"/>
      <c r="M1521" s="992"/>
      <c r="W1521" s="993"/>
      <c r="X1521" s="993"/>
      <c r="Y1521" s="993"/>
    </row>
    <row r="1522" spans="1:13" ht="15">
      <c r="A1522" s="117" t="s">
        <v>381</v>
      </c>
      <c r="B1522" s="117"/>
      <c r="C1522" s="117"/>
      <c r="D1522" s="117"/>
      <c r="E1522" s="117"/>
      <c r="F1522" s="117"/>
      <c r="G1522" s="117"/>
      <c r="H1522" s="117"/>
      <c r="I1522" s="22"/>
      <c r="J1522" s="992"/>
      <c r="K1522" s="1064"/>
      <c r="L1522" s="1064"/>
      <c r="M1522" s="992"/>
    </row>
    <row r="1523" spans="1:19" ht="15">
      <c r="A1523" s="782" t="s">
        <v>49</v>
      </c>
      <c r="B1523" s="540"/>
      <c r="C1523" s="760" t="s">
        <v>990</v>
      </c>
      <c r="D1523" s="761"/>
      <c r="E1523" s="722" t="s">
        <v>991</v>
      </c>
      <c r="F1523" s="723"/>
      <c r="G1523" s="784" t="s">
        <v>992</v>
      </c>
      <c r="H1523" s="785"/>
      <c r="I1523" s="311"/>
      <c r="J1523" s="308"/>
      <c r="K1523" s="653"/>
      <c r="L1523" s="653"/>
      <c r="M1523" s="22"/>
      <c r="Q1523" s="3"/>
      <c r="R1523" s="3"/>
      <c r="S1523" s="1032"/>
    </row>
    <row r="1524" spans="1:19" ht="15">
      <c r="A1524" s="783"/>
      <c r="B1524" s="521"/>
      <c r="C1524" s="447" t="s">
        <v>111</v>
      </c>
      <c r="D1524" s="447" t="s">
        <v>113</v>
      </c>
      <c r="E1524" s="447" t="s">
        <v>111</v>
      </c>
      <c r="F1524" s="448" t="s">
        <v>113</v>
      </c>
      <c r="G1524" s="447" t="s">
        <v>111</v>
      </c>
      <c r="H1524" s="447" t="s">
        <v>113</v>
      </c>
      <c r="I1524" s="312"/>
      <c r="J1524" s="309"/>
      <c r="K1524" s="653"/>
      <c r="L1524" s="653"/>
      <c r="M1524" s="22"/>
      <c r="Q1524" s="3"/>
      <c r="R1524" s="3"/>
      <c r="S1524" s="1032"/>
    </row>
    <row r="1525" spans="1:19" ht="15">
      <c r="A1525" s="36" t="s">
        <v>173</v>
      </c>
      <c r="B1525" s="84" t="s">
        <v>57</v>
      </c>
      <c r="C1525" s="647">
        <f>CEILING(32*$Z$1,0.1)</f>
        <v>40</v>
      </c>
      <c r="D1525" s="647"/>
      <c r="E1525" s="647">
        <f>CEILING(45*$Z$1,0.1)</f>
        <v>56.300000000000004</v>
      </c>
      <c r="F1525" s="647"/>
      <c r="G1525" s="647">
        <f>CEILING(32*$Z$1,0.1)</f>
        <v>40</v>
      </c>
      <c r="H1525" s="647"/>
      <c r="I1525" s="652"/>
      <c r="J1525" s="963"/>
      <c r="K1525" s="963"/>
      <c r="L1525" s="963"/>
      <c r="M1525" s="963"/>
      <c r="Q1525" s="3"/>
      <c r="R1525" s="3"/>
      <c r="S1525" s="1032"/>
    </row>
    <row r="1526" spans="1:14" ht="15">
      <c r="A1526" s="37" t="s">
        <v>98</v>
      </c>
      <c r="B1526" s="31" t="s">
        <v>58</v>
      </c>
      <c r="C1526" s="647">
        <f>CEILING((C1525+15*$Z$1),0.1)</f>
        <v>58.800000000000004</v>
      </c>
      <c r="D1526" s="358"/>
      <c r="E1526" s="647">
        <f>CEILING((E1525+15*$Z$1),0.1)</f>
        <v>75.10000000000001</v>
      </c>
      <c r="F1526" s="358"/>
      <c r="G1526" s="647">
        <f>CEILING((G1525+15*$Z$1),0.1)</f>
        <v>58.800000000000004</v>
      </c>
      <c r="H1526" s="358"/>
      <c r="I1526" s="652"/>
      <c r="J1526" s="963"/>
      <c r="K1526" s="963"/>
      <c r="L1526" s="963"/>
      <c r="M1526" s="963"/>
      <c r="N1526" s="18"/>
    </row>
    <row r="1527" spans="1:14" ht="15.75" thickBot="1">
      <c r="A1527" s="86" t="s">
        <v>753</v>
      </c>
      <c r="B1527" s="15" t="s">
        <v>78</v>
      </c>
      <c r="C1527" s="651">
        <v>0</v>
      </c>
      <c r="D1527" s="651"/>
      <c r="E1527" s="651">
        <f>CEILING((E1525*0.5),0.1)</f>
        <v>28.200000000000003</v>
      </c>
      <c r="F1527" s="651"/>
      <c r="G1527" s="651">
        <v>0</v>
      </c>
      <c r="H1527" s="651"/>
      <c r="I1527" s="652"/>
      <c r="J1527" s="963"/>
      <c r="K1527" s="963"/>
      <c r="L1527" s="963"/>
      <c r="M1527" s="963"/>
      <c r="N1527" s="18"/>
    </row>
    <row r="1528" spans="1:14" ht="15.75" thickTop="1">
      <c r="A1528" s="117" t="s">
        <v>449</v>
      </c>
      <c r="B1528" s="117"/>
      <c r="C1528" s="117"/>
      <c r="D1528" s="117"/>
      <c r="E1528" s="117"/>
      <c r="F1528" s="117"/>
      <c r="G1528" s="117"/>
      <c r="H1528" s="117"/>
      <c r="I1528" s="676"/>
      <c r="J1528" s="963"/>
      <c r="K1528" s="963"/>
      <c r="L1528" s="963"/>
      <c r="M1528" s="963"/>
      <c r="N1528" s="18"/>
    </row>
    <row r="1529" spans="1:14" ht="17.25" customHeight="1" thickBot="1">
      <c r="A1529" s="79"/>
      <c r="B1529" s="141"/>
      <c r="C1529" s="2"/>
      <c r="D1529" s="2"/>
      <c r="E1529" s="2"/>
      <c r="F1529" s="2"/>
      <c r="G1529" s="2"/>
      <c r="H1529" s="2"/>
      <c r="I1529" s="653"/>
      <c r="J1529" s="963"/>
      <c r="K1529" s="963"/>
      <c r="L1529" s="963"/>
      <c r="M1529" s="963"/>
      <c r="N1529" s="18"/>
    </row>
    <row r="1530" spans="1:14" ht="17.25" customHeight="1" thickTop="1">
      <c r="A1530" s="789" t="s">
        <v>49</v>
      </c>
      <c r="B1530" s="520"/>
      <c r="C1530" s="754" t="s">
        <v>884</v>
      </c>
      <c r="D1530" s="755"/>
      <c r="E1530" s="726" t="s">
        <v>885</v>
      </c>
      <c r="F1530" s="727"/>
      <c r="G1530" s="769" t="s">
        <v>992</v>
      </c>
      <c r="H1530" s="770"/>
      <c r="I1530" s="311"/>
      <c r="J1530" s="963"/>
      <c r="K1530" s="963"/>
      <c r="L1530" s="963"/>
      <c r="M1530" s="963"/>
      <c r="N1530" s="18"/>
    </row>
    <row r="1531" spans="1:13" ht="16.5" customHeight="1">
      <c r="A1531" s="790"/>
      <c r="B1531" s="521"/>
      <c r="C1531" s="447" t="s">
        <v>111</v>
      </c>
      <c r="D1531" s="447" t="s">
        <v>113</v>
      </c>
      <c r="E1531" s="447" t="s">
        <v>111</v>
      </c>
      <c r="F1531" s="448" t="s">
        <v>113</v>
      </c>
      <c r="G1531" s="447" t="s">
        <v>111</v>
      </c>
      <c r="H1531" s="448" t="s">
        <v>113</v>
      </c>
      <c r="I1531" s="312"/>
      <c r="J1531" s="963"/>
      <c r="K1531" s="963"/>
      <c r="L1531" s="963"/>
      <c r="M1531" s="963"/>
    </row>
    <row r="1532" spans="1:13" ht="19.5" customHeight="1">
      <c r="A1532" s="36" t="s">
        <v>44</v>
      </c>
      <c r="B1532" s="84" t="s">
        <v>57</v>
      </c>
      <c r="C1532" s="647">
        <f>CEILING(40*$Z$1,0.1)</f>
        <v>50</v>
      </c>
      <c r="D1532" s="647"/>
      <c r="E1532" s="647">
        <f>CEILING(60*$Z$1,0.1)</f>
        <v>75</v>
      </c>
      <c r="F1532" s="647"/>
      <c r="G1532" s="647">
        <f>CEILING(40*$Z$1,0.1)</f>
        <v>50</v>
      </c>
      <c r="H1532" s="647"/>
      <c r="I1532" s="652"/>
      <c r="J1532" s="963"/>
      <c r="K1532" s="963"/>
      <c r="L1532" s="963"/>
      <c r="M1532" s="963"/>
    </row>
    <row r="1533" spans="1:13" ht="16.5" customHeight="1">
      <c r="A1533" s="37" t="s">
        <v>98</v>
      </c>
      <c r="B1533" s="31" t="s">
        <v>58</v>
      </c>
      <c r="C1533" s="647">
        <f>CEILING((C1532+20*$Z$1),0.1)</f>
        <v>75</v>
      </c>
      <c r="D1533" s="358"/>
      <c r="E1533" s="647">
        <f>CEILING((E1532+20*$Z$1),0.1)</f>
        <v>100</v>
      </c>
      <c r="F1533" s="363"/>
      <c r="G1533" s="647">
        <f>CEILING((G1532+20*$Z$1),0.1)</f>
        <v>75</v>
      </c>
      <c r="H1533" s="358"/>
      <c r="I1533" s="652"/>
      <c r="J1533" s="653"/>
      <c r="K1533" s="104"/>
      <c r="L1533" s="1064"/>
      <c r="M1533" s="992"/>
    </row>
    <row r="1534" spans="1:13" ht="15" customHeight="1">
      <c r="A1534" s="37"/>
      <c r="B1534" s="31" t="s">
        <v>53</v>
      </c>
      <c r="C1534" s="647">
        <f>CEILING((C1532*0.85),0.1)</f>
        <v>42.5</v>
      </c>
      <c r="D1534" s="358"/>
      <c r="E1534" s="647">
        <f>CEILING((E1532*0.85),0.1)</f>
        <v>63.800000000000004</v>
      </c>
      <c r="F1534" s="358"/>
      <c r="G1534" s="647">
        <f>CEILING((G1532*0.85),0.1)</f>
        <v>42.5</v>
      </c>
      <c r="H1534" s="358"/>
      <c r="I1534" s="652"/>
      <c r="J1534" s="653"/>
      <c r="K1534" s="104"/>
      <c r="L1534" s="1064"/>
      <c r="M1534" s="992"/>
    </row>
    <row r="1535" spans="1:13" ht="18" customHeight="1" thickBot="1">
      <c r="A1535" s="86" t="s">
        <v>496</v>
      </c>
      <c r="B1535" s="15" t="s">
        <v>78</v>
      </c>
      <c r="C1535" s="651">
        <f>CEILING((C1532*0.5),0.1)</f>
        <v>25</v>
      </c>
      <c r="D1535" s="651"/>
      <c r="E1535" s="651">
        <f>CEILING((E1532*0.5),0.1)</f>
        <v>37.5</v>
      </c>
      <c r="F1535" s="651"/>
      <c r="G1535" s="651">
        <f>CEILING((G1532*0.5),0.1)</f>
        <v>25</v>
      </c>
      <c r="H1535" s="651"/>
      <c r="I1535" s="652"/>
      <c r="J1535" s="653"/>
      <c r="K1535" s="104"/>
      <c r="L1535" s="1064"/>
      <c r="M1535" s="992"/>
    </row>
    <row r="1536" spans="1:13" ht="16.5" customHeight="1" thickTop="1">
      <c r="A1536" s="117" t="s">
        <v>1065</v>
      </c>
      <c r="B1536" s="117"/>
      <c r="C1536" s="117"/>
      <c r="D1536" s="117"/>
      <c r="E1536" s="117"/>
      <c r="F1536" s="117"/>
      <c r="G1536" s="117"/>
      <c r="H1536" s="117"/>
      <c r="I1536" s="22"/>
      <c r="J1536" s="992"/>
      <c r="K1536" s="104"/>
      <c r="L1536" s="1064"/>
      <c r="M1536" s="992"/>
    </row>
    <row r="1537" spans="1:13" ht="17.25" customHeight="1">
      <c r="A1537" s="170" t="s">
        <v>1059</v>
      </c>
      <c r="B1537" s="54"/>
      <c r="C1537" s="3"/>
      <c r="D1537" s="3"/>
      <c r="E1537" s="3"/>
      <c r="F1537" s="3"/>
      <c r="G1537" s="3"/>
      <c r="H1537" s="3"/>
      <c r="I1537" s="653"/>
      <c r="J1537" s="653"/>
      <c r="K1537" s="104"/>
      <c r="L1537" s="1064"/>
      <c r="M1537" s="992"/>
    </row>
    <row r="1538" spans="1:13" ht="18.75" customHeight="1">
      <c r="A1538" s="170" t="s">
        <v>1057</v>
      </c>
      <c r="B1538" s="54"/>
      <c r="C1538" s="3"/>
      <c r="D1538" s="3"/>
      <c r="E1538" s="3"/>
      <c r="F1538" s="3"/>
      <c r="G1538" s="3"/>
      <c r="H1538" s="3"/>
      <c r="I1538" s="653"/>
      <c r="J1538" s="653"/>
      <c r="K1538" s="104"/>
      <c r="L1538" s="1064"/>
      <c r="M1538" s="992"/>
    </row>
    <row r="1539" spans="1:13" ht="16.5" customHeight="1">
      <c r="A1539" s="170" t="s">
        <v>1064</v>
      </c>
      <c r="B1539" s="54"/>
      <c r="C1539" s="3"/>
      <c r="D1539" s="3"/>
      <c r="E1539" s="3"/>
      <c r="F1539" s="3"/>
      <c r="G1539" s="3"/>
      <c r="H1539" s="3"/>
      <c r="I1539" s="653"/>
      <c r="J1539" s="653"/>
      <c r="K1539" s="104"/>
      <c r="L1539" s="1064"/>
      <c r="M1539" s="992"/>
    </row>
    <row r="1540" spans="1:18" ht="19.5" customHeight="1">
      <c r="A1540" s="782" t="s">
        <v>49</v>
      </c>
      <c r="B1540" s="608"/>
      <c r="C1540" s="760" t="s">
        <v>884</v>
      </c>
      <c r="D1540" s="761"/>
      <c r="E1540" s="760" t="s">
        <v>1191</v>
      </c>
      <c r="F1540" s="761"/>
      <c r="G1540" s="760" t="s">
        <v>1192</v>
      </c>
      <c r="H1540" s="761"/>
      <c r="I1540" s="710"/>
      <c r="J1540" s="710"/>
      <c r="K1540" s="710"/>
      <c r="L1540" s="710"/>
      <c r="M1540" s="710"/>
      <c r="N1540" s="710"/>
      <c r="O1540" s="710"/>
      <c r="P1540" s="710"/>
      <c r="Q1540" s="710"/>
      <c r="R1540" s="710"/>
    </row>
    <row r="1541" spans="1:18" ht="15" customHeight="1">
      <c r="A1541" s="783"/>
      <c r="B1541" s="506"/>
      <c r="C1541" s="447" t="s">
        <v>111</v>
      </c>
      <c r="D1541" s="507" t="s">
        <v>113</v>
      </c>
      <c r="E1541" s="447" t="s">
        <v>111</v>
      </c>
      <c r="F1541" s="508" t="s">
        <v>113</v>
      </c>
      <c r="G1541" s="447" t="s">
        <v>111</v>
      </c>
      <c r="H1541" s="447" t="s">
        <v>113</v>
      </c>
      <c r="I1541" s="710"/>
      <c r="J1541" s="710"/>
      <c r="K1541" s="710"/>
      <c r="L1541" s="710"/>
      <c r="M1541" s="710"/>
      <c r="N1541" s="710"/>
      <c r="O1541" s="710"/>
      <c r="P1541" s="710"/>
      <c r="Q1541" s="710"/>
      <c r="R1541" s="710"/>
    </row>
    <row r="1542" spans="1:18" ht="15" customHeight="1">
      <c r="A1542" s="36" t="s">
        <v>1190</v>
      </c>
      <c r="B1542" s="84" t="s">
        <v>57</v>
      </c>
      <c r="C1542" s="647">
        <f>CEILING(52*$Z$1,0.1)</f>
        <v>65</v>
      </c>
      <c r="D1542" s="647"/>
      <c r="E1542" s="647">
        <f>CEILING(59*$Z$1,0.1)</f>
        <v>73.8</v>
      </c>
      <c r="F1542" s="647"/>
      <c r="G1542" s="647">
        <f>CEILING(54*$Z$1,0.1)</f>
        <v>67.5</v>
      </c>
      <c r="H1542" s="363"/>
      <c r="I1542" s="710"/>
      <c r="J1542" s="710"/>
      <c r="K1542" s="710"/>
      <c r="L1542" s="710"/>
      <c r="M1542" s="710"/>
      <c r="N1542" s="710"/>
      <c r="O1542" s="710"/>
      <c r="P1542" s="710"/>
      <c r="Q1542" s="710"/>
      <c r="R1542" s="710"/>
    </row>
    <row r="1543" spans="1:18" ht="17.25" customHeight="1">
      <c r="A1543" s="37" t="s">
        <v>98</v>
      </c>
      <c r="B1543" s="31" t="s">
        <v>58</v>
      </c>
      <c r="C1543" s="647">
        <f>CEILING(77*$Z$1,0.1)</f>
        <v>96.30000000000001</v>
      </c>
      <c r="D1543" s="358"/>
      <c r="E1543" s="647">
        <f>CEILING(84*$Z$1,0.1)</f>
        <v>105</v>
      </c>
      <c r="F1543" s="358"/>
      <c r="G1543" s="647">
        <f>CEILING(79*$Z$1,0.1)</f>
        <v>98.80000000000001</v>
      </c>
      <c r="H1543" s="358"/>
      <c r="I1543" s="710"/>
      <c r="J1543" s="710"/>
      <c r="K1543" s="710"/>
      <c r="L1543" s="710"/>
      <c r="M1543" s="710"/>
      <c r="N1543" s="710"/>
      <c r="O1543" s="710"/>
      <c r="P1543" s="710"/>
      <c r="Q1543" s="710"/>
      <c r="R1543" s="710"/>
    </row>
    <row r="1544" spans="1:18" ht="17.25" customHeight="1" thickBot="1">
      <c r="A1544" s="79" t="s">
        <v>1178</v>
      </c>
      <c r="B1544" s="178" t="s">
        <v>754</v>
      </c>
      <c r="C1544" s="668">
        <v>32.5</v>
      </c>
      <c r="D1544" s="6"/>
      <c r="E1544" s="7">
        <v>37</v>
      </c>
      <c r="F1544" s="6"/>
      <c r="G1544" s="605">
        <v>34</v>
      </c>
      <c r="H1544" s="607"/>
      <c r="I1544" s="710"/>
      <c r="J1544" s="710"/>
      <c r="K1544" s="710"/>
      <c r="L1544" s="710"/>
      <c r="M1544" s="710"/>
      <c r="N1544" s="710"/>
      <c r="O1544" s="710"/>
      <c r="P1544" s="710"/>
      <c r="Q1544" s="710"/>
      <c r="R1544" s="710"/>
    </row>
    <row r="1545" spans="1:18" ht="16.5" customHeight="1" thickTop="1">
      <c r="A1545" s="155" t="s">
        <v>730</v>
      </c>
      <c r="B1545" s="117"/>
      <c r="C1545" s="117"/>
      <c r="D1545" s="117"/>
      <c r="E1545" s="117"/>
      <c r="F1545" s="117"/>
      <c r="G1545" s="117"/>
      <c r="H1545" s="117"/>
      <c r="I1545" s="710"/>
      <c r="J1545" s="710"/>
      <c r="K1545" s="710"/>
      <c r="L1545" s="710"/>
      <c r="M1545" s="710"/>
      <c r="N1545" s="710"/>
      <c r="O1545" s="710"/>
      <c r="P1545" s="710"/>
      <c r="Q1545" s="710"/>
      <c r="R1545" s="710"/>
    </row>
    <row r="1546" spans="1:18" ht="15.75" customHeight="1">
      <c r="A1546" s="600" t="s">
        <v>1193</v>
      </c>
      <c r="B1546" s="601"/>
      <c r="C1546" s="602"/>
      <c r="D1546" s="602"/>
      <c r="E1546" s="93"/>
      <c r="F1546" s="93"/>
      <c r="G1546" s="93"/>
      <c r="H1546" s="93"/>
      <c r="I1546" s="710"/>
      <c r="J1546" s="710"/>
      <c r="K1546" s="710"/>
      <c r="L1546" s="710"/>
      <c r="M1546" s="710"/>
      <c r="N1546" s="710"/>
      <c r="O1546" s="710"/>
      <c r="P1546" s="710"/>
      <c r="Q1546" s="710"/>
      <c r="R1546" s="710"/>
    </row>
    <row r="1547" spans="1:13" ht="16.5" customHeight="1">
      <c r="A1547" s="782" t="s">
        <v>49</v>
      </c>
      <c r="B1547" s="608"/>
      <c r="C1547" s="760" t="s">
        <v>884</v>
      </c>
      <c r="D1547" s="761"/>
      <c r="E1547" s="760" t="s">
        <v>970</v>
      </c>
      <c r="F1547" s="761"/>
      <c r="G1547" s="760" t="s">
        <v>888</v>
      </c>
      <c r="H1547" s="761"/>
      <c r="I1547" s="155"/>
      <c r="J1547" s="188"/>
      <c r="K1547" s="104"/>
      <c r="L1547" s="1063"/>
      <c r="M1547" s="992"/>
    </row>
    <row r="1548" spans="1:13" ht="19.5" customHeight="1">
      <c r="A1548" s="783"/>
      <c r="B1548" s="506"/>
      <c r="C1548" s="447" t="s">
        <v>111</v>
      </c>
      <c r="D1548" s="507" t="s">
        <v>113</v>
      </c>
      <c r="E1548" s="447" t="s">
        <v>111</v>
      </c>
      <c r="F1548" s="508" t="s">
        <v>113</v>
      </c>
      <c r="G1548" s="447" t="s">
        <v>111</v>
      </c>
      <c r="H1548" s="447" t="s">
        <v>113</v>
      </c>
      <c r="I1548" s="155"/>
      <c r="J1548" s="188"/>
      <c r="K1548" s="104"/>
      <c r="L1548" s="1064"/>
      <c r="M1548" s="992"/>
    </row>
    <row r="1549" spans="1:13" ht="16.5" customHeight="1">
      <c r="A1549" s="1195" t="s">
        <v>452</v>
      </c>
      <c r="B1549" s="84" t="s">
        <v>57</v>
      </c>
      <c r="C1549" s="647">
        <f>CEILING(25*$Z$1,0.1)</f>
        <v>31.3</v>
      </c>
      <c r="D1549" s="647"/>
      <c r="E1549" s="647">
        <f>CEILING(27*$Z$1,0.1)</f>
        <v>33.800000000000004</v>
      </c>
      <c r="F1549" s="647"/>
      <c r="G1549" s="647">
        <f>CEILING(25*$Z$1,0.1)</f>
        <v>31.3</v>
      </c>
      <c r="H1549" s="647"/>
      <c r="I1549" s="155"/>
      <c r="J1549" s="188"/>
      <c r="K1549" s="104"/>
      <c r="L1549" s="1064"/>
      <c r="M1549" s="992"/>
    </row>
    <row r="1550" spans="1:13" ht="15" customHeight="1">
      <c r="A1550" s="37" t="s">
        <v>98</v>
      </c>
      <c r="B1550" s="31" t="s">
        <v>58</v>
      </c>
      <c r="C1550" s="647">
        <f>CEILING(30*$Z$1,0.1)</f>
        <v>37.5</v>
      </c>
      <c r="D1550" s="358"/>
      <c r="E1550" s="647">
        <f>CEILING(33*$Z$1,0.1)</f>
        <v>41.300000000000004</v>
      </c>
      <c r="F1550" s="358"/>
      <c r="G1550" s="647">
        <f>CEILING(30*$Z$1,0.1)</f>
        <v>37.5</v>
      </c>
      <c r="H1550" s="358"/>
      <c r="I1550" s="117"/>
      <c r="J1550" s="188"/>
      <c r="K1550" s="104"/>
      <c r="L1550" s="1064"/>
      <c r="M1550" s="992"/>
    </row>
    <row r="1551" spans="1:13" ht="15" customHeight="1">
      <c r="A1551" s="92"/>
      <c r="B1551" s="31" t="s">
        <v>728</v>
      </c>
      <c r="C1551" s="652">
        <v>0</v>
      </c>
      <c r="D1551" s="5"/>
      <c r="E1551" s="4">
        <v>0</v>
      </c>
      <c r="F1551" s="5"/>
      <c r="G1551" s="652">
        <v>0</v>
      </c>
      <c r="H1551" s="5"/>
      <c r="I1551" s="117"/>
      <c r="J1551" s="188"/>
      <c r="K1551" s="104"/>
      <c r="L1551" s="1064"/>
      <c r="M1551" s="992"/>
    </row>
    <row r="1552" spans="1:13" ht="14.25" customHeight="1" thickBot="1">
      <c r="A1552" s="79" t="s">
        <v>495</v>
      </c>
      <c r="B1552" s="125" t="s">
        <v>729</v>
      </c>
      <c r="C1552" s="651">
        <f>CEILING((C1549*0.7),0.1)</f>
        <v>22</v>
      </c>
      <c r="D1552" s="651"/>
      <c r="E1552" s="651">
        <f>CEILING((E1549*0.7),0.1)</f>
        <v>23.700000000000003</v>
      </c>
      <c r="F1552" s="651"/>
      <c r="G1552" s="651">
        <f>CEILING((G1549*0.7),0.1)</f>
        <v>22</v>
      </c>
      <c r="H1552" s="651"/>
      <c r="I1552" s="155"/>
      <c r="J1552" s="188"/>
      <c r="K1552" s="104"/>
      <c r="L1552" s="1064"/>
      <c r="M1552" s="992"/>
    </row>
    <row r="1553" spans="1:13" ht="15" customHeight="1" thickTop="1">
      <c r="A1553" s="155" t="s">
        <v>730</v>
      </c>
      <c r="B1553" s="117"/>
      <c r="C1553" s="117"/>
      <c r="D1553" s="117"/>
      <c r="E1553" s="117"/>
      <c r="F1553" s="117"/>
      <c r="G1553" s="117"/>
      <c r="H1553" s="117"/>
      <c r="I1553" s="117"/>
      <c r="J1553" s="188"/>
      <c r="K1553" s="104"/>
      <c r="L1553" s="1064"/>
      <c r="M1553" s="992"/>
    </row>
    <row r="1554" spans="1:13" ht="14.25" customHeight="1" thickBot="1">
      <c r="A1554" s="123"/>
      <c r="B1554" s="123"/>
      <c r="C1554" s="117"/>
      <c r="D1554" s="117"/>
      <c r="E1554" s="117"/>
      <c r="F1554" s="117"/>
      <c r="G1554" s="117"/>
      <c r="H1554" s="117"/>
      <c r="I1554" s="117"/>
      <c r="J1554" s="188"/>
      <c r="K1554" s="104"/>
      <c r="L1554" s="1064"/>
      <c r="M1554" s="992"/>
    </row>
    <row r="1555" spans="1:13" ht="17.25" customHeight="1" thickTop="1">
      <c r="A1555" s="813" t="s">
        <v>49</v>
      </c>
      <c r="B1555" s="505"/>
      <c r="C1555" s="754" t="s">
        <v>884</v>
      </c>
      <c r="D1555" s="755"/>
      <c r="E1555" s="754" t="s">
        <v>1191</v>
      </c>
      <c r="F1555" s="755"/>
      <c r="G1555" s="754" t="s">
        <v>1197</v>
      </c>
      <c r="H1555" s="755"/>
      <c r="I1555" s="760" t="s">
        <v>1198</v>
      </c>
      <c r="J1555" s="761"/>
      <c r="K1555" s="104"/>
      <c r="L1555" s="1064"/>
      <c r="M1555" s="992"/>
    </row>
    <row r="1556" spans="1:13" ht="19.5" customHeight="1">
      <c r="A1556" s="790"/>
      <c r="B1556" s="506"/>
      <c r="C1556" s="447" t="s">
        <v>111</v>
      </c>
      <c r="D1556" s="507" t="s">
        <v>113</v>
      </c>
      <c r="E1556" s="447" t="s">
        <v>111</v>
      </c>
      <c r="F1556" s="508" t="s">
        <v>113</v>
      </c>
      <c r="G1556" s="447" t="s">
        <v>111</v>
      </c>
      <c r="H1556" s="448" t="s">
        <v>113</v>
      </c>
      <c r="I1556" s="447" t="s">
        <v>111</v>
      </c>
      <c r="J1556" s="447" t="s">
        <v>113</v>
      </c>
      <c r="K1556" s="104"/>
      <c r="L1556" s="1064"/>
      <c r="M1556" s="992"/>
    </row>
    <row r="1557" spans="1:13" ht="17.25" customHeight="1">
      <c r="A1557" s="1195" t="s">
        <v>1196</v>
      </c>
      <c r="B1557" s="84" t="s">
        <v>57</v>
      </c>
      <c r="C1557" s="647">
        <f>CEILING(52*$Z$1,0.1)</f>
        <v>65</v>
      </c>
      <c r="D1557" s="647"/>
      <c r="E1557" s="647">
        <f>CEILING(59*$Z$1,0.1)</f>
        <v>73.8</v>
      </c>
      <c r="F1557" s="647"/>
      <c r="G1557" s="647">
        <f>CEILING(54*$Z$1,0.1)</f>
        <v>67.5</v>
      </c>
      <c r="H1557" s="647"/>
      <c r="I1557" s="647">
        <f>CEILING(54*$Z$1,0.1)</f>
        <v>67.5</v>
      </c>
      <c r="J1557" s="363"/>
      <c r="K1557" s="104"/>
      <c r="L1557" s="1064"/>
      <c r="M1557" s="992"/>
    </row>
    <row r="1558" spans="1:13" ht="15" customHeight="1">
      <c r="A1558" s="37" t="s">
        <v>65</v>
      </c>
      <c r="B1558" s="31" t="s">
        <v>58</v>
      </c>
      <c r="C1558" s="647">
        <f>CEILING(77*$Z$1,0.1)</f>
        <v>96.30000000000001</v>
      </c>
      <c r="D1558" s="358"/>
      <c r="E1558" s="647">
        <f>CEILING(84*$Z$1,0.1)</f>
        <v>105</v>
      </c>
      <c r="F1558" s="358"/>
      <c r="G1558" s="647">
        <f>CEILING(79*$Z$1,0.1)</f>
        <v>98.80000000000001</v>
      </c>
      <c r="H1558" s="358"/>
      <c r="I1558" s="647">
        <f>CEILING(79*$Z$1,0.1)</f>
        <v>98.80000000000001</v>
      </c>
      <c r="J1558" s="358"/>
      <c r="K1558" s="104"/>
      <c r="L1558" s="1064"/>
      <c r="M1558" s="992"/>
    </row>
    <row r="1559" spans="1:13" ht="15.75" customHeight="1">
      <c r="A1559" s="92"/>
      <c r="B1559" s="31" t="s">
        <v>53</v>
      </c>
      <c r="C1559" s="647">
        <f>CEILING(44.2*$Z$1,0.1)</f>
        <v>55.300000000000004</v>
      </c>
      <c r="D1559" s="358"/>
      <c r="E1559" s="647">
        <f>CEILING(50.1*$Z$1,0.1)</f>
        <v>62.7</v>
      </c>
      <c r="F1559" s="358"/>
      <c r="G1559" s="647">
        <f>CEILING(46*$Z$1,0.1)</f>
        <v>57.5</v>
      </c>
      <c r="H1559" s="358"/>
      <c r="I1559" s="647">
        <f>CEILING(46*$Z$1,0.1)</f>
        <v>57.5</v>
      </c>
      <c r="J1559" s="358"/>
      <c r="K1559" s="104"/>
      <c r="L1559" s="1064"/>
      <c r="M1559" s="992"/>
    </row>
    <row r="1560" spans="1:13" ht="17.25" customHeight="1" thickBot="1">
      <c r="A1560" s="79" t="s">
        <v>1178</v>
      </c>
      <c r="B1560" s="15" t="s">
        <v>78</v>
      </c>
      <c r="C1560" s="668">
        <v>32.5</v>
      </c>
      <c r="D1560" s="651"/>
      <c r="E1560" s="7">
        <v>37</v>
      </c>
      <c r="F1560" s="651"/>
      <c r="G1560" s="7">
        <v>33.8</v>
      </c>
      <c r="H1560" s="651"/>
      <c r="I1560" s="7">
        <v>33.8</v>
      </c>
      <c r="J1560" s="606"/>
      <c r="K1560" s="104"/>
      <c r="L1560" s="1064"/>
      <c r="M1560" s="992"/>
    </row>
    <row r="1561" spans="1:13" ht="16.5" customHeight="1" thickTop="1">
      <c r="A1561" s="155" t="s">
        <v>727</v>
      </c>
      <c r="B1561" s="117"/>
      <c r="C1561" s="117"/>
      <c r="D1561" s="117"/>
      <c r="E1561" s="117"/>
      <c r="F1561" s="117"/>
      <c r="G1561" s="117"/>
      <c r="H1561" s="117"/>
      <c r="I1561" s="117"/>
      <c r="J1561" s="188"/>
      <c r="K1561" s="104"/>
      <c r="L1561" s="1064"/>
      <c r="M1561" s="992"/>
    </row>
    <row r="1562" spans="1:13" ht="15.75" customHeight="1" thickBot="1">
      <c r="A1562" s="444" t="s">
        <v>1199</v>
      </c>
      <c r="B1562" s="123"/>
      <c r="C1562" s="117"/>
      <c r="D1562" s="117"/>
      <c r="E1562" s="117"/>
      <c r="F1562" s="117"/>
      <c r="G1562" s="117"/>
      <c r="H1562" s="117"/>
      <c r="I1562" s="117"/>
      <c r="J1562" s="188"/>
      <c r="K1562" s="104"/>
      <c r="L1562" s="1063"/>
      <c r="M1562" s="1032"/>
    </row>
    <row r="1563" spans="1:13" ht="19.5" customHeight="1" thickTop="1">
      <c r="A1563" s="789" t="s">
        <v>49</v>
      </c>
      <c r="B1563" s="505"/>
      <c r="C1563" s="754" t="s">
        <v>884</v>
      </c>
      <c r="D1563" s="755"/>
      <c r="E1563" s="754" t="s">
        <v>970</v>
      </c>
      <c r="F1563" s="755"/>
      <c r="G1563" s="760" t="s">
        <v>919</v>
      </c>
      <c r="H1563" s="761"/>
      <c r="I1563" s="117"/>
      <c r="J1563" s="188"/>
      <c r="K1563" s="104"/>
      <c r="L1563" s="1063"/>
      <c r="M1563" s="1032"/>
    </row>
    <row r="1564" spans="1:13" ht="19.5" customHeight="1">
      <c r="A1564" s="790"/>
      <c r="B1564" s="506"/>
      <c r="C1564" s="447" t="s">
        <v>111</v>
      </c>
      <c r="D1564" s="507" t="s">
        <v>113</v>
      </c>
      <c r="E1564" s="447" t="s">
        <v>111</v>
      </c>
      <c r="F1564" s="508" t="s">
        <v>113</v>
      </c>
      <c r="G1564" s="447" t="s">
        <v>111</v>
      </c>
      <c r="H1564" s="447" t="s">
        <v>113</v>
      </c>
      <c r="I1564" s="117"/>
      <c r="J1564" s="637"/>
      <c r="K1564" s="302"/>
      <c r="L1564" s="1042"/>
      <c r="M1564" s="1105"/>
    </row>
    <row r="1565" spans="1:13" ht="16.5" customHeight="1">
      <c r="A1565" s="36" t="s">
        <v>453</v>
      </c>
      <c r="B1565" s="84" t="s">
        <v>57</v>
      </c>
      <c r="C1565" s="647">
        <f>CEILING(26*$Z$1,0.1)</f>
        <v>32.5</v>
      </c>
      <c r="D1565" s="647"/>
      <c r="E1565" s="647">
        <f>CEILING(29*$Z$1,0.1)</f>
        <v>36.300000000000004</v>
      </c>
      <c r="F1565" s="647"/>
      <c r="G1565" s="647">
        <f>CEILING(26*$Z$1,0.1)</f>
        <v>32.5</v>
      </c>
      <c r="H1565" s="363"/>
      <c r="I1565" s="117"/>
      <c r="J1565" s="637"/>
      <c r="K1565" s="829"/>
      <c r="L1565" s="829"/>
      <c r="M1565" s="1105"/>
    </row>
    <row r="1566" spans="1:13" ht="14.25" customHeight="1">
      <c r="A1566" s="37" t="s">
        <v>199</v>
      </c>
      <c r="B1566" s="31" t="s">
        <v>58</v>
      </c>
      <c r="C1566" s="647">
        <f>CEILING(31*$Z$1,0.1)</f>
        <v>38.800000000000004</v>
      </c>
      <c r="D1566" s="358"/>
      <c r="E1566" s="647">
        <f>CEILING(37*$Z$1,0.1)</f>
        <v>46.300000000000004</v>
      </c>
      <c r="F1566" s="358"/>
      <c r="G1566" s="647">
        <f>CEILING(31*$Z$1,0.1)</f>
        <v>38.800000000000004</v>
      </c>
      <c r="H1566" s="358"/>
      <c r="I1566" s="117"/>
      <c r="J1566" s="637"/>
      <c r="K1566" s="309"/>
      <c r="L1566" s="309"/>
      <c r="M1566" s="1105"/>
    </row>
    <row r="1567" spans="1:13" ht="15.75" customHeight="1">
      <c r="A1567" s="92"/>
      <c r="B1567" s="31" t="s">
        <v>728</v>
      </c>
      <c r="C1567" s="652">
        <v>0</v>
      </c>
      <c r="D1567" s="5"/>
      <c r="E1567" s="4">
        <v>0</v>
      </c>
      <c r="F1567" s="5"/>
      <c r="G1567" s="652">
        <v>0</v>
      </c>
      <c r="H1567" s="5"/>
      <c r="I1567" s="117"/>
      <c r="J1567" s="637"/>
      <c r="K1567" s="656"/>
      <c r="L1567" s="656"/>
      <c r="M1567" s="1105"/>
    </row>
    <row r="1568" spans="1:13" ht="17.25" customHeight="1" thickBot="1">
      <c r="A1568" s="79" t="s">
        <v>494</v>
      </c>
      <c r="B1568" s="125" t="s">
        <v>729</v>
      </c>
      <c r="C1568" s="651">
        <f>CEILING((C1565*0.7),0.1)</f>
        <v>22.8</v>
      </c>
      <c r="D1568" s="651"/>
      <c r="E1568" s="651">
        <f>CEILING((E1565*0.7),0.1)</f>
        <v>25.5</v>
      </c>
      <c r="F1568" s="651"/>
      <c r="G1568" s="658">
        <f>CEILING((G1565*0.7),0.1)</f>
        <v>22.8</v>
      </c>
      <c r="H1568" s="377"/>
      <c r="I1568" s="117"/>
      <c r="J1568" s="637"/>
      <c r="K1568" s="656"/>
      <c r="L1568" s="656"/>
      <c r="M1568" s="1105"/>
    </row>
    <row r="1569" spans="1:13" ht="15.75" customHeight="1" thickTop="1">
      <c r="A1569" s="155" t="s">
        <v>727</v>
      </c>
      <c r="B1569" s="117"/>
      <c r="C1569" s="117"/>
      <c r="D1569" s="117"/>
      <c r="E1569" s="117"/>
      <c r="F1569" s="117"/>
      <c r="G1569" s="117"/>
      <c r="H1569" s="117"/>
      <c r="I1569" s="117"/>
      <c r="J1569" s="637"/>
      <c r="K1569" s="653"/>
      <c r="L1569" s="653"/>
      <c r="M1569" s="1105"/>
    </row>
    <row r="1570" spans="1:13" ht="17.25" customHeight="1" thickBot="1">
      <c r="A1570" s="123"/>
      <c r="B1570" s="123"/>
      <c r="C1570" s="117"/>
      <c r="D1570" s="117"/>
      <c r="E1570" s="117"/>
      <c r="F1570" s="117"/>
      <c r="G1570" s="117"/>
      <c r="H1570" s="117"/>
      <c r="I1570" s="117"/>
      <c r="J1570" s="637"/>
      <c r="K1570" s="302"/>
      <c r="L1570" s="999"/>
      <c r="M1570" s="1104"/>
    </row>
    <row r="1571" spans="1:13" ht="15.75" thickTop="1">
      <c r="A1571" s="789" t="s">
        <v>49</v>
      </c>
      <c r="B1571" s="505"/>
      <c r="C1571" s="754" t="s">
        <v>947</v>
      </c>
      <c r="D1571" s="755"/>
      <c r="E1571" s="754" t="s">
        <v>970</v>
      </c>
      <c r="F1571" s="755"/>
      <c r="G1571" s="754" t="s">
        <v>888</v>
      </c>
      <c r="H1571" s="755"/>
      <c r="I1571" s="155"/>
      <c r="J1571" s="637"/>
      <c r="K1571" s="999"/>
      <c r="L1571" s="999"/>
      <c r="M1571" s="1104"/>
    </row>
    <row r="1572" spans="1:13" ht="16.5" customHeight="1">
      <c r="A1572" s="790"/>
      <c r="B1572" s="506"/>
      <c r="C1572" s="447" t="s">
        <v>111</v>
      </c>
      <c r="D1572" s="507" t="s">
        <v>113</v>
      </c>
      <c r="E1572" s="447" t="s">
        <v>111</v>
      </c>
      <c r="F1572" s="508" t="s">
        <v>113</v>
      </c>
      <c r="G1572" s="447" t="s">
        <v>111</v>
      </c>
      <c r="H1572" s="448" t="s">
        <v>113</v>
      </c>
      <c r="I1572" s="155"/>
      <c r="J1572" s="188"/>
      <c r="K1572" s="1064"/>
      <c r="L1572" s="1064"/>
      <c r="M1572" s="992"/>
    </row>
    <row r="1573" spans="1:13" ht="16.5" customHeight="1">
      <c r="A1573" s="1196" t="s">
        <v>454</v>
      </c>
      <c r="B1573" s="84" t="s">
        <v>57</v>
      </c>
      <c r="C1573" s="647">
        <f>CEILING(22*$Z$1,0.1)</f>
        <v>27.5</v>
      </c>
      <c r="D1573" s="647"/>
      <c r="E1573" s="647">
        <f>CEILING(26*$Z$1,0.1)</f>
        <v>32.5</v>
      </c>
      <c r="F1573" s="647"/>
      <c r="G1573" s="647">
        <f>CEILING(22*$Z$1,0.1)</f>
        <v>27.5</v>
      </c>
      <c r="H1573" s="647"/>
      <c r="I1573" s="155"/>
      <c r="J1573" s="188"/>
      <c r="K1573" s="1064"/>
      <c r="L1573" s="1064"/>
      <c r="M1573" s="992"/>
    </row>
    <row r="1574" spans="1:25" ht="15.75" customHeight="1" hidden="1" thickTop="1">
      <c r="A1574" s="37" t="s">
        <v>199</v>
      </c>
      <c r="B1574" s="31" t="s">
        <v>58</v>
      </c>
      <c r="C1574" s="647">
        <f>CEILING(27*$Z$1,0.1)</f>
        <v>33.800000000000004</v>
      </c>
      <c r="D1574" s="358"/>
      <c r="E1574" s="647">
        <f>CEILING(33*$Z$1,0.1)</f>
        <v>41.300000000000004</v>
      </c>
      <c r="F1574" s="358"/>
      <c r="G1574" s="647">
        <f>CEILING(27*$Z$1,0.1)</f>
        <v>33.800000000000004</v>
      </c>
      <c r="H1574" s="358"/>
      <c r="I1574" s="155"/>
      <c r="J1574" s="188"/>
      <c r="K1574" s="1104"/>
      <c r="L1574" s="1104"/>
      <c r="M1574" s="1197"/>
      <c r="N1574" s="1197"/>
      <c r="O1574" s="1197"/>
      <c r="P1574" s="993"/>
      <c r="Q1574" s="993"/>
      <c r="R1574" s="993"/>
      <c r="S1574" s="993"/>
      <c r="T1574" s="993"/>
      <c r="U1574" s="993"/>
      <c r="V1574" s="993"/>
      <c r="W1574" s="993"/>
      <c r="X1574" s="993"/>
      <c r="Y1574" s="993"/>
    </row>
    <row r="1575" spans="1:25" ht="15" hidden="1">
      <c r="A1575" s="92"/>
      <c r="B1575" s="31" t="s">
        <v>728</v>
      </c>
      <c r="C1575" s="652">
        <v>0</v>
      </c>
      <c r="D1575" s="5"/>
      <c r="E1575" s="4">
        <v>0</v>
      </c>
      <c r="F1575" s="5"/>
      <c r="G1575" s="4">
        <v>0</v>
      </c>
      <c r="H1575" s="5"/>
      <c r="I1575" s="117"/>
      <c r="J1575" s="188"/>
      <c r="K1575" s="1104"/>
      <c r="L1575" s="1104"/>
      <c r="M1575" s="1197"/>
      <c r="N1575" s="1197"/>
      <c r="O1575" s="1197"/>
      <c r="P1575" s="993"/>
      <c r="Q1575" s="993"/>
      <c r="R1575" s="993"/>
      <c r="S1575" s="993"/>
      <c r="T1575" s="993"/>
      <c r="U1575" s="993"/>
      <c r="V1575" s="993"/>
      <c r="W1575" s="993"/>
      <c r="X1575" s="993"/>
      <c r="Y1575" s="993"/>
    </row>
    <row r="1576" spans="1:25" ht="15.75" thickBot="1">
      <c r="A1576" s="79" t="s">
        <v>493</v>
      </c>
      <c r="B1576" s="125" t="s">
        <v>729</v>
      </c>
      <c r="C1576" s="651">
        <f>CEILING((C1573*0.7),0.1)</f>
        <v>19.3</v>
      </c>
      <c r="D1576" s="651"/>
      <c r="E1576" s="651">
        <f>CEILING((E1573*0.7),0.1)</f>
        <v>22.8</v>
      </c>
      <c r="F1576" s="651"/>
      <c r="G1576" s="651">
        <f>CEILING((G1573*0.7),0.1)</f>
        <v>19.3</v>
      </c>
      <c r="H1576" s="651"/>
      <c r="I1576" s="155"/>
      <c r="J1576" s="188"/>
      <c r="K1576" s="1104"/>
      <c r="L1576" s="1104"/>
      <c r="M1576" s="1197"/>
      <c r="N1576" s="1197"/>
      <c r="O1576" s="1197"/>
      <c r="P1576" s="993"/>
      <c r="Q1576" s="993"/>
      <c r="R1576" s="993"/>
      <c r="S1576" s="993"/>
      <c r="T1576" s="993"/>
      <c r="U1576" s="993"/>
      <c r="V1576" s="993"/>
      <c r="W1576" s="993"/>
      <c r="X1576" s="993"/>
      <c r="Y1576" s="993"/>
    </row>
    <row r="1577" spans="1:25" ht="15.75" thickTop="1">
      <c r="A1577" s="155" t="s">
        <v>727</v>
      </c>
      <c r="B1577" s="117"/>
      <c r="C1577" s="117"/>
      <c r="D1577" s="117"/>
      <c r="E1577" s="117"/>
      <c r="F1577" s="117"/>
      <c r="G1577" s="117"/>
      <c r="H1577" s="117"/>
      <c r="I1577" s="117"/>
      <c r="J1577" s="188"/>
      <c r="K1577" s="1104"/>
      <c r="L1577" s="1104"/>
      <c r="M1577" s="1197"/>
      <c r="N1577" s="1197"/>
      <c r="O1577" s="1197"/>
      <c r="P1577" s="993"/>
      <c r="Q1577" s="993"/>
      <c r="R1577" s="993"/>
      <c r="S1577" s="993"/>
      <c r="T1577" s="993"/>
      <c r="U1577" s="993"/>
      <c r="V1577" s="993"/>
      <c r="W1577" s="993"/>
      <c r="X1577" s="993"/>
      <c r="Y1577" s="993"/>
    </row>
    <row r="1578" spans="1:25" ht="15.75" thickBot="1">
      <c r="A1578" s="123"/>
      <c r="B1578" s="123"/>
      <c r="C1578" s="117"/>
      <c r="D1578" s="117"/>
      <c r="E1578" s="117"/>
      <c r="F1578" s="117"/>
      <c r="G1578" s="117"/>
      <c r="H1578" s="117"/>
      <c r="I1578" s="117"/>
      <c r="J1578" s="188"/>
      <c r="K1578" s="1104"/>
      <c r="L1578" s="1104"/>
      <c r="M1578" s="1197"/>
      <c r="N1578" s="1197"/>
      <c r="O1578" s="1197"/>
      <c r="P1578" s="993"/>
      <c r="Q1578" s="993"/>
      <c r="R1578" s="993"/>
      <c r="S1578" s="993"/>
      <c r="T1578" s="993"/>
      <c r="U1578" s="993"/>
      <c r="V1578" s="993"/>
      <c r="W1578" s="993"/>
      <c r="X1578" s="993"/>
      <c r="Y1578" s="993"/>
    </row>
    <row r="1579" spans="1:25" ht="15.75" thickTop="1">
      <c r="A1579" s="789" t="s">
        <v>49</v>
      </c>
      <c r="B1579" s="505"/>
      <c r="C1579" s="754" t="s">
        <v>1162</v>
      </c>
      <c r="D1579" s="755"/>
      <c r="E1579" s="754" t="s">
        <v>888</v>
      </c>
      <c r="F1579" s="755"/>
      <c r="G1579" s="914"/>
      <c r="H1579" s="702"/>
      <c r="I1579" s="702"/>
      <c r="J1579" s="702"/>
      <c r="K1579" s="702"/>
      <c r="L1579" s="702"/>
      <c r="M1579" s="1197"/>
      <c r="N1579" s="1197"/>
      <c r="O1579" s="1197"/>
      <c r="P1579" s="993"/>
      <c r="Q1579" s="993"/>
      <c r="R1579" s="993"/>
      <c r="S1579" s="993"/>
      <c r="T1579" s="993"/>
      <c r="U1579" s="993"/>
      <c r="V1579" s="993"/>
      <c r="W1579" s="993"/>
      <c r="X1579" s="993"/>
      <c r="Y1579" s="993"/>
    </row>
    <row r="1580" spans="1:25" ht="15">
      <c r="A1580" s="790"/>
      <c r="B1580" s="506"/>
      <c r="C1580" s="447" t="s">
        <v>111</v>
      </c>
      <c r="D1580" s="507" t="s">
        <v>113</v>
      </c>
      <c r="E1580" s="447" t="s">
        <v>111</v>
      </c>
      <c r="F1580" s="508" t="s">
        <v>113</v>
      </c>
      <c r="G1580" s="639"/>
      <c r="H1580" s="640"/>
      <c r="I1580" s="640"/>
      <c r="J1580" s="640"/>
      <c r="K1580" s="640"/>
      <c r="L1580" s="640"/>
      <c r="M1580" s="1197"/>
      <c r="N1580" s="1197"/>
      <c r="O1580" s="1197"/>
      <c r="P1580" s="993"/>
      <c r="Q1580" s="993"/>
      <c r="R1580" s="993"/>
      <c r="S1580" s="993"/>
      <c r="T1580" s="993"/>
      <c r="U1580" s="993"/>
      <c r="V1580" s="993"/>
      <c r="W1580" s="993"/>
      <c r="X1580" s="993"/>
      <c r="Y1580" s="993"/>
    </row>
    <row r="1581" spans="1:25" ht="15">
      <c r="A1581" s="1195" t="s">
        <v>757</v>
      </c>
      <c r="B1581" s="84" t="s">
        <v>57</v>
      </c>
      <c r="C1581" s="647">
        <f>CEILING(21*$Z$1,0.1)</f>
        <v>26.3</v>
      </c>
      <c r="D1581" s="647"/>
      <c r="E1581" s="647">
        <f>CEILING(20*$Z$1,0.1)</f>
        <v>25</v>
      </c>
      <c r="F1581" s="647"/>
      <c r="G1581" s="638"/>
      <c r="H1581" s="641"/>
      <c r="I1581" s="641"/>
      <c r="J1581" s="641"/>
      <c r="K1581" s="641"/>
      <c r="L1581" s="641"/>
      <c r="M1581" s="1197"/>
      <c r="N1581" s="1197"/>
      <c r="O1581" s="1197"/>
      <c r="P1581" s="993"/>
      <c r="Q1581" s="993"/>
      <c r="R1581" s="993"/>
      <c r="S1581" s="993"/>
      <c r="T1581" s="993"/>
      <c r="U1581" s="993"/>
      <c r="V1581" s="993"/>
      <c r="W1581" s="993"/>
      <c r="X1581" s="993"/>
      <c r="Y1581" s="993"/>
    </row>
    <row r="1582" spans="1:25" ht="15">
      <c r="A1582" s="1198" t="s">
        <v>199</v>
      </c>
      <c r="B1582" s="31" t="s">
        <v>58</v>
      </c>
      <c r="C1582" s="647">
        <f>CEILING(26*$Z$1,0.1)</f>
        <v>32.5</v>
      </c>
      <c r="D1582" s="358"/>
      <c r="E1582" s="647">
        <f>CEILING(25*$Z$1,0.1)</f>
        <v>31.3</v>
      </c>
      <c r="F1582" s="358"/>
      <c r="G1582" s="638"/>
      <c r="H1582" s="641"/>
      <c r="I1582" s="641"/>
      <c r="J1582" s="641"/>
      <c r="K1582" s="641"/>
      <c r="L1582" s="641"/>
      <c r="M1582" s="1197"/>
      <c r="N1582" s="1197"/>
      <c r="O1582" s="1197"/>
      <c r="P1582" s="993"/>
      <c r="Q1582" s="993"/>
      <c r="R1582" s="993"/>
      <c r="S1582" s="993"/>
      <c r="T1582" s="993"/>
      <c r="U1582" s="993"/>
      <c r="V1582" s="993"/>
      <c r="W1582" s="993"/>
      <c r="X1582" s="993"/>
      <c r="Y1582" s="993"/>
    </row>
    <row r="1583" spans="1:25" ht="15.75" thickBot="1">
      <c r="A1583" s="79" t="s">
        <v>756</v>
      </c>
      <c r="B1583" s="178" t="s">
        <v>754</v>
      </c>
      <c r="C1583" s="668">
        <v>0</v>
      </c>
      <c r="D1583" s="6"/>
      <c r="E1583" s="7">
        <v>0</v>
      </c>
      <c r="F1583" s="6"/>
      <c r="G1583" s="642"/>
      <c r="H1583" s="643"/>
      <c r="I1583" s="643"/>
      <c r="J1583" s="643"/>
      <c r="K1583" s="643"/>
      <c r="L1583" s="643"/>
      <c r="M1583" s="1197"/>
      <c r="N1583" s="1197"/>
      <c r="O1583" s="1197"/>
      <c r="P1583" s="993"/>
      <c r="Q1583" s="993"/>
      <c r="R1583" s="993"/>
      <c r="S1583" s="993"/>
      <c r="T1583" s="993"/>
      <c r="U1583" s="993"/>
      <c r="V1583" s="993"/>
      <c r="W1583" s="993"/>
      <c r="X1583" s="993"/>
      <c r="Y1583" s="993"/>
    </row>
    <row r="1584" spans="1:15" s="1087" customFormat="1" ht="15" customHeight="1" thickTop="1">
      <c r="A1584" s="625" t="s">
        <v>1212</v>
      </c>
      <c r="B1584" s="20"/>
      <c r="C1584" s="20"/>
      <c r="D1584" s="20"/>
      <c r="E1584" s="20"/>
      <c r="F1584" s="20"/>
      <c r="G1584" s="20"/>
      <c r="H1584" s="20"/>
      <c r="I1584" s="20"/>
      <c r="J1584" s="188"/>
      <c r="K1584" s="1199"/>
      <c r="L1584" s="1199"/>
      <c r="M1584" s="1200"/>
      <c r="N1584" s="1200"/>
      <c r="O1584" s="1200"/>
    </row>
    <row r="1585" spans="1:25" ht="15">
      <c r="A1585" s="80"/>
      <c r="B1585" s="83"/>
      <c r="C1585" s="81"/>
      <c r="D1585" s="81"/>
      <c r="E1585" s="81"/>
      <c r="F1585" s="81"/>
      <c r="G1585" s="81"/>
      <c r="H1585" s="81"/>
      <c r="I1585" s="18"/>
      <c r="J1585" s="18"/>
      <c r="K1585" s="1104"/>
      <c r="L1585" s="1104"/>
      <c r="M1585" s="1197"/>
      <c r="N1585" s="1197"/>
      <c r="O1585" s="1197"/>
      <c r="P1585" s="993"/>
      <c r="Q1585" s="993"/>
      <c r="R1585" s="993"/>
      <c r="S1585" s="993"/>
      <c r="T1585" s="993"/>
      <c r="U1585" s="993"/>
      <c r="V1585" s="993"/>
      <c r="W1585" s="993"/>
      <c r="X1585" s="993"/>
      <c r="Y1585" s="993"/>
    </row>
    <row r="1586" spans="1:25" ht="15">
      <c r="A1586" s="962" t="s">
        <v>174</v>
      </c>
      <c r="B1586" s="962"/>
      <c r="C1586" s="962"/>
      <c r="D1586" s="962"/>
      <c r="E1586" s="962"/>
      <c r="F1586" s="962"/>
      <c r="G1586" s="962"/>
      <c r="H1586" s="962"/>
      <c r="I1586" s="962"/>
      <c r="J1586" s="992"/>
      <c r="K1586" s="1104"/>
      <c r="L1586" s="1104"/>
      <c r="M1586" s="1197"/>
      <c r="N1586" s="1197"/>
      <c r="O1586" s="1197"/>
      <c r="P1586" s="993"/>
      <c r="Q1586" s="993"/>
      <c r="R1586" s="993"/>
      <c r="S1586" s="993"/>
      <c r="T1586" s="993"/>
      <c r="U1586" s="993"/>
      <c r="V1586" s="993"/>
      <c r="W1586" s="993"/>
      <c r="X1586" s="993"/>
      <c r="Y1586" s="993"/>
    </row>
    <row r="1587" spans="1:25" ht="15">
      <c r="A1587" s="341"/>
      <c r="B1587" s="341"/>
      <c r="C1587" s="341"/>
      <c r="D1587" s="341"/>
      <c r="E1587" s="341"/>
      <c r="F1587" s="341"/>
      <c r="G1587" s="341"/>
      <c r="H1587" s="341"/>
      <c r="I1587" s="341"/>
      <c r="J1587" s="992"/>
      <c r="K1587" s="1104"/>
      <c r="L1587" s="1104"/>
      <c r="M1587" s="1197"/>
      <c r="N1587" s="1197"/>
      <c r="O1587" s="1197"/>
      <c r="P1587" s="993"/>
      <c r="Q1587" s="993"/>
      <c r="R1587" s="993"/>
      <c r="S1587" s="993"/>
      <c r="T1587" s="993"/>
      <c r="U1587" s="993"/>
      <c r="V1587" s="993"/>
      <c r="W1587" s="993"/>
      <c r="X1587" s="993"/>
      <c r="Y1587" s="993"/>
    </row>
    <row r="1588" spans="1:25" ht="15">
      <c r="A1588" s="782" t="s">
        <v>49</v>
      </c>
      <c r="B1588" s="807"/>
      <c r="C1588" s="760" t="s">
        <v>974</v>
      </c>
      <c r="D1588" s="761"/>
      <c r="E1588" s="760" t="s">
        <v>1201</v>
      </c>
      <c r="F1588" s="761"/>
      <c r="G1588" s="760" t="s">
        <v>1202</v>
      </c>
      <c r="H1588" s="761"/>
      <c r="I1588" s="1201"/>
      <c r="J1588" s="1104"/>
      <c r="K1588" s="1104"/>
      <c r="L1588" s="1104"/>
      <c r="M1588" s="1197"/>
      <c r="N1588" s="1197"/>
      <c r="O1588" s="1197"/>
      <c r="P1588" s="993"/>
      <c r="Q1588" s="993"/>
      <c r="R1588" s="993"/>
      <c r="S1588" s="993"/>
      <c r="T1588" s="993"/>
      <c r="U1588" s="993"/>
      <c r="V1588" s="993"/>
      <c r="W1588" s="993"/>
      <c r="X1588" s="993"/>
      <c r="Y1588" s="993"/>
    </row>
    <row r="1589" spans="1:25" ht="15">
      <c r="A1589" s="934"/>
      <c r="B1589" s="808"/>
      <c r="C1589" s="912"/>
      <c r="D1589" s="913"/>
      <c r="E1589" s="760"/>
      <c r="F1589" s="761"/>
      <c r="G1589" s="760"/>
      <c r="H1589" s="761"/>
      <c r="I1589" s="1201"/>
      <c r="J1589" s="1104"/>
      <c r="K1589" s="1104"/>
      <c r="L1589" s="1104"/>
      <c r="M1589" s="1197"/>
      <c r="N1589" s="1197"/>
      <c r="O1589" s="1197"/>
      <c r="P1589" s="993"/>
      <c r="Q1589" s="993"/>
      <c r="R1589" s="993"/>
      <c r="S1589" s="993"/>
      <c r="T1589" s="993"/>
      <c r="U1589" s="993"/>
      <c r="V1589" s="993"/>
      <c r="W1589" s="993"/>
      <c r="X1589" s="993"/>
      <c r="Y1589" s="993"/>
    </row>
    <row r="1590" spans="1:25" ht="27.75" customHeight="1">
      <c r="A1590" s="934"/>
      <c r="B1590" s="808"/>
      <c r="C1590" s="654" t="s">
        <v>474</v>
      </c>
      <c r="D1590" s="655" t="s">
        <v>111</v>
      </c>
      <c r="E1590" s="760" t="s">
        <v>1203</v>
      </c>
      <c r="F1590" s="761"/>
      <c r="G1590" s="760" t="s">
        <v>1204</v>
      </c>
      <c r="H1590" s="761"/>
      <c r="I1590" s="1201"/>
      <c r="J1590" s="1104"/>
      <c r="K1590" s="1104"/>
      <c r="L1590" s="1104"/>
      <c r="M1590" s="1197"/>
      <c r="N1590" s="1197"/>
      <c r="O1590" s="1197"/>
      <c r="P1590" s="993"/>
      <c r="Q1590" s="993"/>
      <c r="R1590" s="993"/>
      <c r="S1590" s="993"/>
      <c r="T1590" s="993"/>
      <c r="U1590" s="993"/>
      <c r="V1590" s="993"/>
      <c r="W1590" s="993"/>
      <c r="X1590" s="993"/>
      <c r="Y1590" s="993"/>
    </row>
    <row r="1591" spans="1:25" ht="15" customHeight="1" hidden="1">
      <c r="A1591" s="783"/>
      <c r="B1591" s="809"/>
      <c r="C1591" s="510" t="s">
        <v>474</v>
      </c>
      <c r="D1591" s="510" t="s">
        <v>111</v>
      </c>
      <c r="E1591" s="510" t="s">
        <v>474</v>
      </c>
      <c r="F1591" s="510" t="s">
        <v>111</v>
      </c>
      <c r="G1591" s="510" t="s">
        <v>474</v>
      </c>
      <c r="H1591" s="510" t="s">
        <v>111</v>
      </c>
      <c r="I1591" s="1201"/>
      <c r="J1591" s="1104"/>
      <c r="K1591" s="1104"/>
      <c r="L1591" s="1104"/>
      <c r="M1591" s="1197"/>
      <c r="N1591" s="1197"/>
      <c r="O1591" s="1197"/>
      <c r="P1591" s="993"/>
      <c r="Q1591" s="993"/>
      <c r="R1591" s="993"/>
      <c r="S1591" s="993"/>
      <c r="T1591" s="993"/>
      <c r="U1591" s="993"/>
      <c r="V1591" s="993"/>
      <c r="W1591" s="993"/>
      <c r="X1591" s="993"/>
      <c r="Y1591" s="993"/>
    </row>
    <row r="1592" spans="1:25" ht="15">
      <c r="A1592" s="1202" t="s">
        <v>459</v>
      </c>
      <c r="B1592" s="148" t="s">
        <v>460</v>
      </c>
      <c r="C1592" s="511">
        <f>CEILING(210*$Z$1,0.1)</f>
        <v>262.5</v>
      </c>
      <c r="D1592" s="511">
        <f aca="true" t="shared" si="0" ref="D1592:D1606">CEILING((C1592+30*$Z$1),0.1)</f>
        <v>300</v>
      </c>
      <c r="E1592" s="647">
        <f>CEILING(245*$Z$1,0.1)</f>
        <v>306.3</v>
      </c>
      <c r="F1592" s="647">
        <f aca="true" t="shared" si="1" ref="F1592:F1606">CEILING((E1592+30*$Z$1),0.1)</f>
        <v>343.8</v>
      </c>
      <c r="G1592" s="647">
        <f>CEILING(210*$Z$1,0.1)</f>
        <v>262.5</v>
      </c>
      <c r="H1592" s="596">
        <f aca="true" t="shared" si="2" ref="H1592:H1606">CEILING((G1592+30*$Z$1),0.1)</f>
        <v>300</v>
      </c>
      <c r="I1592" s="1201"/>
      <c r="J1592" s="1104"/>
      <c r="K1592" s="1104"/>
      <c r="L1592" s="1104"/>
      <c r="M1592" s="1197"/>
      <c r="N1592" s="1197"/>
      <c r="O1592" s="1197"/>
      <c r="P1592" s="993"/>
      <c r="Q1592" s="993"/>
      <c r="R1592" s="993"/>
      <c r="S1592" s="993"/>
      <c r="T1592" s="993"/>
      <c r="U1592" s="993"/>
      <c r="V1592" s="993"/>
      <c r="W1592" s="993"/>
      <c r="X1592" s="993"/>
      <c r="Y1592" s="993"/>
    </row>
    <row r="1593" spans="1:25" ht="15">
      <c r="A1593" s="1203" t="s">
        <v>51</v>
      </c>
      <c r="B1593" s="370" t="s">
        <v>461</v>
      </c>
      <c r="C1593" s="511">
        <f>CEILING(420*$Z$1,0.1)</f>
        <v>525</v>
      </c>
      <c r="D1593" s="512">
        <f t="shared" si="0"/>
        <v>562.5</v>
      </c>
      <c r="E1593" s="647">
        <f>CEILING(490*$Z$1,0.1)</f>
        <v>612.5</v>
      </c>
      <c r="F1593" s="363">
        <f t="shared" si="1"/>
        <v>650</v>
      </c>
      <c r="G1593" s="647">
        <f>CEILING(420*$Z$1,0.1)</f>
        <v>525</v>
      </c>
      <c r="H1593" s="363">
        <f t="shared" si="2"/>
        <v>562.5</v>
      </c>
      <c r="I1593" s="1201"/>
      <c r="J1593" s="1104"/>
      <c r="K1593" s="1104"/>
      <c r="L1593" s="1104"/>
      <c r="M1593" s="1197"/>
      <c r="N1593" s="1197"/>
      <c r="O1593" s="1197"/>
      <c r="P1593" s="993"/>
      <c r="Q1593" s="993"/>
      <c r="R1593" s="993"/>
      <c r="S1593" s="993"/>
      <c r="T1593" s="993"/>
      <c r="U1593" s="993"/>
      <c r="V1593" s="993"/>
      <c r="W1593" s="993"/>
      <c r="X1593" s="993"/>
      <c r="Y1593" s="993"/>
    </row>
    <row r="1594" spans="1:25" ht="15">
      <c r="A1594" s="1198"/>
      <c r="B1594" s="370" t="s">
        <v>83</v>
      </c>
      <c r="C1594" s="511">
        <f>CEILING(220*$Z$1,0.1)</f>
        <v>275</v>
      </c>
      <c r="D1594" s="512">
        <f t="shared" si="0"/>
        <v>312.5</v>
      </c>
      <c r="E1594" s="647">
        <f>CEILING(255*$Z$1,0.1)</f>
        <v>318.8</v>
      </c>
      <c r="F1594" s="363">
        <f t="shared" si="1"/>
        <v>356.3</v>
      </c>
      <c r="G1594" s="647">
        <f>CEILING(220*$Z$1,0.1)</f>
        <v>275</v>
      </c>
      <c r="H1594" s="363">
        <f t="shared" si="2"/>
        <v>312.5</v>
      </c>
      <c r="I1594" s="1201"/>
      <c r="J1594" s="1104"/>
      <c r="K1594" s="1104"/>
      <c r="L1594" s="1104"/>
      <c r="M1594" s="1197"/>
      <c r="N1594" s="1197"/>
      <c r="O1594" s="1197"/>
      <c r="P1594" s="993"/>
      <c r="Q1594" s="993"/>
      <c r="R1594" s="993"/>
      <c r="S1594" s="993"/>
      <c r="T1594" s="993"/>
      <c r="U1594" s="993"/>
      <c r="V1594" s="993"/>
      <c r="W1594" s="993"/>
      <c r="X1594" s="993"/>
      <c r="Y1594" s="993"/>
    </row>
    <row r="1595" spans="1:25" ht="15">
      <c r="A1595" s="1198"/>
      <c r="B1595" s="370" t="s">
        <v>84</v>
      </c>
      <c r="C1595" s="511">
        <f>CEILING(440*$Z$1,0.1)</f>
        <v>550</v>
      </c>
      <c r="D1595" s="512">
        <f t="shared" si="0"/>
        <v>587.5</v>
      </c>
      <c r="E1595" s="647">
        <f>CEILING(510*$Z$1,0.1)</f>
        <v>637.5</v>
      </c>
      <c r="F1595" s="363">
        <f t="shared" si="1"/>
        <v>675</v>
      </c>
      <c r="G1595" s="647">
        <f>CEILING(440*$Z$1,0.1)</f>
        <v>550</v>
      </c>
      <c r="H1595" s="363">
        <f t="shared" si="2"/>
        <v>587.5</v>
      </c>
      <c r="I1595" s="1201"/>
      <c r="J1595" s="1104"/>
      <c r="K1595" s="1104"/>
      <c r="L1595" s="1104"/>
      <c r="M1595" s="1197"/>
      <c r="N1595" s="1197"/>
      <c r="O1595" s="1197"/>
      <c r="P1595" s="993"/>
      <c r="Q1595" s="993"/>
      <c r="R1595" s="993"/>
      <c r="S1595" s="993"/>
      <c r="T1595" s="993"/>
      <c r="U1595" s="993"/>
      <c r="V1595" s="993"/>
      <c r="W1595" s="993"/>
      <c r="X1595" s="993"/>
      <c r="Y1595" s="993"/>
    </row>
    <row r="1596" spans="1:25" ht="15">
      <c r="A1596" s="1204"/>
      <c r="B1596" s="370" t="s">
        <v>462</v>
      </c>
      <c r="C1596" s="511">
        <f>CEILING(235*$Z$1,0.1)</f>
        <v>293.8</v>
      </c>
      <c r="D1596" s="512">
        <f t="shared" si="0"/>
        <v>331.3</v>
      </c>
      <c r="E1596" s="647">
        <f>CEILING(275*$Z$1,0.1)</f>
        <v>343.8</v>
      </c>
      <c r="F1596" s="363">
        <f t="shared" si="1"/>
        <v>381.3</v>
      </c>
      <c r="G1596" s="647">
        <f>CEILING(235*$Z$1,0.1)</f>
        <v>293.8</v>
      </c>
      <c r="H1596" s="363">
        <f t="shared" si="2"/>
        <v>331.3</v>
      </c>
      <c r="I1596" s="1201"/>
      <c r="J1596" s="1104"/>
      <c r="K1596" s="1104"/>
      <c r="L1596" s="1104"/>
      <c r="M1596" s="1197"/>
      <c r="N1596" s="1197"/>
      <c r="O1596" s="1197"/>
      <c r="P1596" s="993"/>
      <c r="Q1596" s="993"/>
      <c r="R1596" s="993"/>
      <c r="S1596" s="993"/>
      <c r="T1596" s="993"/>
      <c r="U1596" s="993"/>
      <c r="V1596" s="993"/>
      <c r="W1596" s="993"/>
      <c r="X1596" s="993"/>
      <c r="Y1596" s="993"/>
    </row>
    <row r="1597" spans="1:25" ht="15">
      <c r="A1597" s="1198"/>
      <c r="B1597" s="370" t="s">
        <v>463</v>
      </c>
      <c r="C1597" s="511">
        <f>CEILING(470*$Z$1,0.1)</f>
        <v>587.5</v>
      </c>
      <c r="D1597" s="512">
        <f t="shared" si="0"/>
        <v>625</v>
      </c>
      <c r="E1597" s="647">
        <f>CEILING(550*$Z$1,0.1)</f>
        <v>687.5</v>
      </c>
      <c r="F1597" s="363">
        <f t="shared" si="1"/>
        <v>725</v>
      </c>
      <c r="G1597" s="647">
        <f>CEILING(470*$Z$1,0.1)</f>
        <v>587.5</v>
      </c>
      <c r="H1597" s="363">
        <f t="shared" si="2"/>
        <v>625</v>
      </c>
      <c r="I1597" s="1201"/>
      <c r="J1597" s="1104"/>
      <c r="K1597" s="1104"/>
      <c r="L1597" s="1104"/>
      <c r="M1597" s="1197"/>
      <c r="N1597" s="1197"/>
      <c r="O1597" s="1197"/>
      <c r="P1597" s="993"/>
      <c r="Q1597" s="993"/>
      <c r="R1597" s="993"/>
      <c r="S1597" s="993"/>
      <c r="T1597" s="993"/>
      <c r="U1597" s="993"/>
      <c r="V1597" s="993"/>
      <c r="W1597" s="993"/>
      <c r="X1597" s="993"/>
      <c r="Y1597" s="993"/>
    </row>
    <row r="1598" spans="1:25" ht="15">
      <c r="A1598" s="1198"/>
      <c r="B1598" s="370" t="s">
        <v>464</v>
      </c>
      <c r="C1598" s="511">
        <f>CEILING(255*$Z$1,0.1)</f>
        <v>318.8</v>
      </c>
      <c r="D1598" s="512">
        <f t="shared" si="0"/>
        <v>356.3</v>
      </c>
      <c r="E1598" s="647">
        <f>CEILING(290*$Z$1,0.1)</f>
        <v>362.5</v>
      </c>
      <c r="F1598" s="363">
        <f t="shared" si="1"/>
        <v>400</v>
      </c>
      <c r="G1598" s="647">
        <f>CEILING(250*$Z$1,0.1)</f>
        <v>312.5</v>
      </c>
      <c r="H1598" s="363">
        <f t="shared" si="2"/>
        <v>350</v>
      </c>
      <c r="I1598" s="1201"/>
      <c r="J1598" s="1104"/>
      <c r="K1598" s="1104"/>
      <c r="L1598" s="1104"/>
      <c r="M1598" s="1197"/>
      <c r="N1598" s="1197"/>
      <c r="O1598" s="1197"/>
      <c r="P1598" s="993"/>
      <c r="Q1598" s="993"/>
      <c r="R1598" s="993"/>
      <c r="S1598" s="993"/>
      <c r="T1598" s="993"/>
      <c r="U1598" s="993"/>
      <c r="V1598" s="993"/>
      <c r="W1598" s="993"/>
      <c r="X1598" s="993"/>
      <c r="Y1598" s="993"/>
    </row>
    <row r="1599" spans="1:13" ht="17.25" customHeight="1">
      <c r="A1599" s="1198"/>
      <c r="B1599" s="370" t="s">
        <v>465</v>
      </c>
      <c r="C1599" s="511">
        <f>CEILING(510*$Z$1,0.1)</f>
        <v>637.5</v>
      </c>
      <c r="D1599" s="512">
        <f t="shared" si="0"/>
        <v>675</v>
      </c>
      <c r="E1599" s="647">
        <f>CEILING(580*$Z$1,0.1)</f>
        <v>725</v>
      </c>
      <c r="F1599" s="363">
        <f t="shared" si="1"/>
        <v>762.5</v>
      </c>
      <c r="G1599" s="647">
        <f>CEILING(500*$Z$1,0.1)</f>
        <v>625</v>
      </c>
      <c r="H1599" s="363">
        <f t="shared" si="2"/>
        <v>662.5</v>
      </c>
      <c r="I1599" s="1201"/>
      <c r="J1599" s="1104"/>
      <c r="K1599" s="104"/>
      <c r="L1599" s="104"/>
      <c r="M1599" s="992"/>
    </row>
    <row r="1600" spans="1:13" ht="15">
      <c r="A1600" s="1198"/>
      <c r="B1600" s="370" t="s">
        <v>466</v>
      </c>
      <c r="C1600" s="511">
        <f>CEILING(280*$Z$1,0.1)</f>
        <v>350</v>
      </c>
      <c r="D1600" s="512">
        <f t="shared" si="0"/>
        <v>387.5</v>
      </c>
      <c r="E1600" s="647">
        <f>CEILING(322.5*$Z$1,0.1)</f>
        <v>403.20000000000005</v>
      </c>
      <c r="F1600" s="363">
        <f t="shared" si="1"/>
        <v>440.70000000000005</v>
      </c>
      <c r="G1600" s="647">
        <f>CEILING(280*$Z$1,0.1)</f>
        <v>350</v>
      </c>
      <c r="H1600" s="363">
        <f t="shared" si="2"/>
        <v>387.5</v>
      </c>
      <c r="I1600" s="1201"/>
      <c r="J1600" s="1104"/>
      <c r="K1600" s="292"/>
      <c r="L1600" s="292"/>
      <c r="M1600" s="992"/>
    </row>
    <row r="1601" spans="1:25" ht="15">
      <c r="A1601" s="1198"/>
      <c r="B1601" s="370" t="s">
        <v>466</v>
      </c>
      <c r="C1601" s="511">
        <f>CEILING(560*$Z$1,0.1)</f>
        <v>700</v>
      </c>
      <c r="D1601" s="512">
        <f t="shared" si="0"/>
        <v>737.5</v>
      </c>
      <c r="E1601" s="647">
        <f>CEILING(645*$Z$1,0.1)</f>
        <v>806.3000000000001</v>
      </c>
      <c r="F1601" s="363">
        <f t="shared" si="1"/>
        <v>843.8000000000001</v>
      </c>
      <c r="G1601" s="647">
        <f>CEILING(560*$Z$1,0.1)</f>
        <v>700</v>
      </c>
      <c r="H1601" s="363">
        <f t="shared" si="2"/>
        <v>737.5</v>
      </c>
      <c r="I1601" s="1201"/>
      <c r="J1601" s="1104"/>
      <c r="K1601" s="295"/>
      <c r="L1601" s="295"/>
      <c r="M1601" s="992"/>
      <c r="X1601" s="993"/>
      <c r="Y1601" s="993"/>
    </row>
    <row r="1602" spans="1:25" ht="15">
      <c r="A1602" s="1198"/>
      <c r="B1602" s="370" t="s">
        <v>744</v>
      </c>
      <c r="C1602" s="511">
        <f>CEILING(297.5*$Z$1,0.1)</f>
        <v>371.90000000000003</v>
      </c>
      <c r="D1602" s="512">
        <f t="shared" si="0"/>
        <v>409.40000000000003</v>
      </c>
      <c r="E1602" s="647">
        <f>CEILING(340*$Z$1,0.1)</f>
        <v>425</v>
      </c>
      <c r="F1602" s="363">
        <f t="shared" si="1"/>
        <v>462.5</v>
      </c>
      <c r="G1602" s="647">
        <f>CEILING(297.5*$Z$1,0.1)</f>
        <v>371.90000000000003</v>
      </c>
      <c r="H1602" s="363">
        <f t="shared" si="2"/>
        <v>409.40000000000003</v>
      </c>
      <c r="I1602" s="1201"/>
      <c r="J1602" s="1104"/>
      <c r="K1602" s="265"/>
      <c r="L1602" s="265"/>
      <c r="M1602" s="992"/>
      <c r="W1602" s="993"/>
      <c r="X1602" s="993"/>
      <c r="Y1602" s="993"/>
    </row>
    <row r="1603" spans="1:25" ht="15">
      <c r="A1603" s="1198"/>
      <c r="B1603" s="370" t="s">
        <v>467</v>
      </c>
      <c r="C1603" s="511">
        <f>CEILING(310*$Z$1,0.1)</f>
        <v>387.5</v>
      </c>
      <c r="D1603" s="512">
        <f t="shared" si="0"/>
        <v>425</v>
      </c>
      <c r="E1603" s="647">
        <f>CEILING(350*$Z$1,0.1)</f>
        <v>437.5</v>
      </c>
      <c r="F1603" s="363">
        <f t="shared" si="1"/>
        <v>475</v>
      </c>
      <c r="G1603" s="647">
        <f>CEILING(310*$Z$1,0.1)</f>
        <v>387.5</v>
      </c>
      <c r="H1603" s="363">
        <f t="shared" si="2"/>
        <v>425</v>
      </c>
      <c r="I1603" s="1201"/>
      <c r="J1603" s="1104"/>
      <c r="K1603" s="265"/>
      <c r="L1603" s="265"/>
      <c r="M1603" s="992"/>
      <c r="X1603" s="993"/>
      <c r="Y1603" s="993"/>
    </row>
    <row r="1604" spans="1:25" ht="15" customHeight="1">
      <c r="A1604" s="1198"/>
      <c r="B1604" s="12" t="s">
        <v>468</v>
      </c>
      <c r="C1604" s="511">
        <f>CEILING(620*$Z$1,0.1)</f>
        <v>775</v>
      </c>
      <c r="D1604" s="512">
        <f t="shared" si="0"/>
        <v>812.5</v>
      </c>
      <c r="E1604" s="647">
        <f>CEILING(700*$Z$1,0.1)</f>
        <v>875</v>
      </c>
      <c r="F1604" s="363">
        <f t="shared" si="1"/>
        <v>912.5</v>
      </c>
      <c r="G1604" s="647">
        <f>CEILING(620*$Z$1,0.1)</f>
        <v>775</v>
      </c>
      <c r="H1604" s="363">
        <f t="shared" si="2"/>
        <v>812.5</v>
      </c>
      <c r="I1604" s="1201"/>
      <c r="J1604" s="1104"/>
      <c r="K1604" s="265"/>
      <c r="L1604" s="265"/>
      <c r="M1604" s="992"/>
      <c r="T1604" s="993"/>
      <c r="U1604" s="993"/>
      <c r="V1604" s="993"/>
      <c r="W1604" s="993"/>
      <c r="X1604" s="993"/>
      <c r="Y1604" s="993"/>
    </row>
    <row r="1605" spans="1:25" ht="16.5" customHeight="1">
      <c r="A1605" s="1198"/>
      <c r="B1605" s="370" t="s">
        <v>469</v>
      </c>
      <c r="C1605" s="511">
        <f>CEILING(555*$Z$1,0.1)</f>
        <v>693.8000000000001</v>
      </c>
      <c r="D1605" s="512">
        <f t="shared" si="0"/>
        <v>731.3000000000001</v>
      </c>
      <c r="E1605" s="647">
        <f>CEILING(600*$Z$1,0.1)</f>
        <v>750</v>
      </c>
      <c r="F1605" s="363">
        <f t="shared" si="1"/>
        <v>787.5</v>
      </c>
      <c r="G1605" s="647">
        <f>CEILING(555*$Z$1,0.1)</f>
        <v>693.8000000000001</v>
      </c>
      <c r="H1605" s="363">
        <f t="shared" si="2"/>
        <v>731.3000000000001</v>
      </c>
      <c r="I1605" s="1201"/>
      <c r="J1605" s="1104"/>
      <c r="K1605" s="265"/>
      <c r="L1605" s="265"/>
      <c r="M1605" s="992"/>
      <c r="T1605" s="993"/>
      <c r="U1605" s="993"/>
      <c r="V1605" s="993"/>
      <c r="W1605" s="993"/>
      <c r="X1605" s="993"/>
      <c r="Y1605" s="993"/>
    </row>
    <row r="1606" spans="1:25" ht="16.5" customHeight="1">
      <c r="A1606" s="1198"/>
      <c r="B1606" s="370" t="s">
        <v>470</v>
      </c>
      <c r="C1606" s="511">
        <f>CEILING(1110*$Z$1,0.1)</f>
        <v>1387.5</v>
      </c>
      <c r="D1606" s="512">
        <f t="shared" si="0"/>
        <v>1425</v>
      </c>
      <c r="E1606" s="647">
        <f>CEILING(1200*$Z$1,0.1)</f>
        <v>1500</v>
      </c>
      <c r="F1606" s="363">
        <f t="shared" si="1"/>
        <v>1537.5</v>
      </c>
      <c r="G1606" s="647">
        <f>CEILING(1110*$Z$1,0.1)</f>
        <v>1387.5</v>
      </c>
      <c r="H1606" s="363">
        <f t="shared" si="2"/>
        <v>1425</v>
      </c>
      <c r="I1606" s="1201"/>
      <c r="J1606" s="1104"/>
      <c r="K1606" s="265"/>
      <c r="L1606" s="265"/>
      <c r="M1606" s="992"/>
      <c r="T1606" s="993"/>
      <c r="U1606" s="993"/>
      <c r="V1606" s="993"/>
      <c r="W1606" s="993"/>
      <c r="X1606" s="993"/>
      <c r="Y1606" s="993"/>
    </row>
    <row r="1607" spans="1:25" ht="15">
      <c r="A1607" s="1198"/>
      <c r="B1607" s="12" t="s">
        <v>471</v>
      </c>
      <c r="C1607" s="513">
        <v>0</v>
      </c>
      <c r="D1607" s="513">
        <v>0</v>
      </c>
      <c r="E1607" s="652">
        <v>0</v>
      </c>
      <c r="F1607" s="652">
        <v>0</v>
      </c>
      <c r="G1607" s="652">
        <v>0</v>
      </c>
      <c r="H1607" s="423">
        <v>0</v>
      </c>
      <c r="I1607" s="1201"/>
      <c r="J1607" s="1104"/>
      <c r="K1607" s="265"/>
      <c r="L1607" s="265"/>
      <c r="M1607" s="992"/>
      <c r="T1607" s="993"/>
      <c r="U1607" s="993"/>
      <c r="V1607" s="993"/>
      <c r="W1607" s="993"/>
      <c r="X1607" s="993"/>
      <c r="Y1607" s="993"/>
    </row>
    <row r="1608" spans="1:25" ht="15">
      <c r="A1608" s="1198"/>
      <c r="B1608" s="12" t="s">
        <v>472</v>
      </c>
      <c r="C1608" s="511">
        <f>CEILING(45*$Z$1,0.1)</f>
        <v>56.300000000000004</v>
      </c>
      <c r="D1608" s="511">
        <f>CEILING((C1608+15*$Z$1),0.1)</f>
        <v>75.10000000000001</v>
      </c>
      <c r="E1608" s="647">
        <f>CEILING(45*$Z$1,0.1)</f>
        <v>56.300000000000004</v>
      </c>
      <c r="F1608" s="647">
        <f>CEILING((E1608+15*$Z$1),0.1)</f>
        <v>75.10000000000001</v>
      </c>
      <c r="G1608" s="647">
        <f>CEILING(45*$Z$1,0.1)</f>
        <v>56.300000000000004</v>
      </c>
      <c r="H1608" s="363">
        <f>CEILING((G1608+15*$Z$1),0.1)</f>
        <v>75.10000000000001</v>
      </c>
      <c r="I1608" s="1201"/>
      <c r="J1608" s="1104"/>
      <c r="K1608" s="265"/>
      <c r="L1608" s="265"/>
      <c r="M1608" s="992"/>
      <c r="S1608" s="993"/>
      <c r="T1608" s="993"/>
      <c r="U1608" s="993"/>
      <c r="V1608" s="993"/>
      <c r="W1608" s="993"/>
      <c r="X1608" s="993"/>
      <c r="Y1608" s="993"/>
    </row>
    <row r="1609" spans="1:25" ht="15.75" thickBot="1">
      <c r="A1609" s="1205"/>
      <c r="B1609" s="371" t="s">
        <v>86</v>
      </c>
      <c r="C1609" s="514">
        <f>CEILING(90*$Z$1,0.1)</f>
        <v>112.5</v>
      </c>
      <c r="D1609" s="514">
        <f>CEILING((C1609+30*$Z$1),0.1)</f>
        <v>150</v>
      </c>
      <c r="E1609" s="364">
        <f>CEILING(90*$Z$1,0.1)</f>
        <v>112.5</v>
      </c>
      <c r="F1609" s="364">
        <f>CEILING((E1609+30*$Z$1),0.1)</f>
        <v>150</v>
      </c>
      <c r="G1609" s="364">
        <f>CEILING(90*$Z$1,0.1)</f>
        <v>112.5</v>
      </c>
      <c r="H1609" s="377">
        <f>CEILING((G1609+30*$Z$1),0.1)</f>
        <v>150</v>
      </c>
      <c r="I1609" s="1206"/>
      <c r="J1609" s="1104"/>
      <c r="K1609" s="265"/>
      <c r="L1609" s="265"/>
      <c r="M1609" s="992"/>
      <c r="U1609" s="993"/>
      <c r="V1609" s="993"/>
      <c r="W1609" s="993"/>
      <c r="X1609" s="993"/>
      <c r="Y1609" s="993"/>
    </row>
    <row r="1610" spans="1:25" ht="14.25" customHeight="1" thickTop="1">
      <c r="A1610" s="907" t="s">
        <v>473</v>
      </c>
      <c r="B1610" s="907"/>
      <c r="C1610" s="907"/>
      <c r="D1610" s="907"/>
      <c r="E1610" s="907"/>
      <c r="F1610" s="907"/>
      <c r="G1610" s="908"/>
      <c r="H1610" s="908"/>
      <c r="I1610" s="1207"/>
      <c r="J1610" s="1104"/>
      <c r="K1610" s="265"/>
      <c r="L1610" s="265"/>
      <c r="M1610" s="992"/>
      <c r="V1610" s="993"/>
      <c r="W1610" s="993"/>
      <c r="X1610" s="993"/>
      <c r="Y1610" s="993"/>
    </row>
    <row r="1611" spans="1:25" ht="14.25" customHeight="1">
      <c r="A1611" s="1208" t="s">
        <v>475</v>
      </c>
      <c r="B1611" s="1209"/>
      <c r="C1611" s="1209"/>
      <c r="D1611" s="1209"/>
      <c r="E1611" s="1209"/>
      <c r="F1611" s="1209"/>
      <c r="G1611" s="1209"/>
      <c r="H1611" s="1209"/>
      <c r="I1611" s="1207"/>
      <c r="J1611" s="1104"/>
      <c r="K1611" s="265"/>
      <c r="L1611" s="265"/>
      <c r="M1611" s="18"/>
      <c r="N1611" s="22"/>
      <c r="V1611" s="993"/>
      <c r="W1611" s="993"/>
      <c r="X1611" s="993"/>
      <c r="Y1611" s="993"/>
    </row>
    <row r="1612" spans="1:25" ht="14.25" customHeight="1">
      <c r="A1612" s="1210" t="s">
        <v>1038</v>
      </c>
      <c r="B1612" s="1211"/>
      <c r="C1612" s="1211"/>
      <c r="D1612" s="1211"/>
      <c r="E1612" s="1211"/>
      <c r="F1612" s="1211"/>
      <c r="G1612" s="1209"/>
      <c r="H1612" s="1209"/>
      <c r="I1612" s="1207"/>
      <c r="J1612" s="1104"/>
      <c r="K1612" s="265"/>
      <c r="L1612" s="265"/>
      <c r="M1612" s="48"/>
      <c r="N1612" s="48"/>
      <c r="V1612" s="993"/>
      <c r="W1612" s="993"/>
      <c r="X1612" s="993"/>
      <c r="Y1612" s="993"/>
    </row>
    <row r="1613" spans="1:25" ht="16.5" customHeight="1" thickBot="1">
      <c r="A1613" s="147"/>
      <c r="B1613" s="147"/>
      <c r="C1613" s="147"/>
      <c r="D1613" s="147"/>
      <c r="E1613" s="341"/>
      <c r="F1613" s="341"/>
      <c r="G1613" s="341"/>
      <c r="H1613" s="341"/>
      <c r="I1613" s="22"/>
      <c r="J1613" s="1032"/>
      <c r="K1613" s="104"/>
      <c r="L1613" s="104"/>
      <c r="M1613" s="992"/>
      <c r="V1613" s="993"/>
      <c r="W1613" s="993"/>
      <c r="X1613" s="993"/>
      <c r="Y1613" s="993"/>
    </row>
    <row r="1614" spans="1:21" s="1158" customFormat="1" ht="14.25" customHeight="1" thickTop="1">
      <c r="A1614" s="684" t="s">
        <v>49</v>
      </c>
      <c r="B1614" s="445"/>
      <c r="C1614" s="801" t="s">
        <v>879</v>
      </c>
      <c r="D1614" s="802"/>
      <c r="E1614" s="915"/>
      <c r="F1614" s="916"/>
      <c r="G1614" s="916"/>
      <c r="H1614" s="916"/>
      <c r="I1614" s="203"/>
      <c r="J1614" s="203"/>
      <c r="K1614" s="1212"/>
      <c r="L1614" s="1212"/>
      <c r="M1614" s="1157"/>
      <c r="N1614" s="1157"/>
      <c r="O1614" s="1157"/>
      <c r="P1614" s="1157"/>
      <c r="Q1614" s="1157"/>
      <c r="R1614" s="1157"/>
      <c r="S1614" s="1157"/>
      <c r="T1614" s="1157"/>
      <c r="U1614" s="1157"/>
    </row>
    <row r="1615" spans="1:25" ht="17.25" customHeight="1">
      <c r="A1615" s="685"/>
      <c r="B1615" s="446"/>
      <c r="C1615" s="447" t="s">
        <v>111</v>
      </c>
      <c r="D1615" s="448" t="s">
        <v>113</v>
      </c>
      <c r="E1615" s="312"/>
      <c r="F1615" s="309"/>
      <c r="G1615" s="309"/>
      <c r="H1615" s="309"/>
      <c r="I1615" s="17"/>
      <c r="J1615" s="17"/>
      <c r="K1615" s="1063"/>
      <c r="L1615" s="1064"/>
      <c r="M1615" s="992"/>
      <c r="V1615" s="993"/>
      <c r="W1615" s="993"/>
      <c r="X1615" s="993"/>
      <c r="Y1615" s="993"/>
    </row>
    <row r="1616" spans="1:25" ht="14.25" customHeight="1">
      <c r="A1616" s="108" t="s">
        <v>175</v>
      </c>
      <c r="B1616" s="148" t="s">
        <v>176</v>
      </c>
      <c r="C1616" s="8">
        <f>CEILING(258*$Z$1,0.1)</f>
        <v>322.5</v>
      </c>
      <c r="D1616" s="8"/>
      <c r="E1616" s="652"/>
      <c r="F1616" s="653"/>
      <c r="G1616" s="653"/>
      <c r="H1616" s="653"/>
      <c r="I1616" s="3"/>
      <c r="J1616" s="3"/>
      <c r="K1616" s="1063"/>
      <c r="L1616" s="1064"/>
      <c r="M1616" s="992"/>
      <c r="V1616" s="993"/>
      <c r="W1616" s="993"/>
      <c r="X1616" s="993"/>
      <c r="Y1616" s="993"/>
    </row>
    <row r="1617" spans="1:25" ht="16.5" customHeight="1">
      <c r="A1617" s="30" t="s">
        <v>51</v>
      </c>
      <c r="B1617" s="13" t="s">
        <v>177</v>
      </c>
      <c r="C1617" s="4">
        <f>CEILING(258*$Z$1,0.1)</f>
        <v>322.5</v>
      </c>
      <c r="D1617" s="4"/>
      <c r="E1617" s="652"/>
      <c r="F1617" s="653"/>
      <c r="G1617" s="653"/>
      <c r="H1617" s="653"/>
      <c r="I1617" s="3"/>
      <c r="J1617" s="3"/>
      <c r="K1617" s="1063"/>
      <c r="L1617" s="1064"/>
      <c r="M1617" s="992"/>
      <c r="V1617" s="993"/>
      <c r="W1617" s="993"/>
      <c r="X1617" s="993"/>
      <c r="Y1617" s="993"/>
    </row>
    <row r="1618" spans="1:25" ht="16.5" customHeight="1">
      <c r="A1618" s="37"/>
      <c r="B1618" s="13" t="s">
        <v>395</v>
      </c>
      <c r="C1618" s="4">
        <f>CEILING(437*$Z$1,0.1)</f>
        <v>546.3000000000001</v>
      </c>
      <c r="D1618" s="4"/>
      <c r="E1618" s="652"/>
      <c r="F1618" s="653"/>
      <c r="G1618" s="653"/>
      <c r="H1618" s="653"/>
      <c r="I1618" s="3"/>
      <c r="J1618" s="3"/>
      <c r="K1618" s="1063"/>
      <c r="L1618" s="1064"/>
      <c r="M1618" s="992"/>
      <c r="V1618" s="993"/>
      <c r="W1618" s="993"/>
      <c r="X1618" s="993"/>
      <c r="Y1618" s="993"/>
    </row>
    <row r="1619" spans="1:25" ht="16.5" customHeight="1">
      <c r="A1619" s="37"/>
      <c r="B1619" s="13" t="s">
        <v>396</v>
      </c>
      <c r="C1619" s="4">
        <f>CEILING(437*$Z$1,0.1)</f>
        <v>546.3000000000001</v>
      </c>
      <c r="D1619" s="4"/>
      <c r="E1619" s="652"/>
      <c r="F1619" s="653"/>
      <c r="G1619" s="653"/>
      <c r="H1619" s="653"/>
      <c r="I1619" s="3"/>
      <c r="J1619" s="3"/>
      <c r="K1619" s="104"/>
      <c r="L1619" s="1064"/>
      <c r="M1619" s="992"/>
      <c r="V1619" s="993"/>
      <c r="W1619" s="993"/>
      <c r="X1619" s="993"/>
      <c r="Y1619" s="993"/>
    </row>
    <row r="1620" spans="1:25" ht="16.5" customHeight="1">
      <c r="A1620" s="449" t="s">
        <v>877</v>
      </c>
      <c r="B1620" s="12" t="s">
        <v>397</v>
      </c>
      <c r="C1620" s="4">
        <v>0</v>
      </c>
      <c r="D1620" s="4"/>
      <c r="E1620" s="652"/>
      <c r="F1620" s="653"/>
      <c r="G1620" s="653"/>
      <c r="H1620" s="653"/>
      <c r="I1620" s="3"/>
      <c r="J1620" s="3"/>
      <c r="K1620" s="104"/>
      <c r="L1620" s="104"/>
      <c r="M1620" s="992"/>
      <c r="V1620" s="993"/>
      <c r="W1620" s="993"/>
      <c r="X1620" s="993"/>
      <c r="Y1620" s="993"/>
    </row>
    <row r="1621" spans="1:25" ht="17.25" customHeight="1">
      <c r="A1621" s="37"/>
      <c r="B1621" s="12" t="s">
        <v>178</v>
      </c>
      <c r="C1621" s="4">
        <f>CEILING(644*$Z$1,0.1)</f>
        <v>805</v>
      </c>
      <c r="D1621" s="4"/>
      <c r="E1621" s="652"/>
      <c r="F1621" s="653"/>
      <c r="G1621" s="653"/>
      <c r="H1621" s="653"/>
      <c r="I1621" s="3"/>
      <c r="J1621" s="3"/>
      <c r="K1621" s="104"/>
      <c r="L1621" s="104"/>
      <c r="M1621" s="992"/>
      <c r="V1621" s="993"/>
      <c r="W1621" s="993"/>
      <c r="X1621" s="993"/>
      <c r="Y1621" s="993"/>
    </row>
    <row r="1622" spans="1:25" ht="15.75" customHeight="1">
      <c r="A1622" s="37"/>
      <c r="B1622" s="12" t="s">
        <v>179</v>
      </c>
      <c r="C1622" s="4">
        <f>CEILING(644*$Z$1,0.1)</f>
        <v>805</v>
      </c>
      <c r="D1622" s="4"/>
      <c r="E1622" s="652"/>
      <c r="F1622" s="653"/>
      <c r="G1622" s="653"/>
      <c r="H1622" s="653"/>
      <c r="I1622" s="3"/>
      <c r="J1622" s="3"/>
      <c r="K1622" s="104"/>
      <c r="L1622" s="104"/>
      <c r="M1622" s="992"/>
      <c r="V1622" s="993"/>
      <c r="W1622" s="993"/>
      <c r="X1622" s="993"/>
      <c r="Y1622" s="993"/>
    </row>
    <row r="1623" spans="1:25" ht="16.5" customHeight="1">
      <c r="A1623" s="37"/>
      <c r="B1623" s="12" t="s">
        <v>180</v>
      </c>
      <c r="C1623" s="4">
        <f>CEILING(773*$Z$1,0.1)</f>
        <v>966.3000000000001</v>
      </c>
      <c r="D1623" s="4"/>
      <c r="E1623" s="652"/>
      <c r="F1623" s="653"/>
      <c r="G1623" s="653"/>
      <c r="H1623" s="653"/>
      <c r="I1623" s="3"/>
      <c r="J1623" s="3"/>
      <c r="K1623" s="104"/>
      <c r="L1623" s="104"/>
      <c r="M1623" s="992"/>
      <c r="V1623" s="993"/>
      <c r="W1623" s="993"/>
      <c r="X1623" s="993"/>
      <c r="Y1623" s="993"/>
    </row>
    <row r="1624" spans="1:25" ht="16.5" customHeight="1">
      <c r="A1624" s="37"/>
      <c r="B1624" s="12" t="s">
        <v>181</v>
      </c>
      <c r="C1624" s="4">
        <f>CEILING(773*$Z$1,0.1)</f>
        <v>966.3000000000001</v>
      </c>
      <c r="D1624" s="4"/>
      <c r="E1624" s="652"/>
      <c r="F1624" s="653"/>
      <c r="G1624" s="653"/>
      <c r="H1624" s="653"/>
      <c r="I1624" s="3"/>
      <c r="J1624" s="3"/>
      <c r="K1624" s="104"/>
      <c r="L1624" s="104"/>
      <c r="M1624" s="992"/>
      <c r="V1624" s="993"/>
      <c r="W1624" s="993"/>
      <c r="X1624" s="993"/>
      <c r="Y1624" s="993"/>
    </row>
    <row r="1625" spans="1:25" ht="15">
      <c r="A1625" s="37"/>
      <c r="B1625" s="12" t="s">
        <v>182</v>
      </c>
      <c r="C1625" s="4">
        <f>CEILING(1042*$Z$1,0.1)</f>
        <v>1302.5</v>
      </c>
      <c r="D1625" s="4"/>
      <c r="E1625" s="652"/>
      <c r="F1625" s="653"/>
      <c r="G1625" s="653"/>
      <c r="H1625" s="653"/>
      <c r="I1625" s="3"/>
      <c r="J1625" s="3"/>
      <c r="K1625" s="104"/>
      <c r="L1625" s="104"/>
      <c r="M1625" s="992"/>
      <c r="V1625" s="993"/>
      <c r="W1625" s="993"/>
      <c r="X1625" s="993"/>
      <c r="Y1625" s="993"/>
    </row>
    <row r="1626" spans="1:25" ht="15.75" thickBot="1">
      <c r="A1626" s="86" t="s">
        <v>872</v>
      </c>
      <c r="B1626" s="45" t="s">
        <v>183</v>
      </c>
      <c r="C1626" s="7">
        <f>CEILING(1042*$Z$1,0.1)</f>
        <v>1302.5</v>
      </c>
      <c r="D1626" s="7"/>
      <c r="E1626" s="652"/>
      <c r="F1626" s="653"/>
      <c r="G1626" s="653"/>
      <c r="H1626" s="653"/>
      <c r="I1626" s="3"/>
      <c r="J1626" s="3"/>
      <c r="K1626" s="104"/>
      <c r="L1626" s="104"/>
      <c r="M1626" s="992"/>
      <c r="V1626" s="993"/>
      <c r="W1626" s="993"/>
      <c r="X1626" s="993"/>
      <c r="Y1626" s="993"/>
    </row>
    <row r="1627" spans="1:21" s="1158" customFormat="1" ht="15.75" thickTop="1">
      <c r="A1627" s="579" t="s">
        <v>1145</v>
      </c>
      <c r="B1627" s="580"/>
      <c r="C1627" s="581"/>
      <c r="D1627" s="581"/>
      <c r="E1627" s="582"/>
      <c r="F1627" s="582"/>
      <c r="G1627" s="582"/>
      <c r="H1627" s="582"/>
      <c r="I1627" s="581"/>
      <c r="J1627" s="581"/>
      <c r="K1627" s="583"/>
      <c r="L1627" s="583"/>
      <c r="M1627" s="1157"/>
      <c r="N1627" s="1157"/>
      <c r="O1627" s="1157"/>
      <c r="P1627" s="1157"/>
      <c r="Q1627" s="1157"/>
      <c r="R1627" s="1157"/>
      <c r="S1627" s="1157"/>
      <c r="T1627" s="1157"/>
      <c r="U1627" s="1157"/>
    </row>
    <row r="1628" spans="1:21" s="1158" customFormat="1" ht="15">
      <c r="A1628" s="579" t="s">
        <v>1146</v>
      </c>
      <c r="B1628" s="580"/>
      <c r="C1628" s="581"/>
      <c r="D1628" s="581"/>
      <c r="E1628" s="582"/>
      <c r="F1628" s="582"/>
      <c r="G1628" s="582"/>
      <c r="H1628" s="582"/>
      <c r="I1628" s="581"/>
      <c r="J1628" s="581"/>
      <c r="K1628" s="583"/>
      <c r="L1628" s="583"/>
      <c r="M1628" s="1157"/>
      <c r="N1628" s="1157"/>
      <c r="O1628" s="1157"/>
      <c r="P1628" s="1157"/>
      <c r="Q1628" s="1157"/>
      <c r="R1628" s="1157"/>
      <c r="S1628" s="1157"/>
      <c r="T1628" s="1157"/>
      <c r="U1628" s="1157"/>
    </row>
    <row r="1629" spans="1:25" ht="15">
      <c r="A1629" s="154" t="s">
        <v>876</v>
      </c>
      <c r="B1629" s="47"/>
      <c r="C1629" s="3"/>
      <c r="D1629" s="3"/>
      <c r="E1629" s="3"/>
      <c r="F1629" s="3"/>
      <c r="G1629" s="3"/>
      <c r="H1629" s="3"/>
      <c r="I1629" s="3"/>
      <c r="J1629" s="3"/>
      <c r="K1629" s="104"/>
      <c r="L1629" s="104"/>
      <c r="M1629" s="992"/>
      <c r="X1629" s="993"/>
      <c r="Y1629" s="993"/>
    </row>
    <row r="1630" spans="1:13" ht="15.75" thickBot="1">
      <c r="A1630" s="450" t="s">
        <v>878</v>
      </c>
      <c r="B1630" s="451"/>
      <c r="C1630" s="452"/>
      <c r="D1630" s="452"/>
      <c r="E1630" s="452"/>
      <c r="F1630" s="452"/>
      <c r="G1630" s="452"/>
      <c r="H1630" s="452"/>
      <c r="I1630" s="452"/>
      <c r="J1630" s="1213"/>
      <c r="K1630" s="104"/>
      <c r="L1630" s="104"/>
      <c r="M1630" s="992"/>
    </row>
    <row r="1631" spans="1:13" ht="15.75" thickTop="1">
      <c r="A1631" s="811" t="s">
        <v>49</v>
      </c>
      <c r="B1631" s="814"/>
      <c r="C1631" s="754" t="s">
        <v>884</v>
      </c>
      <c r="D1631" s="755"/>
      <c r="E1631" s="726" t="s">
        <v>991</v>
      </c>
      <c r="F1631" s="727"/>
      <c r="G1631" s="769" t="s">
        <v>901</v>
      </c>
      <c r="H1631" s="770"/>
      <c r="I1631" s="780" t="s">
        <v>1078</v>
      </c>
      <c r="J1631" s="781"/>
      <c r="K1631" s="284"/>
      <c r="L1631" s="104"/>
      <c r="M1631" s="992"/>
    </row>
    <row r="1632" spans="1:13" ht="15">
      <c r="A1632" s="812"/>
      <c r="B1632" s="809"/>
      <c r="C1632" s="447" t="s">
        <v>111</v>
      </c>
      <c r="D1632" s="447" t="s">
        <v>113</v>
      </c>
      <c r="E1632" s="447" t="s">
        <v>111</v>
      </c>
      <c r="F1632" s="447" t="s">
        <v>113</v>
      </c>
      <c r="G1632" s="447" t="s">
        <v>111</v>
      </c>
      <c r="H1632" s="448" t="s">
        <v>113</v>
      </c>
      <c r="I1632" s="447" t="s">
        <v>111</v>
      </c>
      <c r="J1632" s="447" t="s">
        <v>113</v>
      </c>
      <c r="K1632" s="284"/>
      <c r="L1632" s="104"/>
      <c r="M1632" s="992"/>
    </row>
    <row r="1633" spans="1:13" ht="15">
      <c r="A1633" s="36" t="s">
        <v>184</v>
      </c>
      <c r="B1633" s="375" t="s">
        <v>29</v>
      </c>
      <c r="C1633" s="647">
        <f>CEILING(140*$Z$1,0.1)</f>
        <v>175</v>
      </c>
      <c r="D1633" s="647"/>
      <c r="E1633" s="647">
        <f>CEILING(185*$Z$1,0.1)</f>
        <v>231.3</v>
      </c>
      <c r="F1633" s="647"/>
      <c r="G1633" s="647">
        <f>CEILING(155*$Z$1,0.1)</f>
        <v>193.8</v>
      </c>
      <c r="H1633" s="647"/>
      <c r="I1633" s="647">
        <f>CEILING(140*$Z$1,0.1)</f>
        <v>175</v>
      </c>
      <c r="J1633" s="363"/>
      <c r="K1633" s="284"/>
      <c r="L1633" s="104"/>
      <c r="M1633" s="992"/>
    </row>
    <row r="1634" spans="1:13" ht="15.75" customHeight="1">
      <c r="A1634" s="37" t="s">
        <v>51</v>
      </c>
      <c r="B1634" s="12" t="s">
        <v>30</v>
      </c>
      <c r="C1634" s="647">
        <f>CEILING((C1633+49*$Z$1),0.1)</f>
        <v>236.3</v>
      </c>
      <c r="D1634" s="358"/>
      <c r="E1634" s="647">
        <f>CEILING((E1633+65*$Z$1),0.1)</f>
        <v>312.6</v>
      </c>
      <c r="F1634" s="358"/>
      <c r="G1634" s="647">
        <f>CEILING((G1633+54.2*$Z$1),0.1)</f>
        <v>261.6</v>
      </c>
      <c r="H1634" s="358"/>
      <c r="I1634" s="647">
        <f>CEILING((I1633+49*$Z$1),0.1)</f>
        <v>236.3</v>
      </c>
      <c r="J1634" s="358"/>
      <c r="K1634" s="284"/>
      <c r="L1634" s="104"/>
      <c r="M1634" s="992"/>
    </row>
    <row r="1635" spans="1:13" ht="15" customHeight="1">
      <c r="A1635" s="37"/>
      <c r="B1635" s="138" t="s">
        <v>86</v>
      </c>
      <c r="C1635" s="647">
        <f>CEILING((C1633*0.85),0.1)</f>
        <v>148.8</v>
      </c>
      <c r="D1635" s="358"/>
      <c r="E1635" s="647">
        <f>CEILING((E1633*0.85),0.1)</f>
        <v>196.70000000000002</v>
      </c>
      <c r="F1635" s="358"/>
      <c r="G1635" s="647">
        <f>CEILING((G1633*0.85),0.1)</f>
        <v>164.8</v>
      </c>
      <c r="H1635" s="358"/>
      <c r="I1635" s="647">
        <f>CEILING((I1633*0.85),0.1)</f>
        <v>148.8</v>
      </c>
      <c r="J1635" s="358"/>
      <c r="K1635" s="284"/>
      <c r="L1635" s="104"/>
      <c r="M1635" s="992"/>
    </row>
    <row r="1636" spans="1:13" ht="15.75" customHeight="1">
      <c r="A1636" s="37"/>
      <c r="B1636" s="376" t="s">
        <v>85</v>
      </c>
      <c r="C1636" s="647">
        <f>CEILING((C1633*0.5),0.1)</f>
        <v>87.5</v>
      </c>
      <c r="D1636" s="647"/>
      <c r="E1636" s="647">
        <f>CEILING((E1633*0.5),0.1)</f>
        <v>115.7</v>
      </c>
      <c r="F1636" s="647"/>
      <c r="G1636" s="647">
        <f>CEILING((G1633*0.5),0.1)</f>
        <v>96.9</v>
      </c>
      <c r="H1636" s="647"/>
      <c r="I1636" s="647">
        <f>CEILING((I1633*0.5),0.1)</f>
        <v>87.5</v>
      </c>
      <c r="J1636" s="363"/>
      <c r="K1636" s="284"/>
      <c r="L1636" s="104"/>
      <c r="M1636" s="992"/>
    </row>
    <row r="1637" spans="1:13" ht="15.75" customHeight="1">
      <c r="A1637" s="37"/>
      <c r="B1637" s="14" t="s">
        <v>33</v>
      </c>
      <c r="C1637" s="647">
        <f>CEILING(154*$Z$1,0.1)</f>
        <v>192.5</v>
      </c>
      <c r="D1637" s="363"/>
      <c r="E1637" s="647">
        <f>CEILING(204*$Z$1,0.1)</f>
        <v>255</v>
      </c>
      <c r="F1637" s="363"/>
      <c r="G1637" s="647">
        <f>CEILING(171*$Z$1,0.1)</f>
        <v>213.8</v>
      </c>
      <c r="H1637" s="363"/>
      <c r="I1637" s="647">
        <f>CEILING(154*$Z$1,0.1)</f>
        <v>192.5</v>
      </c>
      <c r="J1637" s="363"/>
      <c r="K1637" s="284"/>
      <c r="L1637" s="104"/>
      <c r="M1637" s="992"/>
    </row>
    <row r="1638" spans="1:13" ht="15.75" customHeight="1">
      <c r="A1638" s="37"/>
      <c r="B1638" s="14" t="s">
        <v>34</v>
      </c>
      <c r="C1638" s="647">
        <f>CEILING((C1637+54*$Z$1),0.1)</f>
        <v>260</v>
      </c>
      <c r="D1638" s="358"/>
      <c r="E1638" s="647">
        <f>CEILING((E1637+71.5*$Z$1),0.1)</f>
        <v>344.40000000000003</v>
      </c>
      <c r="F1638" s="358"/>
      <c r="G1638" s="647">
        <f>CEILING((G1637+60*$Z$1),0.1)</f>
        <v>288.8</v>
      </c>
      <c r="H1638" s="358"/>
      <c r="I1638" s="647">
        <f>CEILING((I1637+54*$Z$1),0.1)</f>
        <v>260</v>
      </c>
      <c r="J1638" s="358"/>
      <c r="K1638" s="284"/>
      <c r="L1638" s="104"/>
      <c r="M1638" s="992"/>
    </row>
    <row r="1639" spans="1:13" ht="15">
      <c r="A1639" s="37"/>
      <c r="B1639" s="14" t="s">
        <v>37</v>
      </c>
      <c r="C1639" s="647">
        <f>CEILING(161*$Z$1,0.1)</f>
        <v>201.3</v>
      </c>
      <c r="D1639" s="358"/>
      <c r="E1639" s="647">
        <f>CEILING(213*$Z$1,0.1)</f>
        <v>266.3</v>
      </c>
      <c r="F1639" s="358"/>
      <c r="G1639" s="647">
        <f>CEILING(178*$Z$1,0.1)</f>
        <v>222.5</v>
      </c>
      <c r="H1639" s="358"/>
      <c r="I1639" s="363">
        <f>CEILING(161*$Z$1,0.1)</f>
        <v>201.3</v>
      </c>
      <c r="J1639" s="358"/>
      <c r="K1639" s="284"/>
      <c r="L1639" s="104"/>
      <c r="M1639" s="992"/>
    </row>
    <row r="1640" spans="1:13" ht="15">
      <c r="A1640" s="37"/>
      <c r="B1640" s="220" t="s">
        <v>38</v>
      </c>
      <c r="C1640" s="377">
        <f>CEILING((C1639+56.2*$Z$1),0.1)</f>
        <v>271.6</v>
      </c>
      <c r="D1640" s="658"/>
      <c r="E1640" s="377">
        <f>CEILING((E1639+75*$Z$1),0.1)</f>
        <v>360.1</v>
      </c>
      <c r="F1640" s="658"/>
      <c r="G1640" s="377">
        <f>CEILING((G1639+62*$Z$1),0.1)</f>
        <v>300</v>
      </c>
      <c r="H1640" s="658"/>
      <c r="I1640" s="377">
        <f>CEILING((I1639+56.2*$Z$1),0.1)</f>
        <v>271.6</v>
      </c>
      <c r="J1640" s="377"/>
      <c r="K1640" s="284"/>
      <c r="L1640" s="104"/>
      <c r="M1640" s="992"/>
    </row>
    <row r="1641" spans="1:14" ht="15">
      <c r="A1641" s="37"/>
      <c r="B1641" s="14" t="s">
        <v>31</v>
      </c>
      <c r="C1641" s="647">
        <f>CEILING(154*$Z$1,0.1)</f>
        <v>192.5</v>
      </c>
      <c r="D1641" s="363"/>
      <c r="E1641" s="647">
        <f>CEILING(204*$Z$1,0.1)</f>
        <v>255</v>
      </c>
      <c r="F1641" s="363"/>
      <c r="G1641" s="647">
        <f>CEILING(171*$Z$1,0.1)</f>
        <v>213.8</v>
      </c>
      <c r="H1641" s="363"/>
      <c r="I1641" s="647">
        <f>CEILING(154*$Z$1,0.1)</f>
        <v>192.5</v>
      </c>
      <c r="J1641" s="363"/>
      <c r="K1641" s="284"/>
      <c r="L1641" s="104"/>
      <c r="M1641" s="18"/>
      <c r="N1641" s="22"/>
    </row>
    <row r="1642" spans="1:14" ht="15">
      <c r="A1642" s="37"/>
      <c r="B1642" s="14" t="s">
        <v>32</v>
      </c>
      <c r="C1642" s="647">
        <f>CEILING((C1641+54*$Z$1),0.1)</f>
        <v>260</v>
      </c>
      <c r="D1642" s="358"/>
      <c r="E1642" s="647">
        <f>CEILING((E1641+71.4*$Z$1),0.1)</f>
        <v>344.3</v>
      </c>
      <c r="F1642" s="358"/>
      <c r="G1642" s="647">
        <f>CEILING((G1641+60*$Z$1),0.1)</f>
        <v>288.8</v>
      </c>
      <c r="H1642" s="358"/>
      <c r="I1642" s="647">
        <f>CEILING((I1641+54*$Z$1),0.1)</f>
        <v>260</v>
      </c>
      <c r="J1642" s="358"/>
      <c r="K1642" s="284"/>
      <c r="L1642" s="104"/>
      <c r="M1642" s="18"/>
      <c r="N1642" s="22"/>
    </row>
    <row r="1643" spans="1:14" ht="15">
      <c r="A1643" s="37"/>
      <c r="B1643" s="14" t="s">
        <v>53</v>
      </c>
      <c r="C1643" s="647">
        <f>CEILING((C1641*0.85),0.1)</f>
        <v>163.70000000000002</v>
      </c>
      <c r="D1643" s="358"/>
      <c r="E1643" s="647">
        <f>CEILING((E1641*0.85),0.1)</f>
        <v>216.8</v>
      </c>
      <c r="F1643" s="358"/>
      <c r="G1643" s="647">
        <f>CEILING((G1641*0.85),0.1)</f>
        <v>181.8</v>
      </c>
      <c r="H1643" s="358"/>
      <c r="I1643" s="647">
        <f>CEILING((I1641*0.85),0.1)</f>
        <v>163.70000000000002</v>
      </c>
      <c r="J1643" s="358"/>
      <c r="K1643" s="104"/>
      <c r="L1643" s="282"/>
      <c r="M1643" s="18"/>
      <c r="N1643" s="22"/>
    </row>
    <row r="1644" spans="1:19" ht="15">
      <c r="A1644" s="37"/>
      <c r="B1644" s="376" t="s">
        <v>85</v>
      </c>
      <c r="C1644" s="647">
        <f>CEILING((C1641*0.5),0.1)</f>
        <v>96.30000000000001</v>
      </c>
      <c r="D1644" s="647"/>
      <c r="E1644" s="647">
        <f>CEILING((E1641*0.5),0.1)</f>
        <v>127.5</v>
      </c>
      <c r="F1644" s="647"/>
      <c r="G1644" s="647">
        <f>CEILING((G1641*0.5),0.1)</f>
        <v>106.9</v>
      </c>
      <c r="H1644" s="647"/>
      <c r="I1644" s="647">
        <f>CEILING((I1641*0.5),0.1)</f>
        <v>96.30000000000001</v>
      </c>
      <c r="J1644" s="363"/>
      <c r="K1644" s="653"/>
      <c r="L1644" s="653"/>
      <c r="M1644" s="22"/>
      <c r="N1644" s="991"/>
      <c r="R1644" s="1032"/>
      <c r="S1644" s="1032"/>
    </row>
    <row r="1645" spans="1:19" ht="15">
      <c r="A1645" s="37"/>
      <c r="B1645" s="14" t="s">
        <v>1083</v>
      </c>
      <c r="C1645" s="647">
        <f>CEILING((C1641+7*$Z$1),0.1)</f>
        <v>201.3</v>
      </c>
      <c r="D1645" s="363"/>
      <c r="E1645" s="647">
        <f>CEILING((E1641+9*$Z$1),0.1)</f>
        <v>266.3</v>
      </c>
      <c r="F1645" s="363"/>
      <c r="G1645" s="647">
        <f>CEILING((G1641+7*$Z$1),0.1)</f>
        <v>222.60000000000002</v>
      </c>
      <c r="H1645" s="363"/>
      <c r="I1645" s="647">
        <f>CEILING((I1641+7*$Z$1),0.1)</f>
        <v>201.3</v>
      </c>
      <c r="J1645" s="363"/>
      <c r="K1645" s="653"/>
      <c r="L1645" s="653"/>
      <c r="M1645" s="22"/>
      <c r="N1645" s="991"/>
      <c r="R1645" s="1032"/>
      <c r="S1645" s="1032"/>
    </row>
    <row r="1646" spans="1:25" ht="17.25" customHeight="1">
      <c r="A1646" s="37"/>
      <c r="B1646" s="14" t="s">
        <v>1084</v>
      </c>
      <c r="C1646" s="647">
        <f>CEILING((C1645+56.5*$Z$1),0.1)</f>
        <v>272</v>
      </c>
      <c r="D1646" s="358"/>
      <c r="E1646" s="647">
        <f>CEILING((E1645+75*$Z$1),0.1)</f>
        <v>360.1</v>
      </c>
      <c r="F1646" s="358"/>
      <c r="G1646" s="647">
        <f>CEILING((G1645+62*$Z$1),0.1)</f>
        <v>300.1</v>
      </c>
      <c r="H1646" s="358"/>
      <c r="I1646" s="647">
        <f>CEILING((I1645+56.5*$Z$1),0.1)</f>
        <v>272</v>
      </c>
      <c r="J1646" s="358"/>
      <c r="K1646" s="1077"/>
      <c r="L1646" s="1064"/>
      <c r="M1646" s="992"/>
      <c r="V1646" s="993"/>
      <c r="W1646" s="993"/>
      <c r="X1646" s="993"/>
      <c r="Y1646" s="993"/>
    </row>
    <row r="1647" spans="1:25" ht="14.25" customHeight="1">
      <c r="A1647" s="37"/>
      <c r="B1647" s="14" t="s">
        <v>53</v>
      </c>
      <c r="C1647" s="647">
        <f>CEILING((C1645*0.85),0.1)</f>
        <v>171.20000000000002</v>
      </c>
      <c r="D1647" s="363"/>
      <c r="E1647" s="647">
        <f>CEILING((E1645*0.85),0.1)</f>
        <v>226.4</v>
      </c>
      <c r="F1647" s="363"/>
      <c r="G1647" s="647">
        <f>CEILING((G1645*0.85),0.1)</f>
        <v>189.3</v>
      </c>
      <c r="H1647" s="363"/>
      <c r="I1647" s="647">
        <f>CEILING((I1645*0.85),0.1)</f>
        <v>171.20000000000002</v>
      </c>
      <c r="J1647" s="363"/>
      <c r="K1647" s="1077"/>
      <c r="L1647" s="1064"/>
      <c r="M1647" s="992"/>
      <c r="V1647" s="993"/>
      <c r="W1647" s="993"/>
      <c r="X1647" s="993"/>
      <c r="Y1647" s="993"/>
    </row>
    <row r="1648" spans="1:25" ht="16.5" customHeight="1">
      <c r="A1648" s="37"/>
      <c r="B1648" s="376" t="s">
        <v>85</v>
      </c>
      <c r="C1648" s="647">
        <f>CEILING((C1645*0.5),0.1)</f>
        <v>100.7</v>
      </c>
      <c r="D1648" s="358"/>
      <c r="E1648" s="647">
        <f>CEILING((E1645*0.5),0.1)</f>
        <v>133.20000000000002</v>
      </c>
      <c r="F1648" s="358"/>
      <c r="G1648" s="647">
        <f>CEILING((G1645*0.5),0.1)</f>
        <v>111.30000000000001</v>
      </c>
      <c r="H1648" s="358"/>
      <c r="I1648" s="647">
        <f>CEILING((I1645*0.5),0.1)</f>
        <v>100.7</v>
      </c>
      <c r="J1648" s="358"/>
      <c r="K1648" s="1077"/>
      <c r="L1648" s="1064"/>
      <c r="M1648" s="992"/>
      <c r="V1648" s="993"/>
      <c r="W1648" s="993"/>
      <c r="X1648" s="993"/>
      <c r="Y1648" s="993"/>
    </row>
    <row r="1649" spans="1:25" ht="16.5" customHeight="1">
      <c r="A1649" s="37"/>
      <c r="B1649" s="14" t="s">
        <v>35</v>
      </c>
      <c r="C1649" s="647">
        <f>CEILING((C1641+21*$Z$1),0.1)</f>
        <v>218.8</v>
      </c>
      <c r="D1649" s="363"/>
      <c r="E1649" s="647">
        <f>CEILING((E1641+27*$Z$1),0.1)</f>
        <v>288.8</v>
      </c>
      <c r="F1649" s="363"/>
      <c r="G1649" s="647">
        <f>CEILING((G1641+23*$Z$1),0.1)</f>
        <v>242.60000000000002</v>
      </c>
      <c r="H1649" s="363"/>
      <c r="I1649" s="647">
        <f>CEILING((I1641+21*$Z$1),0.1)</f>
        <v>218.8</v>
      </c>
      <c r="J1649" s="363"/>
      <c r="K1649" s="1077"/>
      <c r="L1649" s="1064"/>
      <c r="M1649" s="992"/>
      <c r="V1649" s="993"/>
      <c r="W1649" s="993"/>
      <c r="X1649" s="993"/>
      <c r="Y1649" s="993"/>
    </row>
    <row r="1650" spans="1:25" ht="16.5" customHeight="1">
      <c r="A1650" s="37"/>
      <c r="B1650" s="14" t="s">
        <v>36</v>
      </c>
      <c r="C1650" s="647">
        <f>CEILING((C1649+77),0.1)</f>
        <v>295.8</v>
      </c>
      <c r="D1650" s="358"/>
      <c r="E1650" s="647">
        <f>CEILING((E1649+81*$Z$1),0.1)</f>
        <v>390.1</v>
      </c>
      <c r="F1650" s="358"/>
      <c r="G1650" s="647">
        <f>CEILING((G1649+68*$Z$1),0.1)</f>
        <v>327.6</v>
      </c>
      <c r="H1650" s="358"/>
      <c r="I1650" s="647">
        <f>CEILING((I1649+77),0.1)</f>
        <v>295.8</v>
      </c>
      <c r="J1650" s="358"/>
      <c r="K1650" s="284"/>
      <c r="L1650" s="1064"/>
      <c r="M1650" s="992"/>
      <c r="V1650" s="993"/>
      <c r="W1650" s="993"/>
      <c r="X1650" s="993"/>
      <c r="Y1650" s="993"/>
    </row>
    <row r="1651" spans="1:25" ht="16.5" customHeight="1">
      <c r="A1651" s="37"/>
      <c r="B1651" s="14" t="s">
        <v>1081</v>
      </c>
      <c r="C1651" s="647">
        <f>CEILING((C1641+28*$Z$1),0.1)</f>
        <v>227.5</v>
      </c>
      <c r="D1651" s="363"/>
      <c r="E1651" s="647">
        <f>CEILING((E1641+37*$Z$1),0.1)</f>
        <v>301.3</v>
      </c>
      <c r="F1651" s="363"/>
      <c r="G1651" s="647">
        <f>CEILING((G1641+31*$Z$1),0.1)</f>
        <v>252.60000000000002</v>
      </c>
      <c r="H1651" s="363"/>
      <c r="I1651" s="647">
        <f>CEILING((I1641+28*$Z$1),0.1)</f>
        <v>227.5</v>
      </c>
      <c r="J1651" s="363"/>
      <c r="K1651" s="284"/>
      <c r="L1651" s="104"/>
      <c r="M1651" s="992"/>
      <c r="V1651" s="993"/>
      <c r="W1651" s="993"/>
      <c r="X1651" s="993"/>
      <c r="Y1651" s="993"/>
    </row>
    <row r="1652" spans="1:25" ht="17.25" customHeight="1">
      <c r="A1652" s="37"/>
      <c r="B1652" s="14" t="s">
        <v>1082</v>
      </c>
      <c r="C1652" s="647">
        <f>CEILING((C1651+64*$Z$1),0.1)</f>
        <v>307.5</v>
      </c>
      <c r="D1652" s="358"/>
      <c r="E1652" s="647">
        <f>CEILING((E1651+84.5*$Z$1),0.1)</f>
        <v>407</v>
      </c>
      <c r="F1652" s="358"/>
      <c r="G1652" s="647">
        <f>CEILING((G1651+70.5*$Z$1),0.1)</f>
        <v>340.8</v>
      </c>
      <c r="H1652" s="358"/>
      <c r="I1652" s="647">
        <f>CEILING((I1651+64*$Z$1),0.1)</f>
        <v>307.5</v>
      </c>
      <c r="J1652" s="358"/>
      <c r="K1652" s="284"/>
      <c r="L1652" s="104"/>
      <c r="M1652" s="992"/>
      <c r="V1652" s="993"/>
      <c r="W1652" s="993"/>
      <c r="X1652" s="993"/>
      <c r="Y1652" s="993"/>
    </row>
    <row r="1653" spans="1:25" ht="15.75" customHeight="1">
      <c r="A1653" s="37"/>
      <c r="B1653" s="14" t="s">
        <v>39</v>
      </c>
      <c r="C1653" s="647">
        <f>CEILING((C1641+35*$Z$1),0.1)</f>
        <v>236.3</v>
      </c>
      <c r="D1653" s="363"/>
      <c r="E1653" s="647">
        <f>CEILING((E1641+46*$Z$1),0.1)</f>
        <v>312.5</v>
      </c>
      <c r="F1653" s="363"/>
      <c r="G1653" s="647">
        <f>CEILING((G1641+38*$Z$1),0.1)</f>
        <v>261.3</v>
      </c>
      <c r="H1653" s="363"/>
      <c r="I1653" s="647">
        <f>CEILING((I1641+35*$Z$1),0.1)</f>
        <v>236.3</v>
      </c>
      <c r="J1653" s="363"/>
      <c r="K1653" s="284"/>
      <c r="L1653" s="104"/>
      <c r="M1653" s="992"/>
      <c r="V1653" s="993"/>
      <c r="W1653" s="993"/>
      <c r="X1653" s="993"/>
      <c r="Y1653" s="993"/>
    </row>
    <row r="1654" spans="1:25" ht="16.5" customHeight="1">
      <c r="A1654" s="37"/>
      <c r="B1654" s="14" t="s">
        <v>40</v>
      </c>
      <c r="C1654" s="647">
        <f>CEILING((C1653+66*$Z$1),0.1)</f>
        <v>318.8</v>
      </c>
      <c r="D1654" s="358"/>
      <c r="E1654" s="647">
        <f>CEILING((E1653+87.5*$Z$1),0.1)</f>
        <v>421.90000000000003</v>
      </c>
      <c r="F1654" s="358"/>
      <c r="G1654" s="647">
        <f>CEILING((G1653+73*$Z$1),0.1)</f>
        <v>352.6</v>
      </c>
      <c r="H1654" s="358"/>
      <c r="I1654" s="647">
        <f>CEILING((I1653+66*$Z$1),0.1)</f>
        <v>318.8</v>
      </c>
      <c r="J1654" s="358"/>
      <c r="K1654" s="284"/>
      <c r="L1654" s="104"/>
      <c r="M1654" s="992"/>
      <c r="V1654" s="993"/>
      <c r="W1654" s="993"/>
      <c r="X1654" s="993"/>
      <c r="Y1654" s="993"/>
    </row>
    <row r="1655" spans="1:25" ht="16.5" customHeight="1">
      <c r="A1655" s="37"/>
      <c r="B1655" s="14" t="s">
        <v>1079</v>
      </c>
      <c r="C1655" s="647">
        <f>CEILING((C1641+40*$Z$1),0.1)</f>
        <v>242.5</v>
      </c>
      <c r="D1655" s="363"/>
      <c r="E1655" s="647">
        <f>CEILING((E1641+55*$Z$1),0.1)</f>
        <v>323.8</v>
      </c>
      <c r="F1655" s="363"/>
      <c r="G1655" s="647">
        <f>CEILING((G1641+46*$Z$1),0.1)</f>
        <v>271.3</v>
      </c>
      <c r="H1655" s="363"/>
      <c r="I1655" s="647">
        <f>CEILING((I1641+40*$Z$1),0.1)</f>
        <v>242.5</v>
      </c>
      <c r="J1655" s="363"/>
      <c r="K1655" s="284"/>
      <c r="L1655" s="104"/>
      <c r="M1655" s="992"/>
      <c r="V1655" s="993"/>
      <c r="W1655" s="993"/>
      <c r="X1655" s="993"/>
      <c r="Y1655" s="993"/>
    </row>
    <row r="1656" spans="1:25" ht="15.75" thickBot="1">
      <c r="A1656" s="545"/>
      <c r="B1656" s="546" t="s">
        <v>1080</v>
      </c>
      <c r="C1656" s="547">
        <f>CEILING((C1655+45*$Z$1),0.1)</f>
        <v>298.8</v>
      </c>
      <c r="D1656" s="548"/>
      <c r="E1656" s="547">
        <f>CEILING((E1655+90.5*$Z$1),0.1)</f>
        <v>437</v>
      </c>
      <c r="F1656" s="548"/>
      <c r="G1656" s="547">
        <f>CEILING((G1655+76*$Z$1),0.1)</f>
        <v>366.3</v>
      </c>
      <c r="H1656" s="548"/>
      <c r="I1656" s="547">
        <f>CEILING((I1655+45*$Z$1),0.1)</f>
        <v>298.8</v>
      </c>
      <c r="J1656" s="548"/>
      <c r="K1656" s="284"/>
      <c r="L1656" s="104"/>
      <c r="M1656" s="992"/>
      <c r="V1656" s="993"/>
      <c r="W1656" s="993"/>
      <c r="X1656" s="993"/>
      <c r="Y1656" s="993"/>
    </row>
    <row r="1657" spans="1:25" ht="15">
      <c r="A1657" s="847" t="s">
        <v>362</v>
      </c>
      <c r="B1657" s="847"/>
      <c r="C1657" s="847"/>
      <c r="D1657" s="847"/>
      <c r="E1657" s="847"/>
      <c r="F1657" s="847"/>
      <c r="G1657" s="847"/>
      <c r="H1657" s="847"/>
      <c r="I1657" s="847"/>
      <c r="J1657" s="847"/>
      <c r="K1657" s="284"/>
      <c r="L1657" s="104"/>
      <c r="M1657" s="992"/>
      <c r="V1657" s="993"/>
      <c r="W1657" s="993"/>
      <c r="X1657" s="993"/>
      <c r="Y1657" s="993"/>
    </row>
    <row r="1658" spans="1:13" ht="15">
      <c r="A1658" s="170" t="s">
        <v>1085</v>
      </c>
      <c r="B1658" s="54"/>
      <c r="C1658" s="3"/>
      <c r="D1658" s="3"/>
      <c r="E1658" s="3"/>
      <c r="F1658" s="3"/>
      <c r="G1658" s="3"/>
      <c r="H1658" s="3"/>
      <c r="I1658" s="653"/>
      <c r="J1658" s="653"/>
      <c r="K1658" s="284"/>
      <c r="L1658" s="104"/>
      <c r="M1658" s="992"/>
    </row>
    <row r="1659" spans="1:13" ht="15.75" thickBot="1">
      <c r="A1659" s="170" t="s">
        <v>1086</v>
      </c>
      <c r="B1659" s="54"/>
      <c r="C1659" s="3"/>
      <c r="D1659" s="3"/>
      <c r="E1659" s="3"/>
      <c r="F1659" s="3"/>
      <c r="G1659" s="3"/>
      <c r="H1659" s="3"/>
      <c r="I1659" s="653"/>
      <c r="J1659" s="653"/>
      <c r="K1659" s="284"/>
      <c r="L1659" s="104"/>
      <c r="M1659" s="992"/>
    </row>
    <row r="1660" spans="1:13" ht="15" customHeight="1" thickTop="1">
      <c r="A1660" s="811" t="s">
        <v>49</v>
      </c>
      <c r="B1660" s="814"/>
      <c r="C1660" s="754" t="s">
        <v>884</v>
      </c>
      <c r="D1660" s="755"/>
      <c r="E1660" s="726" t="s">
        <v>991</v>
      </c>
      <c r="F1660" s="727"/>
      <c r="G1660" s="769" t="s">
        <v>901</v>
      </c>
      <c r="H1660" s="770"/>
      <c r="I1660" s="780" t="s">
        <v>828</v>
      </c>
      <c r="J1660" s="781"/>
      <c r="K1660" s="284"/>
      <c r="L1660" s="104"/>
      <c r="M1660" s="992"/>
    </row>
    <row r="1661" spans="1:13" ht="15.75" customHeight="1">
      <c r="A1661" s="812"/>
      <c r="B1661" s="809"/>
      <c r="C1661" s="447" t="s">
        <v>111</v>
      </c>
      <c r="D1661" s="447" t="s">
        <v>113</v>
      </c>
      <c r="E1661" s="447" t="s">
        <v>111</v>
      </c>
      <c r="F1661" s="447" t="s">
        <v>113</v>
      </c>
      <c r="G1661" s="447" t="s">
        <v>111</v>
      </c>
      <c r="H1661" s="448" t="s">
        <v>113</v>
      </c>
      <c r="I1661" s="447" t="s">
        <v>111</v>
      </c>
      <c r="J1661" s="447" t="s">
        <v>113</v>
      </c>
      <c r="K1661" s="284"/>
      <c r="L1661" s="104"/>
      <c r="M1661" s="992"/>
    </row>
    <row r="1662" spans="1:13" ht="15.75" customHeight="1">
      <c r="A1662" s="36" t="s">
        <v>589</v>
      </c>
      <c r="B1662" s="375" t="s">
        <v>28</v>
      </c>
      <c r="C1662" s="647">
        <f>CEILING(162*$Z$1,0.1)</f>
        <v>202.5</v>
      </c>
      <c r="D1662" s="647"/>
      <c r="E1662" s="647">
        <f>CEILING(215*$Z$1,0.1)</f>
        <v>268.8</v>
      </c>
      <c r="F1662" s="647"/>
      <c r="G1662" s="647">
        <f>CEILING(180*$Z$1,0.1)</f>
        <v>225</v>
      </c>
      <c r="H1662" s="647"/>
      <c r="I1662" s="647">
        <f>CEILING(162*$Z$1,0.1)</f>
        <v>202.5</v>
      </c>
      <c r="J1662" s="363"/>
      <c r="K1662" s="284"/>
      <c r="L1662" s="104"/>
      <c r="M1662" s="992"/>
    </row>
    <row r="1663" spans="1:13" ht="15.75" customHeight="1">
      <c r="A1663" s="37" t="s">
        <v>51</v>
      </c>
      <c r="B1663" s="12" t="s">
        <v>1087</v>
      </c>
      <c r="C1663" s="647">
        <f>CEILING((C1662+81*$Z$1),0.1)</f>
        <v>303.8</v>
      </c>
      <c r="D1663" s="358"/>
      <c r="E1663" s="647">
        <f>CEILING((E1662+107.5*$Z$1),0.1)</f>
        <v>403.20000000000005</v>
      </c>
      <c r="F1663" s="358"/>
      <c r="G1663" s="647">
        <f>CEILING((G1662+90*$Z$1),0.1)</f>
        <v>337.5</v>
      </c>
      <c r="H1663" s="358"/>
      <c r="I1663" s="647">
        <f>CEILING((I1662+81*$Z$1),0.1)</f>
        <v>303.8</v>
      </c>
      <c r="J1663" s="358"/>
      <c r="K1663" s="284"/>
      <c r="L1663" s="104"/>
      <c r="M1663" s="992"/>
    </row>
    <row r="1664" spans="1:14" ht="15">
      <c r="A1664" s="37"/>
      <c r="B1664" s="138" t="s">
        <v>86</v>
      </c>
      <c r="C1664" s="647">
        <f>CEILING((C1662*0.85),0.1)</f>
        <v>172.20000000000002</v>
      </c>
      <c r="D1664" s="358"/>
      <c r="E1664" s="647">
        <f>CEILING((E1662*0.85),0.1)</f>
        <v>228.5</v>
      </c>
      <c r="F1664" s="358"/>
      <c r="G1664" s="647">
        <f>CEILING((G1662*0.85),0.1)</f>
        <v>191.3</v>
      </c>
      <c r="H1664" s="358"/>
      <c r="I1664" s="647">
        <f>CEILING((I1662*0.85),0.1)</f>
        <v>172.20000000000002</v>
      </c>
      <c r="J1664" s="358"/>
      <c r="K1664" s="104"/>
      <c r="L1664" s="282"/>
      <c r="M1664" s="18"/>
      <c r="N1664" s="22"/>
    </row>
    <row r="1665" spans="1:14" ht="15">
      <c r="A1665" s="378" t="s">
        <v>136</v>
      </c>
      <c r="B1665" s="376" t="s">
        <v>85</v>
      </c>
      <c r="C1665" s="647">
        <f>CEILING((C1662*0.5),0.1)</f>
        <v>101.30000000000001</v>
      </c>
      <c r="D1665" s="647"/>
      <c r="E1665" s="647">
        <f>CEILING((E1662*0.5),0.1)</f>
        <v>134.4</v>
      </c>
      <c r="F1665" s="647"/>
      <c r="G1665" s="647">
        <f>CEILING((G1662*0.7),0.1)</f>
        <v>157.5</v>
      </c>
      <c r="H1665" s="647"/>
      <c r="I1665" s="647">
        <f>CEILING((I1662*0.5),0.1)</f>
        <v>101.30000000000001</v>
      </c>
      <c r="J1665" s="363"/>
      <c r="K1665" s="104"/>
      <c r="L1665" s="282"/>
      <c r="M1665" s="18"/>
      <c r="N1665" s="22"/>
    </row>
    <row r="1666" spans="1:14" ht="18.75" customHeight="1">
      <c r="A1666" s="37"/>
      <c r="B1666" s="14" t="s">
        <v>1088</v>
      </c>
      <c r="C1666" s="647">
        <f>CEILING(170*$Z$1,0.1)</f>
        <v>212.5</v>
      </c>
      <c r="D1666" s="363"/>
      <c r="E1666" s="647">
        <f>CEILING(226*$Z$1,0.1)</f>
        <v>282.5</v>
      </c>
      <c r="F1666" s="363"/>
      <c r="G1666" s="647">
        <f>CEILING(189*$Z$1,0.1)</f>
        <v>236.3</v>
      </c>
      <c r="H1666" s="363"/>
      <c r="I1666" s="647">
        <f>CEILING(170*$Z$1,0.1)</f>
        <v>212.5</v>
      </c>
      <c r="J1666" s="363"/>
      <c r="K1666" s="104"/>
      <c r="L1666" s="104"/>
      <c r="M1666" s="18"/>
      <c r="N1666" s="22"/>
    </row>
    <row r="1667" spans="1:14" ht="15">
      <c r="A1667" s="37"/>
      <c r="B1667" s="14" t="s">
        <v>1089</v>
      </c>
      <c r="C1667" s="647">
        <f>CEILING((C1666+85*$Z$1),0.1)</f>
        <v>318.8</v>
      </c>
      <c r="D1667" s="358"/>
      <c r="E1667" s="647">
        <f>CEILING((E1666+113*$Z$1),0.1)</f>
        <v>423.8</v>
      </c>
      <c r="F1667" s="358"/>
      <c r="G1667" s="647">
        <f>CEILING((G1666+94.5*$Z$1),0.1)</f>
        <v>354.5</v>
      </c>
      <c r="H1667" s="358"/>
      <c r="I1667" s="647">
        <f>CEILING((I1666+85*$Z$1),0.1)</f>
        <v>318.8</v>
      </c>
      <c r="J1667" s="358"/>
      <c r="K1667" s="104"/>
      <c r="L1667" s="282"/>
      <c r="M1667" s="18"/>
      <c r="N1667" s="22"/>
    </row>
    <row r="1668" spans="1:25" ht="15">
      <c r="A1668" s="37"/>
      <c r="B1668" s="14" t="s">
        <v>1090</v>
      </c>
      <c r="C1668" s="647">
        <f>CEILING(186*$Z$1,0.1)</f>
        <v>232.5</v>
      </c>
      <c r="D1668" s="358"/>
      <c r="E1668" s="647">
        <f>CEILING(247*$Z$1,0.1)</f>
        <v>308.8</v>
      </c>
      <c r="F1668" s="358"/>
      <c r="G1668" s="647">
        <f>CEILING(207*$Z$1,0.1)</f>
        <v>258.8</v>
      </c>
      <c r="H1668" s="358"/>
      <c r="I1668" s="647">
        <f>CEILING(186*$Z$1,0.1)</f>
        <v>232.5</v>
      </c>
      <c r="J1668" s="358"/>
      <c r="K1668" s="104"/>
      <c r="L1668" s="282"/>
      <c r="M1668" s="18"/>
      <c r="N1668" s="22"/>
      <c r="V1668" s="993"/>
      <c r="W1668" s="993"/>
      <c r="X1668" s="993"/>
      <c r="Y1668" s="993"/>
    </row>
    <row r="1669" spans="1:25" ht="15">
      <c r="A1669" s="37"/>
      <c r="B1669" s="31" t="s">
        <v>1091</v>
      </c>
      <c r="C1669" s="647">
        <f>CEILING((C1668+93*$Z$1),0.1)</f>
        <v>348.8</v>
      </c>
      <c r="D1669" s="647"/>
      <c r="E1669" s="647">
        <f>CEILING((E1668+123.5*$Z$1),0.1)</f>
        <v>463.20000000000005</v>
      </c>
      <c r="F1669" s="647"/>
      <c r="G1669" s="647">
        <f>CEILING((G1668+103.5*$Z$1),0.1)</f>
        <v>388.20000000000005</v>
      </c>
      <c r="H1669" s="647"/>
      <c r="I1669" s="647">
        <f>CEILING((I1668+93*$Z$1),0.1)</f>
        <v>348.8</v>
      </c>
      <c r="J1669" s="363"/>
      <c r="K1669" s="104"/>
      <c r="L1669" s="282"/>
      <c r="M1669" s="18"/>
      <c r="N1669" s="22"/>
      <c r="V1669" s="993"/>
      <c r="W1669" s="993"/>
      <c r="X1669" s="993"/>
      <c r="Y1669" s="993"/>
    </row>
    <row r="1670" spans="1:25" ht="17.25" customHeight="1">
      <c r="A1670" s="37"/>
      <c r="B1670" s="14" t="s">
        <v>1092</v>
      </c>
      <c r="C1670" s="647">
        <f>CEILING(203*$Z$1,0.1)</f>
        <v>253.8</v>
      </c>
      <c r="D1670" s="363"/>
      <c r="E1670" s="647">
        <f>CEILING(269*$Z$1,0.1)</f>
        <v>336.3</v>
      </c>
      <c r="F1670" s="363"/>
      <c r="G1670" s="647">
        <f>CEILING(225*$Z$1,0.1)</f>
        <v>281.3</v>
      </c>
      <c r="H1670" s="363"/>
      <c r="I1670" s="647">
        <f>CEILING(203*$Z$1,0.1)</f>
        <v>253.8</v>
      </c>
      <c r="J1670" s="363"/>
      <c r="K1670" s="104"/>
      <c r="L1670" s="282"/>
      <c r="M1670" s="18"/>
      <c r="N1670" s="22"/>
      <c r="V1670" s="993"/>
      <c r="W1670" s="993"/>
      <c r="X1670" s="993"/>
      <c r="Y1670" s="993"/>
    </row>
    <row r="1671" spans="1:25" ht="16.5" customHeight="1">
      <c r="A1671" s="37"/>
      <c r="B1671" s="14" t="s">
        <v>1093</v>
      </c>
      <c r="C1671" s="647">
        <f>CEILING((C1670+101.5*$Z$1),0.1)</f>
        <v>380.70000000000005</v>
      </c>
      <c r="D1671" s="358"/>
      <c r="E1671" s="647">
        <f>CEILING((E1670+134.5*$Z$1),0.1)</f>
        <v>504.5</v>
      </c>
      <c r="F1671" s="358"/>
      <c r="G1671" s="647">
        <f>CEILING((G1670+112.5*$Z$1),0.1)</f>
        <v>422</v>
      </c>
      <c r="H1671" s="358"/>
      <c r="I1671" s="647">
        <f>CEILING((I1670+101.5*$Z$1),0.1)</f>
        <v>380.70000000000005</v>
      </c>
      <c r="J1671" s="358"/>
      <c r="K1671" s="104"/>
      <c r="L1671" s="282"/>
      <c r="M1671" s="18"/>
      <c r="N1671" s="22"/>
      <c r="V1671" s="993"/>
      <c r="W1671" s="993"/>
      <c r="X1671" s="993"/>
      <c r="Y1671" s="993"/>
    </row>
    <row r="1672" spans="1:25" ht="16.5" customHeight="1">
      <c r="A1672" s="37"/>
      <c r="B1672" s="14" t="s">
        <v>1094</v>
      </c>
      <c r="C1672" s="647">
        <f>CEILING(211*$Z$1,0.1)</f>
        <v>263.8</v>
      </c>
      <c r="D1672" s="363"/>
      <c r="E1672" s="647">
        <f>CEILING(280*$Z$1,0.1)</f>
        <v>350</v>
      </c>
      <c r="F1672" s="363"/>
      <c r="G1672" s="647">
        <f>CEILING(234*$Z$1,0.1)</f>
        <v>292.5</v>
      </c>
      <c r="H1672" s="363"/>
      <c r="I1672" s="647">
        <f>CEILING(211*$Z$1,0.1)</f>
        <v>263.8</v>
      </c>
      <c r="J1672" s="363"/>
      <c r="K1672" s="104"/>
      <c r="L1672" s="282"/>
      <c r="M1672" s="22"/>
      <c r="N1672" s="22"/>
      <c r="V1672" s="993"/>
      <c r="W1672" s="993"/>
      <c r="X1672" s="993"/>
      <c r="Y1672" s="993"/>
    </row>
    <row r="1673" spans="1:25" ht="19.5" customHeight="1">
      <c r="A1673" s="37"/>
      <c r="B1673" s="14" t="s">
        <v>1095</v>
      </c>
      <c r="C1673" s="647">
        <f>CEILING((C1672+105.5*$Z$1),0.1)</f>
        <v>395.70000000000005</v>
      </c>
      <c r="D1673" s="358"/>
      <c r="E1673" s="647">
        <f>CEILING((E1672+140*$Z$1),0.1)</f>
        <v>525</v>
      </c>
      <c r="F1673" s="358"/>
      <c r="G1673" s="647">
        <f>CEILING((G1672+117*$Z$1),0.1)</f>
        <v>438.8</v>
      </c>
      <c r="H1673" s="358"/>
      <c r="I1673" s="647">
        <f>CEILING((I1672+105.5*$Z$1),0.1)</f>
        <v>395.70000000000005</v>
      </c>
      <c r="J1673" s="358"/>
      <c r="K1673" s="104"/>
      <c r="L1673" s="282"/>
      <c r="M1673" s="22"/>
      <c r="N1673" s="22"/>
      <c r="V1673" s="993"/>
      <c r="W1673" s="993"/>
      <c r="X1673" s="993"/>
      <c r="Y1673" s="993"/>
    </row>
    <row r="1674" spans="1:25" ht="16.5" customHeight="1">
      <c r="A1674" s="37"/>
      <c r="B1674" s="14" t="s">
        <v>592</v>
      </c>
      <c r="C1674" s="647">
        <f>CEILING(235*$Z$1,0.1)</f>
        <v>293.8</v>
      </c>
      <c r="D1674" s="363"/>
      <c r="E1674" s="647">
        <f>CEILING(312*$Z$1,0.1)</f>
        <v>390</v>
      </c>
      <c r="F1674" s="363"/>
      <c r="G1674" s="647">
        <f>CEILING(261*$Z$1,0.1)</f>
        <v>326.3</v>
      </c>
      <c r="H1674" s="363"/>
      <c r="I1674" s="647">
        <f>CEILING(235*$Z$1,0.1)</f>
        <v>293.8</v>
      </c>
      <c r="J1674" s="363"/>
      <c r="K1674" s="104"/>
      <c r="L1674" s="282"/>
      <c r="M1674" s="22"/>
      <c r="N1674" s="22"/>
      <c r="R1674" s="264"/>
      <c r="S1674" s="264"/>
      <c r="V1674" s="993"/>
      <c r="W1674" s="993"/>
      <c r="X1674" s="993"/>
      <c r="Y1674" s="993"/>
    </row>
    <row r="1675" spans="1:25" ht="16.5" customHeight="1">
      <c r="A1675" s="37"/>
      <c r="B1675" s="14" t="s">
        <v>593</v>
      </c>
      <c r="C1675" s="647">
        <f>CEILING((C1674+117.5*$Z$1),0.1)</f>
        <v>440.70000000000005</v>
      </c>
      <c r="D1675" s="358"/>
      <c r="E1675" s="647">
        <f>CEILING((E1674+156*$Z$1),0.1)</f>
        <v>585</v>
      </c>
      <c r="F1675" s="358"/>
      <c r="G1675" s="647">
        <f>CEILING((G1674+130.5*$Z$1),0.1)</f>
        <v>489.5</v>
      </c>
      <c r="H1675" s="358"/>
      <c r="I1675" s="647">
        <f>CEILING((I1674+117.5*$Z$1),0.1)</f>
        <v>440.70000000000005</v>
      </c>
      <c r="J1675" s="358"/>
      <c r="K1675" s="104"/>
      <c r="L1675" s="104"/>
      <c r="M1675" s="22"/>
      <c r="R1675" s="17"/>
      <c r="S1675" s="17"/>
      <c r="V1675" s="993"/>
      <c r="W1675" s="993"/>
      <c r="X1675" s="993"/>
      <c r="Y1675" s="993"/>
    </row>
    <row r="1676" spans="1:25" ht="15" customHeight="1">
      <c r="A1676" s="37"/>
      <c r="B1676" s="14" t="s">
        <v>594</v>
      </c>
      <c r="C1676" s="647">
        <f>CEILING(243*$Z$1,0.1)</f>
        <v>303.8</v>
      </c>
      <c r="D1676" s="363"/>
      <c r="E1676" s="647">
        <f>CEILING(323*$Z$1,0.1)</f>
        <v>403.8</v>
      </c>
      <c r="F1676" s="363"/>
      <c r="G1676" s="647">
        <f>CEILING(270*$Z$1,0.1)</f>
        <v>337.5</v>
      </c>
      <c r="H1676" s="363"/>
      <c r="I1676" s="647">
        <f>CEILING(243*$Z$1,0.1)</f>
        <v>303.8</v>
      </c>
      <c r="J1676" s="363"/>
      <c r="K1676" s="104"/>
      <c r="L1676" s="104"/>
      <c r="M1676" s="992"/>
      <c r="R1676" s="3"/>
      <c r="S1676" s="3"/>
      <c r="V1676" s="993"/>
      <c r="W1676" s="993"/>
      <c r="X1676" s="993"/>
      <c r="Y1676" s="993"/>
    </row>
    <row r="1677" spans="1:256" ht="21" customHeight="1" thickBot="1">
      <c r="A1677" s="545"/>
      <c r="B1677" s="546" t="s">
        <v>595</v>
      </c>
      <c r="C1677" s="547">
        <f>CEILING((C1676+121.5*$Z$1),0.1)</f>
        <v>455.70000000000005</v>
      </c>
      <c r="D1677" s="548"/>
      <c r="E1677" s="547">
        <f>CEILING((E1676+161.5*$Z$1),0.1)</f>
        <v>605.7</v>
      </c>
      <c r="F1677" s="548"/>
      <c r="G1677" s="547">
        <f>CEILING((G1676+135*$Z$1),0.1)</f>
        <v>506.3</v>
      </c>
      <c r="H1677" s="548"/>
      <c r="I1677" s="547">
        <f>CEILING((I1676+121.5*$Z$1),0.1)</f>
        <v>455.70000000000005</v>
      </c>
      <c r="J1677" s="548"/>
      <c r="K1677" s="385"/>
      <c r="L1677" s="386"/>
      <c r="M1677" s="662"/>
      <c r="N1677" s="662"/>
      <c r="O1677" s="662"/>
      <c r="P1677" s="662"/>
      <c r="Q1677" s="444"/>
      <c r="R1677" s="386"/>
      <c r="S1677" s="385"/>
      <c r="T1677" s="386"/>
      <c r="U1677" s="662"/>
      <c r="V1677" s="662"/>
      <c r="W1677" s="662"/>
      <c r="X1677" s="662"/>
      <c r="Y1677" s="444" t="s">
        <v>875</v>
      </c>
      <c r="Z1677" s="386"/>
      <c r="AA1677" s="385"/>
      <c r="AB1677" s="386"/>
      <c r="AC1677" s="662"/>
      <c r="AD1677" s="662"/>
      <c r="AE1677" s="662"/>
      <c r="AF1677" s="662"/>
      <c r="AG1677" s="444" t="s">
        <v>875</v>
      </c>
      <c r="AH1677" s="386"/>
      <c r="AI1677" s="385"/>
      <c r="AJ1677" s="386"/>
      <c r="AK1677" s="662"/>
      <c r="AL1677" s="662"/>
      <c r="AM1677" s="662"/>
      <c r="AN1677" s="662"/>
      <c r="AO1677" s="444" t="s">
        <v>875</v>
      </c>
      <c r="AP1677" s="386"/>
      <c r="AQ1677" s="385"/>
      <c r="AR1677" s="386"/>
      <c r="AS1677" s="662"/>
      <c r="AT1677" s="662"/>
      <c r="AU1677" s="662"/>
      <c r="AV1677" s="662"/>
      <c r="AW1677" s="444" t="s">
        <v>875</v>
      </c>
      <c r="AX1677" s="386"/>
      <c r="AY1677" s="385"/>
      <c r="AZ1677" s="386"/>
      <c r="BA1677" s="662"/>
      <c r="BB1677" s="662"/>
      <c r="BC1677" s="662"/>
      <c r="BD1677" s="662"/>
      <c r="BE1677" s="444" t="s">
        <v>875</v>
      </c>
      <c r="BF1677" s="386"/>
      <c r="BG1677" s="385"/>
      <c r="BH1677" s="386"/>
      <c r="BI1677" s="662"/>
      <c r="BJ1677" s="662"/>
      <c r="BK1677" s="662"/>
      <c r="BL1677" s="662"/>
      <c r="BM1677" s="444" t="s">
        <v>875</v>
      </c>
      <c r="BN1677" s="386"/>
      <c r="BO1677" s="385"/>
      <c r="BP1677" s="386"/>
      <c r="BQ1677" s="662"/>
      <c r="BR1677" s="662"/>
      <c r="BS1677" s="662"/>
      <c r="BT1677" s="662"/>
      <c r="BU1677" s="444" t="s">
        <v>875</v>
      </c>
      <c r="BV1677" s="386"/>
      <c r="BW1677" s="385"/>
      <c r="BX1677" s="386"/>
      <c r="BY1677" s="662"/>
      <c r="BZ1677" s="662"/>
      <c r="CA1677" s="662"/>
      <c r="CB1677" s="662"/>
      <c r="CC1677" s="444" t="s">
        <v>875</v>
      </c>
      <c r="CD1677" s="386"/>
      <c r="CE1677" s="385"/>
      <c r="CF1677" s="386"/>
      <c r="CG1677" s="662"/>
      <c r="CH1677" s="662"/>
      <c r="CI1677" s="662"/>
      <c r="CJ1677" s="662"/>
      <c r="CK1677" s="444" t="s">
        <v>875</v>
      </c>
      <c r="CL1677" s="386"/>
      <c r="CM1677" s="385"/>
      <c r="CN1677" s="386"/>
      <c r="CO1677" s="662"/>
      <c r="CP1677" s="662"/>
      <c r="CQ1677" s="662"/>
      <c r="CR1677" s="662"/>
      <c r="CS1677" s="444" t="s">
        <v>875</v>
      </c>
      <c r="CT1677" s="386"/>
      <c r="CU1677" s="385"/>
      <c r="CV1677" s="386"/>
      <c r="CW1677" s="662"/>
      <c r="CX1677" s="662"/>
      <c r="CY1677" s="662"/>
      <c r="CZ1677" s="662"/>
      <c r="DA1677" s="444" t="s">
        <v>875</v>
      </c>
      <c r="DB1677" s="386"/>
      <c r="DC1677" s="385"/>
      <c r="DD1677" s="386"/>
      <c r="DE1677" s="662"/>
      <c r="DF1677" s="662"/>
      <c r="DG1677" s="662"/>
      <c r="DH1677" s="662"/>
      <c r="DI1677" s="444" t="s">
        <v>875</v>
      </c>
      <c r="DJ1677" s="386"/>
      <c r="DK1677" s="385"/>
      <c r="DL1677" s="386"/>
      <c r="DM1677" s="662"/>
      <c r="DN1677" s="662"/>
      <c r="DO1677" s="662"/>
      <c r="DP1677" s="662"/>
      <c r="DQ1677" s="444" t="s">
        <v>875</v>
      </c>
      <c r="DR1677" s="386"/>
      <c r="DS1677" s="385"/>
      <c r="DT1677" s="386"/>
      <c r="DU1677" s="662"/>
      <c r="DV1677" s="662"/>
      <c r="DW1677" s="662"/>
      <c r="DX1677" s="662"/>
      <c r="DY1677" s="444" t="s">
        <v>875</v>
      </c>
      <c r="DZ1677" s="386"/>
      <c r="EA1677" s="385"/>
      <c r="EB1677" s="386"/>
      <c r="EC1677" s="662"/>
      <c r="ED1677" s="662"/>
      <c r="EE1677" s="662"/>
      <c r="EF1677" s="662"/>
      <c r="EG1677" s="444" t="s">
        <v>875</v>
      </c>
      <c r="EH1677" s="386"/>
      <c r="EI1677" s="385"/>
      <c r="EJ1677" s="386"/>
      <c r="EK1677" s="662"/>
      <c r="EL1677" s="662"/>
      <c r="EM1677" s="662"/>
      <c r="EN1677" s="662"/>
      <c r="EO1677" s="444" t="s">
        <v>875</v>
      </c>
      <c r="EP1677" s="386"/>
      <c r="EQ1677" s="385"/>
      <c r="ER1677" s="386"/>
      <c r="ES1677" s="662"/>
      <c r="ET1677" s="662"/>
      <c r="EU1677" s="662"/>
      <c r="EV1677" s="662"/>
      <c r="EW1677" s="444" t="s">
        <v>875</v>
      </c>
      <c r="EX1677" s="386"/>
      <c r="EY1677" s="385"/>
      <c r="EZ1677" s="386"/>
      <c r="FA1677" s="662"/>
      <c r="FB1677" s="662"/>
      <c r="FC1677" s="662"/>
      <c r="FD1677" s="662"/>
      <c r="FE1677" s="444" t="s">
        <v>875</v>
      </c>
      <c r="FF1677" s="386"/>
      <c r="FG1677" s="385"/>
      <c r="FH1677" s="386"/>
      <c r="FI1677" s="662"/>
      <c r="FJ1677" s="662"/>
      <c r="FK1677" s="662"/>
      <c r="FL1677" s="662"/>
      <c r="FM1677" s="444" t="s">
        <v>875</v>
      </c>
      <c r="FN1677" s="386"/>
      <c r="FO1677" s="385"/>
      <c r="FP1677" s="386"/>
      <c r="FQ1677" s="662"/>
      <c r="FR1677" s="662"/>
      <c r="FS1677" s="662"/>
      <c r="FT1677" s="662"/>
      <c r="FU1677" s="444" t="s">
        <v>875</v>
      </c>
      <c r="FV1677" s="386"/>
      <c r="FW1677" s="385"/>
      <c r="FX1677" s="386"/>
      <c r="FY1677" s="662"/>
      <c r="FZ1677" s="662"/>
      <c r="GA1677" s="662"/>
      <c r="GB1677" s="662"/>
      <c r="GC1677" s="444" t="s">
        <v>875</v>
      </c>
      <c r="GD1677" s="386"/>
      <c r="GE1677" s="385"/>
      <c r="GF1677" s="386"/>
      <c r="GG1677" s="662"/>
      <c r="GH1677" s="662"/>
      <c r="GI1677" s="662"/>
      <c r="GJ1677" s="662"/>
      <c r="GK1677" s="444" t="s">
        <v>875</v>
      </c>
      <c r="GL1677" s="386"/>
      <c r="GM1677" s="385"/>
      <c r="GN1677" s="386"/>
      <c r="GO1677" s="662"/>
      <c r="GP1677" s="662"/>
      <c r="GQ1677" s="662"/>
      <c r="GR1677" s="662"/>
      <c r="GS1677" s="444" t="s">
        <v>875</v>
      </c>
      <c r="GT1677" s="386"/>
      <c r="GU1677" s="385"/>
      <c r="GV1677" s="386"/>
      <c r="GW1677" s="662"/>
      <c r="GX1677" s="662"/>
      <c r="GY1677" s="662"/>
      <c r="GZ1677" s="662"/>
      <c r="HA1677" s="444" t="s">
        <v>875</v>
      </c>
      <c r="HB1677" s="386"/>
      <c r="HC1677" s="385"/>
      <c r="HD1677" s="386"/>
      <c r="HE1677" s="662"/>
      <c r="HF1677" s="662"/>
      <c r="HG1677" s="662"/>
      <c r="HH1677" s="662"/>
      <c r="HI1677" s="444" t="s">
        <v>875</v>
      </c>
      <c r="HJ1677" s="386"/>
      <c r="HK1677" s="385"/>
      <c r="HL1677" s="386"/>
      <c r="HM1677" s="662"/>
      <c r="HN1677" s="662"/>
      <c r="HO1677" s="662"/>
      <c r="HP1677" s="662"/>
      <c r="HQ1677" s="444" t="s">
        <v>875</v>
      </c>
      <c r="HR1677" s="386"/>
      <c r="HS1677" s="385"/>
      <c r="HT1677" s="386"/>
      <c r="HU1677" s="662"/>
      <c r="HV1677" s="662"/>
      <c r="HW1677" s="662"/>
      <c r="HX1677" s="662"/>
      <c r="HY1677" s="444" t="s">
        <v>875</v>
      </c>
      <c r="HZ1677" s="386"/>
      <c r="IA1677" s="385"/>
      <c r="IB1677" s="386"/>
      <c r="IC1677" s="662"/>
      <c r="ID1677" s="662"/>
      <c r="IE1677" s="662"/>
      <c r="IF1677" s="662"/>
      <c r="IG1677" s="444" t="s">
        <v>875</v>
      </c>
      <c r="IH1677" s="386"/>
      <c r="II1677" s="385"/>
      <c r="IJ1677" s="386"/>
      <c r="IK1677" s="662"/>
      <c r="IL1677" s="662"/>
      <c r="IM1677" s="662"/>
      <c r="IN1677" s="662"/>
      <c r="IO1677" s="444" t="s">
        <v>875</v>
      </c>
      <c r="IP1677" s="386"/>
      <c r="IQ1677" s="385"/>
      <c r="IR1677" s="386"/>
      <c r="IS1677" s="662"/>
      <c r="IT1677" s="662"/>
      <c r="IU1677" s="662"/>
      <c r="IV1677" s="662"/>
    </row>
    <row r="1678" spans="1:25" ht="15">
      <c r="A1678" s="847" t="s">
        <v>596</v>
      </c>
      <c r="B1678" s="847"/>
      <c r="C1678" s="847"/>
      <c r="D1678" s="847"/>
      <c r="E1678" s="847"/>
      <c r="F1678" s="847"/>
      <c r="G1678" s="847"/>
      <c r="H1678" s="847"/>
      <c r="I1678" s="847"/>
      <c r="J1678" s="847"/>
      <c r="K1678" s="294"/>
      <c r="L1678" s="294"/>
      <c r="M1678" s="1032"/>
      <c r="R1678" s="3"/>
      <c r="S1678" s="3"/>
      <c r="U1678" s="993"/>
      <c r="V1678" s="993"/>
      <c r="W1678" s="993"/>
      <c r="X1678" s="993"/>
      <c r="Y1678" s="993"/>
    </row>
    <row r="1679" spans="1:25" ht="16.5" customHeight="1">
      <c r="A1679" s="170" t="s">
        <v>1096</v>
      </c>
      <c r="B1679" s="54"/>
      <c r="C1679" s="3"/>
      <c r="D1679" s="3"/>
      <c r="E1679" s="3"/>
      <c r="F1679" s="3"/>
      <c r="G1679" s="3"/>
      <c r="H1679" s="3"/>
      <c r="I1679" s="653"/>
      <c r="J1679" s="20"/>
      <c r="K1679" s="295"/>
      <c r="L1679" s="295"/>
      <c r="M1679" s="1032"/>
      <c r="Q1679" s="993"/>
      <c r="R1679" s="993"/>
      <c r="S1679" s="993"/>
      <c r="T1679" s="993"/>
      <c r="U1679" s="993"/>
      <c r="V1679" s="993"/>
      <c r="W1679" s="993"/>
      <c r="X1679" s="993"/>
      <c r="Y1679" s="993"/>
    </row>
    <row r="1680" spans="1:25" ht="17.25" customHeight="1">
      <c r="A1680" s="170" t="s">
        <v>1097</v>
      </c>
      <c r="B1680" s="54"/>
      <c r="C1680" s="3"/>
      <c r="D1680" s="3"/>
      <c r="E1680" s="3"/>
      <c r="F1680" s="3"/>
      <c r="G1680" s="3"/>
      <c r="H1680" s="3"/>
      <c r="I1680" s="653"/>
      <c r="J1680" s="22"/>
      <c r="K1680" s="265"/>
      <c r="L1680" s="265"/>
      <c r="M1680" s="1032"/>
      <c r="R1680" s="993"/>
      <c r="S1680" s="993"/>
      <c r="T1680" s="993"/>
      <c r="U1680" s="993"/>
      <c r="V1680" s="993"/>
      <c r="W1680" s="993"/>
      <c r="X1680" s="993"/>
      <c r="Y1680" s="993"/>
    </row>
    <row r="1681" spans="1:25" ht="15.75" customHeight="1">
      <c r="A1681" s="782" t="s">
        <v>49</v>
      </c>
      <c r="B1681" s="920"/>
      <c r="C1681" s="922" t="s">
        <v>871</v>
      </c>
      <c r="D1681" s="923"/>
      <c r="E1681" s="928"/>
      <c r="F1681" s="786"/>
      <c r="G1681" s="786"/>
      <c r="H1681" s="786"/>
      <c r="I1681" s="368"/>
      <c r="J1681" s="1214"/>
      <c r="K1681" s="265"/>
      <c r="L1681" s="265"/>
      <c r="M1681" s="1032"/>
      <c r="Q1681" s="993"/>
      <c r="R1681" s="993"/>
      <c r="S1681" s="993"/>
      <c r="T1681" s="993"/>
      <c r="U1681" s="993"/>
      <c r="V1681" s="993"/>
      <c r="W1681" s="993"/>
      <c r="X1681" s="993"/>
      <c r="Y1681" s="993"/>
    </row>
    <row r="1682" spans="1:25" ht="15.75" customHeight="1">
      <c r="A1682" s="783"/>
      <c r="B1682" s="921"/>
      <c r="C1682" s="443" t="s">
        <v>111</v>
      </c>
      <c r="D1682" s="443" t="s">
        <v>113</v>
      </c>
      <c r="E1682" s="312"/>
      <c r="F1682" s="309"/>
      <c r="G1682" s="309"/>
      <c r="H1682" s="309"/>
      <c r="I1682" s="309"/>
      <c r="J1682" s="309"/>
      <c r="K1682" s="265"/>
      <c r="L1682" s="265"/>
      <c r="M1682" s="1032"/>
      <c r="O1682" s="203"/>
      <c r="P1682" s="1215"/>
      <c r="V1682" s="993"/>
      <c r="W1682" s="993"/>
      <c r="X1682" s="993"/>
      <c r="Y1682" s="993"/>
    </row>
    <row r="1683" spans="1:16" ht="15">
      <c r="A1683" s="53" t="s">
        <v>186</v>
      </c>
      <c r="B1683" s="142" t="s">
        <v>57</v>
      </c>
      <c r="C1683" s="647">
        <f>CEILING(93*$Z$1,0.1)</f>
        <v>116.30000000000001</v>
      </c>
      <c r="D1683" s="8"/>
      <c r="E1683" s="652"/>
      <c r="F1683" s="653"/>
      <c r="G1683" s="653"/>
      <c r="H1683" s="653"/>
      <c r="I1683" s="653"/>
      <c r="J1683" s="653"/>
      <c r="K1683" s="265"/>
      <c r="L1683" s="265"/>
      <c r="M1683" s="1032"/>
      <c r="O1683" s="203"/>
      <c r="P1683" s="1215"/>
    </row>
    <row r="1684" spans="1:13" ht="16.5" customHeight="1">
      <c r="A1684" s="372" t="s">
        <v>792</v>
      </c>
      <c r="B1684" s="12" t="s">
        <v>58</v>
      </c>
      <c r="C1684" s="647">
        <f>CEILING(132*$Z$1,0.1)</f>
        <v>165</v>
      </c>
      <c r="D1684" s="4"/>
      <c r="E1684" s="652"/>
      <c r="F1684" s="653"/>
      <c r="G1684" s="653"/>
      <c r="H1684" s="653"/>
      <c r="I1684" s="653"/>
      <c r="J1684" s="653"/>
      <c r="K1684" s="265"/>
      <c r="L1684" s="265"/>
      <c r="M1684" s="1032"/>
    </row>
    <row r="1685" spans="1:16" ht="15">
      <c r="A1685" s="171" t="s">
        <v>793</v>
      </c>
      <c r="B1685" s="138" t="s">
        <v>86</v>
      </c>
      <c r="C1685" s="647">
        <f>CEILING((C1683*0.85),0.1)</f>
        <v>98.9</v>
      </c>
      <c r="D1685" s="4"/>
      <c r="E1685" s="652"/>
      <c r="F1685" s="653"/>
      <c r="G1685" s="653"/>
      <c r="H1685" s="653"/>
      <c r="I1685" s="653"/>
      <c r="J1685" s="653"/>
      <c r="K1685" s="265"/>
      <c r="L1685" s="265"/>
      <c r="M1685" s="1032"/>
      <c r="O1685" s="203"/>
      <c r="P1685" s="1215"/>
    </row>
    <row r="1686" spans="1:16" ht="15">
      <c r="A1686" s="171" t="s">
        <v>1035</v>
      </c>
      <c r="B1686" s="14" t="s">
        <v>85</v>
      </c>
      <c r="C1686" s="647">
        <f>CEILING((C1683*0.5),0.1)</f>
        <v>58.2</v>
      </c>
      <c r="D1686" s="4"/>
      <c r="E1686" s="652"/>
      <c r="F1686" s="653"/>
      <c r="G1686" s="653"/>
      <c r="H1686" s="653"/>
      <c r="I1686" s="653"/>
      <c r="J1686" s="653"/>
      <c r="K1686" s="265"/>
      <c r="L1686" s="265"/>
      <c r="M1686" s="1032"/>
      <c r="O1686" s="203"/>
      <c r="P1686" s="1215"/>
    </row>
    <row r="1687" spans="1:13" ht="21.75" customHeight="1">
      <c r="A1687" s="171"/>
      <c r="B1687" s="12" t="s">
        <v>1036</v>
      </c>
      <c r="C1687" s="647">
        <f>CEILING(115*$Z$1,0.1)</f>
        <v>143.8</v>
      </c>
      <c r="D1687" s="4"/>
      <c r="E1687" s="652"/>
      <c r="F1687" s="653"/>
      <c r="G1687" s="653"/>
      <c r="H1687" s="653"/>
      <c r="I1687" s="653"/>
      <c r="J1687" s="653"/>
      <c r="K1687" s="294"/>
      <c r="L1687" s="294"/>
      <c r="M1687" s="1032"/>
    </row>
    <row r="1688" spans="1:13" ht="15">
      <c r="A1688" s="66"/>
      <c r="B1688" s="13" t="s">
        <v>1037</v>
      </c>
      <c r="C1688" s="647">
        <f>CEILING(155*$Z$1,0.1)</f>
        <v>193.8</v>
      </c>
      <c r="D1688" s="4"/>
      <c r="E1688" s="652"/>
      <c r="F1688" s="653"/>
      <c r="G1688" s="653"/>
      <c r="H1688" s="653"/>
      <c r="I1688" s="653"/>
      <c r="J1688" s="653"/>
      <c r="K1688" s="294"/>
      <c r="L1688" s="294"/>
      <c r="M1688" s="1032"/>
    </row>
    <row r="1689" spans="1:13" ht="15">
      <c r="A1689" s="66" t="s">
        <v>872</v>
      </c>
      <c r="B1689" s="12" t="s">
        <v>68</v>
      </c>
      <c r="C1689" s="363">
        <f>CEILING(133*$Z$1,0.1)</f>
        <v>166.3</v>
      </c>
      <c r="D1689" s="4"/>
      <c r="E1689" s="652"/>
      <c r="F1689" s="653"/>
      <c r="G1689" s="653"/>
      <c r="H1689" s="653"/>
      <c r="I1689" s="653"/>
      <c r="J1689" s="653"/>
      <c r="K1689" s="295"/>
      <c r="L1689" s="295"/>
      <c r="M1689" s="1032"/>
    </row>
    <row r="1690" spans="1:13" ht="15.75" thickBot="1">
      <c r="A1690" s="86" t="s">
        <v>491</v>
      </c>
      <c r="B1690" s="45" t="s">
        <v>69</v>
      </c>
      <c r="C1690" s="364">
        <f>CEILING(173*$Z$1,0.1)</f>
        <v>216.3</v>
      </c>
      <c r="D1690" s="7"/>
      <c r="E1690" s="652"/>
      <c r="F1690" s="653"/>
      <c r="G1690" s="653"/>
      <c r="H1690" s="653"/>
      <c r="I1690" s="653"/>
      <c r="J1690" s="653"/>
      <c r="K1690" s="265"/>
      <c r="L1690" s="265"/>
      <c r="M1690" s="1032"/>
    </row>
    <row r="1691" spans="1:13" ht="15.75" thickTop="1">
      <c r="A1691" s="458" t="s">
        <v>1032</v>
      </c>
      <c r="B1691" s="618"/>
      <c r="C1691" s="619"/>
      <c r="D1691" s="618"/>
      <c r="E1691" s="653"/>
      <c r="F1691" s="653"/>
      <c r="G1691" s="653"/>
      <c r="H1691" s="653"/>
      <c r="I1691" s="458"/>
      <c r="J1691" s="618"/>
      <c r="K1691" s="265"/>
      <c r="L1691" s="265"/>
      <c r="M1691" s="1032"/>
    </row>
    <row r="1692" spans="1:13" ht="15">
      <c r="A1692" s="777" t="s">
        <v>49</v>
      </c>
      <c r="B1692" s="540"/>
      <c r="C1692" s="760" t="s">
        <v>884</v>
      </c>
      <c r="D1692" s="761"/>
      <c r="E1692" s="722" t="s">
        <v>885</v>
      </c>
      <c r="F1692" s="723"/>
      <c r="G1692" s="784" t="s">
        <v>992</v>
      </c>
      <c r="H1692" s="785"/>
      <c r="I1692" s="856"/>
      <c r="J1692" s="856"/>
      <c r="K1692" s="265"/>
      <c r="L1692" s="265"/>
      <c r="M1692" s="1032"/>
    </row>
    <row r="1693" spans="1:13" ht="15">
      <c r="A1693" s="927"/>
      <c r="B1693" s="521"/>
      <c r="C1693" s="447" t="s">
        <v>111</v>
      </c>
      <c r="D1693" s="447" t="s">
        <v>113</v>
      </c>
      <c r="E1693" s="447" t="s">
        <v>111</v>
      </c>
      <c r="F1693" s="448" t="s">
        <v>113</v>
      </c>
      <c r="G1693" s="447" t="s">
        <v>111</v>
      </c>
      <c r="H1693" s="447" t="s">
        <v>113</v>
      </c>
      <c r="I1693" s="17"/>
      <c r="J1693" s="17"/>
      <c r="K1693" s="265"/>
      <c r="L1693" s="265"/>
      <c r="M1693" s="1032"/>
    </row>
    <row r="1694" spans="1:13" ht="15">
      <c r="A1694" s="208" t="s">
        <v>187</v>
      </c>
      <c r="B1694" s="14" t="s">
        <v>57</v>
      </c>
      <c r="C1694" s="647">
        <f>CEILING(59*$Z$1,0.1)</f>
        <v>73.8</v>
      </c>
      <c r="D1694" s="647"/>
      <c r="E1694" s="647">
        <f>CEILING(74*$Z$1,0.1)</f>
        <v>92.5</v>
      </c>
      <c r="F1694" s="647"/>
      <c r="G1694" s="647">
        <f>CEILING(59*$Z$1,0.1)</f>
        <v>73.8</v>
      </c>
      <c r="H1694" s="363"/>
      <c r="I1694" s="3"/>
      <c r="J1694" s="3"/>
      <c r="K1694" s="265"/>
      <c r="L1694" s="265"/>
      <c r="M1694" s="1032"/>
    </row>
    <row r="1695" spans="1:13" ht="15">
      <c r="A1695" s="177" t="s">
        <v>65</v>
      </c>
      <c r="B1695" s="14" t="s">
        <v>58</v>
      </c>
      <c r="C1695" s="647">
        <f>CEILING((C1694+35*$Z$1),0.1)</f>
        <v>117.60000000000001</v>
      </c>
      <c r="D1695" s="358"/>
      <c r="E1695" s="647">
        <f>CEILING((E1694+35*$Z$1),0.1)</f>
        <v>136.3</v>
      </c>
      <c r="F1695" s="363"/>
      <c r="G1695" s="647">
        <f>CEILING((G1694+35*$Z$1),0.1)</f>
        <v>117.60000000000001</v>
      </c>
      <c r="H1695" s="358"/>
      <c r="I1695" s="3"/>
      <c r="J1695" s="3"/>
      <c r="K1695" s="265"/>
      <c r="L1695" s="265"/>
      <c r="M1695" s="1032"/>
    </row>
    <row r="1696" spans="1:13" ht="15">
      <c r="A1696" s="177"/>
      <c r="B1696" s="138" t="s">
        <v>86</v>
      </c>
      <c r="C1696" s="647">
        <f>CEILING((C1694*0.85),0.1)</f>
        <v>62.800000000000004</v>
      </c>
      <c r="D1696" s="358"/>
      <c r="E1696" s="647">
        <f>CEILING((E1694*0.85),0.1)</f>
        <v>78.7</v>
      </c>
      <c r="F1696" s="358"/>
      <c r="G1696" s="647">
        <f>CEILING((G1694*0.85),0.1)</f>
        <v>62.800000000000004</v>
      </c>
      <c r="H1696" s="358"/>
      <c r="I1696" s="3"/>
      <c r="J1696" s="3"/>
      <c r="K1696" s="265"/>
      <c r="L1696" s="265"/>
      <c r="M1696" s="1032"/>
    </row>
    <row r="1697" spans="1:13" ht="15">
      <c r="A1697" s="622" t="s">
        <v>490</v>
      </c>
      <c r="B1697" s="220" t="s">
        <v>78</v>
      </c>
      <c r="C1697" s="658">
        <f>CEILING((C1694*0.5),0.1)</f>
        <v>36.9</v>
      </c>
      <c r="D1697" s="658"/>
      <c r="E1697" s="658">
        <f>CEILING((E1694*0.5),0.1)</f>
        <v>46.300000000000004</v>
      </c>
      <c r="F1697" s="658"/>
      <c r="G1697" s="658">
        <f>CEILING((G1694*0.5),0.1)</f>
        <v>36.9</v>
      </c>
      <c r="H1697" s="377"/>
      <c r="I1697" s="3"/>
      <c r="J1697" s="3"/>
      <c r="K1697" s="265"/>
      <c r="L1697" s="265"/>
      <c r="M1697" s="1032"/>
    </row>
    <row r="1698" spans="1:25" s="1140" customFormat="1" ht="15">
      <c r="A1698" s="82" t="s">
        <v>1063</v>
      </c>
      <c r="B1698" s="54"/>
      <c r="C1698" s="656"/>
      <c r="D1698" s="656"/>
      <c r="E1698" s="656"/>
      <c r="F1698" s="656"/>
      <c r="G1698" s="656"/>
      <c r="H1698" s="656"/>
      <c r="I1698" s="3"/>
      <c r="J1698" s="3"/>
      <c r="K1698" s="265"/>
      <c r="L1698" s="265"/>
      <c r="M1698" s="1032"/>
      <c r="N1698" s="1032"/>
      <c r="O1698" s="1032"/>
      <c r="P1698" s="1032"/>
      <c r="Q1698" s="1032"/>
      <c r="R1698" s="1032"/>
      <c r="S1698" s="1032"/>
      <c r="T1698" s="1032"/>
      <c r="U1698" s="1032"/>
      <c r="V1698" s="1032"/>
      <c r="W1698" s="1032"/>
      <c r="X1698" s="1032"/>
      <c r="Y1698" s="1032"/>
    </row>
    <row r="1699" spans="1:13" ht="15">
      <c r="A1699" s="170" t="s">
        <v>1059</v>
      </c>
      <c r="B1699" s="54"/>
      <c r="C1699" s="3"/>
      <c r="D1699" s="656"/>
      <c r="E1699" s="656"/>
      <c r="F1699" s="656"/>
      <c r="G1699" s="656"/>
      <c r="H1699" s="656"/>
      <c r="I1699" s="3"/>
      <c r="J1699" s="3"/>
      <c r="K1699" s="265"/>
      <c r="L1699" s="265"/>
      <c r="M1699" s="1032"/>
    </row>
    <row r="1700" spans="1:13" ht="17.25" customHeight="1">
      <c r="A1700" s="170" t="s">
        <v>1057</v>
      </c>
      <c r="B1700" s="54"/>
      <c r="C1700" s="3"/>
      <c r="D1700" s="656"/>
      <c r="E1700" s="656"/>
      <c r="F1700" s="656"/>
      <c r="G1700" s="656"/>
      <c r="H1700" s="656"/>
      <c r="I1700" s="3"/>
      <c r="J1700" s="3"/>
      <c r="K1700" s="265"/>
      <c r="L1700" s="265"/>
      <c r="M1700" s="1032"/>
    </row>
    <row r="1701" spans="1:13" ht="15">
      <c r="A1701" s="170" t="s">
        <v>1060</v>
      </c>
      <c r="B1701" s="54"/>
      <c r="C1701" s="3"/>
      <c r="D1701" s="62"/>
      <c r="E1701" s="62"/>
      <c r="F1701" s="62"/>
      <c r="G1701" s="62"/>
      <c r="H1701" s="62"/>
      <c r="I1701" s="62"/>
      <c r="J1701" s="1032"/>
      <c r="K1701" s="265"/>
      <c r="L1701" s="265"/>
      <c r="M1701" s="1032"/>
    </row>
    <row r="1702" spans="1:13" ht="20.25" customHeight="1">
      <c r="A1702" s="777" t="s">
        <v>49</v>
      </c>
      <c r="B1702" s="540"/>
      <c r="C1702" s="760" t="s">
        <v>884</v>
      </c>
      <c r="D1702" s="761"/>
      <c r="E1702" s="722" t="s">
        <v>885</v>
      </c>
      <c r="F1702" s="723"/>
      <c r="G1702" s="784" t="s">
        <v>956</v>
      </c>
      <c r="H1702" s="785"/>
      <c r="I1702" s="855"/>
      <c r="J1702" s="856"/>
      <c r="K1702" s="265"/>
      <c r="L1702" s="265"/>
      <c r="M1702" s="1032"/>
    </row>
    <row r="1703" spans="1:14" ht="15">
      <c r="A1703" s="927"/>
      <c r="B1703" s="521"/>
      <c r="C1703" s="447" t="s">
        <v>111</v>
      </c>
      <c r="D1703" s="447" t="s">
        <v>113</v>
      </c>
      <c r="E1703" s="447" t="s">
        <v>111</v>
      </c>
      <c r="F1703" s="448" t="s">
        <v>113</v>
      </c>
      <c r="G1703" s="447" t="s">
        <v>111</v>
      </c>
      <c r="H1703" s="447" t="s">
        <v>113</v>
      </c>
      <c r="I1703" s="16"/>
      <c r="J1703" s="17"/>
      <c r="K1703" s="104"/>
      <c r="L1703" s="282"/>
      <c r="M1703" s="18"/>
      <c r="N1703" s="22"/>
    </row>
    <row r="1704" spans="1:25" ht="15.75" customHeight="1">
      <c r="A1704" s="208" t="s">
        <v>188</v>
      </c>
      <c r="B1704" s="14" t="s">
        <v>372</v>
      </c>
      <c r="C1704" s="647">
        <f>CEILING(85*$Z$1,0.1)</f>
        <v>106.30000000000001</v>
      </c>
      <c r="D1704" s="647"/>
      <c r="E1704" s="647">
        <f>CEILING(95*$Z$1,0.1)</f>
        <v>118.80000000000001</v>
      </c>
      <c r="F1704" s="647"/>
      <c r="G1704" s="647">
        <f>CEILING(85*$Z$1,0.1)</f>
        <v>106.30000000000001</v>
      </c>
      <c r="H1704" s="363"/>
      <c r="I1704" s="4"/>
      <c r="J1704" s="3"/>
      <c r="K1704" s="104"/>
      <c r="L1704" s="282"/>
      <c r="M1704" s="18"/>
      <c r="N1704" s="22"/>
      <c r="V1704" s="993"/>
      <c r="W1704" s="993"/>
      <c r="X1704" s="993"/>
      <c r="Y1704" s="993"/>
    </row>
    <row r="1705" spans="1:25" ht="15">
      <c r="A1705" s="177" t="s">
        <v>65</v>
      </c>
      <c r="B1705" s="14" t="s">
        <v>373</v>
      </c>
      <c r="C1705" s="647">
        <f>CEILING(115*$Z$1,0.1)</f>
        <v>143.8</v>
      </c>
      <c r="D1705" s="358"/>
      <c r="E1705" s="647">
        <f>CEILING(135*$Z$1,0.1)</f>
        <v>168.8</v>
      </c>
      <c r="F1705" s="358"/>
      <c r="G1705" s="647">
        <f>CEILING(115*$Z$1,0.1)</f>
        <v>143.8</v>
      </c>
      <c r="H1705" s="358"/>
      <c r="I1705" s="4"/>
      <c r="J1705" s="3"/>
      <c r="K1705" s="104"/>
      <c r="L1705" s="282"/>
      <c r="M1705" s="18"/>
      <c r="N1705" s="22"/>
      <c r="V1705" s="993"/>
      <c r="W1705" s="993"/>
      <c r="X1705" s="993"/>
      <c r="Y1705" s="993"/>
    </row>
    <row r="1706" spans="1:25" ht="20.25" customHeight="1">
      <c r="A1706" s="177"/>
      <c r="B1706" s="138" t="s">
        <v>374</v>
      </c>
      <c r="C1706" s="647">
        <f>CEILING(72*$Z$1,0.1)</f>
        <v>90</v>
      </c>
      <c r="D1706" s="358"/>
      <c r="E1706" s="647">
        <f>CEILING(72*$Z$1,0.1)</f>
        <v>90</v>
      </c>
      <c r="F1706" s="358"/>
      <c r="G1706" s="647">
        <f>CEILING(72*$Z$1,0.1)</f>
        <v>90</v>
      </c>
      <c r="H1706" s="358"/>
      <c r="I1706" s="4"/>
      <c r="J1706" s="3"/>
      <c r="K1706" s="104"/>
      <c r="L1706" s="282"/>
      <c r="M1706" s="18"/>
      <c r="N1706" s="22"/>
      <c r="V1706" s="993"/>
      <c r="W1706" s="993"/>
      <c r="X1706" s="993"/>
      <c r="Y1706" s="993"/>
    </row>
    <row r="1707" spans="1:25" ht="18" customHeight="1">
      <c r="A1707" s="177"/>
      <c r="B1707" s="138" t="s">
        <v>737</v>
      </c>
      <c r="C1707" s="647">
        <f>CEILING((C1704*0.5),0.1)</f>
        <v>53.2</v>
      </c>
      <c r="D1707" s="647"/>
      <c r="E1707" s="647">
        <f>CEILING((E1704*0.5),0.1)</f>
        <v>59.400000000000006</v>
      </c>
      <c r="F1707" s="647"/>
      <c r="G1707" s="647">
        <f>CEILING((G1704*0.5),0.1)</f>
        <v>53.2</v>
      </c>
      <c r="H1707" s="363"/>
      <c r="I1707" s="4"/>
      <c r="J1707" s="3"/>
      <c r="K1707" s="104"/>
      <c r="L1707" s="282"/>
      <c r="M1707" s="18"/>
      <c r="N1707" s="22"/>
      <c r="V1707" s="993"/>
      <c r="W1707" s="993"/>
      <c r="X1707" s="993"/>
      <c r="Y1707" s="993"/>
    </row>
    <row r="1708" spans="1:25" ht="17.25" customHeight="1">
      <c r="A1708" s="177"/>
      <c r="B1708" s="138" t="s">
        <v>375</v>
      </c>
      <c r="C1708" s="647">
        <f>CEILING(90*$Z$1,0.1)</f>
        <v>112.5</v>
      </c>
      <c r="D1708" s="358"/>
      <c r="E1708" s="647">
        <f>CEILING(100*$Z$1,0.1)</f>
        <v>125</v>
      </c>
      <c r="F1708" s="358"/>
      <c r="G1708" s="647">
        <f>CEILING(90*$Z$1,0.1)</f>
        <v>112.5</v>
      </c>
      <c r="H1708" s="358"/>
      <c r="I1708" s="4"/>
      <c r="J1708" s="3"/>
      <c r="K1708" s="104"/>
      <c r="L1708" s="282"/>
      <c r="M1708" s="22"/>
      <c r="N1708" s="22"/>
      <c r="V1708" s="993"/>
      <c r="W1708" s="993"/>
      <c r="X1708" s="993"/>
      <c r="Y1708" s="993"/>
    </row>
    <row r="1709" spans="1:25" ht="15.75" customHeight="1">
      <c r="A1709" s="177"/>
      <c r="B1709" s="14" t="s">
        <v>376</v>
      </c>
      <c r="C1709" s="647">
        <f>CEILING(120*$Z$1,0.1)</f>
        <v>150</v>
      </c>
      <c r="D1709" s="358"/>
      <c r="E1709" s="647">
        <f>CEILING(140*$Z$1,0.1)</f>
        <v>175</v>
      </c>
      <c r="F1709" s="358"/>
      <c r="G1709" s="647">
        <f>CEILING(120*$Z$1,0.1)</f>
        <v>150</v>
      </c>
      <c r="H1709" s="358"/>
      <c r="I1709" s="4"/>
      <c r="J1709" s="3"/>
      <c r="K1709" s="104"/>
      <c r="L1709" s="282"/>
      <c r="M1709" s="22"/>
      <c r="N1709" s="22"/>
      <c r="V1709" s="993"/>
      <c r="W1709" s="993"/>
      <c r="X1709" s="993"/>
      <c r="Y1709" s="993"/>
    </row>
    <row r="1710" spans="1:21" s="1140" customFormat="1" ht="15.75" customHeight="1">
      <c r="A1710" s="177"/>
      <c r="B1710" s="138" t="s">
        <v>377</v>
      </c>
      <c r="C1710" s="647">
        <f>CEILING(77*$Z$1,0.1)</f>
        <v>96.30000000000001</v>
      </c>
      <c r="D1710" s="358"/>
      <c r="E1710" s="647">
        <f>CEILING(77*$Z$1,0.1)</f>
        <v>96.30000000000001</v>
      </c>
      <c r="F1710" s="358"/>
      <c r="G1710" s="647">
        <f>CEILING(77*$Z$1,0.1)</f>
        <v>96.30000000000001</v>
      </c>
      <c r="H1710" s="358"/>
      <c r="I1710" s="4"/>
      <c r="J1710" s="3"/>
      <c r="K1710" s="104"/>
      <c r="L1710" s="104"/>
      <c r="M1710" s="22"/>
      <c r="N1710" s="22"/>
      <c r="O1710" s="1032"/>
      <c r="P1710" s="1032"/>
      <c r="Q1710" s="1032"/>
      <c r="R1710" s="264"/>
      <c r="S1710" s="264"/>
      <c r="T1710" s="1032"/>
      <c r="U1710" s="1032"/>
    </row>
    <row r="1711" spans="1:21" s="1140" customFormat="1" ht="18" customHeight="1">
      <c r="A1711" s="177"/>
      <c r="B1711" s="138" t="s">
        <v>738</v>
      </c>
      <c r="C1711" s="647">
        <f>CEILING((C1708*0.5),0.1)</f>
        <v>56.300000000000004</v>
      </c>
      <c r="D1711" s="647"/>
      <c r="E1711" s="647">
        <f>CEILING((E1708*0.5),0.1)</f>
        <v>62.5</v>
      </c>
      <c r="F1711" s="647"/>
      <c r="G1711" s="647">
        <f>CEILING((G1708*0.5),0.1)</f>
        <v>56.300000000000004</v>
      </c>
      <c r="H1711" s="363"/>
      <c r="I1711" s="4"/>
      <c r="J1711" s="3"/>
      <c r="K1711" s="104"/>
      <c r="L1711" s="104"/>
      <c r="M1711" s="1032"/>
      <c r="N1711" s="1032"/>
      <c r="O1711" s="1032"/>
      <c r="P1711" s="1032"/>
      <c r="Q1711" s="1032"/>
      <c r="R1711" s="3"/>
      <c r="S1711" s="3"/>
      <c r="T1711" s="1032"/>
      <c r="U1711" s="1032"/>
    </row>
    <row r="1712" spans="1:256" s="1140" customFormat="1" ht="21" customHeight="1">
      <c r="A1712" s="622" t="s">
        <v>489</v>
      </c>
      <c r="B1712" s="220" t="s">
        <v>366</v>
      </c>
      <c r="C1712" s="658">
        <f>CEILING(105*$Z$1,0.1)</f>
        <v>131.3</v>
      </c>
      <c r="D1712" s="377"/>
      <c r="E1712" s="658">
        <f>CEILING(115*$Z$1,0.1)</f>
        <v>143.8</v>
      </c>
      <c r="F1712" s="377"/>
      <c r="G1712" s="658">
        <f>CEILING(105*$Z$1,0.1)</f>
        <v>131.3</v>
      </c>
      <c r="H1712" s="377"/>
      <c r="I1712" s="4"/>
      <c r="J1712" s="3"/>
      <c r="K1712" s="619"/>
      <c r="L1712" s="618"/>
      <c r="M1712" s="653"/>
      <c r="N1712" s="653"/>
      <c r="O1712" s="653"/>
      <c r="P1712" s="653"/>
      <c r="Q1712" s="458"/>
      <c r="R1712" s="618"/>
      <c r="S1712" s="619"/>
      <c r="T1712" s="618"/>
      <c r="U1712" s="653"/>
      <c r="V1712" s="653"/>
      <c r="W1712" s="653"/>
      <c r="X1712" s="653"/>
      <c r="Y1712" s="458"/>
      <c r="Z1712" s="618"/>
      <c r="AA1712" s="619"/>
      <c r="AB1712" s="618"/>
      <c r="AC1712" s="653"/>
      <c r="AD1712" s="653"/>
      <c r="AE1712" s="653"/>
      <c r="AF1712" s="653"/>
      <c r="AG1712" s="458"/>
      <c r="AH1712" s="618"/>
      <c r="AI1712" s="619"/>
      <c r="AJ1712" s="618"/>
      <c r="AK1712" s="653"/>
      <c r="AL1712" s="653"/>
      <c r="AM1712" s="653"/>
      <c r="AN1712" s="653"/>
      <c r="AO1712" s="458"/>
      <c r="AP1712" s="618"/>
      <c r="AQ1712" s="619"/>
      <c r="AR1712" s="618"/>
      <c r="AS1712" s="653"/>
      <c r="AT1712" s="653"/>
      <c r="AU1712" s="653"/>
      <c r="AV1712" s="653"/>
      <c r="AW1712" s="458"/>
      <c r="AX1712" s="618"/>
      <c r="AY1712" s="619"/>
      <c r="AZ1712" s="618"/>
      <c r="BA1712" s="653"/>
      <c r="BB1712" s="653"/>
      <c r="BC1712" s="653"/>
      <c r="BD1712" s="653"/>
      <c r="BE1712" s="458"/>
      <c r="BF1712" s="618"/>
      <c r="BG1712" s="619"/>
      <c r="BH1712" s="618"/>
      <c r="BI1712" s="653"/>
      <c r="BJ1712" s="653"/>
      <c r="BK1712" s="653"/>
      <c r="BL1712" s="653"/>
      <c r="BM1712" s="458"/>
      <c r="BN1712" s="618"/>
      <c r="BO1712" s="619"/>
      <c r="BP1712" s="618"/>
      <c r="BQ1712" s="653"/>
      <c r="BR1712" s="653"/>
      <c r="BS1712" s="653"/>
      <c r="BT1712" s="653"/>
      <c r="BU1712" s="458"/>
      <c r="BV1712" s="618"/>
      <c r="BW1712" s="619"/>
      <c r="BX1712" s="618"/>
      <c r="BY1712" s="653"/>
      <c r="BZ1712" s="653"/>
      <c r="CA1712" s="653"/>
      <c r="CB1712" s="653"/>
      <c r="CC1712" s="458"/>
      <c r="CD1712" s="618"/>
      <c r="CE1712" s="619"/>
      <c r="CF1712" s="618"/>
      <c r="CG1712" s="653"/>
      <c r="CH1712" s="653"/>
      <c r="CI1712" s="653"/>
      <c r="CJ1712" s="653"/>
      <c r="CK1712" s="458"/>
      <c r="CL1712" s="618"/>
      <c r="CM1712" s="619"/>
      <c r="CN1712" s="618"/>
      <c r="CO1712" s="653"/>
      <c r="CP1712" s="653"/>
      <c r="CQ1712" s="653"/>
      <c r="CR1712" s="653"/>
      <c r="CS1712" s="458"/>
      <c r="CT1712" s="618"/>
      <c r="CU1712" s="619"/>
      <c r="CV1712" s="618"/>
      <c r="CW1712" s="653"/>
      <c r="CX1712" s="653"/>
      <c r="CY1712" s="653"/>
      <c r="CZ1712" s="653"/>
      <c r="DA1712" s="458"/>
      <c r="DB1712" s="618"/>
      <c r="DC1712" s="619"/>
      <c r="DD1712" s="618"/>
      <c r="DE1712" s="653"/>
      <c r="DF1712" s="653"/>
      <c r="DG1712" s="653"/>
      <c r="DH1712" s="653"/>
      <c r="DI1712" s="458"/>
      <c r="DJ1712" s="618"/>
      <c r="DK1712" s="619"/>
      <c r="DL1712" s="618"/>
      <c r="DM1712" s="653"/>
      <c r="DN1712" s="653"/>
      <c r="DO1712" s="653"/>
      <c r="DP1712" s="653"/>
      <c r="DQ1712" s="458"/>
      <c r="DR1712" s="618"/>
      <c r="DS1712" s="619"/>
      <c r="DT1712" s="618"/>
      <c r="DU1712" s="653"/>
      <c r="DV1712" s="653"/>
      <c r="DW1712" s="653"/>
      <c r="DX1712" s="653"/>
      <c r="DY1712" s="458"/>
      <c r="DZ1712" s="618"/>
      <c r="EA1712" s="619"/>
      <c r="EB1712" s="618"/>
      <c r="EC1712" s="653"/>
      <c r="ED1712" s="653"/>
      <c r="EE1712" s="653"/>
      <c r="EF1712" s="653"/>
      <c r="EG1712" s="458"/>
      <c r="EH1712" s="618"/>
      <c r="EI1712" s="619"/>
      <c r="EJ1712" s="618"/>
      <c r="EK1712" s="653"/>
      <c r="EL1712" s="653"/>
      <c r="EM1712" s="653"/>
      <c r="EN1712" s="653"/>
      <c r="EO1712" s="458"/>
      <c r="EP1712" s="618"/>
      <c r="EQ1712" s="619"/>
      <c r="ER1712" s="618"/>
      <c r="ES1712" s="653"/>
      <c r="ET1712" s="653"/>
      <c r="EU1712" s="653"/>
      <c r="EV1712" s="653"/>
      <c r="EW1712" s="458"/>
      <c r="EX1712" s="618"/>
      <c r="EY1712" s="619"/>
      <c r="EZ1712" s="618"/>
      <c r="FA1712" s="653"/>
      <c r="FB1712" s="653"/>
      <c r="FC1712" s="653"/>
      <c r="FD1712" s="653"/>
      <c r="FE1712" s="458"/>
      <c r="FF1712" s="618"/>
      <c r="FG1712" s="619"/>
      <c r="FH1712" s="618"/>
      <c r="FI1712" s="653"/>
      <c r="FJ1712" s="653"/>
      <c r="FK1712" s="653"/>
      <c r="FL1712" s="653"/>
      <c r="FM1712" s="458"/>
      <c r="FN1712" s="618"/>
      <c r="FO1712" s="619"/>
      <c r="FP1712" s="618"/>
      <c r="FQ1712" s="653"/>
      <c r="FR1712" s="653"/>
      <c r="FS1712" s="653"/>
      <c r="FT1712" s="653"/>
      <c r="FU1712" s="458"/>
      <c r="FV1712" s="618"/>
      <c r="FW1712" s="619"/>
      <c r="FX1712" s="618"/>
      <c r="FY1712" s="653"/>
      <c r="FZ1712" s="653"/>
      <c r="GA1712" s="653"/>
      <c r="GB1712" s="653"/>
      <c r="GC1712" s="458"/>
      <c r="GD1712" s="618"/>
      <c r="GE1712" s="619"/>
      <c r="GF1712" s="618"/>
      <c r="GG1712" s="653"/>
      <c r="GH1712" s="653"/>
      <c r="GI1712" s="653"/>
      <c r="GJ1712" s="653"/>
      <c r="GK1712" s="458"/>
      <c r="GL1712" s="618"/>
      <c r="GM1712" s="619"/>
      <c r="GN1712" s="618"/>
      <c r="GO1712" s="653"/>
      <c r="GP1712" s="653"/>
      <c r="GQ1712" s="653"/>
      <c r="GR1712" s="653"/>
      <c r="GS1712" s="458"/>
      <c r="GT1712" s="618"/>
      <c r="GU1712" s="619"/>
      <c r="GV1712" s="618"/>
      <c r="GW1712" s="653"/>
      <c r="GX1712" s="653"/>
      <c r="GY1712" s="653"/>
      <c r="GZ1712" s="653"/>
      <c r="HA1712" s="458"/>
      <c r="HB1712" s="618"/>
      <c r="HC1712" s="619"/>
      <c r="HD1712" s="618"/>
      <c r="HE1712" s="653"/>
      <c r="HF1712" s="653"/>
      <c r="HG1712" s="653"/>
      <c r="HH1712" s="653"/>
      <c r="HI1712" s="458"/>
      <c r="HJ1712" s="618"/>
      <c r="HK1712" s="619"/>
      <c r="HL1712" s="618"/>
      <c r="HM1712" s="653"/>
      <c r="HN1712" s="653"/>
      <c r="HO1712" s="653"/>
      <c r="HP1712" s="653"/>
      <c r="HQ1712" s="458"/>
      <c r="HR1712" s="618"/>
      <c r="HS1712" s="619"/>
      <c r="HT1712" s="618"/>
      <c r="HU1712" s="653"/>
      <c r="HV1712" s="653"/>
      <c r="HW1712" s="653"/>
      <c r="HX1712" s="653"/>
      <c r="HY1712" s="458"/>
      <c r="HZ1712" s="618"/>
      <c r="IA1712" s="619"/>
      <c r="IB1712" s="618"/>
      <c r="IC1712" s="653"/>
      <c r="ID1712" s="653"/>
      <c r="IE1712" s="653"/>
      <c r="IF1712" s="653"/>
      <c r="IG1712" s="458"/>
      <c r="IH1712" s="618"/>
      <c r="II1712" s="619"/>
      <c r="IJ1712" s="618"/>
      <c r="IK1712" s="653"/>
      <c r="IL1712" s="653"/>
      <c r="IM1712" s="653"/>
      <c r="IN1712" s="653"/>
      <c r="IO1712" s="458"/>
      <c r="IP1712" s="618"/>
      <c r="IQ1712" s="619"/>
      <c r="IR1712" s="618"/>
      <c r="IS1712" s="653"/>
      <c r="IT1712" s="653"/>
      <c r="IU1712" s="653"/>
      <c r="IV1712" s="653"/>
    </row>
    <row r="1713" spans="1:25" s="1140" customFormat="1" ht="15">
      <c r="A1713" s="82" t="s">
        <v>1062</v>
      </c>
      <c r="B1713" s="54"/>
      <c r="C1713" s="656"/>
      <c r="D1713" s="656"/>
      <c r="E1713" s="656"/>
      <c r="F1713" s="656"/>
      <c r="G1713" s="656"/>
      <c r="H1713" s="656"/>
      <c r="I1713" s="3"/>
      <c r="J1713" s="3"/>
      <c r="K1713" s="104"/>
      <c r="L1713" s="104"/>
      <c r="M1713" s="22"/>
      <c r="N1713" s="22"/>
      <c r="O1713" s="1032"/>
      <c r="P1713" s="1032"/>
      <c r="Q1713" s="1032"/>
      <c r="R1713" s="1032"/>
      <c r="S1713" s="1032"/>
      <c r="T1713" s="1032"/>
      <c r="U1713" s="1032"/>
      <c r="V1713" s="1032"/>
      <c r="W1713" s="1032"/>
      <c r="X1713" s="1032"/>
      <c r="Y1713" s="1032"/>
    </row>
    <row r="1714" spans="1:21" s="1140" customFormat="1" ht="15">
      <c r="A1714" s="170" t="s">
        <v>1059</v>
      </c>
      <c r="B1714" s="54"/>
      <c r="C1714" s="3"/>
      <c r="D1714" s="117"/>
      <c r="E1714" s="656"/>
      <c r="F1714" s="656"/>
      <c r="G1714" s="656"/>
      <c r="H1714" s="656"/>
      <c r="I1714" s="3"/>
      <c r="J1714" s="3"/>
      <c r="K1714" s="104"/>
      <c r="L1714" s="104"/>
      <c r="M1714" s="22"/>
      <c r="N1714" s="22"/>
      <c r="O1714" s="1032"/>
      <c r="P1714" s="1032"/>
      <c r="Q1714" s="1032"/>
      <c r="R1714" s="1032"/>
      <c r="S1714" s="1032"/>
      <c r="T1714" s="1032"/>
      <c r="U1714" s="1032"/>
    </row>
    <row r="1715" spans="1:21" s="1140" customFormat="1" ht="15">
      <c r="A1715" s="170" t="s">
        <v>1057</v>
      </c>
      <c r="B1715" s="54"/>
      <c r="C1715" s="3"/>
      <c r="D1715" s="117"/>
      <c r="E1715" s="656"/>
      <c r="F1715" s="656"/>
      <c r="G1715" s="656"/>
      <c r="H1715" s="656"/>
      <c r="I1715" s="3"/>
      <c r="J1715" s="3"/>
      <c r="K1715" s="104"/>
      <c r="L1715" s="104"/>
      <c r="M1715" s="22"/>
      <c r="N1715" s="22"/>
      <c r="O1715" s="1032"/>
      <c r="P1715" s="1032"/>
      <c r="Q1715" s="1032"/>
      <c r="R1715" s="1032"/>
      <c r="S1715" s="1032"/>
      <c r="T1715" s="1032"/>
      <c r="U1715" s="1032"/>
    </row>
    <row r="1716" spans="1:21" s="1140" customFormat="1" ht="16.5" customHeight="1">
      <c r="A1716" s="170" t="s">
        <v>1060</v>
      </c>
      <c r="B1716" s="54"/>
      <c r="C1716" s="3"/>
      <c r="D1716" s="3"/>
      <c r="E1716" s="656"/>
      <c r="F1716" s="656"/>
      <c r="G1716" s="656"/>
      <c r="H1716" s="656"/>
      <c r="I1716" s="3"/>
      <c r="J1716" s="3"/>
      <c r="K1716" s="104"/>
      <c r="L1716" s="104"/>
      <c r="M1716" s="22"/>
      <c r="N1716" s="22"/>
      <c r="O1716" s="1032"/>
      <c r="P1716" s="1032"/>
      <c r="Q1716" s="1032"/>
      <c r="R1716" s="1032"/>
      <c r="S1716" s="1032"/>
      <c r="T1716" s="1032"/>
      <c r="U1716" s="1032"/>
    </row>
    <row r="1717" spans="1:21" s="1140" customFormat="1" ht="18" customHeight="1">
      <c r="A1717" s="782" t="s">
        <v>49</v>
      </c>
      <c r="B1717" s="920"/>
      <c r="C1717" s="922" t="s">
        <v>873</v>
      </c>
      <c r="D1717" s="923"/>
      <c r="E1717" s="928"/>
      <c r="F1717" s="786"/>
      <c r="G1717" s="786"/>
      <c r="H1717" s="786"/>
      <c r="I1717" s="368"/>
      <c r="J1717" s="1214"/>
      <c r="K1717" s="104"/>
      <c r="L1717" s="104"/>
      <c r="M1717" s="22"/>
      <c r="N1717" s="22"/>
      <c r="O1717" s="1032"/>
      <c r="P1717" s="1032"/>
      <c r="Q1717" s="1032"/>
      <c r="R1717" s="1032"/>
      <c r="S1717" s="1032"/>
      <c r="T1717" s="1032"/>
      <c r="U1717" s="1032"/>
    </row>
    <row r="1718" spans="1:21" s="1140" customFormat="1" ht="15.75" customHeight="1">
      <c r="A1718" s="783"/>
      <c r="B1718" s="921"/>
      <c r="C1718" s="443" t="s">
        <v>111</v>
      </c>
      <c r="D1718" s="443" t="s">
        <v>113</v>
      </c>
      <c r="E1718" s="312"/>
      <c r="F1718" s="309"/>
      <c r="G1718" s="309"/>
      <c r="H1718" s="309"/>
      <c r="I1718" s="309"/>
      <c r="J1718" s="309"/>
      <c r="K1718" s="104"/>
      <c r="L1718" s="104"/>
      <c r="M1718" s="22"/>
      <c r="N1718" s="22"/>
      <c r="O1718" s="1032"/>
      <c r="P1718" s="1032"/>
      <c r="Q1718" s="1032"/>
      <c r="R1718" s="1032"/>
      <c r="S1718" s="1032"/>
      <c r="T1718" s="1032"/>
      <c r="U1718" s="1032"/>
    </row>
    <row r="1719" spans="1:21" s="1140" customFormat="1" ht="17.25" customHeight="1">
      <c r="A1719" s="171" t="s">
        <v>189</v>
      </c>
      <c r="B1719" s="142" t="s">
        <v>57</v>
      </c>
      <c r="C1719" s="647">
        <f>CEILING(73*$Z$1,0.1)</f>
        <v>91.30000000000001</v>
      </c>
      <c r="D1719" s="9"/>
      <c r="E1719" s="652"/>
      <c r="F1719" s="653"/>
      <c r="G1719" s="653"/>
      <c r="H1719" s="653"/>
      <c r="I1719" s="653"/>
      <c r="J1719" s="653"/>
      <c r="K1719" s="104"/>
      <c r="L1719" s="104"/>
      <c r="M1719" s="22"/>
      <c r="N1719" s="22"/>
      <c r="O1719" s="1032"/>
      <c r="P1719" s="1032"/>
      <c r="Q1719" s="1032"/>
      <c r="R1719" s="1032"/>
      <c r="S1719" s="1032"/>
      <c r="T1719" s="1032"/>
      <c r="U1719" s="1032"/>
    </row>
    <row r="1720" spans="1:21" s="1140" customFormat="1" ht="19.5" customHeight="1">
      <c r="A1720" s="171" t="s">
        <v>451</v>
      </c>
      <c r="B1720" s="12" t="s">
        <v>58</v>
      </c>
      <c r="C1720" s="647">
        <f>CEILING(104*$Z$1,0.1)</f>
        <v>130</v>
      </c>
      <c r="D1720" s="5"/>
      <c r="E1720" s="652"/>
      <c r="F1720" s="653"/>
      <c r="G1720" s="653"/>
      <c r="H1720" s="653"/>
      <c r="I1720" s="653"/>
      <c r="J1720" s="653"/>
      <c r="K1720" s="104"/>
      <c r="L1720" s="104"/>
      <c r="M1720" s="22"/>
      <c r="N1720" s="22"/>
      <c r="O1720" s="1032"/>
      <c r="P1720" s="1032"/>
      <c r="Q1720" s="1032"/>
      <c r="R1720" s="264"/>
      <c r="S1720" s="264"/>
      <c r="T1720" s="1032"/>
      <c r="U1720" s="1032"/>
    </row>
    <row r="1721" spans="1:21" s="1140" customFormat="1" ht="16.5" customHeight="1">
      <c r="A1721" s="171" t="s">
        <v>190</v>
      </c>
      <c r="B1721" s="138" t="s">
        <v>86</v>
      </c>
      <c r="C1721" s="647">
        <f>CEILING((C1719*0.85),0.1)</f>
        <v>77.7</v>
      </c>
      <c r="D1721" s="5"/>
      <c r="E1721" s="652"/>
      <c r="F1721" s="653"/>
      <c r="G1721" s="653"/>
      <c r="H1721" s="653"/>
      <c r="I1721" s="653"/>
      <c r="J1721" s="653"/>
      <c r="K1721" s="104"/>
      <c r="L1721" s="104"/>
      <c r="M1721" s="22"/>
      <c r="N1721" s="1032"/>
      <c r="O1721" s="1032"/>
      <c r="P1721" s="1032"/>
      <c r="Q1721" s="1032"/>
      <c r="R1721" s="17"/>
      <c r="S1721" s="17"/>
      <c r="T1721" s="1032"/>
      <c r="U1721" s="1032"/>
    </row>
    <row r="1722" spans="1:21" s="1140" customFormat="1" ht="15.75" customHeight="1">
      <c r="A1722" s="85" t="s">
        <v>195</v>
      </c>
      <c r="B1722" s="14" t="s">
        <v>85</v>
      </c>
      <c r="C1722" s="647">
        <f>CEILING((C1719*0.5),0.1)</f>
        <v>45.7</v>
      </c>
      <c r="D1722" s="5"/>
      <c r="E1722" s="652"/>
      <c r="F1722" s="653"/>
      <c r="G1722" s="653"/>
      <c r="H1722" s="653"/>
      <c r="I1722" s="653"/>
      <c r="J1722" s="653"/>
      <c r="K1722" s="104"/>
      <c r="L1722" s="104"/>
      <c r="M1722" s="1032"/>
      <c r="N1722" s="1032"/>
      <c r="O1722" s="1032"/>
      <c r="P1722" s="1032"/>
      <c r="Q1722" s="1032"/>
      <c r="R1722" s="3"/>
      <c r="S1722" s="3"/>
      <c r="T1722" s="1032"/>
      <c r="U1722" s="1032"/>
    </row>
    <row r="1723" spans="1:256" s="1140" customFormat="1" ht="21" customHeight="1">
      <c r="A1723" s="85" t="s">
        <v>192</v>
      </c>
      <c r="B1723" s="12" t="s">
        <v>260</v>
      </c>
      <c r="C1723" s="647">
        <f>CEILING(95*$Z$1,0.1)</f>
        <v>118.80000000000001</v>
      </c>
      <c r="D1723" s="5"/>
      <c r="E1723" s="652"/>
      <c r="F1723" s="653"/>
      <c r="G1723" s="653"/>
      <c r="H1723" s="653"/>
      <c r="I1723" s="653"/>
      <c r="J1723" s="653"/>
      <c r="K1723" s="619"/>
      <c r="L1723" s="618"/>
      <c r="M1723" s="653"/>
      <c r="N1723" s="653"/>
      <c r="O1723" s="653"/>
      <c r="P1723" s="653"/>
      <c r="Q1723" s="458"/>
      <c r="R1723" s="618"/>
      <c r="S1723" s="619"/>
      <c r="T1723" s="618"/>
      <c r="U1723" s="653"/>
      <c r="V1723" s="653"/>
      <c r="W1723" s="653"/>
      <c r="X1723" s="653"/>
      <c r="Y1723" s="458"/>
      <c r="Z1723" s="618"/>
      <c r="AA1723" s="619"/>
      <c r="AB1723" s="618"/>
      <c r="AC1723" s="653"/>
      <c r="AD1723" s="653"/>
      <c r="AE1723" s="653"/>
      <c r="AF1723" s="653"/>
      <c r="AG1723" s="458"/>
      <c r="AH1723" s="618"/>
      <c r="AI1723" s="619"/>
      <c r="AJ1723" s="618"/>
      <c r="AK1723" s="653"/>
      <c r="AL1723" s="653"/>
      <c r="AM1723" s="653"/>
      <c r="AN1723" s="653"/>
      <c r="AO1723" s="458"/>
      <c r="AP1723" s="618"/>
      <c r="AQ1723" s="619"/>
      <c r="AR1723" s="618"/>
      <c r="AS1723" s="653"/>
      <c r="AT1723" s="653"/>
      <c r="AU1723" s="653"/>
      <c r="AV1723" s="653"/>
      <c r="AW1723" s="458"/>
      <c r="AX1723" s="618"/>
      <c r="AY1723" s="619"/>
      <c r="AZ1723" s="618"/>
      <c r="BA1723" s="653"/>
      <c r="BB1723" s="653"/>
      <c r="BC1723" s="653"/>
      <c r="BD1723" s="653"/>
      <c r="BE1723" s="458"/>
      <c r="BF1723" s="618"/>
      <c r="BG1723" s="619"/>
      <c r="BH1723" s="618"/>
      <c r="BI1723" s="653"/>
      <c r="BJ1723" s="653"/>
      <c r="BK1723" s="653"/>
      <c r="BL1723" s="653"/>
      <c r="BM1723" s="458"/>
      <c r="BN1723" s="618"/>
      <c r="BO1723" s="619"/>
      <c r="BP1723" s="618"/>
      <c r="BQ1723" s="653"/>
      <c r="BR1723" s="653"/>
      <c r="BS1723" s="653"/>
      <c r="BT1723" s="653"/>
      <c r="BU1723" s="458"/>
      <c r="BV1723" s="618"/>
      <c r="BW1723" s="619"/>
      <c r="BX1723" s="618"/>
      <c r="BY1723" s="653"/>
      <c r="BZ1723" s="653"/>
      <c r="CA1723" s="653"/>
      <c r="CB1723" s="653"/>
      <c r="CC1723" s="458"/>
      <c r="CD1723" s="618"/>
      <c r="CE1723" s="619"/>
      <c r="CF1723" s="618"/>
      <c r="CG1723" s="653"/>
      <c r="CH1723" s="653"/>
      <c r="CI1723" s="653"/>
      <c r="CJ1723" s="653"/>
      <c r="CK1723" s="458"/>
      <c r="CL1723" s="618"/>
      <c r="CM1723" s="619"/>
      <c r="CN1723" s="618"/>
      <c r="CO1723" s="653"/>
      <c r="CP1723" s="653"/>
      <c r="CQ1723" s="653"/>
      <c r="CR1723" s="653"/>
      <c r="CS1723" s="458"/>
      <c r="CT1723" s="618"/>
      <c r="CU1723" s="619"/>
      <c r="CV1723" s="618"/>
      <c r="CW1723" s="653"/>
      <c r="CX1723" s="653"/>
      <c r="CY1723" s="653"/>
      <c r="CZ1723" s="653"/>
      <c r="DA1723" s="458"/>
      <c r="DB1723" s="618"/>
      <c r="DC1723" s="619"/>
      <c r="DD1723" s="618"/>
      <c r="DE1723" s="653"/>
      <c r="DF1723" s="653"/>
      <c r="DG1723" s="653"/>
      <c r="DH1723" s="653"/>
      <c r="DI1723" s="458"/>
      <c r="DJ1723" s="618"/>
      <c r="DK1723" s="619"/>
      <c r="DL1723" s="618"/>
      <c r="DM1723" s="653"/>
      <c r="DN1723" s="653"/>
      <c r="DO1723" s="653"/>
      <c r="DP1723" s="653"/>
      <c r="DQ1723" s="458"/>
      <c r="DR1723" s="618"/>
      <c r="DS1723" s="619"/>
      <c r="DT1723" s="618"/>
      <c r="DU1723" s="653"/>
      <c r="DV1723" s="653"/>
      <c r="DW1723" s="653"/>
      <c r="DX1723" s="653"/>
      <c r="DY1723" s="458"/>
      <c r="DZ1723" s="618"/>
      <c r="EA1723" s="619"/>
      <c r="EB1723" s="618"/>
      <c r="EC1723" s="653"/>
      <c r="ED1723" s="653"/>
      <c r="EE1723" s="653"/>
      <c r="EF1723" s="653"/>
      <c r="EG1723" s="458"/>
      <c r="EH1723" s="618"/>
      <c r="EI1723" s="619"/>
      <c r="EJ1723" s="618"/>
      <c r="EK1723" s="653"/>
      <c r="EL1723" s="653"/>
      <c r="EM1723" s="653"/>
      <c r="EN1723" s="653"/>
      <c r="EO1723" s="458"/>
      <c r="EP1723" s="618"/>
      <c r="EQ1723" s="619"/>
      <c r="ER1723" s="618"/>
      <c r="ES1723" s="653"/>
      <c r="ET1723" s="653"/>
      <c r="EU1723" s="653"/>
      <c r="EV1723" s="653"/>
      <c r="EW1723" s="458"/>
      <c r="EX1723" s="618"/>
      <c r="EY1723" s="619"/>
      <c r="EZ1723" s="618"/>
      <c r="FA1723" s="653"/>
      <c r="FB1723" s="653"/>
      <c r="FC1723" s="653"/>
      <c r="FD1723" s="653"/>
      <c r="FE1723" s="458"/>
      <c r="FF1723" s="618"/>
      <c r="FG1723" s="619"/>
      <c r="FH1723" s="618"/>
      <c r="FI1723" s="653"/>
      <c r="FJ1723" s="653"/>
      <c r="FK1723" s="653"/>
      <c r="FL1723" s="653"/>
      <c r="FM1723" s="458"/>
      <c r="FN1723" s="618"/>
      <c r="FO1723" s="619"/>
      <c r="FP1723" s="618"/>
      <c r="FQ1723" s="653"/>
      <c r="FR1723" s="653"/>
      <c r="FS1723" s="653"/>
      <c r="FT1723" s="653"/>
      <c r="FU1723" s="458"/>
      <c r="FV1723" s="618"/>
      <c r="FW1723" s="619"/>
      <c r="FX1723" s="618"/>
      <c r="FY1723" s="653"/>
      <c r="FZ1723" s="653"/>
      <c r="GA1723" s="653"/>
      <c r="GB1723" s="653"/>
      <c r="GC1723" s="458"/>
      <c r="GD1723" s="618"/>
      <c r="GE1723" s="619"/>
      <c r="GF1723" s="618"/>
      <c r="GG1723" s="653"/>
      <c r="GH1723" s="653"/>
      <c r="GI1723" s="653"/>
      <c r="GJ1723" s="653"/>
      <c r="GK1723" s="458"/>
      <c r="GL1723" s="618"/>
      <c r="GM1723" s="619"/>
      <c r="GN1723" s="618"/>
      <c r="GO1723" s="653"/>
      <c r="GP1723" s="653"/>
      <c r="GQ1723" s="653"/>
      <c r="GR1723" s="653"/>
      <c r="GS1723" s="458"/>
      <c r="GT1723" s="618"/>
      <c r="GU1723" s="619"/>
      <c r="GV1723" s="618"/>
      <c r="GW1723" s="653"/>
      <c r="GX1723" s="653"/>
      <c r="GY1723" s="653"/>
      <c r="GZ1723" s="653"/>
      <c r="HA1723" s="458"/>
      <c r="HB1723" s="618"/>
      <c r="HC1723" s="619"/>
      <c r="HD1723" s="618"/>
      <c r="HE1723" s="653"/>
      <c r="HF1723" s="653"/>
      <c r="HG1723" s="653"/>
      <c r="HH1723" s="653"/>
      <c r="HI1723" s="458"/>
      <c r="HJ1723" s="618"/>
      <c r="HK1723" s="619"/>
      <c r="HL1723" s="618"/>
      <c r="HM1723" s="653"/>
      <c r="HN1723" s="653"/>
      <c r="HO1723" s="653"/>
      <c r="HP1723" s="653"/>
      <c r="HQ1723" s="458"/>
      <c r="HR1723" s="618"/>
      <c r="HS1723" s="619"/>
      <c r="HT1723" s="618"/>
      <c r="HU1723" s="653"/>
      <c r="HV1723" s="653"/>
      <c r="HW1723" s="653"/>
      <c r="HX1723" s="653"/>
      <c r="HY1723" s="458"/>
      <c r="HZ1723" s="618"/>
      <c r="IA1723" s="619"/>
      <c r="IB1723" s="618"/>
      <c r="IC1723" s="653"/>
      <c r="ID1723" s="653"/>
      <c r="IE1723" s="653"/>
      <c r="IF1723" s="653"/>
      <c r="IG1723" s="458"/>
      <c r="IH1723" s="618"/>
      <c r="II1723" s="619"/>
      <c r="IJ1723" s="618"/>
      <c r="IK1723" s="653"/>
      <c r="IL1723" s="653"/>
      <c r="IM1723" s="653"/>
      <c r="IN1723" s="653"/>
      <c r="IO1723" s="458"/>
      <c r="IP1723" s="618"/>
      <c r="IQ1723" s="619"/>
      <c r="IR1723" s="618"/>
      <c r="IS1723" s="653"/>
      <c r="IT1723" s="653"/>
      <c r="IU1723" s="653"/>
      <c r="IV1723" s="653"/>
    </row>
    <row r="1724" spans="1:25" s="1140" customFormat="1" ht="15">
      <c r="A1724" s="626" t="s">
        <v>259</v>
      </c>
      <c r="B1724" s="627" t="s">
        <v>261</v>
      </c>
      <c r="C1724" s="658">
        <f>CEILING(126*$Z$1,0.1)</f>
        <v>157.5</v>
      </c>
      <c r="D1724" s="607"/>
      <c r="E1724" s="652"/>
      <c r="F1724" s="653"/>
      <c r="G1724" s="653"/>
      <c r="H1724" s="653"/>
      <c r="I1724" s="653"/>
      <c r="J1724" s="653"/>
      <c r="K1724" s="104"/>
      <c r="L1724" s="104"/>
      <c r="M1724" s="22"/>
      <c r="N1724" s="22"/>
      <c r="O1724" s="1032"/>
      <c r="P1724" s="1032"/>
      <c r="Q1724" s="1032"/>
      <c r="R1724" s="1032"/>
      <c r="S1724" s="1032"/>
      <c r="T1724" s="1032"/>
      <c r="U1724" s="1032"/>
      <c r="V1724" s="1032"/>
      <c r="W1724" s="1032"/>
      <c r="X1724" s="1032"/>
      <c r="Y1724" s="1032"/>
    </row>
    <row r="1725" spans="1:25" s="1140" customFormat="1" ht="15">
      <c r="A1725" s="621" t="s">
        <v>491</v>
      </c>
      <c r="B1725" s="12"/>
      <c r="C1725" s="363"/>
      <c r="D1725" s="4"/>
      <c r="E1725" s="652"/>
      <c r="F1725" s="653"/>
      <c r="G1725" s="653"/>
      <c r="H1725" s="653"/>
      <c r="I1725" s="653"/>
      <c r="J1725" s="653"/>
      <c r="K1725" s="104"/>
      <c r="L1725" s="104"/>
      <c r="M1725" s="22"/>
      <c r="N1725" s="22"/>
      <c r="O1725" s="1032"/>
      <c r="P1725" s="1032"/>
      <c r="Q1725" s="1032"/>
      <c r="R1725" s="1032"/>
      <c r="S1725" s="1032"/>
      <c r="T1725" s="1032"/>
      <c r="U1725" s="1032"/>
      <c r="V1725" s="1032"/>
      <c r="W1725" s="1032"/>
      <c r="X1725" s="1032"/>
      <c r="Y1725" s="1032"/>
    </row>
    <row r="1726" spans="1:25" s="1140" customFormat="1" ht="16.5" customHeight="1">
      <c r="A1726" s="458" t="s">
        <v>1033</v>
      </c>
      <c r="B1726" s="618"/>
      <c r="C1726" s="619"/>
      <c r="D1726" s="618"/>
      <c r="E1726" s="653"/>
      <c r="F1726" s="653"/>
      <c r="G1726" s="653"/>
      <c r="H1726" s="653"/>
      <c r="I1726" s="458"/>
      <c r="J1726" s="618"/>
      <c r="K1726" s="104"/>
      <c r="L1726" s="104"/>
      <c r="M1726" s="22"/>
      <c r="N1726" s="22"/>
      <c r="O1726" s="1032"/>
      <c r="P1726" s="1032"/>
      <c r="Q1726" s="1032"/>
      <c r="R1726" s="1032"/>
      <c r="S1726" s="1032"/>
      <c r="T1726" s="1032"/>
      <c r="U1726" s="1032"/>
      <c r="V1726" s="1032"/>
      <c r="W1726" s="1032"/>
      <c r="X1726" s="1032"/>
      <c r="Y1726" s="1032"/>
    </row>
    <row r="1727" spans="1:25" s="1140" customFormat="1" ht="15">
      <c r="A1727" s="782" t="s">
        <v>49</v>
      </c>
      <c r="B1727" s="920"/>
      <c r="C1727" s="922" t="s">
        <v>873</v>
      </c>
      <c r="D1727" s="923"/>
      <c r="E1727" s="928"/>
      <c r="F1727" s="786"/>
      <c r="G1727" s="786"/>
      <c r="H1727" s="786"/>
      <c r="I1727" s="368"/>
      <c r="J1727" s="1214"/>
      <c r="K1727" s="104"/>
      <c r="L1727" s="104"/>
      <c r="M1727" s="22"/>
      <c r="N1727" s="22"/>
      <c r="O1727" s="1032"/>
      <c r="P1727" s="1032"/>
      <c r="Q1727" s="1032"/>
      <c r="R1727" s="1032"/>
      <c r="S1727" s="1032"/>
      <c r="T1727" s="1032"/>
      <c r="U1727" s="1032"/>
      <c r="V1727" s="1032"/>
      <c r="W1727" s="1032"/>
      <c r="X1727" s="1032"/>
      <c r="Y1727" s="1032"/>
    </row>
    <row r="1728" spans="1:25" s="1140" customFormat="1" ht="15.75" customHeight="1">
      <c r="A1728" s="783"/>
      <c r="B1728" s="921"/>
      <c r="C1728" s="443" t="s">
        <v>111</v>
      </c>
      <c r="D1728" s="443" t="s">
        <v>113</v>
      </c>
      <c r="E1728" s="312"/>
      <c r="F1728" s="309"/>
      <c r="G1728" s="309"/>
      <c r="H1728" s="309"/>
      <c r="I1728" s="309"/>
      <c r="J1728" s="309"/>
      <c r="K1728" s="104"/>
      <c r="L1728" s="104"/>
      <c r="M1728" s="22"/>
      <c r="N1728" s="22"/>
      <c r="O1728" s="1032"/>
      <c r="P1728" s="1032"/>
      <c r="Q1728" s="1032"/>
      <c r="R1728" s="1032"/>
      <c r="S1728" s="1032"/>
      <c r="T1728" s="1032"/>
      <c r="U1728" s="1032"/>
      <c r="V1728" s="1032"/>
      <c r="W1728" s="1032"/>
      <c r="X1728" s="1032"/>
      <c r="Y1728" s="1032"/>
    </row>
    <row r="1729" spans="1:25" s="1140" customFormat="1" ht="15.75" customHeight="1">
      <c r="A1729" s="171" t="s">
        <v>191</v>
      </c>
      <c r="B1729" s="142" t="s">
        <v>57</v>
      </c>
      <c r="C1729" s="647">
        <f>CEILING(68*$Z$1,0.1)</f>
        <v>85</v>
      </c>
      <c r="D1729" s="9"/>
      <c r="E1729" s="652"/>
      <c r="F1729" s="653"/>
      <c r="G1729" s="653"/>
      <c r="H1729" s="653"/>
      <c r="I1729" s="653"/>
      <c r="J1729" s="653"/>
      <c r="K1729" s="104"/>
      <c r="L1729" s="104"/>
      <c r="M1729" s="22"/>
      <c r="N1729" s="22"/>
      <c r="O1729" s="1032"/>
      <c r="P1729" s="1032"/>
      <c r="Q1729" s="1032"/>
      <c r="R1729" s="1032"/>
      <c r="S1729" s="1032"/>
      <c r="T1729" s="1032"/>
      <c r="U1729" s="1032"/>
      <c r="V1729" s="1032"/>
      <c r="W1729" s="1032"/>
      <c r="X1729" s="1032"/>
      <c r="Y1729" s="1032"/>
    </row>
    <row r="1730" spans="1:25" s="1140" customFormat="1" ht="15">
      <c r="A1730" s="171" t="s">
        <v>193</v>
      </c>
      <c r="B1730" s="12" t="s">
        <v>58</v>
      </c>
      <c r="C1730" s="647">
        <f>CEILING(98*$Z$1,0.1)</f>
        <v>122.5</v>
      </c>
      <c r="D1730" s="5"/>
      <c r="E1730" s="652"/>
      <c r="F1730" s="653"/>
      <c r="G1730" s="653"/>
      <c r="H1730" s="653"/>
      <c r="I1730" s="653"/>
      <c r="J1730" s="653"/>
      <c r="K1730" s="104"/>
      <c r="L1730" s="104"/>
      <c r="M1730" s="22"/>
      <c r="N1730" s="22"/>
      <c r="O1730" s="1032"/>
      <c r="P1730" s="1032"/>
      <c r="Q1730" s="1032"/>
      <c r="R1730" s="1032"/>
      <c r="S1730" s="1032"/>
      <c r="T1730" s="1032"/>
      <c r="U1730" s="1032"/>
      <c r="V1730" s="1032"/>
      <c r="W1730" s="1032"/>
      <c r="X1730" s="1032"/>
      <c r="Y1730" s="1032"/>
    </row>
    <row r="1731" spans="1:25" s="1140" customFormat="1" ht="15">
      <c r="A1731" s="171" t="s">
        <v>194</v>
      </c>
      <c r="B1731" s="138" t="s">
        <v>86</v>
      </c>
      <c r="C1731" s="647">
        <f>CEILING((C1729*0.85),0.1)</f>
        <v>72.3</v>
      </c>
      <c r="D1731" s="5"/>
      <c r="E1731" s="652"/>
      <c r="F1731" s="653"/>
      <c r="G1731" s="653"/>
      <c r="H1731" s="653"/>
      <c r="I1731" s="653"/>
      <c r="J1731" s="653"/>
      <c r="K1731" s="93"/>
      <c r="L1731" s="104"/>
      <c r="M1731" s="22"/>
      <c r="N1731" s="22"/>
      <c r="O1731" s="1032"/>
      <c r="P1731" s="1032"/>
      <c r="Q1731" s="1032"/>
      <c r="R1731" s="1032"/>
      <c r="S1731" s="1032"/>
      <c r="T1731" s="1032"/>
      <c r="U1731" s="1032"/>
      <c r="V1731" s="1032"/>
      <c r="W1731" s="1032"/>
      <c r="X1731" s="1032"/>
      <c r="Y1731" s="1032"/>
    </row>
    <row r="1732" spans="1:256" s="1140" customFormat="1" ht="21" customHeight="1">
      <c r="A1732" s="85" t="s">
        <v>626</v>
      </c>
      <c r="B1732" s="14" t="s">
        <v>85</v>
      </c>
      <c r="C1732" s="647">
        <f>CEILING((C1729*0.5),0.1)</f>
        <v>42.5</v>
      </c>
      <c r="D1732" s="5"/>
      <c r="E1732" s="652"/>
      <c r="F1732" s="653"/>
      <c r="G1732" s="653"/>
      <c r="H1732" s="653"/>
      <c r="I1732" s="653"/>
      <c r="J1732" s="653"/>
      <c r="K1732" s="619"/>
      <c r="L1732" s="618"/>
      <c r="M1732" s="653"/>
      <c r="N1732" s="653"/>
      <c r="O1732" s="653"/>
      <c r="P1732" s="653"/>
      <c r="Q1732" s="458"/>
      <c r="R1732" s="618"/>
      <c r="S1732" s="619"/>
      <c r="T1732" s="618"/>
      <c r="U1732" s="653"/>
      <c r="V1732" s="653"/>
      <c r="W1732" s="653"/>
      <c r="X1732" s="653"/>
      <c r="Y1732" s="458"/>
      <c r="Z1732" s="618"/>
      <c r="AA1732" s="619"/>
      <c r="AB1732" s="618"/>
      <c r="AC1732" s="653"/>
      <c r="AD1732" s="653"/>
      <c r="AE1732" s="653"/>
      <c r="AF1732" s="653"/>
      <c r="AG1732" s="458"/>
      <c r="AH1732" s="618"/>
      <c r="AI1732" s="619"/>
      <c r="AJ1732" s="618"/>
      <c r="AK1732" s="653"/>
      <c r="AL1732" s="653"/>
      <c r="AM1732" s="653"/>
      <c r="AN1732" s="653"/>
      <c r="AO1732" s="458"/>
      <c r="AP1732" s="618"/>
      <c r="AQ1732" s="619"/>
      <c r="AR1732" s="618"/>
      <c r="AS1732" s="653"/>
      <c r="AT1732" s="653"/>
      <c r="AU1732" s="653"/>
      <c r="AV1732" s="653"/>
      <c r="AW1732" s="458"/>
      <c r="AX1732" s="618"/>
      <c r="AY1732" s="619"/>
      <c r="AZ1732" s="618"/>
      <c r="BA1732" s="653"/>
      <c r="BB1732" s="653"/>
      <c r="BC1732" s="653"/>
      <c r="BD1732" s="653"/>
      <c r="BE1732" s="458"/>
      <c r="BF1732" s="618"/>
      <c r="BG1732" s="619"/>
      <c r="BH1732" s="618"/>
      <c r="BI1732" s="653"/>
      <c r="BJ1732" s="653"/>
      <c r="BK1732" s="653"/>
      <c r="BL1732" s="653"/>
      <c r="BM1732" s="458"/>
      <c r="BN1732" s="618"/>
      <c r="BO1732" s="619"/>
      <c r="BP1732" s="618"/>
      <c r="BQ1732" s="653"/>
      <c r="BR1732" s="653"/>
      <c r="BS1732" s="653"/>
      <c r="BT1732" s="653"/>
      <c r="BU1732" s="458"/>
      <c r="BV1732" s="618"/>
      <c r="BW1732" s="619"/>
      <c r="BX1732" s="618"/>
      <c r="BY1732" s="653"/>
      <c r="BZ1732" s="653"/>
      <c r="CA1732" s="653"/>
      <c r="CB1732" s="653"/>
      <c r="CC1732" s="458"/>
      <c r="CD1732" s="618"/>
      <c r="CE1732" s="619"/>
      <c r="CF1732" s="618"/>
      <c r="CG1732" s="653"/>
      <c r="CH1732" s="653"/>
      <c r="CI1732" s="653"/>
      <c r="CJ1732" s="653"/>
      <c r="CK1732" s="458"/>
      <c r="CL1732" s="618"/>
      <c r="CM1732" s="619"/>
      <c r="CN1732" s="618"/>
      <c r="CO1732" s="653"/>
      <c r="CP1732" s="653"/>
      <c r="CQ1732" s="653"/>
      <c r="CR1732" s="653"/>
      <c r="CS1732" s="458"/>
      <c r="CT1732" s="618"/>
      <c r="CU1732" s="619"/>
      <c r="CV1732" s="618"/>
      <c r="CW1732" s="653"/>
      <c r="CX1732" s="653"/>
      <c r="CY1732" s="653"/>
      <c r="CZ1732" s="653"/>
      <c r="DA1732" s="458"/>
      <c r="DB1732" s="618"/>
      <c r="DC1732" s="619"/>
      <c r="DD1732" s="618"/>
      <c r="DE1732" s="653"/>
      <c r="DF1732" s="653"/>
      <c r="DG1732" s="653"/>
      <c r="DH1732" s="653"/>
      <c r="DI1732" s="458"/>
      <c r="DJ1732" s="618"/>
      <c r="DK1732" s="619"/>
      <c r="DL1732" s="618"/>
      <c r="DM1732" s="653"/>
      <c r="DN1732" s="653"/>
      <c r="DO1732" s="653"/>
      <c r="DP1732" s="653"/>
      <c r="DQ1732" s="458"/>
      <c r="DR1732" s="618"/>
      <c r="DS1732" s="619"/>
      <c r="DT1732" s="618"/>
      <c r="DU1732" s="653"/>
      <c r="DV1732" s="653"/>
      <c r="DW1732" s="653"/>
      <c r="DX1732" s="653"/>
      <c r="DY1732" s="458"/>
      <c r="DZ1732" s="618"/>
      <c r="EA1732" s="619"/>
      <c r="EB1732" s="618"/>
      <c r="EC1732" s="653"/>
      <c r="ED1732" s="653"/>
      <c r="EE1732" s="653"/>
      <c r="EF1732" s="653"/>
      <c r="EG1732" s="458"/>
      <c r="EH1732" s="618"/>
      <c r="EI1732" s="619"/>
      <c r="EJ1732" s="618"/>
      <c r="EK1732" s="653"/>
      <c r="EL1732" s="653"/>
      <c r="EM1732" s="653"/>
      <c r="EN1732" s="653"/>
      <c r="EO1732" s="458"/>
      <c r="EP1732" s="618"/>
      <c r="EQ1732" s="619"/>
      <c r="ER1732" s="618"/>
      <c r="ES1732" s="653"/>
      <c r="ET1732" s="653"/>
      <c r="EU1732" s="653"/>
      <c r="EV1732" s="653"/>
      <c r="EW1732" s="458"/>
      <c r="EX1732" s="618"/>
      <c r="EY1732" s="619"/>
      <c r="EZ1732" s="618"/>
      <c r="FA1732" s="653"/>
      <c r="FB1732" s="653"/>
      <c r="FC1732" s="653"/>
      <c r="FD1732" s="653"/>
      <c r="FE1732" s="458"/>
      <c r="FF1732" s="618"/>
      <c r="FG1732" s="619"/>
      <c r="FH1732" s="618"/>
      <c r="FI1732" s="653"/>
      <c r="FJ1732" s="653"/>
      <c r="FK1732" s="653"/>
      <c r="FL1732" s="653"/>
      <c r="FM1732" s="458"/>
      <c r="FN1732" s="618"/>
      <c r="FO1732" s="619"/>
      <c r="FP1732" s="618"/>
      <c r="FQ1732" s="653"/>
      <c r="FR1732" s="653"/>
      <c r="FS1732" s="653"/>
      <c r="FT1732" s="653"/>
      <c r="FU1732" s="458"/>
      <c r="FV1732" s="618"/>
      <c r="FW1732" s="619"/>
      <c r="FX1732" s="618"/>
      <c r="FY1732" s="653"/>
      <c r="FZ1732" s="653"/>
      <c r="GA1732" s="653"/>
      <c r="GB1732" s="653"/>
      <c r="GC1732" s="458"/>
      <c r="GD1732" s="618"/>
      <c r="GE1732" s="619"/>
      <c r="GF1732" s="618"/>
      <c r="GG1732" s="653"/>
      <c r="GH1732" s="653"/>
      <c r="GI1732" s="653"/>
      <c r="GJ1732" s="653"/>
      <c r="GK1732" s="458"/>
      <c r="GL1732" s="618"/>
      <c r="GM1732" s="619"/>
      <c r="GN1732" s="618"/>
      <c r="GO1732" s="653"/>
      <c r="GP1732" s="653"/>
      <c r="GQ1732" s="653"/>
      <c r="GR1732" s="653"/>
      <c r="GS1732" s="458"/>
      <c r="GT1732" s="618"/>
      <c r="GU1732" s="619"/>
      <c r="GV1732" s="618"/>
      <c r="GW1732" s="653"/>
      <c r="GX1732" s="653"/>
      <c r="GY1732" s="653"/>
      <c r="GZ1732" s="653"/>
      <c r="HA1732" s="458"/>
      <c r="HB1732" s="618"/>
      <c r="HC1732" s="619"/>
      <c r="HD1732" s="618"/>
      <c r="HE1732" s="653"/>
      <c r="HF1732" s="653"/>
      <c r="HG1732" s="653"/>
      <c r="HH1732" s="653"/>
      <c r="HI1732" s="458"/>
      <c r="HJ1732" s="618"/>
      <c r="HK1732" s="619"/>
      <c r="HL1732" s="618"/>
      <c r="HM1732" s="653"/>
      <c r="HN1732" s="653"/>
      <c r="HO1732" s="653"/>
      <c r="HP1732" s="653"/>
      <c r="HQ1732" s="458"/>
      <c r="HR1732" s="618"/>
      <c r="HS1732" s="619"/>
      <c r="HT1732" s="618"/>
      <c r="HU1732" s="653"/>
      <c r="HV1732" s="653"/>
      <c r="HW1732" s="653"/>
      <c r="HX1732" s="653"/>
      <c r="HY1732" s="458"/>
      <c r="HZ1732" s="618"/>
      <c r="IA1732" s="619"/>
      <c r="IB1732" s="618"/>
      <c r="IC1732" s="653"/>
      <c r="ID1732" s="653"/>
      <c r="IE1732" s="653"/>
      <c r="IF1732" s="653"/>
      <c r="IG1732" s="458"/>
      <c r="IH1732" s="618"/>
      <c r="II1732" s="619"/>
      <c r="IJ1732" s="618"/>
      <c r="IK1732" s="653"/>
      <c r="IL1732" s="653"/>
      <c r="IM1732" s="653"/>
      <c r="IN1732" s="653"/>
      <c r="IO1732" s="458"/>
      <c r="IP1732" s="618"/>
      <c r="IQ1732" s="619"/>
      <c r="IR1732" s="618"/>
      <c r="IS1732" s="653"/>
      <c r="IT1732" s="653"/>
      <c r="IU1732" s="653"/>
      <c r="IV1732" s="653"/>
    </row>
    <row r="1733" spans="1:25" s="1140" customFormat="1" ht="15">
      <c r="A1733" s="85" t="s">
        <v>198</v>
      </c>
      <c r="B1733" s="12" t="s">
        <v>50</v>
      </c>
      <c r="C1733" s="647">
        <f>CEILING(90*$Z$1,0.1)</f>
        <v>112.5</v>
      </c>
      <c r="D1733" s="5"/>
      <c r="E1733" s="652"/>
      <c r="F1733" s="653"/>
      <c r="G1733" s="653"/>
      <c r="H1733" s="653"/>
      <c r="I1733" s="653"/>
      <c r="J1733" s="653"/>
      <c r="K1733" s="265"/>
      <c r="L1733" s="265"/>
      <c r="M1733" s="151"/>
      <c r="N1733" s="151"/>
      <c r="O1733" s="1032"/>
      <c r="P1733" s="1032"/>
      <c r="Q1733" s="1032"/>
      <c r="R1733" s="1032"/>
      <c r="S1733" s="1032"/>
      <c r="T1733" s="1032"/>
      <c r="U1733" s="1032"/>
      <c r="V1733" s="1032"/>
      <c r="W1733" s="1032"/>
      <c r="X1733" s="1032"/>
      <c r="Y1733" s="1032"/>
    </row>
    <row r="1734" spans="1:25" s="1140" customFormat="1" ht="15">
      <c r="A1734" s="85" t="s">
        <v>258</v>
      </c>
      <c r="B1734" s="13" t="s">
        <v>52</v>
      </c>
      <c r="C1734" s="647">
        <f>CEILING(120*$Z$1,0.1)</f>
        <v>150</v>
      </c>
      <c r="D1734" s="5"/>
      <c r="E1734" s="652"/>
      <c r="F1734" s="653"/>
      <c r="G1734" s="653"/>
      <c r="H1734" s="653"/>
      <c r="I1734" s="653"/>
      <c r="J1734" s="653"/>
      <c r="K1734" s="265"/>
      <c r="L1734" s="265"/>
      <c r="M1734" s="151"/>
      <c r="N1734" s="151"/>
      <c r="O1734" s="1032"/>
      <c r="P1734" s="1032"/>
      <c r="Q1734" s="1032"/>
      <c r="R1734" s="1032"/>
      <c r="S1734" s="1032"/>
      <c r="T1734" s="1032"/>
      <c r="U1734" s="1032"/>
      <c r="V1734" s="1032"/>
      <c r="W1734" s="1032"/>
      <c r="X1734" s="1032"/>
      <c r="Y1734" s="1032"/>
    </row>
    <row r="1735" spans="1:25" s="1140" customFormat="1" ht="15">
      <c r="A1735" s="85" t="s">
        <v>256</v>
      </c>
      <c r="B1735" s="12" t="s">
        <v>629</v>
      </c>
      <c r="C1735" s="363">
        <f>CEILING(107*$Z$1,0.1)</f>
        <v>133.8</v>
      </c>
      <c r="D1735" s="5"/>
      <c r="E1735" s="652"/>
      <c r="F1735" s="653"/>
      <c r="G1735" s="653"/>
      <c r="H1735" s="653"/>
      <c r="I1735" s="653"/>
      <c r="J1735" s="653"/>
      <c r="K1735" s="265"/>
      <c r="L1735" s="265"/>
      <c r="M1735" s="151"/>
      <c r="N1735" s="151"/>
      <c r="O1735" s="1032"/>
      <c r="P1735" s="1032"/>
      <c r="Q1735" s="1032"/>
      <c r="R1735" s="1032"/>
      <c r="S1735" s="1032"/>
      <c r="T1735" s="1032"/>
      <c r="U1735" s="1032"/>
      <c r="V1735" s="1032"/>
      <c r="W1735" s="1032"/>
      <c r="X1735" s="1032"/>
      <c r="Y1735" s="1032"/>
    </row>
    <row r="1736" spans="1:14" ht="15">
      <c r="A1736" s="622" t="s">
        <v>491</v>
      </c>
      <c r="B1736" s="371" t="s">
        <v>630</v>
      </c>
      <c r="C1736" s="377">
        <f>CEILING(138*$Z$1,0.1)</f>
        <v>172.5</v>
      </c>
      <c r="D1736" s="607"/>
      <c r="E1736" s="652"/>
      <c r="F1736" s="653"/>
      <c r="G1736" s="653"/>
      <c r="H1736" s="653"/>
      <c r="I1736" s="653"/>
      <c r="J1736" s="653"/>
      <c r="K1736" s="265"/>
      <c r="L1736" s="265"/>
      <c r="M1736" s="151"/>
      <c r="N1736" s="151"/>
    </row>
    <row r="1737" spans="1:14" ht="15">
      <c r="A1737" s="458" t="s">
        <v>1033</v>
      </c>
      <c r="B1737" s="618"/>
      <c r="C1737" s="619"/>
      <c r="D1737" s="618"/>
      <c r="E1737" s="653"/>
      <c r="F1737" s="653"/>
      <c r="G1737" s="653"/>
      <c r="H1737" s="653"/>
      <c r="I1737" s="458"/>
      <c r="J1737" s="618"/>
      <c r="K1737" s="265"/>
      <c r="L1737" s="265"/>
      <c r="M1737" s="151"/>
      <c r="N1737" s="151"/>
    </row>
    <row r="1738" spans="1:14" ht="15">
      <c r="A1738" s="782" t="s">
        <v>49</v>
      </c>
      <c r="B1738" s="930"/>
      <c r="C1738" s="922" t="s">
        <v>1194</v>
      </c>
      <c r="D1738" s="923"/>
      <c r="E1738" s="928"/>
      <c r="F1738" s="786"/>
      <c r="G1738" s="786"/>
      <c r="H1738" s="786"/>
      <c r="I1738" s="368"/>
      <c r="J1738" s="1214"/>
      <c r="K1738" s="265"/>
      <c r="L1738" s="265"/>
      <c r="M1738" s="151"/>
      <c r="N1738" s="151"/>
    </row>
    <row r="1739" spans="1:14" ht="22.5" customHeight="1">
      <c r="A1739" s="783"/>
      <c r="B1739" s="921"/>
      <c r="C1739" s="443" t="s">
        <v>111</v>
      </c>
      <c r="D1739" s="443" t="s">
        <v>113</v>
      </c>
      <c r="E1739" s="312"/>
      <c r="F1739" s="309"/>
      <c r="G1739" s="309"/>
      <c r="H1739" s="309"/>
      <c r="I1739" s="309"/>
      <c r="J1739" s="309"/>
      <c r="K1739" s="319"/>
      <c r="L1739" s="319"/>
      <c r="M1739" s="263"/>
      <c r="N1739" s="263"/>
    </row>
    <row r="1740" spans="1:14" ht="17.25" customHeight="1">
      <c r="A1740" s="85" t="s">
        <v>197</v>
      </c>
      <c r="B1740" s="142" t="s">
        <v>57</v>
      </c>
      <c r="C1740" s="647">
        <f>CEILING(63*$Z$1,0.1)</f>
        <v>78.80000000000001</v>
      </c>
      <c r="D1740" s="9"/>
      <c r="E1740" s="652"/>
      <c r="F1740" s="653"/>
      <c r="G1740" s="653"/>
      <c r="H1740" s="653"/>
      <c r="I1740" s="653"/>
      <c r="J1740" s="653"/>
      <c r="K1740" s="856"/>
      <c r="L1740" s="856"/>
      <c r="M1740" s="669"/>
      <c r="N1740" s="669"/>
    </row>
    <row r="1741" spans="1:14" ht="15">
      <c r="A1741" s="208" t="s">
        <v>196</v>
      </c>
      <c r="B1741" s="12" t="s">
        <v>58</v>
      </c>
      <c r="C1741" s="647">
        <f>CEILING(93*$Z$1,0.1)</f>
        <v>116.30000000000001</v>
      </c>
      <c r="D1741" s="5"/>
      <c r="E1741" s="652"/>
      <c r="F1741" s="653"/>
      <c r="G1741" s="653"/>
      <c r="H1741" s="653"/>
      <c r="I1741" s="653"/>
      <c r="J1741" s="653"/>
      <c r="K1741" s="309"/>
      <c r="L1741" s="309"/>
      <c r="M1741" s="309"/>
      <c r="N1741" s="309"/>
    </row>
    <row r="1742" spans="1:14" ht="15">
      <c r="A1742" s="85" t="s">
        <v>402</v>
      </c>
      <c r="B1742" s="138" t="s">
        <v>86</v>
      </c>
      <c r="C1742" s="647">
        <f>CEILING((C1740*0.85),0.1)</f>
        <v>67</v>
      </c>
      <c r="D1742" s="5"/>
      <c r="E1742" s="652"/>
      <c r="F1742" s="653"/>
      <c r="G1742" s="653"/>
      <c r="H1742" s="653"/>
      <c r="I1742" s="653"/>
      <c r="J1742" s="653"/>
      <c r="K1742" s="656"/>
      <c r="L1742" s="656"/>
      <c r="M1742" s="653"/>
      <c r="N1742" s="653"/>
    </row>
    <row r="1743" spans="1:14" ht="15">
      <c r="A1743" s="85" t="s">
        <v>255</v>
      </c>
      <c r="B1743" s="14" t="s">
        <v>85</v>
      </c>
      <c r="C1743" s="647">
        <f>CEILING((C1740*0.5),0.1)</f>
        <v>39.400000000000006</v>
      </c>
      <c r="D1743" s="5"/>
      <c r="E1743" s="652"/>
      <c r="F1743" s="653"/>
      <c r="G1743" s="653"/>
      <c r="H1743" s="653"/>
      <c r="I1743" s="653"/>
      <c r="J1743" s="653"/>
      <c r="K1743" s="656"/>
      <c r="L1743" s="656"/>
      <c r="M1743" s="653"/>
      <c r="N1743" s="653"/>
    </row>
    <row r="1744" spans="1:14" ht="15">
      <c r="A1744" s="85"/>
      <c r="B1744" s="12" t="s">
        <v>627</v>
      </c>
      <c r="C1744" s="647">
        <f>CEILING(85*$Z$1,0.1)</f>
        <v>106.30000000000001</v>
      </c>
      <c r="D1744" s="5"/>
      <c r="E1744" s="652"/>
      <c r="F1744" s="653"/>
      <c r="G1744" s="653"/>
      <c r="H1744" s="653"/>
      <c r="I1744" s="653"/>
      <c r="J1744" s="653"/>
      <c r="K1744" s="656"/>
      <c r="L1744" s="656"/>
      <c r="M1744" s="653"/>
      <c r="N1744" s="653"/>
    </row>
    <row r="1745" spans="1:14" ht="17.25" customHeight="1">
      <c r="A1745" s="620" t="s">
        <v>488</v>
      </c>
      <c r="B1745" s="371" t="s">
        <v>628</v>
      </c>
      <c r="C1745" s="658">
        <f>CEILING(115*$Z$1,0.1)</f>
        <v>143.8</v>
      </c>
      <c r="D1745" s="607"/>
      <c r="E1745" s="652"/>
      <c r="F1745" s="653"/>
      <c r="G1745" s="653"/>
      <c r="H1745" s="653"/>
      <c r="I1745" s="653"/>
      <c r="J1745" s="653"/>
      <c r="K1745" s="656"/>
      <c r="L1745" s="656"/>
      <c r="M1745" s="653"/>
      <c r="N1745" s="653"/>
    </row>
    <row r="1746" spans="1:14" ht="16.5" customHeight="1">
      <c r="A1746" s="458" t="s">
        <v>1034</v>
      </c>
      <c r="B1746" s="618"/>
      <c r="C1746" s="619"/>
      <c r="D1746" s="618"/>
      <c r="E1746" s="653"/>
      <c r="F1746" s="653"/>
      <c r="G1746" s="653"/>
      <c r="H1746" s="653"/>
      <c r="I1746" s="644"/>
      <c r="J1746" s="618"/>
      <c r="K1746" s="302"/>
      <c r="L1746" s="1187"/>
      <c r="M1746" s="22"/>
      <c r="N1746" s="18"/>
    </row>
    <row r="1747" spans="1:14" ht="16.5" customHeight="1">
      <c r="A1747" s="789" t="s">
        <v>49</v>
      </c>
      <c r="B1747" s="930"/>
      <c r="C1747" s="922" t="s">
        <v>873</v>
      </c>
      <c r="D1747" s="923"/>
      <c r="E1747" s="387"/>
      <c r="F1747" s="82"/>
      <c r="G1747" s="82"/>
      <c r="H1747" s="82"/>
      <c r="I1747" s="618"/>
      <c r="J1747" s="1105"/>
      <c r="K1747" s="302"/>
      <c r="L1747" s="1187"/>
      <c r="M1747" s="22"/>
      <c r="N1747" s="18"/>
    </row>
    <row r="1748" spans="1:14" ht="16.5" customHeight="1">
      <c r="A1748" s="790"/>
      <c r="B1748" s="921"/>
      <c r="C1748" s="443" t="s">
        <v>111</v>
      </c>
      <c r="D1748" s="443" t="s">
        <v>113</v>
      </c>
      <c r="E1748" s="387"/>
      <c r="F1748" s="82"/>
      <c r="G1748" s="82"/>
      <c r="H1748" s="82"/>
      <c r="I1748" s="618"/>
      <c r="J1748" s="1105"/>
      <c r="K1748" s="302"/>
      <c r="L1748" s="1187"/>
      <c r="M1748" s="22"/>
      <c r="N1748" s="18"/>
    </row>
    <row r="1749" spans="1:14" ht="15">
      <c r="A1749" s="66" t="s">
        <v>257</v>
      </c>
      <c r="B1749" s="142" t="s">
        <v>57</v>
      </c>
      <c r="C1749" s="647">
        <f>CEILING(52*$Z$1,0.1)</f>
        <v>65</v>
      </c>
      <c r="D1749" s="8"/>
      <c r="E1749" s="387"/>
      <c r="F1749" s="82"/>
      <c r="G1749" s="82"/>
      <c r="H1749" s="82"/>
      <c r="I1749" s="618"/>
      <c r="J1749" s="1105"/>
      <c r="K1749" s="301"/>
      <c r="L1749" s="302"/>
      <c r="M1749" s="22"/>
      <c r="N1749" s="18"/>
    </row>
    <row r="1750" spans="1:14" ht="15">
      <c r="A1750" s="36"/>
      <c r="B1750" s="12" t="s">
        <v>58</v>
      </c>
      <c r="C1750" s="647">
        <f>CEILING(74*$Z$1,0.1)</f>
        <v>92.5</v>
      </c>
      <c r="D1750" s="4"/>
      <c r="E1750" s="387"/>
      <c r="F1750" s="82"/>
      <c r="G1750" s="82"/>
      <c r="H1750" s="82"/>
      <c r="I1750" s="618"/>
      <c r="J1750" s="1105"/>
      <c r="K1750" s="829"/>
      <c r="L1750" s="829"/>
      <c r="M1750" s="22"/>
      <c r="N1750" s="18"/>
    </row>
    <row r="1751" spans="1:14" ht="15">
      <c r="A1751" s="172"/>
      <c r="B1751" s="138" t="s">
        <v>86</v>
      </c>
      <c r="C1751" s="647">
        <f>CEILING((C1749*0.85),0.1)</f>
        <v>55.300000000000004</v>
      </c>
      <c r="D1751" s="4"/>
      <c r="E1751" s="387"/>
      <c r="F1751" s="82"/>
      <c r="G1751" s="82"/>
      <c r="H1751" s="82"/>
      <c r="I1751" s="618"/>
      <c r="J1751" s="1105"/>
      <c r="K1751" s="309"/>
      <c r="L1751" s="309"/>
      <c r="M1751" s="22"/>
      <c r="N1751" s="18"/>
    </row>
    <row r="1752" spans="1:16" ht="16.5" customHeight="1" thickBot="1">
      <c r="A1752" s="87" t="s">
        <v>488</v>
      </c>
      <c r="B1752" s="15" t="s">
        <v>85</v>
      </c>
      <c r="C1752" s="651">
        <f>CEILING((C1749*0.5),0.1)</f>
        <v>32.5</v>
      </c>
      <c r="D1752" s="6"/>
      <c r="E1752" s="387"/>
      <c r="F1752" s="82"/>
      <c r="G1752" s="82"/>
      <c r="H1752" s="82"/>
      <c r="I1752" s="618"/>
      <c r="J1752" s="1105"/>
      <c r="K1752" s="656"/>
      <c r="L1752" s="656"/>
      <c r="M1752" s="22"/>
      <c r="N1752" s="18"/>
      <c r="O1752" s="263"/>
      <c r="P1752" s="263"/>
    </row>
    <row r="1753" spans="1:16" ht="17.25" customHeight="1" thickBot="1" thickTop="1">
      <c r="A1753" s="444" t="s">
        <v>1034</v>
      </c>
      <c r="B1753" s="386"/>
      <c r="C1753" s="385"/>
      <c r="D1753" s="386"/>
      <c r="E1753" s="662"/>
      <c r="F1753" s="662"/>
      <c r="G1753" s="662"/>
      <c r="H1753" s="662"/>
      <c r="I1753" s="653"/>
      <c r="J1753" s="1105"/>
      <c r="K1753" s="656"/>
      <c r="L1753" s="656"/>
      <c r="M1753" s="22"/>
      <c r="N1753" s="18"/>
      <c r="O1753" s="753"/>
      <c r="P1753" s="753"/>
    </row>
    <row r="1754" spans="1:16" ht="15" customHeight="1" thickTop="1">
      <c r="A1754" s="789" t="s">
        <v>49</v>
      </c>
      <c r="B1754" s="929"/>
      <c r="C1754" s="754" t="s">
        <v>884</v>
      </c>
      <c r="D1754" s="755"/>
      <c r="E1754" s="726" t="s">
        <v>991</v>
      </c>
      <c r="F1754" s="727"/>
      <c r="G1754" s="769" t="s">
        <v>992</v>
      </c>
      <c r="H1754" s="973"/>
      <c r="I1754" s="855"/>
      <c r="J1754" s="856"/>
      <c r="K1754" s="653"/>
      <c r="L1754" s="653"/>
      <c r="M1754" s="22"/>
      <c r="N1754" s="18"/>
      <c r="O1754" s="753"/>
      <c r="P1754" s="753"/>
    </row>
    <row r="1755" spans="1:16" ht="17.25" customHeight="1">
      <c r="A1755" s="790"/>
      <c r="B1755" s="921"/>
      <c r="C1755" s="447" t="s">
        <v>111</v>
      </c>
      <c r="D1755" s="447" t="s">
        <v>113</v>
      </c>
      <c r="E1755" s="447" t="s">
        <v>111</v>
      </c>
      <c r="F1755" s="447" t="s">
        <v>113</v>
      </c>
      <c r="G1755" s="447" t="s">
        <v>111</v>
      </c>
      <c r="H1755" s="448" t="s">
        <v>113</v>
      </c>
      <c r="I1755" s="312"/>
      <c r="J1755" s="309"/>
      <c r="K1755" s="302"/>
      <c r="L1755" s="302"/>
      <c r="M1755" s="22"/>
      <c r="N1755" s="18"/>
      <c r="O1755" s="753"/>
      <c r="P1755" s="753"/>
    </row>
    <row r="1756" spans="1:14" ht="18" customHeight="1">
      <c r="A1756" s="66" t="s">
        <v>880</v>
      </c>
      <c r="B1756" s="148" t="s">
        <v>57</v>
      </c>
      <c r="C1756" s="647">
        <f>CEILING(100*$Z$1,0.1)</f>
        <v>125</v>
      </c>
      <c r="D1756" s="647"/>
      <c r="E1756" s="647">
        <f>CEILING(115*$Z$1,0.1)</f>
        <v>143.8</v>
      </c>
      <c r="F1756" s="647"/>
      <c r="G1756" s="647">
        <f>CEILING(105*$Z$1,0.1)</f>
        <v>131.3</v>
      </c>
      <c r="H1756" s="647"/>
      <c r="I1756" s="647"/>
      <c r="J1756" s="656"/>
      <c r="K1756" s="302"/>
      <c r="L1756" s="302"/>
      <c r="M1756" s="22"/>
      <c r="N1756" s="18"/>
    </row>
    <row r="1757" spans="1:14" ht="17.25" customHeight="1">
      <c r="A1757" s="37" t="s">
        <v>65</v>
      </c>
      <c r="B1757" s="13" t="s">
        <v>58</v>
      </c>
      <c r="C1757" s="647">
        <f>CEILING((C1756+30*$Z$1),0.1)</f>
        <v>162.5</v>
      </c>
      <c r="D1757" s="358"/>
      <c r="E1757" s="647">
        <f>CEILING((E1756+40*$Z$1),0.1)</f>
        <v>193.8</v>
      </c>
      <c r="F1757" s="358"/>
      <c r="G1757" s="647">
        <f>CEILING((G1756+40*$Z$1),0.1)</f>
        <v>181.3</v>
      </c>
      <c r="H1757" s="647"/>
      <c r="I1757" s="647"/>
      <c r="J1757" s="656"/>
      <c r="K1757" s="302"/>
      <c r="L1757" s="302"/>
      <c r="M1757" s="22"/>
      <c r="N1757" s="18"/>
    </row>
    <row r="1758" spans="1:14" ht="13.5" customHeight="1">
      <c r="A1758" s="1028"/>
      <c r="B1758" s="13" t="s">
        <v>86</v>
      </c>
      <c r="C1758" s="647">
        <f>CEILING((C1756*0.85),0.1)</f>
        <v>106.30000000000001</v>
      </c>
      <c r="D1758" s="358"/>
      <c r="E1758" s="647">
        <f>CEILING((E1756*0.85),0.1)</f>
        <v>122.30000000000001</v>
      </c>
      <c r="F1758" s="358"/>
      <c r="G1758" s="647">
        <f>CEILING((G1756*0.85),0.1)</f>
        <v>111.7</v>
      </c>
      <c r="H1758" s="647"/>
      <c r="I1758" s="647"/>
      <c r="J1758" s="656"/>
      <c r="K1758" s="302"/>
      <c r="L1758" s="302"/>
      <c r="M1758" s="1216"/>
      <c r="N1758" s="18"/>
    </row>
    <row r="1759" spans="1:14" ht="21.75" customHeight="1" thickBot="1">
      <c r="A1759" s="63" t="s">
        <v>874</v>
      </c>
      <c r="B1759" s="40" t="s">
        <v>1054</v>
      </c>
      <c r="C1759" s="651">
        <f>CEILING((C1756*0.5),0.1)</f>
        <v>62.5</v>
      </c>
      <c r="D1759" s="651"/>
      <c r="E1759" s="651">
        <f>CEILING((E1756*0.5),0.1)</f>
        <v>71.9</v>
      </c>
      <c r="F1759" s="651"/>
      <c r="G1759" s="651">
        <f>CEILING((G1756*0.5),0.1)</f>
        <v>65.7</v>
      </c>
      <c r="H1759" s="651"/>
      <c r="I1759" s="647"/>
      <c r="J1759" s="656"/>
      <c r="K1759" s="302"/>
      <c r="L1759" s="302"/>
      <c r="M1759" s="22"/>
      <c r="N1759" s="22"/>
    </row>
    <row r="1760" spans="1:13" ht="16.5" customHeight="1" thickTop="1">
      <c r="A1760" s="155" t="s">
        <v>1061</v>
      </c>
      <c r="B1760" s="117"/>
      <c r="C1760" s="117"/>
      <c r="D1760" s="117"/>
      <c r="E1760" s="117"/>
      <c r="F1760" s="117"/>
      <c r="G1760" s="117"/>
      <c r="H1760" s="117"/>
      <c r="I1760" s="117"/>
      <c r="J1760" s="3"/>
      <c r="K1760" s="1217"/>
      <c r="L1760" s="282"/>
      <c r="M1760" s="992"/>
    </row>
    <row r="1761" spans="1:13" ht="16.5" customHeight="1">
      <c r="A1761" s="170" t="s">
        <v>1059</v>
      </c>
      <c r="B1761" s="54"/>
      <c r="C1761" s="3"/>
      <c r="D1761" s="117"/>
      <c r="E1761" s="117"/>
      <c r="F1761" s="117"/>
      <c r="G1761" s="117"/>
      <c r="H1761" s="117"/>
      <c r="I1761" s="117"/>
      <c r="J1761" s="3"/>
      <c r="K1761" s="1218"/>
      <c r="L1761" s="1107"/>
      <c r="M1761" s="992"/>
    </row>
    <row r="1762" spans="1:13" ht="16.5" customHeight="1">
      <c r="A1762" s="170" t="s">
        <v>1057</v>
      </c>
      <c r="B1762" s="54"/>
      <c r="C1762" s="3"/>
      <c r="D1762" s="117"/>
      <c r="E1762" s="117"/>
      <c r="F1762" s="117"/>
      <c r="G1762" s="117"/>
      <c r="H1762" s="117"/>
      <c r="I1762" s="117"/>
      <c r="J1762" s="3"/>
      <c r="K1762" s="1218"/>
      <c r="L1762" s="1219"/>
      <c r="M1762" s="992"/>
    </row>
    <row r="1763" spans="1:13" ht="17.25" customHeight="1">
      <c r="A1763" s="170" t="s">
        <v>1060</v>
      </c>
      <c r="B1763" s="54"/>
      <c r="C1763" s="3"/>
      <c r="D1763" s="3"/>
      <c r="E1763" s="3"/>
      <c r="F1763" s="3"/>
      <c r="G1763" s="3"/>
      <c r="H1763" s="3"/>
      <c r="I1763" s="3"/>
      <c r="J1763" s="1140"/>
      <c r="K1763" s="1064"/>
      <c r="L1763" s="1219"/>
      <c r="M1763" s="992"/>
    </row>
    <row r="1764" spans="1:25" s="1036" customFormat="1" ht="20.25" customHeight="1">
      <c r="A1764" s="782" t="s">
        <v>49</v>
      </c>
      <c r="B1764" s="608"/>
      <c r="C1764" s="760" t="s">
        <v>1162</v>
      </c>
      <c r="D1764" s="761"/>
      <c r="E1764" s="760" t="s">
        <v>1066</v>
      </c>
      <c r="F1764" s="761"/>
      <c r="G1764" s="760" t="s">
        <v>583</v>
      </c>
      <c r="H1764" s="761"/>
      <c r="I1764" s="760" t="s">
        <v>1211</v>
      </c>
      <c r="J1764" s="761"/>
      <c r="K1764" s="292"/>
      <c r="L1764" s="292"/>
      <c r="M1764" s="1032"/>
      <c r="N1764" s="992"/>
      <c r="O1764" s="992"/>
      <c r="P1764" s="992"/>
      <c r="Q1764" s="992"/>
      <c r="R1764" s="992"/>
      <c r="S1764" s="992"/>
      <c r="T1764" s="992"/>
      <c r="U1764" s="992"/>
      <c r="V1764" s="992"/>
      <c r="W1764" s="992"/>
      <c r="X1764" s="992"/>
      <c r="Y1764" s="992"/>
    </row>
    <row r="1765" spans="1:25" s="1036" customFormat="1" ht="18.75" customHeight="1">
      <c r="A1765" s="783"/>
      <c r="B1765" s="506"/>
      <c r="C1765" s="447" t="s">
        <v>111</v>
      </c>
      <c r="D1765" s="507" t="s">
        <v>113</v>
      </c>
      <c r="E1765" s="447" t="s">
        <v>111</v>
      </c>
      <c r="F1765" s="508" t="s">
        <v>113</v>
      </c>
      <c r="G1765" s="447" t="s">
        <v>111</v>
      </c>
      <c r="H1765" s="448" t="s">
        <v>113</v>
      </c>
      <c r="I1765" s="447" t="s">
        <v>111</v>
      </c>
      <c r="J1765" s="447" t="s">
        <v>113</v>
      </c>
      <c r="K1765" s="292"/>
      <c r="L1765" s="292"/>
      <c r="M1765" s="992"/>
      <c r="N1765" s="992"/>
      <c r="O1765" s="992"/>
      <c r="P1765" s="992"/>
      <c r="Q1765" s="992"/>
      <c r="R1765" s="992"/>
      <c r="S1765" s="992"/>
      <c r="T1765" s="992"/>
      <c r="U1765" s="992"/>
      <c r="V1765" s="992"/>
      <c r="W1765" s="992"/>
      <c r="X1765" s="992"/>
      <c r="Y1765" s="992"/>
    </row>
    <row r="1766" spans="1:25" s="1036" customFormat="1" ht="15.75" customHeight="1">
      <c r="A1766" s="36" t="s">
        <v>755</v>
      </c>
      <c r="B1766" s="84" t="s">
        <v>57</v>
      </c>
      <c r="C1766" s="647">
        <f>CEILING(23*$Z$1,0.1)</f>
        <v>28.8</v>
      </c>
      <c r="D1766" s="647"/>
      <c r="E1766" s="647">
        <f>CEILING(34*$Z$1,0.1)</f>
        <v>42.5</v>
      </c>
      <c r="F1766" s="647"/>
      <c r="G1766" s="647">
        <f>CEILING(31*$Z$1,0.1)</f>
        <v>38.800000000000004</v>
      </c>
      <c r="H1766" s="647"/>
      <c r="I1766" s="647">
        <f>CEILING(21*$Z$1,0.1)</f>
        <v>26.3</v>
      </c>
      <c r="J1766" s="363"/>
      <c r="K1766" s="265"/>
      <c r="L1766" s="265"/>
      <c r="M1766" s="992"/>
      <c r="N1766" s="992"/>
      <c r="O1766" s="992"/>
      <c r="P1766" s="992"/>
      <c r="Q1766" s="992"/>
      <c r="R1766" s="992"/>
      <c r="S1766" s="992"/>
      <c r="T1766" s="992"/>
      <c r="U1766" s="992"/>
      <c r="V1766" s="992"/>
      <c r="W1766" s="992"/>
      <c r="X1766" s="992"/>
      <c r="Y1766" s="992"/>
    </row>
    <row r="1767" spans="1:25" s="1036" customFormat="1" ht="17.25" customHeight="1">
      <c r="A1767" s="37" t="s">
        <v>199</v>
      </c>
      <c r="B1767" s="31" t="s">
        <v>58</v>
      </c>
      <c r="C1767" s="647">
        <f>CEILING(28*$Z$1,0.1)</f>
        <v>35</v>
      </c>
      <c r="D1767" s="358"/>
      <c r="E1767" s="647">
        <f>CEILING(42*$Z$1,0.1)</f>
        <v>52.5</v>
      </c>
      <c r="F1767" s="358"/>
      <c r="G1767" s="647">
        <f>CEILING(39*$Z$1,0.1)</f>
        <v>48.800000000000004</v>
      </c>
      <c r="H1767" s="358"/>
      <c r="I1767" s="647">
        <f>CEILING(25*$Z$1,0.1)</f>
        <v>31.3</v>
      </c>
      <c r="J1767" s="358"/>
      <c r="K1767" s="265"/>
      <c r="L1767" s="265"/>
      <c r="M1767" s="992"/>
      <c r="N1767" s="992"/>
      <c r="O1767" s="992"/>
      <c r="P1767" s="992"/>
      <c r="Q1767" s="992"/>
      <c r="R1767" s="992"/>
      <c r="S1767" s="992"/>
      <c r="T1767" s="992"/>
      <c r="U1767" s="992"/>
      <c r="V1767" s="992"/>
      <c r="W1767" s="992"/>
      <c r="X1767" s="992"/>
      <c r="Y1767" s="992"/>
    </row>
    <row r="1768" spans="1:25" s="1036" customFormat="1" ht="15.75" customHeight="1" thickBot="1">
      <c r="A1768" s="79" t="s">
        <v>756</v>
      </c>
      <c r="B1768" s="15" t="s">
        <v>438</v>
      </c>
      <c r="C1768" s="668">
        <v>0</v>
      </c>
      <c r="D1768" s="6"/>
      <c r="E1768" s="7">
        <v>0</v>
      </c>
      <c r="F1768" s="6"/>
      <c r="G1768" s="7">
        <v>0</v>
      </c>
      <c r="H1768" s="6"/>
      <c r="I1768" s="605">
        <v>0</v>
      </c>
      <c r="J1768" s="607"/>
      <c r="K1768" s="265"/>
      <c r="L1768" s="265"/>
      <c r="M1768" s="992"/>
      <c r="N1768" s="992"/>
      <c r="O1768" s="992"/>
      <c r="P1768" s="992"/>
      <c r="Q1768" s="992"/>
      <c r="R1768" s="992"/>
      <c r="S1768" s="992"/>
      <c r="T1768" s="992"/>
      <c r="U1768" s="992"/>
      <c r="V1768" s="992"/>
      <c r="W1768" s="992"/>
      <c r="X1768" s="992"/>
      <c r="Y1768" s="992"/>
    </row>
    <row r="1769" spans="1:25" s="1220" customFormat="1" ht="16.5" customHeight="1" thickTop="1">
      <c r="A1769" s="625" t="s">
        <v>1212</v>
      </c>
      <c r="B1769" s="24"/>
      <c r="C1769" s="20"/>
      <c r="D1769" s="20"/>
      <c r="E1769" s="20"/>
      <c r="F1769" s="20"/>
      <c r="G1769" s="20"/>
      <c r="H1769" s="20"/>
      <c r="I1769" s="20"/>
      <c r="J1769" s="188"/>
      <c r="K1769" s="294"/>
      <c r="L1769" s="294"/>
      <c r="M1769" s="1086"/>
      <c r="N1769" s="1086"/>
      <c r="O1769" s="1086"/>
      <c r="P1769" s="1086"/>
      <c r="Q1769" s="1086"/>
      <c r="R1769" s="1086"/>
      <c r="S1769" s="1086"/>
      <c r="T1769" s="1086"/>
      <c r="U1769" s="1086"/>
      <c r="V1769" s="1086"/>
      <c r="W1769" s="1086"/>
      <c r="X1769" s="1086"/>
      <c r="Y1769" s="1086"/>
    </row>
    <row r="1770" spans="1:25" s="1036" customFormat="1" ht="15.75" customHeight="1">
      <c r="A1770" s="150"/>
      <c r="B1770" s="150"/>
      <c r="C1770" s="150"/>
      <c r="D1770" s="150"/>
      <c r="E1770" s="150"/>
      <c r="F1770" s="150"/>
      <c r="G1770" s="150"/>
      <c r="H1770" s="150"/>
      <c r="I1770" s="150"/>
      <c r="J1770" s="121"/>
      <c r="K1770" s="265"/>
      <c r="L1770" s="265"/>
      <c r="M1770" s="992"/>
      <c r="N1770" s="992"/>
      <c r="O1770" s="992"/>
      <c r="P1770" s="992"/>
      <c r="Q1770" s="992"/>
      <c r="R1770" s="992"/>
      <c r="S1770" s="992"/>
      <c r="T1770" s="992"/>
      <c r="U1770" s="992"/>
      <c r="V1770" s="992"/>
      <c r="W1770" s="992"/>
      <c r="X1770" s="992"/>
      <c r="Y1770" s="992"/>
    </row>
    <row r="1771" spans="1:13" ht="17.25" customHeight="1">
      <c r="A1771" s="226" t="s">
        <v>269</v>
      </c>
      <c r="B1771" s="121"/>
      <c r="C1771" s="121"/>
      <c r="D1771" s="121"/>
      <c r="E1771" s="121"/>
      <c r="F1771" s="121"/>
      <c r="G1771" s="121"/>
      <c r="H1771" s="121"/>
      <c r="I1771" s="121"/>
      <c r="J1771" s="121"/>
      <c r="K1771" s="265"/>
      <c r="L1771" s="265"/>
      <c r="M1771" s="1032"/>
    </row>
    <row r="1772" spans="1:13" ht="15.75" thickBot="1">
      <c r="A1772" s="120"/>
      <c r="B1772" s="120"/>
      <c r="C1772" s="120"/>
      <c r="D1772" s="120"/>
      <c r="E1772" s="120"/>
      <c r="F1772" s="120"/>
      <c r="G1772" s="120"/>
      <c r="H1772" s="120"/>
      <c r="I1772" s="120"/>
      <c r="J1772" s="1180"/>
      <c r="K1772" s="265"/>
      <c r="L1772" s="265"/>
      <c r="M1772" s="1032"/>
    </row>
    <row r="1773" spans="1:13" ht="20.25" customHeight="1" thickTop="1">
      <c r="A1773" s="427" t="s">
        <v>49</v>
      </c>
      <c r="B1773" s="453"/>
      <c r="C1773" s="803" t="s">
        <v>884</v>
      </c>
      <c r="D1773" s="804"/>
      <c r="E1773" s="726" t="s">
        <v>885</v>
      </c>
      <c r="F1773" s="727"/>
      <c r="G1773" s="730" t="s">
        <v>918</v>
      </c>
      <c r="H1773" s="731"/>
      <c r="I1773" s="730" t="s">
        <v>888</v>
      </c>
      <c r="J1773" s="972"/>
      <c r="K1773" s="289"/>
      <c r="L1773" s="265"/>
      <c r="M1773" s="1032"/>
    </row>
    <row r="1774" spans="1:25" s="1036" customFormat="1" ht="21.75" customHeight="1">
      <c r="A1774" s="108" t="s">
        <v>200</v>
      </c>
      <c r="B1774" s="166" t="s">
        <v>201</v>
      </c>
      <c r="C1774" s="707">
        <f>CEILING(99*$Z$1,0.1)</f>
        <v>123.80000000000001</v>
      </c>
      <c r="D1774" s="747"/>
      <c r="E1774" s="703">
        <f>CEILING(171*$Z$1,0.1)</f>
        <v>213.8</v>
      </c>
      <c r="F1774" s="704"/>
      <c r="G1774" s="703">
        <f>CEILING(121*$Z$1,0.1)</f>
        <v>151.3</v>
      </c>
      <c r="H1774" s="704"/>
      <c r="I1774" s="703">
        <f>CEILING(99*$Z$1,0.1)</f>
        <v>123.80000000000001</v>
      </c>
      <c r="J1774" s="764"/>
      <c r="K1774" s="822"/>
      <c r="L1774" s="823"/>
      <c r="M1774" s="1032"/>
      <c r="N1774" s="992"/>
      <c r="O1774" s="992"/>
      <c r="P1774" s="992"/>
      <c r="Q1774" s="992"/>
      <c r="R1774" s="992"/>
      <c r="S1774" s="992"/>
      <c r="T1774" s="992"/>
      <c r="U1774" s="992"/>
      <c r="V1774" s="992"/>
      <c r="W1774" s="992"/>
      <c r="X1774" s="992"/>
      <c r="Y1774" s="992"/>
    </row>
    <row r="1775" spans="1:25" s="1036" customFormat="1" ht="16.5" customHeight="1">
      <c r="A1775" s="161" t="s">
        <v>65</v>
      </c>
      <c r="B1775" s="166" t="s">
        <v>202</v>
      </c>
      <c r="C1775" s="707">
        <f>CEILING(121*$Z$1,0.1)</f>
        <v>151.3</v>
      </c>
      <c r="D1775" s="708"/>
      <c r="E1775" s="707">
        <f>CEILING(204*$Z$1,0.1)</f>
        <v>255</v>
      </c>
      <c r="F1775" s="708"/>
      <c r="G1775" s="707">
        <f>CEILING(149*$Z$1,0.1)</f>
        <v>186.3</v>
      </c>
      <c r="H1775" s="708"/>
      <c r="I1775" s="707">
        <f>CEILING(121*$Z$1,0.1)</f>
        <v>151.3</v>
      </c>
      <c r="J1775" s="747"/>
      <c r="K1775" s="707"/>
      <c r="L1775" s="747"/>
      <c r="M1775" s="1032"/>
      <c r="N1775" s="992"/>
      <c r="O1775" s="992"/>
      <c r="P1775" s="992"/>
      <c r="Q1775" s="992"/>
      <c r="R1775" s="992"/>
      <c r="S1775" s="992"/>
      <c r="T1775" s="992"/>
      <c r="U1775" s="992"/>
      <c r="V1775" s="992"/>
      <c r="W1775" s="992"/>
      <c r="X1775" s="992"/>
      <c r="Y1775" s="992"/>
    </row>
    <row r="1776" spans="1:25" s="1036" customFormat="1" ht="16.5" customHeight="1" thickBot="1">
      <c r="A1776" s="86" t="s">
        <v>487</v>
      </c>
      <c r="B1776" s="167" t="s">
        <v>203</v>
      </c>
      <c r="C1776" s="720">
        <f>CEILING(143*$Z$1,0.1)</f>
        <v>178.8</v>
      </c>
      <c r="D1776" s="721"/>
      <c r="E1776" s="720">
        <f>CEILING(237*$Z$1,0.1)</f>
        <v>296.3</v>
      </c>
      <c r="F1776" s="721"/>
      <c r="G1776" s="720">
        <f>CEILING(176*$Z$1,0.1)</f>
        <v>220</v>
      </c>
      <c r="H1776" s="721"/>
      <c r="I1776" s="720">
        <f>CEILING(143*$Z$1,0.1)</f>
        <v>178.8</v>
      </c>
      <c r="J1776" s="824"/>
      <c r="K1776" s="707"/>
      <c r="L1776" s="747"/>
      <c r="M1776" s="1032"/>
      <c r="N1776" s="992"/>
      <c r="O1776" s="992"/>
      <c r="P1776" s="992"/>
      <c r="Q1776" s="992"/>
      <c r="R1776" s="992"/>
      <c r="S1776" s="992"/>
      <c r="T1776" s="992"/>
      <c r="U1776" s="992"/>
      <c r="V1776" s="992"/>
      <c r="W1776" s="992"/>
      <c r="X1776" s="992"/>
      <c r="Y1776" s="992"/>
    </row>
    <row r="1777" spans="1:25" s="1036" customFormat="1" ht="16.5" customHeight="1" thickTop="1">
      <c r="A1777" s="926" t="s">
        <v>382</v>
      </c>
      <c r="B1777" s="926"/>
      <c r="C1777" s="847"/>
      <c r="D1777" s="847"/>
      <c r="E1777" s="847"/>
      <c r="F1777" s="847"/>
      <c r="G1777" s="847"/>
      <c r="H1777" s="847"/>
      <c r="I1777" s="681"/>
      <c r="J1777" s="681"/>
      <c r="K1777" s="747"/>
      <c r="L1777" s="747"/>
      <c r="M1777" s="992"/>
      <c r="N1777" s="992"/>
      <c r="O1777" s="992"/>
      <c r="P1777" s="992"/>
      <c r="Q1777" s="992"/>
      <c r="R1777" s="992"/>
      <c r="S1777" s="992"/>
      <c r="T1777" s="992"/>
      <c r="U1777" s="992"/>
      <c r="V1777" s="992"/>
      <c r="W1777" s="992"/>
      <c r="X1777" s="992"/>
      <c r="Y1777" s="992"/>
    </row>
    <row r="1778" spans="1:25" s="1036" customFormat="1" ht="18" customHeight="1" thickBot="1">
      <c r="A1778" s="50"/>
      <c r="B1778" s="50"/>
      <c r="C1778" s="50"/>
      <c r="D1778" s="50"/>
      <c r="E1778" s="50"/>
      <c r="F1778" s="50"/>
      <c r="G1778" s="50"/>
      <c r="H1778" s="50"/>
      <c r="I1778" s="681"/>
      <c r="J1778" s="1105"/>
      <c r="K1778" s="747"/>
      <c r="L1778" s="747"/>
      <c r="M1778" s="992"/>
      <c r="N1778" s="992"/>
      <c r="O1778" s="992"/>
      <c r="P1778" s="992"/>
      <c r="Q1778" s="992"/>
      <c r="R1778" s="992"/>
      <c r="S1778" s="992"/>
      <c r="T1778" s="992"/>
      <c r="U1778" s="992"/>
      <c r="V1778" s="992"/>
      <c r="W1778" s="992"/>
      <c r="X1778" s="992"/>
      <c r="Y1778" s="992"/>
    </row>
    <row r="1779" spans="1:25" s="1036" customFormat="1" ht="16.5" customHeight="1" thickTop="1">
      <c r="A1779" s="427" t="s">
        <v>49</v>
      </c>
      <c r="B1779" s="541" t="s">
        <v>115</v>
      </c>
      <c r="C1779" s="803" t="s">
        <v>884</v>
      </c>
      <c r="D1779" s="804"/>
      <c r="E1779" s="726" t="s">
        <v>885</v>
      </c>
      <c r="F1779" s="727"/>
      <c r="G1779" s="730" t="s">
        <v>992</v>
      </c>
      <c r="H1779" s="731"/>
      <c r="I1779" s="320"/>
      <c r="J1779" s="669"/>
      <c r="K1779" s="265"/>
      <c r="L1779" s="265"/>
      <c r="M1779" s="992"/>
      <c r="N1779" s="992"/>
      <c r="O1779" s="992"/>
      <c r="P1779" s="992"/>
      <c r="Q1779" s="992"/>
      <c r="R1779" s="992"/>
      <c r="S1779" s="992"/>
      <c r="T1779" s="992"/>
      <c r="U1779" s="992"/>
      <c r="V1779" s="992"/>
      <c r="W1779" s="992"/>
      <c r="X1779" s="992"/>
      <c r="Y1779" s="992"/>
    </row>
    <row r="1780" spans="1:25" s="1036" customFormat="1" ht="16.5" customHeight="1">
      <c r="A1780" s="36" t="s">
        <v>204</v>
      </c>
      <c r="B1780" s="42" t="s">
        <v>57</v>
      </c>
      <c r="C1780" s="707">
        <f>CEILING(46*$Z$1,0.1)</f>
        <v>57.5</v>
      </c>
      <c r="D1780" s="747"/>
      <c r="E1780" s="703">
        <f>CEILING(67*$Z$1,0.1)</f>
        <v>83.80000000000001</v>
      </c>
      <c r="F1780" s="704"/>
      <c r="G1780" s="703">
        <f>CEILING(52*$Z$1,0.1)</f>
        <v>65</v>
      </c>
      <c r="H1780" s="704"/>
      <c r="I1780" s="714"/>
      <c r="J1780" s="753"/>
      <c r="K1780" s="265"/>
      <c r="L1780" s="265"/>
      <c r="M1780" s="992"/>
      <c r="N1780" s="992"/>
      <c r="O1780" s="992"/>
      <c r="P1780" s="992"/>
      <c r="Q1780" s="992"/>
      <c r="R1780" s="992"/>
      <c r="S1780" s="992"/>
      <c r="T1780" s="992"/>
      <c r="U1780" s="992"/>
      <c r="V1780" s="992"/>
      <c r="W1780" s="992"/>
      <c r="X1780" s="992"/>
      <c r="Y1780" s="992"/>
    </row>
    <row r="1781" spans="1:25" s="1036" customFormat="1" ht="15.75" customHeight="1">
      <c r="A1781" s="37" t="s">
        <v>98</v>
      </c>
      <c r="B1781" s="14" t="s">
        <v>58</v>
      </c>
      <c r="C1781" s="707">
        <f>CEILING((C1780+12*$Z$1),0.1)</f>
        <v>72.5</v>
      </c>
      <c r="D1781" s="708"/>
      <c r="E1781" s="707">
        <f>CEILING((E1780+14*$Z$1),0.1)</f>
        <v>101.30000000000001</v>
      </c>
      <c r="F1781" s="708"/>
      <c r="G1781" s="707">
        <f>CEILING((G1780+14*$Z$1),0.1)</f>
        <v>82.5</v>
      </c>
      <c r="H1781" s="708"/>
      <c r="I1781" s="714"/>
      <c r="J1781" s="753"/>
      <c r="K1781" s="1064"/>
      <c r="L1781" s="1064"/>
      <c r="M1781" s="992"/>
      <c r="N1781" s="992"/>
      <c r="O1781" s="992"/>
      <c r="P1781" s="992"/>
      <c r="Q1781" s="992"/>
      <c r="R1781" s="992"/>
      <c r="S1781" s="992"/>
      <c r="T1781" s="992"/>
      <c r="U1781" s="992"/>
      <c r="V1781" s="992"/>
      <c r="W1781" s="992"/>
      <c r="X1781" s="992"/>
      <c r="Y1781" s="992"/>
    </row>
    <row r="1782" spans="1:25" s="1036" customFormat="1" ht="18.75" customHeight="1">
      <c r="A1782" s="37"/>
      <c r="B1782" s="13" t="s">
        <v>86</v>
      </c>
      <c r="C1782" s="707">
        <f>CEILING((C1780*0.85),0.1)</f>
        <v>48.900000000000006</v>
      </c>
      <c r="D1782" s="708"/>
      <c r="E1782" s="707">
        <f>CEILING((E1780*0.85),0.1)</f>
        <v>71.3</v>
      </c>
      <c r="F1782" s="708"/>
      <c r="G1782" s="707">
        <f>CEILING((G1780*0.85),0.1)</f>
        <v>55.300000000000004</v>
      </c>
      <c r="H1782" s="708"/>
      <c r="I1782" s="714"/>
      <c r="J1782" s="753"/>
      <c r="K1782" s="1064"/>
      <c r="L1782" s="1064"/>
      <c r="M1782" s="992"/>
      <c r="N1782" s="992"/>
      <c r="O1782" s="992"/>
      <c r="P1782" s="992"/>
      <c r="Q1782" s="992"/>
      <c r="R1782" s="992"/>
      <c r="S1782" s="992"/>
      <c r="T1782" s="992"/>
      <c r="U1782" s="992"/>
      <c r="V1782" s="992"/>
      <c r="W1782" s="992"/>
      <c r="X1782" s="992"/>
      <c r="Y1782" s="992"/>
    </row>
    <row r="1783" spans="1:16" s="1104" customFormat="1" ht="15" customHeight="1" thickBot="1">
      <c r="A1783" s="86" t="s">
        <v>486</v>
      </c>
      <c r="B1783" s="15" t="s">
        <v>380</v>
      </c>
      <c r="C1783" s="799">
        <v>0</v>
      </c>
      <c r="D1783" s="800"/>
      <c r="E1783" s="718">
        <v>0</v>
      </c>
      <c r="F1783" s="719"/>
      <c r="G1783" s="799">
        <v>0</v>
      </c>
      <c r="H1783" s="810"/>
      <c r="I1783" s="714"/>
      <c r="J1783" s="753"/>
      <c r="K1783" s="999"/>
      <c r="L1783" s="999"/>
      <c r="O1783" s="753"/>
      <c r="P1783" s="753"/>
    </row>
    <row r="1784" spans="1:16" ht="18.75" customHeight="1" thickTop="1">
      <c r="A1784" s="117" t="s">
        <v>381</v>
      </c>
      <c r="B1784" s="54"/>
      <c r="C1784" s="260"/>
      <c r="D1784" s="260"/>
      <c r="E1784" s="653"/>
      <c r="F1784" s="653"/>
      <c r="G1784" s="260"/>
      <c r="H1784" s="260"/>
      <c r="I1784" s="653"/>
      <c r="J1784" s="653"/>
      <c r="K1784" s="1064"/>
      <c r="L1784" s="1064"/>
      <c r="M1784" s="992"/>
      <c r="O1784" s="753"/>
      <c r="P1784" s="753"/>
    </row>
    <row r="1785" spans="1:16" ht="15.75" customHeight="1">
      <c r="A1785" s="170" t="s">
        <v>1059</v>
      </c>
      <c r="B1785" s="54"/>
      <c r="C1785" s="3"/>
      <c r="D1785" s="117"/>
      <c r="E1785" s="656"/>
      <c r="F1785" s="656"/>
      <c r="G1785" s="656"/>
      <c r="H1785" s="656"/>
      <c r="I1785" s="3"/>
      <c r="J1785" s="3"/>
      <c r="K1785" s="1064"/>
      <c r="L1785" s="1064"/>
      <c r="M1785" s="992"/>
      <c r="O1785" s="753"/>
      <c r="P1785" s="753"/>
    </row>
    <row r="1786" spans="1:16" ht="24.75" customHeight="1">
      <c r="A1786" s="170" t="s">
        <v>1057</v>
      </c>
      <c r="B1786" s="54"/>
      <c r="C1786" s="3"/>
      <c r="D1786" s="117"/>
      <c r="E1786" s="656"/>
      <c r="F1786" s="656"/>
      <c r="G1786" s="656"/>
      <c r="H1786" s="656"/>
      <c r="I1786" s="3"/>
      <c r="J1786" s="3"/>
      <c r="K1786" s="1077"/>
      <c r="L1786" s="1064"/>
      <c r="M1786" s="992"/>
      <c r="O1786" s="753"/>
      <c r="P1786" s="753"/>
    </row>
    <row r="1787" spans="1:13" ht="15" customHeight="1">
      <c r="A1787" s="170" t="s">
        <v>1060</v>
      </c>
      <c r="B1787" s="54"/>
      <c r="C1787" s="3"/>
      <c r="D1787" s="3"/>
      <c r="E1787" s="656"/>
      <c r="F1787" s="656"/>
      <c r="G1787" s="656"/>
      <c r="H1787" s="656"/>
      <c r="I1787" s="3"/>
      <c r="J1787" s="3"/>
      <c r="K1787" s="1077"/>
      <c r="L1787" s="1064"/>
      <c r="M1787" s="992"/>
    </row>
    <row r="1788" spans="1:25" s="1036" customFormat="1" ht="17.25" customHeight="1" hidden="1">
      <c r="A1788" s="577" t="s">
        <v>49</v>
      </c>
      <c r="B1788" s="577"/>
      <c r="C1788" s="924" t="s">
        <v>579</v>
      </c>
      <c r="D1788" s="925"/>
      <c r="E1788" s="917" t="s">
        <v>802</v>
      </c>
      <c r="F1788" s="918"/>
      <c r="G1788" s="805" t="s">
        <v>803</v>
      </c>
      <c r="H1788" s="806"/>
      <c r="I1788" s="805" t="s">
        <v>804</v>
      </c>
      <c r="J1788" s="806"/>
      <c r="K1788" s="1077"/>
      <c r="L1788" s="1064"/>
      <c r="M1788" s="992"/>
      <c r="N1788" s="992"/>
      <c r="O1788" s="992"/>
      <c r="P1788" s="992"/>
      <c r="Q1788" s="992"/>
      <c r="R1788" s="992"/>
      <c r="S1788" s="992"/>
      <c r="T1788" s="992"/>
      <c r="U1788" s="992"/>
      <c r="V1788" s="992"/>
      <c r="W1788" s="992"/>
      <c r="X1788" s="992"/>
      <c r="Y1788" s="992"/>
    </row>
    <row r="1789" spans="1:25" s="1036" customFormat="1" ht="15" hidden="1">
      <c r="A1789" s="116" t="s">
        <v>820</v>
      </c>
      <c r="B1789" s="84" t="s">
        <v>796</v>
      </c>
      <c r="C1789" s="707">
        <f>CEILING(55*$Z$1,0.1)</f>
        <v>68.8</v>
      </c>
      <c r="D1789" s="747"/>
      <c r="E1789" s="703">
        <f>CEILING(83*$Z$1,0.1)</f>
        <v>103.80000000000001</v>
      </c>
      <c r="F1789" s="704"/>
      <c r="G1789" s="703">
        <f>CEILING(63*$Z$1,0.1)</f>
        <v>78.80000000000001</v>
      </c>
      <c r="H1789" s="704"/>
      <c r="I1789" s="703">
        <f>CEILING(83*$Z$1,0.1)</f>
        <v>103.80000000000001</v>
      </c>
      <c r="J1789" s="704"/>
      <c r="K1789" s="1064"/>
      <c r="L1789" s="1064"/>
      <c r="M1789" s="992"/>
      <c r="N1789" s="992"/>
      <c r="O1789" s="992"/>
      <c r="P1789" s="992"/>
      <c r="Q1789" s="992"/>
      <c r="R1789" s="992"/>
      <c r="S1789" s="992"/>
      <c r="T1789" s="992"/>
      <c r="U1789" s="992"/>
      <c r="V1789" s="992"/>
      <c r="W1789" s="992"/>
      <c r="X1789" s="992"/>
      <c r="Y1789" s="992"/>
    </row>
    <row r="1790" spans="1:13" ht="15" hidden="1">
      <c r="A1790" s="51" t="s">
        <v>199</v>
      </c>
      <c r="B1790" s="31" t="s">
        <v>797</v>
      </c>
      <c r="C1790" s="707">
        <f>CEILING(68*$Z$1,0.1)</f>
        <v>85</v>
      </c>
      <c r="D1790" s="708"/>
      <c r="E1790" s="707">
        <f>CEILING(103*$Z$1,0.1)</f>
        <v>128.8</v>
      </c>
      <c r="F1790" s="708"/>
      <c r="G1790" s="707">
        <f>CEILING(78*$Z$1,0.1)</f>
        <v>97.5</v>
      </c>
      <c r="H1790" s="708"/>
      <c r="I1790" s="707">
        <f>CEILING(103*$Z$1,0.1)</f>
        <v>128.8</v>
      </c>
      <c r="J1790" s="708"/>
      <c r="K1790" s="1064"/>
      <c r="L1790" s="1064"/>
      <c r="M1790" s="992"/>
    </row>
    <row r="1791" spans="1:31" ht="15" hidden="1">
      <c r="A1791" s="268" t="s">
        <v>806</v>
      </c>
      <c r="B1791" s="39" t="s">
        <v>74</v>
      </c>
      <c r="C1791" s="707">
        <f>CEILING(63*$Z$1,0.1)</f>
        <v>78.80000000000001</v>
      </c>
      <c r="D1791" s="708"/>
      <c r="E1791" s="707">
        <f>CEILING(91*$Z$1,0.1)</f>
        <v>113.80000000000001</v>
      </c>
      <c r="F1791" s="708"/>
      <c r="G1791" s="707">
        <f>CEILING(71*$Z$1,0.1)</f>
        <v>88.80000000000001</v>
      </c>
      <c r="H1791" s="708"/>
      <c r="I1791" s="707">
        <f>CEILING(91*$Z$1,0.1)</f>
        <v>113.80000000000001</v>
      </c>
      <c r="J1791" s="708"/>
      <c r="K1791" s="1064"/>
      <c r="L1791" s="1064"/>
      <c r="M1791" s="992"/>
      <c r="Z1791" s="992"/>
      <c r="AA1791" s="992"/>
      <c r="AB1791" s="992"/>
      <c r="AC1791" s="992"/>
      <c r="AD1791" s="992"/>
      <c r="AE1791" s="992"/>
    </row>
    <row r="1792" spans="1:31" ht="15" hidden="1">
      <c r="A1792" s="620" t="s">
        <v>795</v>
      </c>
      <c r="B1792" s="356" t="s">
        <v>75</v>
      </c>
      <c r="C1792" s="705">
        <f>CEILING(78*$Z$1,0.1)</f>
        <v>97.5</v>
      </c>
      <c r="D1792" s="706"/>
      <c r="E1792" s="705">
        <f>CEILING(113*$Z$1,0.1)</f>
        <v>141.3</v>
      </c>
      <c r="F1792" s="706"/>
      <c r="G1792" s="705">
        <f>CEILING(88*$Z$1,0.1)</f>
        <v>110</v>
      </c>
      <c r="H1792" s="706"/>
      <c r="I1792" s="705">
        <f>CEILING(113*$Z$1,0.1)</f>
        <v>141.3</v>
      </c>
      <c r="J1792" s="706"/>
      <c r="K1792" s="1064"/>
      <c r="L1792" s="1064"/>
      <c r="M1792" s="992"/>
      <c r="Z1792" s="992"/>
      <c r="AA1792" s="992"/>
      <c r="AB1792" s="992"/>
      <c r="AC1792" s="992"/>
      <c r="AD1792" s="992"/>
      <c r="AE1792" s="992"/>
    </row>
    <row r="1793" spans="1:31" ht="15" hidden="1">
      <c r="A1793" s="748" t="s">
        <v>798</v>
      </c>
      <c r="B1793" s="748"/>
      <c r="C1793" s="748"/>
      <c r="D1793" s="748"/>
      <c r="E1793" s="748"/>
      <c r="F1793" s="748"/>
      <c r="G1793" s="748"/>
      <c r="H1793" s="748"/>
      <c r="I1793" s="748"/>
      <c r="J1793" s="748"/>
      <c r="K1793" s="1064"/>
      <c r="L1793" s="1064"/>
      <c r="M1793" s="992"/>
      <c r="Z1793" s="992"/>
      <c r="AA1793" s="992"/>
      <c r="AB1793" s="992"/>
      <c r="AC1793" s="992"/>
      <c r="AD1793" s="992"/>
      <c r="AE1793" s="992"/>
    </row>
    <row r="1794" spans="1:31" ht="15" hidden="1">
      <c r="A1794" s="82" t="s">
        <v>805</v>
      </c>
      <c r="B1794" s="24"/>
      <c r="C1794" s="24"/>
      <c r="D1794" s="24"/>
      <c r="E1794" s="24"/>
      <c r="F1794" s="24"/>
      <c r="G1794" s="24"/>
      <c r="H1794" s="24"/>
      <c r="I1794" s="24"/>
      <c r="J1794" s="24"/>
      <c r="K1794" s="1064"/>
      <c r="L1794" s="1064"/>
      <c r="M1794" s="992"/>
      <c r="Z1794" s="992"/>
      <c r="AA1794" s="992"/>
      <c r="AB1794" s="992"/>
      <c r="AC1794" s="992"/>
      <c r="AD1794" s="992"/>
      <c r="AE1794" s="992"/>
    </row>
    <row r="1795" spans="1:31" ht="15">
      <c r="A1795" s="1207"/>
      <c r="B1795" s="1207"/>
      <c r="C1795" s="1207"/>
      <c r="D1795" s="1207"/>
      <c r="E1795" s="1207"/>
      <c r="F1795" s="1207"/>
      <c r="G1795" s="1207"/>
      <c r="H1795" s="1207"/>
      <c r="I1795" s="1221"/>
      <c r="J1795" s="1201"/>
      <c r="K1795" s="1064"/>
      <c r="L1795" s="1064"/>
      <c r="M1795" s="992"/>
      <c r="Z1795" s="992"/>
      <c r="AA1795" s="992"/>
      <c r="AB1795" s="992"/>
      <c r="AC1795" s="992"/>
      <c r="AD1795" s="992"/>
      <c r="AE1795" s="992"/>
    </row>
    <row r="1796" spans="1:31" ht="21.75" customHeight="1">
      <c r="A1796" s="1222" t="s">
        <v>817</v>
      </c>
      <c r="B1796" s="1222"/>
      <c r="C1796" s="1222"/>
      <c r="D1796" s="1222"/>
      <c r="E1796" s="1222"/>
      <c r="F1796" s="1222"/>
      <c r="G1796" s="1222"/>
      <c r="H1796" s="1053"/>
      <c r="I1796" s="1053"/>
      <c r="J1796" s="1207"/>
      <c r="K1796" s="1077"/>
      <c r="L1796" s="1064"/>
      <c r="M1796" s="992"/>
      <c r="Z1796" s="992"/>
      <c r="AA1796" s="992"/>
      <c r="AB1796" s="992"/>
      <c r="AC1796" s="992"/>
      <c r="AD1796" s="992"/>
      <c r="AE1796" s="992"/>
    </row>
    <row r="1797" spans="1:31" ht="15">
      <c r="A1797" s="1223"/>
      <c r="B1797" s="1224"/>
      <c r="C1797" s="1224"/>
      <c r="D1797" s="1224"/>
      <c r="E1797" s="1224"/>
      <c r="F1797" s="1224"/>
      <c r="G1797" s="1224"/>
      <c r="H1797" s="1224"/>
      <c r="I1797" s="1197"/>
      <c r="J1797" s="1197"/>
      <c r="K1797" s="1077"/>
      <c r="L1797" s="1064"/>
      <c r="M1797" s="992"/>
      <c r="Z1797" s="992"/>
      <c r="AA1797" s="992"/>
      <c r="AB1797" s="992"/>
      <c r="AC1797" s="992"/>
      <c r="AD1797" s="992"/>
      <c r="AE1797" s="992"/>
    </row>
    <row r="1798" spans="1:31" ht="15">
      <c r="A1798" s="1225" t="s">
        <v>0</v>
      </c>
      <c r="B1798" s="1225"/>
      <c r="C1798" s="1225"/>
      <c r="D1798" s="1225"/>
      <c r="E1798" s="1225"/>
      <c r="F1798" s="1225"/>
      <c r="G1798" s="1225"/>
      <c r="H1798" s="1225"/>
      <c r="I1798" s="1225"/>
      <c r="J1798" s="1225"/>
      <c r="K1798" s="1077"/>
      <c r="L1798" s="1064"/>
      <c r="M1798" s="992"/>
      <c r="Z1798" s="992"/>
      <c r="AA1798" s="992"/>
      <c r="AB1798" s="992"/>
      <c r="AC1798" s="992"/>
      <c r="AD1798" s="992"/>
      <c r="AE1798" s="992"/>
    </row>
    <row r="1799" spans="1:31" ht="15.75" thickBot="1">
      <c r="A1799" s="1226"/>
      <c r="B1799" s="1226"/>
      <c r="C1799" s="1226"/>
      <c r="D1799" s="1226"/>
      <c r="E1799" s="1226"/>
      <c r="F1799" s="1226"/>
      <c r="G1799" s="1226"/>
      <c r="H1799" s="1226"/>
      <c r="I1799" s="1227"/>
      <c r="J1799" s="70"/>
      <c r="K1799" s="1077"/>
      <c r="L1799" s="1064"/>
      <c r="M1799" s="992"/>
      <c r="Z1799" s="992"/>
      <c r="AA1799" s="992"/>
      <c r="AB1799" s="992"/>
      <c r="AC1799" s="992"/>
      <c r="AD1799" s="992"/>
      <c r="AE1799" s="992"/>
    </row>
    <row r="1800" spans="1:31" ht="15.75" thickTop="1">
      <c r="A1800" s="672" t="s">
        <v>49</v>
      </c>
      <c r="B1800" s="509" t="s">
        <v>115</v>
      </c>
      <c r="C1800" s="803" t="s">
        <v>884</v>
      </c>
      <c r="D1800" s="804"/>
      <c r="E1800" s="726" t="s">
        <v>885</v>
      </c>
      <c r="F1800" s="727"/>
      <c r="G1800" s="730" t="s">
        <v>901</v>
      </c>
      <c r="H1800" s="731"/>
      <c r="I1800" s="730" t="s">
        <v>973</v>
      </c>
      <c r="J1800" s="731"/>
      <c r="K1800" s="1077"/>
      <c r="L1800" s="1064"/>
      <c r="M1800" s="992"/>
      <c r="Z1800" s="992"/>
      <c r="AA1800" s="992"/>
      <c r="AB1800" s="992"/>
      <c r="AC1800" s="992"/>
      <c r="AD1800" s="992"/>
      <c r="AE1800" s="992"/>
    </row>
    <row r="1801" spans="1:31" ht="15">
      <c r="A1801" s="191" t="s">
        <v>310</v>
      </c>
      <c r="B1801" s="324" t="s">
        <v>57</v>
      </c>
      <c r="C1801" s="707">
        <f>CEILING(60*$Z$1,0.1)</f>
        <v>75</v>
      </c>
      <c r="D1801" s="747"/>
      <c r="E1801" s="703">
        <f>CEILING(115*$Z$1,0.1)</f>
        <v>143.8</v>
      </c>
      <c r="F1801" s="704"/>
      <c r="G1801" s="703">
        <f>CEILING(87*$Z$1,0.1)</f>
        <v>108.80000000000001</v>
      </c>
      <c r="H1801" s="704"/>
      <c r="I1801" s="703">
        <f>CEILING(82*$Z$1,0.1)</f>
        <v>102.5</v>
      </c>
      <c r="J1801" s="704"/>
      <c r="K1801" s="1063"/>
      <c r="L1801" s="1064"/>
      <c r="M1801" s="992"/>
      <c r="Z1801" s="992"/>
      <c r="AA1801" s="992"/>
      <c r="AB1801" s="992"/>
      <c r="AC1801" s="992"/>
      <c r="AD1801" s="992"/>
      <c r="AE1801" s="992"/>
    </row>
    <row r="1802" spans="1:31" ht="15">
      <c r="A1802" s="177" t="s">
        <v>65</v>
      </c>
      <c r="B1802" s="324" t="s">
        <v>58</v>
      </c>
      <c r="C1802" s="707">
        <f>CEILING((C1801+30*$Z$1),0.1)</f>
        <v>112.5</v>
      </c>
      <c r="D1802" s="708"/>
      <c r="E1802" s="707">
        <f>CEILING((E1801+30*$Z$1),0.1)</f>
        <v>181.3</v>
      </c>
      <c r="F1802" s="708"/>
      <c r="G1802" s="707">
        <f>CEILING((G1801+30*$Z$1),0.1)</f>
        <v>146.3</v>
      </c>
      <c r="H1802" s="708"/>
      <c r="I1802" s="707">
        <f>CEILING((I1801+30*$Z$1),0.1)</f>
        <v>140</v>
      </c>
      <c r="J1802" s="708"/>
      <c r="K1802" s="1063"/>
      <c r="L1802" s="1064"/>
      <c r="M1802" s="992"/>
      <c r="Z1802" s="992"/>
      <c r="AA1802" s="992"/>
      <c r="AB1802" s="992"/>
      <c r="AC1802" s="992"/>
      <c r="AD1802" s="992"/>
      <c r="AE1802" s="992"/>
    </row>
    <row r="1803" spans="1:31" ht="15">
      <c r="A1803" s="82"/>
      <c r="B1803" s="325" t="s">
        <v>86</v>
      </c>
      <c r="C1803" s="707">
        <f>CEILING((C1801*0.85),0.1)</f>
        <v>63.800000000000004</v>
      </c>
      <c r="D1803" s="708"/>
      <c r="E1803" s="707">
        <f>CEILING((E1801*0.85),0.1)</f>
        <v>122.30000000000001</v>
      </c>
      <c r="F1803" s="708"/>
      <c r="G1803" s="707">
        <f>CEILING((G1801*0.85),0.1)</f>
        <v>92.5</v>
      </c>
      <c r="H1803" s="708"/>
      <c r="I1803" s="707">
        <f>CEILING((I1801*0.85),0.1)</f>
        <v>87.2</v>
      </c>
      <c r="J1803" s="708"/>
      <c r="K1803" s="1063"/>
      <c r="L1803" s="1064"/>
      <c r="M1803" s="992"/>
      <c r="Z1803" s="992"/>
      <c r="AA1803" s="992"/>
      <c r="AB1803" s="992"/>
      <c r="AC1803" s="992"/>
      <c r="AD1803" s="992"/>
      <c r="AE1803" s="992"/>
    </row>
    <row r="1804" spans="1:31" ht="17.25" customHeight="1">
      <c r="A1804" s="82"/>
      <c r="B1804" s="326" t="s">
        <v>74</v>
      </c>
      <c r="C1804" s="707">
        <f>CEILING((C1801+15*$Z$1),0.1)</f>
        <v>93.80000000000001</v>
      </c>
      <c r="D1804" s="708"/>
      <c r="E1804" s="707">
        <f>CEILING((E1801+15*$Z$1),0.1)</f>
        <v>162.60000000000002</v>
      </c>
      <c r="F1804" s="708"/>
      <c r="G1804" s="707">
        <f>CEILING((G1801+15*$Z$1),0.1)</f>
        <v>127.60000000000001</v>
      </c>
      <c r="H1804" s="708"/>
      <c r="I1804" s="707">
        <f>CEILING((I1801+15*$Z$1),0.1)</f>
        <v>121.30000000000001</v>
      </c>
      <c r="J1804" s="708"/>
      <c r="K1804" s="1064"/>
      <c r="L1804" s="1064"/>
      <c r="M1804" s="992"/>
      <c r="Z1804" s="992"/>
      <c r="AA1804" s="992"/>
      <c r="AB1804" s="992"/>
      <c r="AC1804" s="992"/>
      <c r="AD1804" s="992"/>
      <c r="AE1804" s="992"/>
    </row>
    <row r="1805" spans="1:31" ht="19.5" customHeight="1">
      <c r="A1805" s="82"/>
      <c r="B1805" s="324" t="s">
        <v>75</v>
      </c>
      <c r="C1805" s="707">
        <f>CEILING((C1804+30*$Z$1),0.1)</f>
        <v>131.3</v>
      </c>
      <c r="D1805" s="708"/>
      <c r="E1805" s="707">
        <f>CEILING((E1804+30*$Z$1),0.1)</f>
        <v>200.10000000000002</v>
      </c>
      <c r="F1805" s="708"/>
      <c r="G1805" s="707">
        <f>CEILING((G1804+30*$Z$1),0.1)</f>
        <v>165.10000000000002</v>
      </c>
      <c r="H1805" s="708"/>
      <c r="I1805" s="707">
        <f>CEILING((I1804+30*$Z$1),0.1)</f>
        <v>158.8</v>
      </c>
      <c r="J1805" s="708"/>
      <c r="K1805" s="265"/>
      <c r="L1805" s="265"/>
      <c r="M1805" s="992"/>
      <c r="Z1805" s="992"/>
      <c r="AA1805" s="992"/>
      <c r="AB1805" s="992"/>
      <c r="AC1805" s="992"/>
      <c r="AD1805" s="992"/>
      <c r="AE1805" s="992"/>
    </row>
    <row r="1806" spans="1:31" ht="18" customHeight="1">
      <c r="A1806" s="82"/>
      <c r="B1806" s="326" t="s">
        <v>62</v>
      </c>
      <c r="C1806" s="707">
        <f>CEILING((C1801+30*$Z$1),0.1)</f>
        <v>112.5</v>
      </c>
      <c r="D1806" s="708"/>
      <c r="E1806" s="707">
        <f>CEILING((E1801+30*$Z$1),0.1)</f>
        <v>181.3</v>
      </c>
      <c r="F1806" s="708"/>
      <c r="G1806" s="707">
        <f>CEILING((G1801+30*$Z$1),0.1)</f>
        <v>146.3</v>
      </c>
      <c r="H1806" s="708"/>
      <c r="I1806" s="707">
        <f>CEILING((I1801+30*$Z$1),0.1)</f>
        <v>140</v>
      </c>
      <c r="J1806" s="708"/>
      <c r="K1806" s="1063"/>
      <c r="L1806" s="1063"/>
      <c r="M1806" s="992"/>
      <c r="Z1806" s="992"/>
      <c r="AA1806" s="992"/>
      <c r="AB1806" s="992"/>
      <c r="AC1806" s="992"/>
      <c r="AD1806" s="992"/>
      <c r="AE1806" s="992"/>
    </row>
    <row r="1807" spans="1:31" ht="18" customHeight="1" thickBot="1">
      <c r="A1807" s="373" t="s">
        <v>525</v>
      </c>
      <c r="B1807" s="1228" t="s">
        <v>63</v>
      </c>
      <c r="C1807" s="720">
        <f>CEILING((C1806+60*$Z$1),0.1)</f>
        <v>187.5</v>
      </c>
      <c r="D1807" s="721"/>
      <c r="E1807" s="720">
        <f>CEILING((E1806+60*$Z$1),0.1)</f>
        <v>256.3</v>
      </c>
      <c r="F1807" s="721"/>
      <c r="G1807" s="720">
        <f>CEILING((G1806+60*$Z$1),0.1)</f>
        <v>221.3</v>
      </c>
      <c r="H1807" s="721"/>
      <c r="I1807" s="720">
        <f>CEILING((I1806+60*$Z$1),0.1)</f>
        <v>215</v>
      </c>
      <c r="J1807" s="721"/>
      <c r="K1807" s="282"/>
      <c r="L1807" s="1064"/>
      <c r="M1807" s="992"/>
      <c r="Z1807" s="992"/>
      <c r="AA1807" s="992"/>
      <c r="AB1807" s="992"/>
      <c r="AC1807" s="992"/>
      <c r="AD1807" s="992"/>
      <c r="AE1807" s="992"/>
    </row>
    <row r="1808" spans="1:31" ht="15.75" customHeight="1" thickTop="1">
      <c r="A1808" s="1229" t="s">
        <v>311</v>
      </c>
      <c r="B1808" s="1207"/>
      <c r="C1808" s="1207"/>
      <c r="D1808" s="1207"/>
      <c r="E1808" s="1207"/>
      <c r="F1808" s="1207"/>
      <c r="G1808" s="1207"/>
      <c r="H1808" s="1207"/>
      <c r="I1808" s="1207"/>
      <c r="J1808" s="136"/>
      <c r="K1808" s="282"/>
      <c r="L1808" s="1064"/>
      <c r="M1808" s="992"/>
      <c r="Z1808" s="992"/>
      <c r="AA1808" s="992"/>
      <c r="AB1808" s="992"/>
      <c r="AC1808" s="992"/>
      <c r="AD1808" s="992"/>
      <c r="AE1808" s="992"/>
    </row>
    <row r="1809" spans="1:31" ht="20.25" customHeight="1" thickBot="1">
      <c r="A1809" s="1229"/>
      <c r="B1809" s="1207"/>
      <c r="C1809" s="1227"/>
      <c r="D1809" s="1227"/>
      <c r="E1809" s="1227"/>
      <c r="F1809" s="1227"/>
      <c r="G1809" s="1227"/>
      <c r="H1809" s="1227"/>
      <c r="I1809" s="1227"/>
      <c r="J1809" s="70"/>
      <c r="K1809" s="282"/>
      <c r="L1809" s="1064"/>
      <c r="M1809" s="992"/>
      <c r="Z1809" s="992"/>
      <c r="AA1809" s="992"/>
      <c r="AB1809" s="992"/>
      <c r="AC1809" s="992"/>
      <c r="AD1809" s="992"/>
      <c r="AE1809" s="992"/>
    </row>
    <row r="1810" spans="1:31" ht="20.25" customHeight="1" thickTop="1">
      <c r="A1810" s="427" t="s">
        <v>49</v>
      </c>
      <c r="B1810" s="541" t="s">
        <v>115</v>
      </c>
      <c r="C1810" s="803" t="s">
        <v>884</v>
      </c>
      <c r="D1810" s="804"/>
      <c r="E1810" s="726" t="s">
        <v>1066</v>
      </c>
      <c r="F1810" s="727"/>
      <c r="G1810" s="730" t="s">
        <v>901</v>
      </c>
      <c r="H1810" s="731"/>
      <c r="I1810" s="730" t="s">
        <v>919</v>
      </c>
      <c r="J1810" s="731"/>
      <c r="K1810" s="282"/>
      <c r="L1810" s="1064"/>
      <c r="M1810" s="992"/>
      <c r="Z1810" s="992"/>
      <c r="AA1810" s="992"/>
      <c r="AB1810" s="992"/>
      <c r="AC1810" s="992"/>
      <c r="AD1810" s="992"/>
      <c r="AE1810" s="992"/>
    </row>
    <row r="1811" spans="1:31" ht="19.5" customHeight="1">
      <c r="A1811" s="36" t="s">
        <v>450</v>
      </c>
      <c r="B1811" s="42" t="s">
        <v>57</v>
      </c>
      <c r="C1811" s="707">
        <f>CEILING(36*$Z$1,0.1)</f>
        <v>45</v>
      </c>
      <c r="D1811" s="747"/>
      <c r="E1811" s="703">
        <f>CEILING(65*$Z$1,0.1)</f>
        <v>81.30000000000001</v>
      </c>
      <c r="F1811" s="704"/>
      <c r="G1811" s="703">
        <f>CEILING(48*$Z$1,0.1)</f>
        <v>60</v>
      </c>
      <c r="H1811" s="704"/>
      <c r="I1811" s="703">
        <f>CEILING(36*$Z$1,0.1)</f>
        <v>45</v>
      </c>
      <c r="J1811" s="704"/>
      <c r="K1811" s="282"/>
      <c r="L1811" s="1064"/>
      <c r="M1811" s="992"/>
      <c r="Z1811" s="992"/>
      <c r="AA1811" s="992"/>
      <c r="AB1811" s="992"/>
      <c r="AC1811" s="992"/>
      <c r="AD1811" s="992"/>
      <c r="AE1811" s="992"/>
    </row>
    <row r="1812" spans="1:31" ht="15">
      <c r="A1812" s="37" t="s">
        <v>98</v>
      </c>
      <c r="B1812" s="14" t="s">
        <v>58</v>
      </c>
      <c r="C1812" s="707">
        <f>CEILING((C1811+14*$Z$1),0.1)</f>
        <v>62.5</v>
      </c>
      <c r="D1812" s="708"/>
      <c r="E1812" s="707">
        <f>CEILING((E1811+14*$Z$1),0.1)</f>
        <v>98.80000000000001</v>
      </c>
      <c r="F1812" s="708"/>
      <c r="G1812" s="707">
        <f>CEILING((G1811+14*$Z$1),0.1)</f>
        <v>77.5</v>
      </c>
      <c r="H1812" s="708"/>
      <c r="I1812" s="707">
        <f>CEILING((I1811+14*$Z$1),0.1)</f>
        <v>62.5</v>
      </c>
      <c r="J1812" s="708"/>
      <c r="K1812" s="1230"/>
      <c r="L1812" s="1064"/>
      <c r="M1812" s="992"/>
      <c r="Z1812" s="992"/>
      <c r="AA1812" s="992"/>
      <c r="AB1812" s="992"/>
      <c r="AC1812" s="992"/>
      <c r="AD1812" s="992"/>
      <c r="AE1812" s="992"/>
    </row>
    <row r="1813" spans="1:31" ht="15">
      <c r="A1813" s="37"/>
      <c r="B1813" s="13" t="s">
        <v>86</v>
      </c>
      <c r="C1813" s="707">
        <f>CEILING((C1811*0.85),0.1)</f>
        <v>38.300000000000004</v>
      </c>
      <c r="D1813" s="708"/>
      <c r="E1813" s="707">
        <f>CEILING((E1811*0.85),0.1)</f>
        <v>69.2</v>
      </c>
      <c r="F1813" s="708"/>
      <c r="G1813" s="707">
        <f>CEILING((G1811*0.85),0.1)</f>
        <v>51</v>
      </c>
      <c r="H1813" s="708"/>
      <c r="I1813" s="707">
        <f>CEILING((I1811*0.85),0.1)</f>
        <v>38.300000000000004</v>
      </c>
      <c r="J1813" s="708"/>
      <c r="K1813" s="282"/>
      <c r="L1813" s="1064"/>
      <c r="M1813" s="992"/>
      <c r="Z1813" s="992"/>
      <c r="AA1813" s="992"/>
      <c r="AB1813" s="992"/>
      <c r="AC1813" s="992"/>
      <c r="AD1813" s="992"/>
      <c r="AE1813" s="992"/>
    </row>
    <row r="1814" spans="1:31" ht="15.75" thickBot="1">
      <c r="A1814" s="86" t="s">
        <v>544</v>
      </c>
      <c r="B1814" s="328" t="s">
        <v>100</v>
      </c>
      <c r="C1814" s="799">
        <v>0</v>
      </c>
      <c r="D1814" s="800"/>
      <c r="E1814" s="799">
        <v>0</v>
      </c>
      <c r="F1814" s="919"/>
      <c r="G1814" s="799">
        <v>0</v>
      </c>
      <c r="H1814" s="810"/>
      <c r="I1814" s="799">
        <v>0</v>
      </c>
      <c r="J1814" s="810"/>
      <c r="K1814" s="282"/>
      <c r="L1814" s="1064"/>
      <c r="M1814" s="992"/>
      <c r="Z1814" s="992"/>
      <c r="AA1814" s="992"/>
      <c r="AB1814" s="992"/>
      <c r="AC1814" s="992"/>
      <c r="AD1814" s="992"/>
      <c r="AE1814" s="992"/>
    </row>
    <row r="1815" spans="1:31" ht="19.5" customHeight="1" thickTop="1">
      <c r="A1815" s="170" t="s">
        <v>1059</v>
      </c>
      <c r="B1815" s="54"/>
      <c r="C1815" s="3"/>
      <c r="D1815" s="366"/>
      <c r="E1815" s="366"/>
      <c r="F1815" s="366"/>
      <c r="G1815" s="366"/>
      <c r="H1815" s="260"/>
      <c r="I1815" s="366"/>
      <c r="J1815" s="260"/>
      <c r="K1815" s="1231"/>
      <c r="L1815" s="1064"/>
      <c r="M1815" s="992"/>
      <c r="Z1815" s="992"/>
      <c r="AA1815" s="992"/>
      <c r="AB1815" s="992"/>
      <c r="AC1815" s="992"/>
      <c r="AD1815" s="992"/>
      <c r="AE1815" s="992"/>
    </row>
    <row r="1816" spans="1:31" ht="21.75" customHeight="1">
      <c r="A1816" s="170" t="s">
        <v>1057</v>
      </c>
      <c r="B1816" s="54"/>
      <c r="C1816" s="3"/>
      <c r="D1816" s="366"/>
      <c r="E1816" s="366"/>
      <c r="F1816" s="366"/>
      <c r="G1816" s="366"/>
      <c r="H1816" s="260"/>
      <c r="I1816" s="366"/>
      <c r="J1816" s="260"/>
      <c r="K1816" s="285"/>
      <c r="L1816" s="1064"/>
      <c r="M1816" s="992"/>
      <c r="Z1816" s="992"/>
      <c r="AA1816" s="992"/>
      <c r="AB1816" s="992"/>
      <c r="AC1816" s="992"/>
      <c r="AD1816" s="992"/>
      <c r="AE1816" s="992"/>
    </row>
    <row r="1817" spans="1:31" ht="15" customHeight="1">
      <c r="A1817" s="170" t="s">
        <v>1060</v>
      </c>
      <c r="B1817" s="54"/>
      <c r="C1817" s="3"/>
      <c r="D1817" s="366"/>
      <c r="E1817" s="366"/>
      <c r="F1817" s="366"/>
      <c r="G1817" s="366"/>
      <c r="H1817" s="260"/>
      <c r="I1817" s="366"/>
      <c r="J1817" s="260"/>
      <c r="K1817" s="282"/>
      <c r="L1817" s="1064"/>
      <c r="M1817" s="992"/>
      <c r="Z1817" s="992"/>
      <c r="AA1817" s="992"/>
      <c r="AB1817" s="992"/>
      <c r="AC1817" s="992"/>
      <c r="AD1817" s="992"/>
      <c r="AE1817" s="992"/>
    </row>
    <row r="1818" spans="1:31" ht="20.25" customHeight="1">
      <c r="A1818" s="1229"/>
      <c r="B1818" s="1207"/>
      <c r="C1818" s="1207"/>
      <c r="D1818" s="1207"/>
      <c r="E1818" s="1207"/>
      <c r="F1818" s="1207"/>
      <c r="G1818" s="1207"/>
      <c r="H1818" s="1207"/>
      <c r="I1818" s="1207"/>
      <c r="J1818" s="136"/>
      <c r="K1818" s="282"/>
      <c r="L1818" s="1064"/>
      <c r="M1818" s="992"/>
      <c r="Z1818" s="992"/>
      <c r="AA1818" s="992"/>
      <c r="AB1818" s="992"/>
      <c r="AC1818" s="992"/>
      <c r="AD1818" s="992"/>
      <c r="AE1818" s="992"/>
    </row>
    <row r="1819" spans="1:31" ht="24" customHeight="1">
      <c r="A1819" s="1222" t="s">
        <v>818</v>
      </c>
      <c r="B1819" s="1222"/>
      <c r="C1819" s="1222"/>
      <c r="D1819" s="1222"/>
      <c r="E1819" s="1222"/>
      <c r="F1819" s="1222"/>
      <c r="G1819" s="1222"/>
      <c r="H1819" s="1053"/>
      <c r="I1819" s="3"/>
      <c r="J1819" s="653"/>
      <c r="K1819" s="282"/>
      <c r="L1819" s="1064"/>
      <c r="M1819" s="992"/>
      <c r="Z1819" s="992"/>
      <c r="AA1819" s="992"/>
      <c r="AB1819" s="992"/>
      <c r="AC1819" s="992"/>
      <c r="AD1819" s="992"/>
      <c r="AE1819" s="992"/>
    </row>
    <row r="1820" spans="1:31" ht="21.75" customHeight="1">
      <c r="A1820" s="1229"/>
      <c r="B1820" s="1207"/>
      <c r="C1820" s="1207"/>
      <c r="D1820" s="1207"/>
      <c r="E1820" s="1207"/>
      <c r="F1820" s="1207"/>
      <c r="G1820" s="1207"/>
      <c r="H1820" s="1207"/>
      <c r="I1820" s="1207"/>
      <c r="J1820" s="136"/>
      <c r="K1820" s="282"/>
      <c r="L1820" s="1064"/>
      <c r="M1820" s="992"/>
      <c r="Z1820" s="992"/>
      <c r="AA1820" s="992"/>
      <c r="AB1820" s="992"/>
      <c r="AC1820" s="992"/>
      <c r="AD1820" s="992"/>
      <c r="AE1820" s="992"/>
    </row>
    <row r="1821" spans="1:31" ht="23.25" customHeight="1">
      <c r="A1821" s="1232" t="s">
        <v>205</v>
      </c>
      <c r="B1821" s="1232"/>
      <c r="C1821" s="1233"/>
      <c r="D1821" s="1233"/>
      <c r="E1821" s="1233"/>
      <c r="F1821" s="1233"/>
      <c r="G1821" s="1233"/>
      <c r="H1821" s="1233"/>
      <c r="I1821" s="18"/>
      <c r="J1821" s="18"/>
      <c r="K1821" s="282"/>
      <c r="L1821" s="1064"/>
      <c r="M1821" s="992"/>
      <c r="Z1821" s="992"/>
      <c r="AA1821" s="992"/>
      <c r="AB1821" s="992"/>
      <c r="AC1821" s="992"/>
      <c r="AD1821" s="992"/>
      <c r="AE1821" s="992"/>
    </row>
    <row r="1822" spans="1:31" ht="20.25" customHeight="1">
      <c r="A1822" s="1234" t="s">
        <v>270</v>
      </c>
      <c r="B1822" s="1234"/>
      <c r="C1822" s="1233"/>
      <c r="D1822" s="1233"/>
      <c r="E1822" s="1233"/>
      <c r="F1822" s="1233"/>
      <c r="G1822" s="1233"/>
      <c r="H1822" s="1233"/>
      <c r="I1822" s="18"/>
      <c r="J1822" s="18"/>
      <c r="K1822" s="282"/>
      <c r="L1822" s="1064"/>
      <c r="M1822" s="992"/>
      <c r="Z1822" s="992"/>
      <c r="AA1822" s="992"/>
      <c r="AB1822" s="992"/>
      <c r="AC1822" s="992"/>
      <c r="AD1822" s="992"/>
      <c r="AE1822" s="992"/>
    </row>
    <row r="1823" spans="1:31" ht="15">
      <c r="A1823" s="1235" t="s">
        <v>206</v>
      </c>
      <c r="B1823" s="1235"/>
      <c r="C1823" s="1233"/>
      <c r="D1823" s="1233"/>
      <c r="E1823" s="1233"/>
      <c r="F1823" s="1233"/>
      <c r="G1823" s="1233"/>
      <c r="H1823" s="1233"/>
      <c r="I1823" s="18"/>
      <c r="J1823" s="18"/>
      <c r="K1823" s="1064"/>
      <c r="L1823" s="1064"/>
      <c r="M1823" s="992"/>
      <c r="Z1823" s="992"/>
      <c r="AA1823" s="992"/>
      <c r="AB1823" s="992"/>
      <c r="AC1823" s="992"/>
      <c r="AD1823" s="992"/>
      <c r="AE1823" s="992"/>
    </row>
    <row r="1824" spans="1:31" ht="15.75" thickBot="1">
      <c r="A1824" s="1236"/>
      <c r="B1824" s="1236"/>
      <c r="C1824" s="1233"/>
      <c r="D1824" s="1233"/>
      <c r="E1824" s="1233"/>
      <c r="F1824" s="1233"/>
      <c r="G1824" s="1233"/>
      <c r="H1824" s="1233"/>
      <c r="I1824" s="18"/>
      <c r="J1824" s="18"/>
      <c r="K1824" s="993"/>
      <c r="L1824" s="993"/>
      <c r="N1824" s="993"/>
      <c r="O1824" s="993"/>
      <c r="P1824" s="993"/>
      <c r="Q1824" s="993"/>
      <c r="R1824" s="993"/>
      <c r="S1824" s="993"/>
      <c r="T1824" s="993"/>
      <c r="U1824" s="993"/>
      <c r="V1824" s="993"/>
      <c r="W1824" s="993"/>
      <c r="X1824" s="993"/>
      <c r="Y1824" s="993"/>
      <c r="AE1824" s="992"/>
    </row>
    <row r="1825" spans="1:31" ht="21" thickBot="1">
      <c r="A1825" s="1237" t="s">
        <v>325</v>
      </c>
      <c r="B1825" s="1238"/>
      <c r="C1825" s="1239"/>
      <c r="D1825" s="1239"/>
      <c r="E1825" s="1239"/>
      <c r="F1825" s="1239"/>
      <c r="G1825" s="1239"/>
      <c r="H1825" s="1239"/>
      <c r="I1825" s="1240"/>
      <c r="J1825" s="18"/>
      <c r="K1825" s="993"/>
      <c r="L1825" s="993"/>
      <c r="N1825" s="993"/>
      <c r="O1825" s="993"/>
      <c r="P1825" s="993"/>
      <c r="Q1825" s="993"/>
      <c r="R1825" s="993"/>
      <c r="S1825" s="993"/>
      <c r="T1825" s="993"/>
      <c r="U1825" s="993"/>
      <c r="V1825" s="993"/>
      <c r="W1825" s="993"/>
      <c r="X1825" s="993"/>
      <c r="Y1825" s="993"/>
      <c r="AE1825" s="992"/>
    </row>
    <row r="1826" spans="1:31" ht="16.5" customHeight="1">
      <c r="A1826" s="1241" t="s">
        <v>207</v>
      </c>
      <c r="B1826" s="1242"/>
      <c r="C1826" s="1242"/>
      <c r="D1826" s="32"/>
      <c r="E1826" s="32"/>
      <c r="F1826" s="32"/>
      <c r="G1826" s="32"/>
      <c r="H1826" s="32"/>
      <c r="I1826" s="1243"/>
      <c r="J1826" s="18"/>
      <c r="K1826" s="993"/>
      <c r="L1826" s="993"/>
      <c r="N1826" s="993"/>
      <c r="O1826" s="993"/>
      <c r="P1826" s="993"/>
      <c r="Q1826" s="993"/>
      <c r="R1826" s="993"/>
      <c r="S1826" s="993"/>
      <c r="T1826" s="993"/>
      <c r="U1826" s="993"/>
      <c r="V1826" s="993"/>
      <c r="W1826" s="993"/>
      <c r="X1826" s="993"/>
      <c r="Y1826" s="993"/>
      <c r="AE1826" s="992"/>
    </row>
    <row r="1827" spans="1:31" ht="19.5" customHeight="1" hidden="1">
      <c r="A1827" s="1244" t="s">
        <v>208</v>
      </c>
      <c r="B1827" s="1245"/>
      <c r="C1827" s="1245"/>
      <c r="D1827" s="1245"/>
      <c r="E1827" s="1245"/>
      <c r="F1827" s="1245"/>
      <c r="G1827" s="1245"/>
      <c r="H1827" s="1245"/>
      <c r="I1827" s="1246"/>
      <c r="J1827" s="1230"/>
      <c r="K1827" s="993"/>
      <c r="L1827" s="993"/>
      <c r="N1827" s="993"/>
      <c r="O1827" s="993"/>
      <c r="P1827" s="993"/>
      <c r="Q1827" s="993"/>
      <c r="R1827" s="993"/>
      <c r="S1827" s="993"/>
      <c r="T1827" s="993"/>
      <c r="U1827" s="993"/>
      <c r="V1827" s="993"/>
      <c r="W1827" s="993"/>
      <c r="X1827" s="993"/>
      <c r="Y1827" s="993"/>
      <c r="AE1827" s="992"/>
    </row>
    <row r="1828" spans="1:31" ht="39.75" customHeight="1">
      <c r="A1828" s="1241" t="s">
        <v>209</v>
      </c>
      <c r="B1828" s="1242"/>
      <c r="C1828" s="1242"/>
      <c r="D1828" s="32"/>
      <c r="E1828" s="32"/>
      <c r="F1828" s="32"/>
      <c r="G1828" s="32"/>
      <c r="H1828" s="32"/>
      <c r="I1828" s="1243"/>
      <c r="J1828" s="18"/>
      <c r="K1828" s="993"/>
      <c r="L1828" s="993"/>
      <c r="N1828" s="993"/>
      <c r="O1828" s="993"/>
      <c r="P1828" s="993"/>
      <c r="Q1828" s="993"/>
      <c r="R1828" s="993"/>
      <c r="S1828" s="993"/>
      <c r="T1828" s="993"/>
      <c r="U1828" s="993"/>
      <c r="V1828" s="993"/>
      <c r="W1828" s="993"/>
      <c r="X1828" s="993"/>
      <c r="Y1828" s="993"/>
      <c r="AE1828" s="992"/>
    </row>
    <row r="1829" spans="1:31" ht="32.25" customHeight="1">
      <c r="A1829" s="1247" t="s">
        <v>27</v>
      </c>
      <c r="B1829" s="1248"/>
      <c r="C1829" s="1248"/>
      <c r="D1829" s="1248"/>
      <c r="E1829" s="1248"/>
      <c r="F1829" s="1248"/>
      <c r="G1829" s="1248"/>
      <c r="H1829" s="1248"/>
      <c r="I1829" s="1243"/>
      <c r="J1829" s="18"/>
      <c r="K1829" s="993"/>
      <c r="L1829" s="993"/>
      <c r="N1829" s="993"/>
      <c r="O1829" s="993"/>
      <c r="P1829" s="993"/>
      <c r="Q1829" s="993"/>
      <c r="R1829" s="993"/>
      <c r="S1829" s="993"/>
      <c r="T1829" s="993"/>
      <c r="U1829" s="993"/>
      <c r="V1829" s="993"/>
      <c r="W1829" s="993"/>
      <c r="X1829" s="993"/>
      <c r="Y1829" s="993"/>
      <c r="AE1829" s="992"/>
    </row>
    <row r="1830" spans="1:31" ht="54.75" customHeight="1" thickBot="1">
      <c r="A1830" s="1249" t="s">
        <v>1195</v>
      </c>
      <c r="B1830" s="1250"/>
      <c r="C1830" s="1250"/>
      <c r="D1830" s="1250"/>
      <c r="E1830" s="1250"/>
      <c r="F1830" s="1250"/>
      <c r="G1830" s="1250"/>
      <c r="H1830" s="1250"/>
      <c r="I1830" s="1251"/>
      <c r="J1830" s="1231"/>
      <c r="K1830" s="993"/>
      <c r="L1830" s="993"/>
      <c r="N1830" s="993"/>
      <c r="O1830" s="993"/>
      <c r="P1830" s="993"/>
      <c r="Q1830" s="993"/>
      <c r="R1830" s="993"/>
      <c r="S1830" s="993"/>
      <c r="T1830" s="993"/>
      <c r="U1830" s="993"/>
      <c r="V1830" s="993"/>
      <c r="W1830" s="993"/>
      <c r="X1830" s="993"/>
      <c r="Y1830" s="993"/>
      <c r="AE1830" s="992"/>
    </row>
    <row r="1831" spans="1:31" ht="20.25" customHeight="1">
      <c r="A1831" s="1252" t="s">
        <v>543</v>
      </c>
      <c r="B1831" s="1252"/>
      <c r="C1831" s="1252"/>
      <c r="D1831" s="1252"/>
      <c r="E1831" s="1252"/>
      <c r="F1831" s="1252"/>
      <c r="G1831" s="1252"/>
      <c r="H1831" s="1252"/>
      <c r="I1831" s="1252"/>
      <c r="J1831" s="1252"/>
      <c r="K1831" s="993"/>
      <c r="L1831" s="993"/>
      <c r="N1831" s="993"/>
      <c r="O1831" s="993"/>
      <c r="P1831" s="993"/>
      <c r="Q1831" s="993"/>
      <c r="R1831" s="993"/>
      <c r="S1831" s="993"/>
      <c r="T1831" s="993"/>
      <c r="U1831" s="993"/>
      <c r="V1831" s="993"/>
      <c r="W1831" s="993"/>
      <c r="X1831" s="993"/>
      <c r="Y1831" s="993"/>
      <c r="AE1831" s="992"/>
    </row>
    <row r="1832" spans="1:31" ht="20.25" customHeight="1">
      <c r="A1832" s="1252" t="s">
        <v>557</v>
      </c>
      <c r="B1832" s="1252"/>
      <c r="C1832" s="1252"/>
      <c r="D1832" s="1252"/>
      <c r="E1832" s="1252"/>
      <c r="F1832" s="1252"/>
      <c r="G1832" s="1252"/>
      <c r="H1832" s="1252"/>
      <c r="I1832" s="1252"/>
      <c r="J1832" s="1252"/>
      <c r="K1832" s="993"/>
      <c r="L1832" s="993"/>
      <c r="N1832" s="993"/>
      <c r="O1832" s="993"/>
      <c r="P1832" s="993"/>
      <c r="Q1832" s="993"/>
      <c r="R1832" s="993"/>
      <c r="S1832" s="993"/>
      <c r="T1832" s="993"/>
      <c r="U1832" s="993"/>
      <c r="V1832" s="993"/>
      <c r="W1832" s="993"/>
      <c r="X1832" s="993"/>
      <c r="Y1832" s="993"/>
      <c r="AE1832" s="992"/>
    </row>
    <row r="1833" spans="1:31" ht="21" customHeight="1">
      <c r="A1833" s="1252" t="s">
        <v>545</v>
      </c>
      <c r="B1833" s="1252"/>
      <c r="C1833" s="1252"/>
      <c r="D1833" s="1252"/>
      <c r="E1833" s="1252"/>
      <c r="F1833" s="1252"/>
      <c r="G1833" s="1252"/>
      <c r="H1833" s="1252"/>
      <c r="I1833" s="1252"/>
      <c r="J1833" s="1252"/>
      <c r="K1833" s="993"/>
      <c r="L1833" s="993"/>
      <c r="N1833" s="993"/>
      <c r="O1833" s="993"/>
      <c r="P1833" s="993"/>
      <c r="Q1833" s="993"/>
      <c r="R1833" s="993"/>
      <c r="S1833" s="993"/>
      <c r="T1833" s="993"/>
      <c r="U1833" s="993"/>
      <c r="V1833" s="993"/>
      <c r="W1833" s="993"/>
      <c r="X1833" s="993"/>
      <c r="Y1833" s="993"/>
      <c r="AE1833" s="992"/>
    </row>
    <row r="1834" spans="1:31" ht="21" customHeight="1">
      <c r="A1834" s="1252" t="s">
        <v>558</v>
      </c>
      <c r="B1834" s="1252"/>
      <c r="C1834" s="1252"/>
      <c r="D1834" s="1252"/>
      <c r="E1834" s="1252"/>
      <c r="F1834" s="1252"/>
      <c r="G1834" s="1252"/>
      <c r="H1834" s="1252"/>
      <c r="I1834" s="1252"/>
      <c r="J1834" s="1252"/>
      <c r="K1834" s="993"/>
      <c r="L1834" s="993"/>
      <c r="N1834" s="993"/>
      <c r="O1834" s="993"/>
      <c r="P1834" s="993"/>
      <c r="Q1834" s="993"/>
      <c r="R1834" s="993"/>
      <c r="S1834" s="993"/>
      <c r="T1834" s="993"/>
      <c r="U1834" s="993"/>
      <c r="V1834" s="993"/>
      <c r="W1834" s="993"/>
      <c r="X1834" s="993"/>
      <c r="Y1834" s="993"/>
      <c r="AE1834" s="992"/>
    </row>
    <row r="1835" spans="1:31" ht="15">
      <c r="A1835" s="1252" t="s">
        <v>546</v>
      </c>
      <c r="B1835" s="1252"/>
      <c r="C1835" s="1252"/>
      <c r="D1835" s="1252"/>
      <c r="E1835" s="1252"/>
      <c r="F1835" s="1252"/>
      <c r="G1835" s="1252"/>
      <c r="H1835" s="1252"/>
      <c r="I1835" s="1252"/>
      <c r="J1835" s="1252"/>
      <c r="K1835" s="993"/>
      <c r="L1835" s="993"/>
      <c r="N1835" s="993"/>
      <c r="O1835" s="993"/>
      <c r="P1835" s="993"/>
      <c r="Q1835" s="993"/>
      <c r="R1835" s="993"/>
      <c r="S1835" s="993"/>
      <c r="T1835" s="993"/>
      <c r="U1835" s="993"/>
      <c r="V1835" s="993"/>
      <c r="W1835" s="993"/>
      <c r="X1835" s="993"/>
      <c r="Y1835" s="993"/>
      <c r="AE1835" s="992"/>
    </row>
    <row r="1836" spans="1:31" ht="22.5" customHeight="1">
      <c r="A1836" s="1104"/>
      <c r="B1836" s="1104"/>
      <c r="C1836" s="1104"/>
      <c r="D1836" s="1104"/>
      <c r="E1836" s="1104"/>
      <c r="F1836" s="1104"/>
      <c r="G1836" s="1104"/>
      <c r="H1836" s="1104"/>
      <c r="I1836" s="1104"/>
      <c r="J1836" s="1104"/>
      <c r="K1836" s="993"/>
      <c r="L1836" s="993"/>
      <c r="N1836" s="993"/>
      <c r="O1836" s="993"/>
      <c r="P1836" s="993"/>
      <c r="Q1836" s="993"/>
      <c r="R1836" s="993"/>
      <c r="S1836" s="993"/>
      <c r="T1836" s="993"/>
      <c r="U1836" s="993"/>
      <c r="V1836" s="993"/>
      <c r="W1836" s="993"/>
      <c r="X1836" s="993"/>
      <c r="Y1836" s="993"/>
      <c r="AE1836" s="992"/>
    </row>
    <row r="1837" spans="1:31" ht="7.5" customHeight="1">
      <c r="A1837" s="1104"/>
      <c r="B1837" s="1104"/>
      <c r="C1837" s="1104"/>
      <c r="D1837" s="1104"/>
      <c r="E1837" s="1104"/>
      <c r="F1837" s="1104"/>
      <c r="G1837" s="1104"/>
      <c r="H1837" s="1104"/>
      <c r="I1837" s="1104"/>
      <c r="J1837" s="1104"/>
      <c r="K1837" s="993"/>
      <c r="L1837" s="993"/>
      <c r="N1837" s="993"/>
      <c r="O1837" s="993"/>
      <c r="P1837" s="993"/>
      <c r="Q1837" s="993"/>
      <c r="R1837" s="993"/>
      <c r="S1837" s="993"/>
      <c r="T1837" s="993"/>
      <c r="U1837" s="993"/>
      <c r="V1837" s="993"/>
      <c r="W1837" s="993"/>
      <c r="X1837" s="993"/>
      <c r="Y1837" s="993"/>
      <c r="AE1837" s="992"/>
    </row>
    <row r="1838" spans="1:31" ht="18" customHeight="1">
      <c r="A1838" s="1104"/>
      <c r="B1838" s="1104"/>
      <c r="C1838" s="1104"/>
      <c r="D1838" s="1104"/>
      <c r="E1838" s="1104"/>
      <c r="F1838" s="1104"/>
      <c r="G1838" s="1104"/>
      <c r="H1838" s="1104"/>
      <c r="I1838" s="1104"/>
      <c r="J1838" s="1104"/>
      <c r="K1838" s="993"/>
      <c r="L1838" s="993"/>
      <c r="N1838" s="993"/>
      <c r="O1838" s="993"/>
      <c r="P1838" s="993"/>
      <c r="Q1838" s="993"/>
      <c r="R1838" s="993"/>
      <c r="S1838" s="993"/>
      <c r="T1838" s="993"/>
      <c r="U1838" s="993"/>
      <c r="V1838" s="993"/>
      <c r="W1838" s="993"/>
      <c r="X1838" s="993"/>
      <c r="Y1838" s="993"/>
      <c r="AE1838" s="992"/>
    </row>
    <row r="1839" spans="1:31" ht="18" customHeight="1">
      <c r="A1839" s="1253" t="s">
        <v>561</v>
      </c>
      <c r="B1839" s="1104"/>
      <c r="C1839" s="1104"/>
      <c r="D1839" s="1104"/>
      <c r="E1839" s="1104"/>
      <c r="F1839" s="1104"/>
      <c r="G1839" s="1197"/>
      <c r="H1839" s="1197"/>
      <c r="K1839" s="993"/>
      <c r="L1839" s="993"/>
      <c r="N1839" s="993"/>
      <c r="O1839" s="993"/>
      <c r="P1839" s="993"/>
      <c r="Q1839" s="993"/>
      <c r="R1839" s="993"/>
      <c r="S1839" s="993"/>
      <c r="T1839" s="993"/>
      <c r="U1839" s="993"/>
      <c r="V1839" s="993"/>
      <c r="W1839" s="993"/>
      <c r="X1839" s="993"/>
      <c r="Y1839" s="993"/>
      <c r="AE1839" s="992"/>
    </row>
    <row r="1840" spans="1:31" ht="18.75" customHeight="1">
      <c r="A1840" s="1254" t="s">
        <v>562</v>
      </c>
      <c r="B1840" s="1254"/>
      <c r="C1840" s="1254"/>
      <c r="D1840" s="1254"/>
      <c r="E1840" s="1254"/>
      <c r="F1840" s="1254"/>
      <c r="G1840" s="1254"/>
      <c r="H1840" s="1254"/>
      <c r="K1840" s="993"/>
      <c r="L1840" s="993"/>
      <c r="N1840" s="993"/>
      <c r="O1840" s="993"/>
      <c r="P1840" s="993"/>
      <c r="Q1840" s="993"/>
      <c r="R1840" s="993"/>
      <c r="S1840" s="993"/>
      <c r="T1840" s="993"/>
      <c r="U1840" s="993"/>
      <c r="V1840" s="993"/>
      <c r="W1840" s="993"/>
      <c r="X1840" s="993"/>
      <c r="Y1840" s="993"/>
      <c r="AE1840" s="992"/>
    </row>
    <row r="1841" spans="1:31" ht="15">
      <c r="A1841" s="1254" t="s">
        <v>563</v>
      </c>
      <c r="B1841" s="1254"/>
      <c r="C1841" s="1254"/>
      <c r="D1841" s="1254"/>
      <c r="E1841" s="1254"/>
      <c r="F1841" s="1254"/>
      <c r="G1841" s="1254"/>
      <c r="H1841" s="1254"/>
      <c r="K1841" s="993"/>
      <c r="L1841" s="993"/>
      <c r="N1841" s="993"/>
      <c r="O1841" s="993"/>
      <c r="P1841" s="993"/>
      <c r="Q1841" s="993"/>
      <c r="R1841" s="993"/>
      <c r="S1841" s="993"/>
      <c r="T1841" s="993"/>
      <c r="U1841" s="993"/>
      <c r="V1841" s="993"/>
      <c r="W1841" s="993"/>
      <c r="X1841" s="993"/>
      <c r="Y1841" s="993"/>
      <c r="AE1841" s="992"/>
    </row>
    <row r="1842" spans="1:31" ht="15">
      <c r="A1842" s="1254" t="s">
        <v>564</v>
      </c>
      <c r="B1842" s="1254"/>
      <c r="C1842" s="1254"/>
      <c r="D1842" s="1254"/>
      <c r="E1842" s="1254"/>
      <c r="F1842" s="1254"/>
      <c r="G1842" s="1254"/>
      <c r="H1842" s="1254"/>
      <c r="K1842" s="993"/>
      <c r="L1842" s="993"/>
      <c r="N1842" s="993"/>
      <c r="O1842" s="993"/>
      <c r="P1842" s="993"/>
      <c r="Q1842" s="993"/>
      <c r="R1842" s="993"/>
      <c r="S1842" s="993"/>
      <c r="T1842" s="993"/>
      <c r="U1842" s="993"/>
      <c r="V1842" s="993"/>
      <c r="W1842" s="993"/>
      <c r="X1842" s="993"/>
      <c r="Y1842" s="993"/>
      <c r="AE1842" s="992"/>
    </row>
    <row r="1843" spans="1:31" ht="20.25" customHeight="1">
      <c r="A1843" s="1254" t="s">
        <v>573</v>
      </c>
      <c r="B1843" s="1254"/>
      <c r="C1843" s="1254"/>
      <c r="D1843" s="1254"/>
      <c r="E1843" s="1254"/>
      <c r="F1843" s="1254"/>
      <c r="G1843" s="1254"/>
      <c r="H1843" s="1254"/>
      <c r="I1843" s="1053"/>
      <c r="K1843" s="993"/>
      <c r="L1843" s="993"/>
      <c r="N1843" s="993"/>
      <c r="O1843" s="993"/>
      <c r="P1843" s="993"/>
      <c r="Q1843" s="993"/>
      <c r="R1843" s="993"/>
      <c r="S1843" s="993"/>
      <c r="T1843" s="993"/>
      <c r="U1843" s="993"/>
      <c r="V1843" s="993"/>
      <c r="W1843" s="993"/>
      <c r="X1843" s="993"/>
      <c r="Y1843" s="993"/>
      <c r="AE1843" s="992"/>
    </row>
    <row r="1844" spans="1:31" ht="17.25" customHeight="1">
      <c r="A1844" s="1255"/>
      <c r="B1844" s="1255"/>
      <c r="C1844" s="1255"/>
      <c r="D1844" s="1255"/>
      <c r="E1844" s="1255"/>
      <c r="F1844" s="1255"/>
      <c r="G1844" s="1255"/>
      <c r="H1844" s="1255"/>
      <c r="I1844" s="1000"/>
      <c r="K1844" s="993"/>
      <c r="L1844" s="993"/>
      <c r="N1844" s="993"/>
      <c r="O1844" s="993"/>
      <c r="P1844" s="993"/>
      <c r="Q1844" s="993"/>
      <c r="R1844" s="993"/>
      <c r="S1844" s="993"/>
      <c r="T1844" s="993"/>
      <c r="U1844" s="993"/>
      <c r="V1844" s="993"/>
      <c r="W1844" s="993"/>
      <c r="X1844" s="993"/>
      <c r="Y1844" s="993"/>
      <c r="AE1844" s="992"/>
    </row>
    <row r="1845" spans="1:31" ht="18.75" customHeight="1">
      <c r="A1845" s="1255" t="s">
        <v>1151</v>
      </c>
      <c r="B1845" s="1255"/>
      <c r="C1845" s="1255"/>
      <c r="D1845" s="1255"/>
      <c r="E1845" s="1255"/>
      <c r="F1845" s="1255"/>
      <c r="G1845" s="1256"/>
      <c r="H1845" s="1256"/>
      <c r="K1845" s="993"/>
      <c r="L1845" s="993"/>
      <c r="N1845" s="993"/>
      <c r="O1845" s="993"/>
      <c r="P1845" s="993"/>
      <c r="Q1845" s="993"/>
      <c r="R1845" s="993"/>
      <c r="S1845" s="993"/>
      <c r="T1845" s="993"/>
      <c r="U1845" s="993"/>
      <c r="V1845" s="993"/>
      <c r="W1845" s="993"/>
      <c r="X1845" s="993"/>
      <c r="Y1845" s="993"/>
      <c r="AE1845" s="992"/>
    </row>
    <row r="1846" spans="1:31" ht="19.5" customHeight="1">
      <c r="A1846" s="1255" t="s">
        <v>1152</v>
      </c>
      <c r="B1846" s="1255"/>
      <c r="C1846" s="1255"/>
      <c r="D1846" s="1255"/>
      <c r="E1846" s="1255"/>
      <c r="F1846" s="1255"/>
      <c r="G1846" s="1256"/>
      <c r="H1846" s="1256"/>
      <c r="K1846" s="993"/>
      <c r="L1846" s="993"/>
      <c r="N1846" s="993"/>
      <c r="O1846" s="993"/>
      <c r="P1846" s="993"/>
      <c r="Q1846" s="993"/>
      <c r="R1846" s="993"/>
      <c r="S1846" s="993"/>
      <c r="T1846" s="993"/>
      <c r="U1846" s="993"/>
      <c r="V1846" s="993"/>
      <c r="W1846" s="993"/>
      <c r="X1846" s="993"/>
      <c r="Y1846" s="993"/>
      <c r="AE1846" s="992"/>
    </row>
    <row r="1847" spans="1:31" ht="15">
      <c r="A1847" s="1255" t="s">
        <v>1153</v>
      </c>
      <c r="B1847" s="1255"/>
      <c r="C1847" s="1255"/>
      <c r="D1847" s="1255"/>
      <c r="E1847" s="1255"/>
      <c r="F1847" s="1255"/>
      <c r="G1847" s="1256"/>
      <c r="H1847" s="1256"/>
      <c r="K1847" s="993"/>
      <c r="L1847" s="993"/>
      <c r="N1847" s="993"/>
      <c r="O1847" s="993"/>
      <c r="P1847" s="993"/>
      <c r="Q1847" s="993"/>
      <c r="R1847" s="993"/>
      <c r="S1847" s="993"/>
      <c r="T1847" s="993"/>
      <c r="U1847" s="993"/>
      <c r="V1847" s="993"/>
      <c r="W1847" s="993"/>
      <c r="X1847" s="993"/>
      <c r="Y1847" s="993"/>
      <c r="AE1847" s="992"/>
    </row>
    <row r="1848" spans="1:25" ht="15">
      <c r="A1848" s="1255" t="s">
        <v>1154</v>
      </c>
      <c r="B1848" s="1104"/>
      <c r="C1848" s="1104"/>
      <c r="D1848" s="1104"/>
      <c r="E1848" s="1104"/>
      <c r="F1848" s="1104"/>
      <c r="G1848" s="1104"/>
      <c r="H1848" s="1104"/>
      <c r="K1848" s="993"/>
      <c r="L1848" s="993"/>
      <c r="N1848" s="993"/>
      <c r="O1848" s="993"/>
      <c r="P1848" s="993"/>
      <c r="Q1848" s="993"/>
      <c r="R1848" s="993"/>
      <c r="S1848" s="993"/>
      <c r="T1848" s="993"/>
      <c r="U1848" s="993"/>
      <c r="V1848" s="993"/>
      <c r="W1848" s="993"/>
      <c r="X1848" s="993"/>
      <c r="Y1848" s="993"/>
    </row>
    <row r="1849" spans="1:25" ht="15">
      <c r="A1849" s="1104"/>
      <c r="B1849" s="1104"/>
      <c r="C1849" s="1104"/>
      <c r="D1849" s="1104"/>
      <c r="E1849" s="1104"/>
      <c r="F1849" s="1104"/>
      <c r="G1849" s="1104"/>
      <c r="H1849" s="1104"/>
      <c r="K1849" s="993"/>
      <c r="L1849" s="993"/>
      <c r="N1849" s="993"/>
      <c r="O1849" s="993"/>
      <c r="P1849" s="993"/>
      <c r="Q1849" s="993"/>
      <c r="R1849" s="993"/>
      <c r="S1849" s="993"/>
      <c r="T1849" s="993"/>
      <c r="U1849" s="993"/>
      <c r="V1849" s="993"/>
      <c r="W1849" s="993"/>
      <c r="X1849" s="993"/>
      <c r="Y1849" s="993"/>
    </row>
    <row r="1850" spans="1:25" ht="15.75">
      <c r="A1850" s="1253" t="s">
        <v>565</v>
      </c>
      <c r="B1850" s="1104"/>
      <c r="C1850" s="1104"/>
      <c r="D1850" s="1104"/>
      <c r="E1850" s="1104"/>
      <c r="F1850" s="1104"/>
      <c r="G1850" s="1197"/>
      <c r="H1850" s="1197"/>
      <c r="K1850" s="993"/>
      <c r="L1850" s="993"/>
      <c r="N1850" s="993"/>
      <c r="O1850" s="993"/>
      <c r="P1850" s="993"/>
      <c r="Q1850" s="993"/>
      <c r="R1850" s="993"/>
      <c r="S1850" s="993"/>
      <c r="T1850" s="993"/>
      <c r="U1850" s="993"/>
      <c r="V1850" s="993"/>
      <c r="W1850" s="993"/>
      <c r="X1850" s="993"/>
      <c r="Y1850" s="993"/>
    </row>
    <row r="1851" spans="1:25" ht="15">
      <c r="A1851" s="1254" t="s">
        <v>567</v>
      </c>
      <c r="B1851" s="1254"/>
      <c r="C1851" s="1254"/>
      <c r="D1851" s="1254"/>
      <c r="E1851" s="1254"/>
      <c r="F1851" s="1254"/>
      <c r="G1851" s="1254"/>
      <c r="H1851" s="1254"/>
      <c r="K1851" s="993"/>
      <c r="L1851" s="993"/>
      <c r="N1851" s="993"/>
      <c r="O1851" s="993"/>
      <c r="P1851" s="993"/>
      <c r="Q1851" s="993"/>
      <c r="R1851" s="993"/>
      <c r="S1851" s="993"/>
      <c r="T1851" s="993"/>
      <c r="U1851" s="993"/>
      <c r="V1851" s="993"/>
      <c r="W1851" s="993"/>
      <c r="X1851" s="993"/>
      <c r="Y1851" s="993"/>
    </row>
    <row r="1852" spans="1:25" ht="15">
      <c r="A1852" s="1254" t="s">
        <v>568</v>
      </c>
      <c r="B1852" s="1254"/>
      <c r="C1852" s="1254"/>
      <c r="D1852" s="1254"/>
      <c r="E1852" s="1254"/>
      <c r="F1852" s="1254"/>
      <c r="G1852" s="1254"/>
      <c r="H1852" s="1254"/>
      <c r="K1852" s="993"/>
      <c r="L1852" s="993"/>
      <c r="N1852" s="993"/>
      <c r="O1852" s="993"/>
      <c r="P1852" s="993"/>
      <c r="Q1852" s="993"/>
      <c r="R1852" s="993"/>
      <c r="S1852" s="993"/>
      <c r="T1852" s="993"/>
      <c r="U1852" s="993"/>
      <c r="V1852" s="993"/>
      <c r="W1852" s="993"/>
      <c r="X1852" s="993"/>
      <c r="Y1852" s="993"/>
    </row>
    <row r="1853" spans="1:25" ht="15">
      <c r="A1853" s="1254" t="s">
        <v>569</v>
      </c>
      <c r="B1853" s="1254"/>
      <c r="C1853" s="1254"/>
      <c r="D1853" s="1254"/>
      <c r="E1853" s="1254"/>
      <c r="F1853" s="1254"/>
      <c r="G1853" s="1254"/>
      <c r="H1853" s="1254"/>
      <c r="K1853" s="993"/>
      <c r="L1853" s="993"/>
      <c r="N1853" s="993"/>
      <c r="O1853" s="993"/>
      <c r="P1853" s="993"/>
      <c r="Q1853" s="993"/>
      <c r="R1853" s="993"/>
      <c r="S1853" s="993"/>
      <c r="T1853" s="993"/>
      <c r="U1853" s="993"/>
      <c r="V1853" s="993"/>
      <c r="W1853" s="993"/>
      <c r="X1853" s="993"/>
      <c r="Y1853" s="993"/>
    </row>
    <row r="1854" spans="1:25" ht="15">
      <c r="A1854" s="1254" t="s">
        <v>574</v>
      </c>
      <c r="B1854" s="1254"/>
      <c r="C1854" s="1254"/>
      <c r="D1854" s="1254"/>
      <c r="E1854" s="1254"/>
      <c r="F1854" s="1254"/>
      <c r="G1854" s="1254"/>
      <c r="H1854" s="1254"/>
      <c r="K1854" s="993"/>
      <c r="L1854" s="993"/>
      <c r="N1854" s="993"/>
      <c r="O1854" s="993"/>
      <c r="P1854" s="993"/>
      <c r="Q1854" s="993"/>
      <c r="R1854" s="993"/>
      <c r="S1854" s="993"/>
      <c r="T1854" s="993"/>
      <c r="U1854" s="993"/>
      <c r="V1854" s="993"/>
      <c r="W1854" s="993"/>
      <c r="X1854" s="993"/>
      <c r="Y1854" s="993"/>
    </row>
    <row r="1855" spans="11:25" ht="15">
      <c r="K1855" s="993"/>
      <c r="L1855" s="993"/>
      <c r="N1855" s="993"/>
      <c r="O1855" s="993"/>
      <c r="P1855" s="993"/>
      <c r="Q1855" s="993"/>
      <c r="R1855" s="993"/>
      <c r="S1855" s="993"/>
      <c r="T1855" s="993"/>
      <c r="U1855" s="993"/>
      <c r="V1855" s="993"/>
      <c r="W1855" s="993"/>
      <c r="X1855" s="993"/>
      <c r="Y1855" s="993"/>
    </row>
    <row r="1856" spans="1:25" ht="15.75">
      <c r="A1856" s="1253" t="s">
        <v>566</v>
      </c>
      <c r="B1856" s="1104"/>
      <c r="C1856" s="1104"/>
      <c r="D1856" s="1104"/>
      <c r="E1856" s="1104"/>
      <c r="F1856" s="1104"/>
      <c r="G1856" s="1197"/>
      <c r="H1856" s="1197"/>
      <c r="K1856" s="993"/>
      <c r="L1856" s="993"/>
      <c r="N1856" s="993"/>
      <c r="O1856" s="993"/>
      <c r="P1856" s="993"/>
      <c r="Q1856" s="993"/>
      <c r="R1856" s="993"/>
      <c r="S1856" s="993"/>
      <c r="T1856" s="993"/>
      <c r="U1856" s="993"/>
      <c r="V1856" s="993"/>
      <c r="W1856" s="993"/>
      <c r="X1856" s="993"/>
      <c r="Y1856" s="993"/>
    </row>
    <row r="1857" spans="1:25" ht="15">
      <c r="A1857" s="1254" t="s">
        <v>570</v>
      </c>
      <c r="B1857" s="1254"/>
      <c r="C1857" s="1254"/>
      <c r="D1857" s="1254"/>
      <c r="E1857" s="1254"/>
      <c r="F1857" s="1254"/>
      <c r="G1857" s="1254"/>
      <c r="H1857" s="1254"/>
      <c r="K1857" s="993"/>
      <c r="L1857" s="993"/>
      <c r="N1857" s="993"/>
      <c r="O1857" s="993"/>
      <c r="P1857" s="993"/>
      <c r="Q1857" s="993"/>
      <c r="R1857" s="993"/>
      <c r="S1857" s="993"/>
      <c r="T1857" s="993"/>
      <c r="U1857" s="993"/>
      <c r="V1857" s="993"/>
      <c r="W1857" s="993"/>
      <c r="X1857" s="993"/>
      <c r="Y1857" s="993"/>
    </row>
    <row r="1858" spans="1:25" ht="15">
      <c r="A1858" s="1254" t="s">
        <v>571</v>
      </c>
      <c r="B1858" s="1254"/>
      <c r="C1858" s="1254"/>
      <c r="D1858" s="1254"/>
      <c r="E1858" s="1254"/>
      <c r="F1858" s="1254"/>
      <c r="G1858" s="1254"/>
      <c r="H1858" s="1254"/>
      <c r="K1858" s="993"/>
      <c r="L1858" s="993"/>
      <c r="N1858" s="993"/>
      <c r="O1858" s="993"/>
      <c r="P1858" s="993"/>
      <c r="Q1858" s="993"/>
      <c r="R1858" s="993"/>
      <c r="S1858" s="993"/>
      <c r="T1858" s="993"/>
      <c r="U1858" s="993"/>
      <c r="V1858" s="993"/>
      <c r="W1858" s="993"/>
      <c r="X1858" s="993"/>
      <c r="Y1858" s="993"/>
    </row>
    <row r="1859" spans="1:25" ht="15">
      <c r="A1859" s="1254" t="s">
        <v>572</v>
      </c>
      <c r="B1859" s="1254"/>
      <c r="C1859" s="1254"/>
      <c r="D1859" s="1254"/>
      <c r="E1859" s="1254"/>
      <c r="F1859" s="1254"/>
      <c r="G1859" s="1254"/>
      <c r="H1859" s="1254"/>
      <c r="K1859" s="993"/>
      <c r="L1859" s="993"/>
      <c r="N1859" s="993"/>
      <c r="O1859" s="993"/>
      <c r="P1859" s="993"/>
      <c r="Q1859" s="993"/>
      <c r="R1859" s="993"/>
      <c r="S1859" s="993"/>
      <c r="T1859" s="993"/>
      <c r="U1859" s="993"/>
      <c r="V1859" s="993"/>
      <c r="W1859" s="993"/>
      <c r="X1859" s="993"/>
      <c r="Y1859" s="993"/>
    </row>
    <row r="1860" spans="1:25" ht="15">
      <c r="A1860" s="1254" t="s">
        <v>575</v>
      </c>
      <c r="B1860" s="1254"/>
      <c r="C1860" s="1254"/>
      <c r="D1860" s="1254"/>
      <c r="E1860" s="1254"/>
      <c r="F1860" s="1254"/>
      <c r="G1860" s="1254"/>
      <c r="H1860" s="1254"/>
      <c r="K1860" s="993"/>
      <c r="L1860" s="993"/>
      <c r="N1860" s="993"/>
      <c r="O1860" s="993"/>
      <c r="P1860" s="993"/>
      <c r="Q1860" s="993"/>
      <c r="R1860" s="993"/>
      <c r="S1860" s="993"/>
      <c r="T1860" s="993"/>
      <c r="U1860" s="993"/>
      <c r="V1860" s="993"/>
      <c r="W1860" s="993"/>
      <c r="X1860" s="993"/>
      <c r="Y1860" s="993"/>
    </row>
    <row r="1861" spans="11:25" ht="15">
      <c r="K1861" s="993"/>
      <c r="L1861" s="993"/>
      <c r="N1861" s="993"/>
      <c r="O1861" s="993"/>
      <c r="P1861" s="993"/>
      <c r="Q1861" s="993"/>
      <c r="R1861" s="993"/>
      <c r="S1861" s="993"/>
      <c r="T1861" s="993"/>
      <c r="U1861" s="993"/>
      <c r="V1861" s="993"/>
      <c r="W1861" s="993"/>
      <c r="X1861" s="993"/>
      <c r="Y1861" s="993"/>
    </row>
    <row r="1862" spans="11:25" ht="15">
      <c r="K1862" s="993"/>
      <c r="L1862" s="993"/>
      <c r="N1862" s="993"/>
      <c r="O1862" s="993"/>
      <c r="P1862" s="993"/>
      <c r="Q1862" s="993"/>
      <c r="R1862" s="993"/>
      <c r="S1862" s="993"/>
      <c r="T1862" s="993"/>
      <c r="U1862" s="993"/>
      <c r="V1862" s="993"/>
      <c r="W1862" s="993"/>
      <c r="X1862" s="993"/>
      <c r="Y1862" s="993"/>
    </row>
    <row r="1863" spans="11:25" ht="15">
      <c r="K1863" s="993"/>
      <c r="L1863" s="993"/>
      <c r="N1863" s="993"/>
      <c r="O1863" s="993"/>
      <c r="P1863" s="993"/>
      <c r="Q1863" s="993"/>
      <c r="R1863" s="993"/>
      <c r="S1863" s="993"/>
      <c r="T1863" s="993"/>
      <c r="U1863" s="993"/>
      <c r="V1863" s="993"/>
      <c r="W1863" s="993"/>
      <c r="X1863" s="993"/>
      <c r="Y1863" s="993"/>
    </row>
    <row r="1864" spans="11:25" ht="15">
      <c r="K1864" s="993"/>
      <c r="L1864" s="993"/>
      <c r="N1864" s="993"/>
      <c r="O1864" s="993"/>
      <c r="P1864" s="993"/>
      <c r="Q1864" s="993"/>
      <c r="R1864" s="993"/>
      <c r="S1864" s="993"/>
      <c r="T1864" s="993"/>
      <c r="U1864" s="993"/>
      <c r="V1864" s="993"/>
      <c r="W1864" s="993"/>
      <c r="X1864" s="993"/>
      <c r="Y1864" s="993"/>
    </row>
    <row r="1865" spans="11:25" ht="15">
      <c r="K1865" s="993"/>
      <c r="L1865" s="993"/>
      <c r="N1865" s="993"/>
      <c r="O1865" s="993"/>
      <c r="P1865" s="993"/>
      <c r="Q1865" s="993"/>
      <c r="R1865" s="993"/>
      <c r="S1865" s="993"/>
      <c r="T1865" s="993"/>
      <c r="U1865" s="993"/>
      <c r="V1865" s="993"/>
      <c r="W1865" s="993"/>
      <c r="X1865" s="993"/>
      <c r="Y1865" s="993"/>
    </row>
    <row r="1866" spans="11:25" ht="15">
      <c r="K1866" s="993"/>
      <c r="L1866" s="993"/>
      <c r="N1866" s="993"/>
      <c r="O1866" s="993"/>
      <c r="P1866" s="993"/>
      <c r="Q1866" s="993"/>
      <c r="R1866" s="993"/>
      <c r="S1866" s="993"/>
      <c r="T1866" s="993"/>
      <c r="U1866" s="993"/>
      <c r="V1866" s="993"/>
      <c r="W1866" s="993"/>
      <c r="X1866" s="993"/>
      <c r="Y1866" s="993"/>
    </row>
    <row r="1867" spans="11:25" ht="15">
      <c r="K1867" s="993"/>
      <c r="L1867" s="993"/>
      <c r="N1867" s="993"/>
      <c r="O1867" s="993"/>
      <c r="P1867" s="993"/>
      <c r="Q1867" s="993"/>
      <c r="R1867" s="993"/>
      <c r="S1867" s="993"/>
      <c r="T1867" s="993"/>
      <c r="U1867" s="993"/>
      <c r="V1867" s="993"/>
      <c r="W1867" s="993"/>
      <c r="X1867" s="993"/>
      <c r="Y1867" s="993"/>
    </row>
    <row r="1868" spans="11:25" ht="15">
      <c r="K1868" s="993"/>
      <c r="L1868" s="993"/>
      <c r="N1868" s="993"/>
      <c r="O1868" s="993"/>
      <c r="P1868" s="993"/>
      <c r="Q1868" s="993"/>
      <c r="R1868" s="993"/>
      <c r="S1868" s="993"/>
      <c r="T1868" s="993"/>
      <c r="U1868" s="993"/>
      <c r="V1868" s="993"/>
      <c r="W1868" s="993"/>
      <c r="X1868" s="993"/>
      <c r="Y1868" s="993"/>
    </row>
    <row r="1869" spans="11:25" ht="15">
      <c r="K1869" s="993"/>
      <c r="L1869" s="993"/>
      <c r="N1869" s="993"/>
      <c r="O1869" s="993"/>
      <c r="P1869" s="993"/>
      <c r="Q1869" s="993"/>
      <c r="R1869" s="993"/>
      <c r="S1869" s="993"/>
      <c r="T1869" s="993"/>
      <c r="U1869" s="993"/>
      <c r="V1869" s="993"/>
      <c r="W1869" s="993"/>
      <c r="X1869" s="993"/>
      <c r="Y1869" s="993"/>
    </row>
    <row r="1870" spans="11:25" ht="15">
      <c r="K1870" s="993"/>
      <c r="L1870" s="993"/>
      <c r="N1870" s="993"/>
      <c r="O1870" s="993"/>
      <c r="P1870" s="993"/>
      <c r="Q1870" s="993"/>
      <c r="R1870" s="993"/>
      <c r="S1870" s="993"/>
      <c r="T1870" s="993"/>
      <c r="U1870" s="993"/>
      <c r="V1870" s="993"/>
      <c r="W1870" s="993"/>
      <c r="X1870" s="993"/>
      <c r="Y1870" s="993"/>
    </row>
    <row r="1871" spans="11:25" ht="15">
      <c r="K1871" s="993"/>
      <c r="L1871" s="993"/>
      <c r="N1871" s="993"/>
      <c r="O1871" s="993"/>
      <c r="P1871" s="993"/>
      <c r="Q1871" s="993"/>
      <c r="R1871" s="993"/>
      <c r="S1871" s="993"/>
      <c r="T1871" s="993"/>
      <c r="U1871" s="993"/>
      <c r="V1871" s="993"/>
      <c r="W1871" s="993"/>
      <c r="X1871" s="993"/>
      <c r="Y1871" s="993"/>
    </row>
    <row r="1872" spans="11:25" ht="15">
      <c r="K1872" s="993"/>
      <c r="L1872" s="993"/>
      <c r="N1872" s="993"/>
      <c r="O1872" s="993"/>
      <c r="P1872" s="993"/>
      <c r="Q1872" s="993"/>
      <c r="R1872" s="993"/>
      <c r="S1872" s="993"/>
      <c r="T1872" s="993"/>
      <c r="U1872" s="993"/>
      <c r="V1872" s="993"/>
      <c r="W1872" s="993"/>
      <c r="X1872" s="993"/>
      <c r="Y1872" s="993"/>
    </row>
    <row r="1873" spans="11:25" ht="15">
      <c r="K1873" s="993"/>
      <c r="L1873" s="993"/>
      <c r="N1873" s="993"/>
      <c r="O1873" s="993"/>
      <c r="P1873" s="993"/>
      <c r="Q1873" s="993"/>
      <c r="R1873" s="993"/>
      <c r="S1873" s="993"/>
      <c r="T1873" s="993"/>
      <c r="U1873" s="993"/>
      <c r="V1873" s="993"/>
      <c r="W1873" s="993"/>
      <c r="X1873" s="993"/>
      <c r="Y1873" s="993"/>
    </row>
    <row r="1874" spans="11:25" ht="15">
      <c r="K1874" s="993"/>
      <c r="L1874" s="993"/>
      <c r="N1874" s="993"/>
      <c r="O1874" s="993"/>
      <c r="P1874" s="993"/>
      <c r="Q1874" s="993"/>
      <c r="R1874" s="993"/>
      <c r="S1874" s="993"/>
      <c r="T1874" s="993"/>
      <c r="U1874" s="993"/>
      <c r="V1874" s="993"/>
      <c r="W1874" s="993"/>
      <c r="X1874" s="993"/>
      <c r="Y1874" s="993"/>
    </row>
    <row r="1875" spans="11:25" ht="15">
      <c r="K1875" s="993"/>
      <c r="L1875" s="993"/>
      <c r="N1875" s="993"/>
      <c r="O1875" s="993"/>
      <c r="P1875" s="993"/>
      <c r="Q1875" s="993"/>
      <c r="R1875" s="993"/>
      <c r="S1875" s="993"/>
      <c r="T1875" s="993"/>
      <c r="U1875" s="993"/>
      <c r="V1875" s="993"/>
      <c r="W1875" s="993"/>
      <c r="X1875" s="993"/>
      <c r="Y1875" s="993"/>
    </row>
    <row r="1876" spans="11:25" ht="15">
      <c r="K1876" s="993"/>
      <c r="L1876" s="993"/>
      <c r="N1876" s="993"/>
      <c r="O1876" s="993"/>
      <c r="P1876" s="993"/>
      <c r="Q1876" s="993"/>
      <c r="R1876" s="993"/>
      <c r="S1876" s="993"/>
      <c r="T1876" s="993"/>
      <c r="U1876" s="993"/>
      <c r="V1876" s="993"/>
      <c r="W1876" s="993"/>
      <c r="X1876" s="993"/>
      <c r="Y1876" s="993"/>
    </row>
    <row r="1877" spans="11:25" ht="15">
      <c r="K1877" s="993"/>
      <c r="L1877" s="993"/>
      <c r="N1877" s="993"/>
      <c r="O1877" s="993"/>
      <c r="P1877" s="993"/>
      <c r="Q1877" s="993"/>
      <c r="R1877" s="993"/>
      <c r="S1877" s="993"/>
      <c r="T1877" s="993"/>
      <c r="U1877" s="993"/>
      <c r="V1877" s="993"/>
      <c r="W1877" s="993"/>
      <c r="X1877" s="993"/>
      <c r="Y1877" s="993"/>
    </row>
    <row r="1878" spans="11:25" ht="15">
      <c r="K1878" s="993"/>
      <c r="L1878" s="993"/>
      <c r="N1878" s="993"/>
      <c r="O1878" s="993"/>
      <c r="P1878" s="993"/>
      <c r="Q1878" s="993"/>
      <c r="R1878" s="993"/>
      <c r="S1878" s="993"/>
      <c r="T1878" s="993"/>
      <c r="U1878" s="993"/>
      <c r="V1878" s="993"/>
      <c r="W1878" s="993"/>
      <c r="X1878" s="993"/>
      <c r="Y1878" s="993"/>
    </row>
    <row r="1879" spans="11:25" ht="15">
      <c r="K1879" s="993"/>
      <c r="L1879" s="993"/>
      <c r="N1879" s="993"/>
      <c r="O1879" s="993"/>
      <c r="P1879" s="993"/>
      <c r="Q1879" s="993"/>
      <c r="R1879" s="993"/>
      <c r="S1879" s="993"/>
      <c r="T1879" s="993"/>
      <c r="U1879" s="993"/>
      <c r="V1879" s="993"/>
      <c r="W1879" s="993"/>
      <c r="X1879" s="993"/>
      <c r="Y1879" s="993"/>
    </row>
    <row r="1880" spans="11:25" ht="15">
      <c r="K1880" s="993"/>
      <c r="L1880" s="993"/>
      <c r="N1880" s="993"/>
      <c r="O1880" s="993"/>
      <c r="P1880" s="993"/>
      <c r="Q1880" s="993"/>
      <c r="R1880" s="993"/>
      <c r="S1880" s="993"/>
      <c r="T1880" s="993"/>
      <c r="U1880" s="993"/>
      <c r="V1880" s="993"/>
      <c r="W1880" s="993"/>
      <c r="X1880" s="993"/>
      <c r="Y1880" s="993"/>
    </row>
    <row r="1881" spans="11:25" ht="15">
      <c r="K1881" s="993"/>
      <c r="L1881" s="993"/>
      <c r="N1881" s="993"/>
      <c r="O1881" s="993"/>
      <c r="P1881" s="993"/>
      <c r="Q1881" s="993"/>
      <c r="R1881" s="993"/>
      <c r="S1881" s="993"/>
      <c r="T1881" s="993"/>
      <c r="U1881" s="993"/>
      <c r="V1881" s="993"/>
      <c r="W1881" s="993"/>
      <c r="X1881" s="993"/>
      <c r="Y1881" s="993"/>
    </row>
    <row r="1882" spans="11:25" ht="15">
      <c r="K1882" s="993"/>
      <c r="L1882" s="993"/>
      <c r="N1882" s="993"/>
      <c r="O1882" s="993"/>
      <c r="P1882" s="993"/>
      <c r="Q1882" s="993"/>
      <c r="R1882" s="993"/>
      <c r="S1882" s="993"/>
      <c r="T1882" s="993"/>
      <c r="U1882" s="993"/>
      <c r="V1882" s="993"/>
      <c r="W1882" s="993"/>
      <c r="X1882" s="993"/>
      <c r="Y1882" s="993"/>
    </row>
    <row r="1883" spans="11:25" ht="15">
      <c r="K1883" s="993"/>
      <c r="L1883" s="993"/>
      <c r="N1883" s="993"/>
      <c r="O1883" s="993"/>
      <c r="P1883" s="993"/>
      <c r="Q1883" s="993"/>
      <c r="R1883" s="993"/>
      <c r="S1883" s="993"/>
      <c r="T1883" s="993"/>
      <c r="U1883" s="993"/>
      <c r="V1883" s="993"/>
      <c r="W1883" s="993"/>
      <c r="X1883" s="993"/>
      <c r="Y1883" s="993"/>
    </row>
    <row r="1884" spans="11:25" ht="15">
      <c r="K1884" s="993"/>
      <c r="L1884" s="993"/>
      <c r="N1884" s="993"/>
      <c r="O1884" s="993"/>
      <c r="P1884" s="993"/>
      <c r="Q1884" s="993"/>
      <c r="R1884" s="993"/>
      <c r="S1884" s="993"/>
      <c r="T1884" s="993"/>
      <c r="U1884" s="993"/>
      <c r="V1884" s="993"/>
      <c r="W1884" s="993"/>
      <c r="X1884" s="993"/>
      <c r="Y1884" s="993"/>
    </row>
    <row r="1885" spans="11:25" ht="15">
      <c r="K1885" s="993"/>
      <c r="L1885" s="993"/>
      <c r="N1885" s="993"/>
      <c r="O1885" s="993"/>
      <c r="P1885" s="993"/>
      <c r="Q1885" s="993"/>
      <c r="R1885" s="993"/>
      <c r="S1885" s="993"/>
      <c r="T1885" s="993"/>
      <c r="U1885" s="993"/>
      <c r="V1885" s="993"/>
      <c r="W1885" s="993"/>
      <c r="X1885" s="993"/>
      <c r="Y1885" s="993"/>
    </row>
    <row r="1886" spans="11:25" ht="15">
      <c r="K1886" s="993"/>
      <c r="L1886" s="993"/>
      <c r="N1886" s="993"/>
      <c r="O1886" s="993"/>
      <c r="P1886" s="993"/>
      <c r="Q1886" s="993"/>
      <c r="R1886" s="993"/>
      <c r="S1886" s="993"/>
      <c r="T1886" s="993"/>
      <c r="U1886" s="993"/>
      <c r="V1886" s="993"/>
      <c r="W1886" s="993"/>
      <c r="X1886" s="993"/>
      <c r="Y1886" s="993"/>
    </row>
    <row r="1887" spans="11:25" ht="15">
      <c r="K1887" s="993"/>
      <c r="L1887" s="993"/>
      <c r="N1887" s="993"/>
      <c r="O1887" s="993"/>
      <c r="P1887" s="993"/>
      <c r="Q1887" s="993"/>
      <c r="R1887" s="993"/>
      <c r="S1887" s="993"/>
      <c r="T1887" s="993"/>
      <c r="U1887" s="993"/>
      <c r="V1887" s="993"/>
      <c r="W1887" s="993"/>
      <c r="X1887" s="993"/>
      <c r="Y1887" s="993"/>
    </row>
    <row r="1888" spans="11:25" ht="15">
      <c r="K1888" s="993"/>
      <c r="L1888" s="993"/>
      <c r="N1888" s="993"/>
      <c r="O1888" s="993"/>
      <c r="P1888" s="993"/>
      <c r="Q1888" s="993"/>
      <c r="R1888" s="993"/>
      <c r="S1888" s="993"/>
      <c r="T1888" s="993"/>
      <c r="U1888" s="993"/>
      <c r="V1888" s="993"/>
      <c r="W1888" s="993"/>
      <c r="X1888" s="993"/>
      <c r="Y1888" s="993"/>
    </row>
    <row r="1889" spans="11:25" ht="15">
      <c r="K1889" s="993"/>
      <c r="L1889" s="993"/>
      <c r="N1889" s="993"/>
      <c r="O1889" s="993"/>
      <c r="P1889" s="993"/>
      <c r="Q1889" s="993"/>
      <c r="R1889" s="993"/>
      <c r="S1889" s="993"/>
      <c r="T1889" s="993"/>
      <c r="U1889" s="993"/>
      <c r="V1889" s="993"/>
      <c r="W1889" s="993"/>
      <c r="X1889" s="993"/>
      <c r="Y1889" s="993"/>
    </row>
    <row r="1890" spans="11:25" ht="15">
      <c r="K1890" s="993"/>
      <c r="L1890" s="993"/>
      <c r="N1890" s="993"/>
      <c r="O1890" s="993"/>
      <c r="P1890" s="993"/>
      <c r="Q1890" s="993"/>
      <c r="R1890" s="993"/>
      <c r="S1890" s="993"/>
      <c r="T1890" s="993"/>
      <c r="U1890" s="993"/>
      <c r="V1890" s="993"/>
      <c r="W1890" s="993"/>
      <c r="X1890" s="993"/>
      <c r="Y1890" s="993"/>
    </row>
    <row r="1891" spans="11:25" ht="15">
      <c r="K1891" s="993"/>
      <c r="L1891" s="993"/>
      <c r="N1891" s="993"/>
      <c r="O1891" s="993"/>
      <c r="P1891" s="993"/>
      <c r="Q1891" s="993"/>
      <c r="R1891" s="993"/>
      <c r="S1891" s="993"/>
      <c r="T1891" s="993"/>
      <c r="U1891" s="993"/>
      <c r="V1891" s="993"/>
      <c r="W1891" s="993"/>
      <c r="X1891" s="993"/>
      <c r="Y1891" s="993"/>
    </row>
    <row r="1892" spans="11:25" ht="15">
      <c r="K1892" s="993"/>
      <c r="L1892" s="993"/>
      <c r="N1892" s="993"/>
      <c r="O1892" s="993"/>
      <c r="P1892" s="993"/>
      <c r="Q1892" s="993"/>
      <c r="R1892" s="993"/>
      <c r="S1892" s="993"/>
      <c r="T1892" s="993"/>
      <c r="U1892" s="993"/>
      <c r="V1892" s="993"/>
      <c r="W1892" s="993"/>
      <c r="X1892" s="993"/>
      <c r="Y1892" s="993"/>
    </row>
    <row r="1893" spans="11:25" ht="15">
      <c r="K1893" s="993"/>
      <c r="L1893" s="993"/>
      <c r="N1893" s="993"/>
      <c r="O1893" s="993"/>
      <c r="P1893" s="993"/>
      <c r="Q1893" s="993"/>
      <c r="R1893" s="993"/>
      <c r="S1893" s="993"/>
      <c r="T1893" s="993"/>
      <c r="U1893" s="993"/>
      <c r="V1893" s="993"/>
      <c r="W1893" s="993"/>
      <c r="X1893" s="993"/>
      <c r="Y1893" s="993"/>
    </row>
    <row r="1894" spans="11:25" ht="15">
      <c r="K1894" s="993"/>
      <c r="L1894" s="993"/>
      <c r="N1894" s="993"/>
      <c r="O1894" s="993"/>
      <c r="P1894" s="993"/>
      <c r="Q1894" s="993"/>
      <c r="R1894" s="993"/>
      <c r="S1894" s="993"/>
      <c r="T1894" s="993"/>
      <c r="U1894" s="993"/>
      <c r="V1894" s="993"/>
      <c r="W1894" s="993"/>
      <c r="X1894" s="993"/>
      <c r="Y1894" s="993"/>
    </row>
    <row r="1895" spans="11:25" ht="15">
      <c r="K1895" s="993"/>
      <c r="L1895" s="993"/>
      <c r="N1895" s="993"/>
      <c r="O1895" s="993"/>
      <c r="P1895" s="993"/>
      <c r="Q1895" s="993"/>
      <c r="R1895" s="993"/>
      <c r="S1895" s="993"/>
      <c r="T1895" s="993"/>
      <c r="U1895" s="993"/>
      <c r="V1895" s="993"/>
      <c r="W1895" s="993"/>
      <c r="X1895" s="993"/>
      <c r="Y1895" s="993"/>
    </row>
    <row r="1896" spans="11:25" ht="15">
      <c r="K1896" s="993"/>
      <c r="L1896" s="993"/>
      <c r="N1896" s="993"/>
      <c r="O1896" s="993"/>
      <c r="P1896" s="993"/>
      <c r="Q1896" s="993"/>
      <c r="R1896" s="993"/>
      <c r="S1896" s="993"/>
      <c r="T1896" s="993"/>
      <c r="U1896" s="993"/>
      <c r="V1896" s="993"/>
      <c r="W1896" s="993"/>
      <c r="X1896" s="993"/>
      <c r="Y1896" s="993"/>
    </row>
    <row r="1897" spans="11:25" ht="15">
      <c r="K1897" s="993"/>
      <c r="L1897" s="993"/>
      <c r="N1897" s="993"/>
      <c r="O1897" s="993"/>
      <c r="P1897" s="993"/>
      <c r="Q1897" s="993"/>
      <c r="R1897" s="993"/>
      <c r="S1897" s="993"/>
      <c r="T1897" s="993"/>
      <c r="U1897" s="993"/>
      <c r="V1897" s="993"/>
      <c r="W1897" s="993"/>
      <c r="X1897" s="993"/>
      <c r="Y1897" s="993"/>
    </row>
  </sheetData>
  <sheetProtection password="A176" sheet="1" formatCells="0" formatColumns="0" formatRows="0" deleteColumns="0" deleteRows="0" sort="0"/>
  <mergeCells count="4520">
    <mergeCell ref="K746:L746"/>
    <mergeCell ref="K545:L545"/>
    <mergeCell ref="K546:L546"/>
    <mergeCell ref="I551:J551"/>
    <mergeCell ref="I545:J545"/>
    <mergeCell ref="I558:J558"/>
    <mergeCell ref="M1429:N1429"/>
    <mergeCell ref="K800:L800"/>
    <mergeCell ref="K789:L789"/>
    <mergeCell ref="K787:L787"/>
    <mergeCell ref="K786:L786"/>
    <mergeCell ref="K793:L793"/>
    <mergeCell ref="K803:L803"/>
    <mergeCell ref="K801:L801"/>
    <mergeCell ref="K1253:L1253"/>
    <mergeCell ref="K520:L520"/>
    <mergeCell ref="K521:L521"/>
    <mergeCell ref="K518:L518"/>
    <mergeCell ref="K519:L519"/>
    <mergeCell ref="K745:L745"/>
    <mergeCell ref="K744:L744"/>
    <mergeCell ref="K751:L751"/>
    <mergeCell ref="K541:L541"/>
    <mergeCell ref="K542:L542"/>
    <mergeCell ref="K543:L543"/>
    <mergeCell ref="K544:L544"/>
    <mergeCell ref="I544:J544"/>
    <mergeCell ref="K682:L682"/>
    <mergeCell ref="G463:H463"/>
    <mergeCell ref="G464:H464"/>
    <mergeCell ref="G465:H465"/>
    <mergeCell ref="G466:H466"/>
    <mergeCell ref="I463:J463"/>
    <mergeCell ref="I522:J522"/>
    <mergeCell ref="I464:J464"/>
    <mergeCell ref="I465:J465"/>
    <mergeCell ref="I466:J466"/>
    <mergeCell ref="I470:J470"/>
    <mergeCell ref="C463:D463"/>
    <mergeCell ref="C464:D464"/>
    <mergeCell ref="C465:D465"/>
    <mergeCell ref="C466:D466"/>
    <mergeCell ref="C467:D467"/>
    <mergeCell ref="E463:F463"/>
    <mergeCell ref="E464:F464"/>
    <mergeCell ref="E465:F465"/>
    <mergeCell ref="E466:F466"/>
    <mergeCell ref="E467:F467"/>
    <mergeCell ref="K254:L254"/>
    <mergeCell ref="K188:L188"/>
    <mergeCell ref="K184:L184"/>
    <mergeCell ref="K295:L295"/>
    <mergeCell ref="K291:L291"/>
    <mergeCell ref="K290:L290"/>
    <mergeCell ref="K287:L287"/>
    <mergeCell ref="K285:L285"/>
    <mergeCell ref="K190:L190"/>
    <mergeCell ref="K187:L187"/>
    <mergeCell ref="K155:L155"/>
    <mergeCell ref="K115:L115"/>
    <mergeCell ref="K300:L300"/>
    <mergeCell ref="K299:L299"/>
    <mergeCell ref="K298:L298"/>
    <mergeCell ref="K286:L286"/>
    <mergeCell ref="K116:L116"/>
    <mergeCell ref="K121:L121"/>
    <mergeCell ref="K136:L136"/>
    <mergeCell ref="K117:L117"/>
    <mergeCell ref="K108:L108"/>
    <mergeCell ref="K85:L85"/>
    <mergeCell ref="K79:L79"/>
    <mergeCell ref="K107:L107"/>
    <mergeCell ref="K137:L137"/>
    <mergeCell ref="K120:L120"/>
    <mergeCell ref="K119:L119"/>
    <mergeCell ref="K106:L106"/>
    <mergeCell ref="K118:L118"/>
    <mergeCell ref="K122:L122"/>
    <mergeCell ref="K303:L303"/>
    <mergeCell ref="K301:L301"/>
    <mergeCell ref="K315:L315"/>
    <mergeCell ref="K313:L313"/>
    <mergeCell ref="K314:L314"/>
    <mergeCell ref="K302:L302"/>
    <mergeCell ref="K415:L415"/>
    <mergeCell ref="K409:L409"/>
    <mergeCell ref="K403:L403"/>
    <mergeCell ref="K401:L401"/>
    <mergeCell ref="K410:L410"/>
    <mergeCell ref="K402:L402"/>
    <mergeCell ref="K408:L408"/>
    <mergeCell ref="K411:L411"/>
    <mergeCell ref="K436:L436"/>
    <mergeCell ref="K420:L420"/>
    <mergeCell ref="K426:L426"/>
    <mergeCell ref="K427:L427"/>
    <mergeCell ref="K428:L428"/>
    <mergeCell ref="K429:L429"/>
    <mergeCell ref="K506:L506"/>
    <mergeCell ref="K505:L505"/>
    <mergeCell ref="K504:L504"/>
    <mergeCell ref="K503:L503"/>
    <mergeCell ref="K502:L502"/>
    <mergeCell ref="K461:L461"/>
    <mergeCell ref="K488:L488"/>
    <mergeCell ref="K487:L487"/>
    <mergeCell ref="K486:L486"/>
    <mergeCell ref="K493:L493"/>
    <mergeCell ref="K513:L513"/>
    <mergeCell ref="K750:L750"/>
    <mergeCell ref="K704:L704"/>
    <mergeCell ref="K522:L522"/>
    <mergeCell ref="K540:L540"/>
    <mergeCell ref="K514:L514"/>
    <mergeCell ref="K515:L515"/>
    <mergeCell ref="K516:L516"/>
    <mergeCell ref="K517:L517"/>
    <mergeCell ref="A740:N740"/>
    <mergeCell ref="K791:L791"/>
    <mergeCell ref="K790:L790"/>
    <mergeCell ref="K873:L873"/>
    <mergeCell ref="K872:L872"/>
    <mergeCell ref="K826:L826"/>
    <mergeCell ref="K823:L823"/>
    <mergeCell ref="K835:L835"/>
    <mergeCell ref="A841:K841"/>
    <mergeCell ref="C834:D834"/>
    <mergeCell ref="G868:H868"/>
    <mergeCell ref="I837:J837"/>
    <mergeCell ref="K895:L895"/>
    <mergeCell ref="K892:L892"/>
    <mergeCell ref="K891:L891"/>
    <mergeCell ref="K890:L890"/>
    <mergeCell ref="K885:L885"/>
    <mergeCell ref="K884:L884"/>
    <mergeCell ref="K894:L894"/>
    <mergeCell ref="K886:L886"/>
    <mergeCell ref="I885:J885"/>
    <mergeCell ref="K927:L927"/>
    <mergeCell ref="K906:L906"/>
    <mergeCell ref="K904:L904"/>
    <mergeCell ref="K901:L901"/>
    <mergeCell ref="K900:L900"/>
    <mergeCell ref="K896:L896"/>
    <mergeCell ref="K905:L905"/>
    <mergeCell ref="K902:L902"/>
    <mergeCell ref="K903:L903"/>
    <mergeCell ref="K938:L938"/>
    <mergeCell ref="K931:L931"/>
    <mergeCell ref="K929:L929"/>
    <mergeCell ref="K928:L928"/>
    <mergeCell ref="K937:L937"/>
    <mergeCell ref="K936:L936"/>
    <mergeCell ref="K930:L930"/>
    <mergeCell ref="K932:L932"/>
    <mergeCell ref="K978:L978"/>
    <mergeCell ref="K1104:L1104"/>
    <mergeCell ref="K1106:L1106"/>
    <mergeCell ref="K1101:L1101"/>
    <mergeCell ref="K1132:L1132"/>
    <mergeCell ref="K939:L939"/>
    <mergeCell ref="K1018:L1018"/>
    <mergeCell ref="K995:L995"/>
    <mergeCell ref="K997:L997"/>
    <mergeCell ref="K1043:L1043"/>
    <mergeCell ref="K1229:L1229"/>
    <mergeCell ref="K1022:L1022"/>
    <mergeCell ref="K1100:L1100"/>
    <mergeCell ref="K1109:L1109"/>
    <mergeCell ref="K1136:L1136"/>
    <mergeCell ref="K1134:L1134"/>
    <mergeCell ref="K1028:L1028"/>
    <mergeCell ref="K1167:L1167"/>
    <mergeCell ref="K1166:L1166"/>
    <mergeCell ref="K1029:L1029"/>
    <mergeCell ref="G1259:H1259"/>
    <mergeCell ref="C1259:D1259"/>
    <mergeCell ref="C1261:D1261"/>
    <mergeCell ref="G1261:H1261"/>
    <mergeCell ref="E1261:F1261"/>
    <mergeCell ref="E1260:F1260"/>
    <mergeCell ref="G1260:H1260"/>
    <mergeCell ref="C1260:D1260"/>
    <mergeCell ref="C1256:D1256"/>
    <mergeCell ref="C1257:D1257"/>
    <mergeCell ref="E1257:F1257"/>
    <mergeCell ref="G1257:H1257"/>
    <mergeCell ref="I1257:J1257"/>
    <mergeCell ref="C1258:D1258"/>
    <mergeCell ref="E1258:F1258"/>
    <mergeCell ref="G1258:H1258"/>
    <mergeCell ref="I1258:J1258"/>
    <mergeCell ref="E1256:F1256"/>
    <mergeCell ref="C309:D309"/>
    <mergeCell ref="E309:F309"/>
    <mergeCell ref="G309:H309"/>
    <mergeCell ref="I309:J309"/>
    <mergeCell ref="G296:H296"/>
    <mergeCell ref="C297:D297"/>
    <mergeCell ref="I297:J297"/>
    <mergeCell ref="C302:D302"/>
    <mergeCell ref="C300:D300"/>
    <mergeCell ref="G298:H298"/>
    <mergeCell ref="I295:J295"/>
    <mergeCell ref="I291:J291"/>
    <mergeCell ref="I273:J273"/>
    <mergeCell ref="G286:H286"/>
    <mergeCell ref="I274:J274"/>
    <mergeCell ref="G287:H287"/>
    <mergeCell ref="G254:H254"/>
    <mergeCell ref="C295:D295"/>
    <mergeCell ref="E295:F295"/>
    <mergeCell ref="G295:H295"/>
    <mergeCell ref="C273:D273"/>
    <mergeCell ref="G273:H273"/>
    <mergeCell ref="G259:H259"/>
    <mergeCell ref="C259:D259"/>
    <mergeCell ref="C262:D262"/>
    <mergeCell ref="A269:H269"/>
    <mergeCell ref="E1242:F1242"/>
    <mergeCell ref="C1242:D1242"/>
    <mergeCell ref="G1242:H1242"/>
    <mergeCell ref="I1242:J1242"/>
    <mergeCell ref="I1238:J1238"/>
    <mergeCell ref="E1240:F1240"/>
    <mergeCell ref="I1240:J1240"/>
    <mergeCell ref="C1241:D1241"/>
    <mergeCell ref="C1238:D1238"/>
    <mergeCell ref="G1239:H1239"/>
    <mergeCell ref="G33:H33"/>
    <mergeCell ref="G34:H34"/>
    <mergeCell ref="G39:H39"/>
    <mergeCell ref="I1226:J1226"/>
    <mergeCell ref="I1227:J1227"/>
    <mergeCell ref="A67:H67"/>
    <mergeCell ref="G40:H40"/>
    <mergeCell ref="I39:J39"/>
    <mergeCell ref="I38:J38"/>
    <mergeCell ref="G36:H36"/>
    <mergeCell ref="I34:J34"/>
    <mergeCell ref="I46:J46"/>
    <mergeCell ref="G46:H46"/>
    <mergeCell ref="G63:H63"/>
    <mergeCell ref="I63:J63"/>
    <mergeCell ref="G54:H54"/>
    <mergeCell ref="I47:J47"/>
    <mergeCell ref="G55:H55"/>
    <mergeCell ref="I40:J40"/>
    <mergeCell ref="G41:H41"/>
    <mergeCell ref="I106:J106"/>
    <mergeCell ref="I105:J105"/>
    <mergeCell ref="G105:H105"/>
    <mergeCell ref="I103:J103"/>
    <mergeCell ref="G98:H98"/>
    <mergeCell ref="I93:J93"/>
    <mergeCell ref="G93:H93"/>
    <mergeCell ref="I97:J97"/>
    <mergeCell ref="I95:J95"/>
    <mergeCell ref="I98:J98"/>
    <mergeCell ref="I113:J113"/>
    <mergeCell ref="G113:H113"/>
    <mergeCell ref="I109:J109"/>
    <mergeCell ref="G108:H108"/>
    <mergeCell ref="I107:J107"/>
    <mergeCell ref="G107:H107"/>
    <mergeCell ref="I108:J108"/>
    <mergeCell ref="G109:H109"/>
    <mergeCell ref="I127:J127"/>
    <mergeCell ref="I123:J123"/>
    <mergeCell ref="I121:J121"/>
    <mergeCell ref="G117:H117"/>
    <mergeCell ref="I116:J116"/>
    <mergeCell ref="I114:J114"/>
    <mergeCell ref="G123:H123"/>
    <mergeCell ref="G127:H127"/>
    <mergeCell ref="G122:H122"/>
    <mergeCell ref="G115:H115"/>
    <mergeCell ref="G129:H129"/>
    <mergeCell ref="I128:J128"/>
    <mergeCell ref="G128:H128"/>
    <mergeCell ref="I139:J139"/>
    <mergeCell ref="I129:J129"/>
    <mergeCell ref="A131:J131"/>
    <mergeCell ref="I130:J130"/>
    <mergeCell ref="C128:D128"/>
    <mergeCell ref="G136:H136"/>
    <mergeCell ref="I136:J136"/>
    <mergeCell ref="G164:H164"/>
    <mergeCell ref="I162:J162"/>
    <mergeCell ref="I151:J151"/>
    <mergeCell ref="G162:H162"/>
    <mergeCell ref="G161:H161"/>
    <mergeCell ref="G163:H163"/>
    <mergeCell ref="I155:J155"/>
    <mergeCell ref="I152:J152"/>
    <mergeCell ref="G155:H155"/>
    <mergeCell ref="G151:H151"/>
    <mergeCell ref="I180:J180"/>
    <mergeCell ref="I173:J173"/>
    <mergeCell ref="I171:J171"/>
    <mergeCell ref="I172:J172"/>
    <mergeCell ref="I167:J167"/>
    <mergeCell ref="G171:H171"/>
    <mergeCell ref="G174:H174"/>
    <mergeCell ref="I174:J174"/>
    <mergeCell ref="G172:H172"/>
    <mergeCell ref="I169:J169"/>
    <mergeCell ref="I188:J188"/>
    <mergeCell ref="I186:J186"/>
    <mergeCell ref="G187:H187"/>
    <mergeCell ref="I182:J182"/>
    <mergeCell ref="I184:J184"/>
    <mergeCell ref="G183:H183"/>
    <mergeCell ref="I201:J201"/>
    <mergeCell ref="G201:H201"/>
    <mergeCell ref="G200:H200"/>
    <mergeCell ref="I199:J199"/>
    <mergeCell ref="G199:H199"/>
    <mergeCell ref="I200:J200"/>
    <mergeCell ref="I229:J229"/>
    <mergeCell ref="G228:H228"/>
    <mergeCell ref="G226:H226"/>
    <mergeCell ref="I225:J225"/>
    <mergeCell ref="I224:J224"/>
    <mergeCell ref="G218:H218"/>
    <mergeCell ref="I218:J218"/>
    <mergeCell ref="G222:H222"/>
    <mergeCell ref="G224:H224"/>
    <mergeCell ref="I222:J222"/>
    <mergeCell ref="I237:J237"/>
    <mergeCell ref="G237:H237"/>
    <mergeCell ref="G240:H240"/>
    <mergeCell ref="I244:J244"/>
    <mergeCell ref="G243:H243"/>
    <mergeCell ref="G242:H242"/>
    <mergeCell ref="I242:J242"/>
    <mergeCell ref="I240:J240"/>
    <mergeCell ref="I243:J243"/>
    <mergeCell ref="G244:H244"/>
    <mergeCell ref="I310:J310"/>
    <mergeCell ref="I317:J317"/>
    <mergeCell ref="I289:J289"/>
    <mergeCell ref="G239:H239"/>
    <mergeCell ref="I285:J285"/>
    <mergeCell ref="I314:J314"/>
    <mergeCell ref="G316:H316"/>
    <mergeCell ref="I296:J296"/>
    <mergeCell ref="G300:H300"/>
    <mergeCell ref="G314:H314"/>
    <mergeCell ref="I325:J325"/>
    <mergeCell ref="G317:H317"/>
    <mergeCell ref="I327:J327"/>
    <mergeCell ref="I324:J324"/>
    <mergeCell ref="G324:H324"/>
    <mergeCell ref="I322:J322"/>
    <mergeCell ref="G315:H315"/>
    <mergeCell ref="I344:J344"/>
    <mergeCell ref="I373:J373"/>
    <mergeCell ref="I374:J374"/>
    <mergeCell ref="I385:J385"/>
    <mergeCell ref="G385:H385"/>
    <mergeCell ref="G373:H373"/>
    <mergeCell ref="I369:J369"/>
    <mergeCell ref="G366:H366"/>
    <mergeCell ref="I365:J365"/>
    <mergeCell ref="G378:H378"/>
    <mergeCell ref="I393:J393"/>
    <mergeCell ref="G391:H391"/>
    <mergeCell ref="G386:H386"/>
    <mergeCell ref="I389:J389"/>
    <mergeCell ref="I395:J395"/>
    <mergeCell ref="G392:H392"/>
    <mergeCell ref="G390:H390"/>
    <mergeCell ref="I379:J379"/>
    <mergeCell ref="G380:H380"/>
    <mergeCell ref="G350:H350"/>
    <mergeCell ref="G379:H379"/>
    <mergeCell ref="G369:H369"/>
    <mergeCell ref="I377:J377"/>
    <mergeCell ref="G374:H374"/>
    <mergeCell ref="I408:J408"/>
    <mergeCell ref="I403:J403"/>
    <mergeCell ref="G403:H403"/>
    <mergeCell ref="I402:J402"/>
    <mergeCell ref="G400:H400"/>
    <mergeCell ref="I401:J401"/>
    <mergeCell ref="I400:J400"/>
    <mergeCell ref="I415:J415"/>
    <mergeCell ref="G415:H415"/>
    <mergeCell ref="I411:J411"/>
    <mergeCell ref="G411:H411"/>
    <mergeCell ref="I409:J409"/>
    <mergeCell ref="G410:H410"/>
    <mergeCell ref="I424:J424"/>
    <mergeCell ref="G424:H424"/>
    <mergeCell ref="I420:J420"/>
    <mergeCell ref="G420:H420"/>
    <mergeCell ref="I419:J419"/>
    <mergeCell ref="G418:H418"/>
    <mergeCell ref="G419:H419"/>
    <mergeCell ref="G416:H416"/>
    <mergeCell ref="I429:J429"/>
    <mergeCell ref="G429:H429"/>
    <mergeCell ref="I427:J427"/>
    <mergeCell ref="G427:H427"/>
    <mergeCell ref="G431:H431"/>
    <mergeCell ref="I436:J436"/>
    <mergeCell ref="I431:J431"/>
    <mergeCell ref="G435:H435"/>
    <mergeCell ref="I432:J432"/>
    <mergeCell ref="I428:J428"/>
    <mergeCell ref="I462:J462"/>
    <mergeCell ref="G460:H460"/>
    <mergeCell ref="G445:H445"/>
    <mergeCell ref="G443:H443"/>
    <mergeCell ref="G442:H442"/>
    <mergeCell ref="G459:H459"/>
    <mergeCell ref="I453:J453"/>
    <mergeCell ref="G461:H461"/>
    <mergeCell ref="G444:H444"/>
    <mergeCell ref="I452:J452"/>
    <mergeCell ref="G470:H470"/>
    <mergeCell ref="I444:J444"/>
    <mergeCell ref="I479:J479"/>
    <mergeCell ref="I478:J478"/>
    <mergeCell ref="I472:J472"/>
    <mergeCell ref="G472:H472"/>
    <mergeCell ref="I471:J471"/>
    <mergeCell ref="G448:H448"/>
    <mergeCell ref="I461:J461"/>
    <mergeCell ref="G467:H467"/>
    <mergeCell ref="I480:J480"/>
    <mergeCell ref="G478:H478"/>
    <mergeCell ref="G479:H479"/>
    <mergeCell ref="I473:J473"/>
    <mergeCell ref="I495:J495"/>
    <mergeCell ref="I489:J489"/>
    <mergeCell ref="G489:H489"/>
    <mergeCell ref="I488:J488"/>
    <mergeCell ref="G488:H488"/>
    <mergeCell ref="I481:J481"/>
    <mergeCell ref="G481:H481"/>
    <mergeCell ref="I486:J486"/>
    <mergeCell ref="G486:H486"/>
    <mergeCell ref="I493:J493"/>
    <mergeCell ref="I491:J491"/>
    <mergeCell ref="G491:H491"/>
    <mergeCell ref="I490:J490"/>
    <mergeCell ref="G490:H490"/>
    <mergeCell ref="G493:H493"/>
    <mergeCell ref="G487:H487"/>
    <mergeCell ref="I497:J497"/>
    <mergeCell ref="G497:H497"/>
    <mergeCell ref="I498:J498"/>
    <mergeCell ref="G495:H495"/>
    <mergeCell ref="I507:J507"/>
    <mergeCell ref="G499:H499"/>
    <mergeCell ref="I499:J499"/>
    <mergeCell ref="I500:J500"/>
    <mergeCell ref="I505:J505"/>
    <mergeCell ref="G514:H514"/>
    <mergeCell ref="I508:J508"/>
    <mergeCell ref="G507:H507"/>
    <mergeCell ref="I504:J504"/>
    <mergeCell ref="I513:J513"/>
    <mergeCell ref="I514:J514"/>
    <mergeCell ref="I506:J506"/>
    <mergeCell ref="G516:H516"/>
    <mergeCell ref="G530:H530"/>
    <mergeCell ref="I518:J518"/>
    <mergeCell ref="I519:J519"/>
    <mergeCell ref="I530:J530"/>
    <mergeCell ref="G522:H522"/>
    <mergeCell ref="I517:J517"/>
    <mergeCell ref="I520:J520"/>
    <mergeCell ref="I521:J521"/>
    <mergeCell ref="G543:H543"/>
    <mergeCell ref="I540:J540"/>
    <mergeCell ref="G539:H539"/>
    <mergeCell ref="G537:H537"/>
    <mergeCell ref="G542:H542"/>
    <mergeCell ref="I515:J515"/>
    <mergeCell ref="I516:J516"/>
    <mergeCell ref="I529:J529"/>
    <mergeCell ref="G529:H529"/>
    <mergeCell ref="I531:J531"/>
    <mergeCell ref="G560:H560"/>
    <mergeCell ref="I561:J561"/>
    <mergeCell ref="I541:J541"/>
    <mergeCell ref="G541:H541"/>
    <mergeCell ref="I553:J553"/>
    <mergeCell ref="I546:J546"/>
    <mergeCell ref="G546:H546"/>
    <mergeCell ref="G558:H558"/>
    <mergeCell ref="G545:H545"/>
    <mergeCell ref="G544:H544"/>
    <mergeCell ref="I571:J571"/>
    <mergeCell ref="G571:H571"/>
    <mergeCell ref="A572:J572"/>
    <mergeCell ref="G570:H570"/>
    <mergeCell ref="E569:F569"/>
    <mergeCell ref="I565:J565"/>
    <mergeCell ref="I566:J566"/>
    <mergeCell ref="G565:H565"/>
    <mergeCell ref="G667:H667"/>
    <mergeCell ref="G661:H661"/>
    <mergeCell ref="G660:H660"/>
    <mergeCell ref="G650:H650"/>
    <mergeCell ref="I648:J648"/>
    <mergeCell ref="G648:H648"/>
    <mergeCell ref="G662:H662"/>
    <mergeCell ref="G663:H663"/>
    <mergeCell ref="G651:H651"/>
    <mergeCell ref="G652:H652"/>
    <mergeCell ref="I669:J669"/>
    <mergeCell ref="G669:H669"/>
    <mergeCell ref="G668:H668"/>
    <mergeCell ref="A713:H713"/>
    <mergeCell ref="E672:F672"/>
    <mergeCell ref="C747:D747"/>
    <mergeCell ref="C744:D744"/>
    <mergeCell ref="E747:F747"/>
    <mergeCell ref="C715:D715"/>
    <mergeCell ref="C718:D718"/>
    <mergeCell ref="I755:J755"/>
    <mergeCell ref="I751:J751"/>
    <mergeCell ref="I750:J750"/>
    <mergeCell ref="G749:H749"/>
    <mergeCell ref="G748:H748"/>
    <mergeCell ref="G745:H745"/>
    <mergeCell ref="I748:J748"/>
    <mergeCell ref="G755:H755"/>
    <mergeCell ref="I749:J749"/>
    <mergeCell ref="G747:H747"/>
    <mergeCell ref="I760:J760"/>
    <mergeCell ref="G759:H759"/>
    <mergeCell ref="I766:J766"/>
    <mergeCell ref="I762:J762"/>
    <mergeCell ref="I767:J767"/>
    <mergeCell ref="I759:J759"/>
    <mergeCell ref="I761:J761"/>
    <mergeCell ref="G760:H760"/>
    <mergeCell ref="G763:H763"/>
    <mergeCell ref="I791:J791"/>
    <mergeCell ref="I763:J763"/>
    <mergeCell ref="I803:J803"/>
    <mergeCell ref="I801:J801"/>
    <mergeCell ref="I807:J807"/>
    <mergeCell ref="I802:J802"/>
    <mergeCell ref="I776:J776"/>
    <mergeCell ref="I775:J775"/>
    <mergeCell ref="I793:J793"/>
    <mergeCell ref="G837:H837"/>
    <mergeCell ref="I872:J872"/>
    <mergeCell ref="I870:J870"/>
    <mergeCell ref="A851:J851"/>
    <mergeCell ref="E868:F868"/>
    <mergeCell ref="C885:D885"/>
    <mergeCell ref="E885:F885"/>
    <mergeCell ref="E884:F884"/>
    <mergeCell ref="A848:I848"/>
    <mergeCell ref="I873:J873"/>
    <mergeCell ref="G881:H881"/>
    <mergeCell ref="I876:J876"/>
    <mergeCell ref="I884:J884"/>
    <mergeCell ref="A879:H879"/>
    <mergeCell ref="E883:F883"/>
    <mergeCell ref="I882:J882"/>
    <mergeCell ref="E881:F881"/>
    <mergeCell ref="G901:H901"/>
    <mergeCell ref="I900:J900"/>
    <mergeCell ref="I896:J896"/>
    <mergeCell ref="I892:J892"/>
    <mergeCell ref="I893:J893"/>
    <mergeCell ref="G894:H894"/>
    <mergeCell ref="G900:H900"/>
    <mergeCell ref="G893:H893"/>
    <mergeCell ref="I895:J895"/>
    <mergeCell ref="G895:H895"/>
    <mergeCell ref="G912:H912"/>
    <mergeCell ref="G910:H910"/>
    <mergeCell ref="G909:H909"/>
    <mergeCell ref="G906:H906"/>
    <mergeCell ref="G911:H911"/>
    <mergeCell ref="G903:H903"/>
    <mergeCell ref="G905:H905"/>
    <mergeCell ref="G904:H904"/>
    <mergeCell ref="G922:H922"/>
    <mergeCell ref="G921:H921"/>
    <mergeCell ref="G919:H919"/>
    <mergeCell ref="G923:H923"/>
    <mergeCell ref="I922:J922"/>
    <mergeCell ref="I919:J919"/>
    <mergeCell ref="G920:H920"/>
    <mergeCell ref="I920:J920"/>
    <mergeCell ref="I947:J947"/>
    <mergeCell ref="I945:J945"/>
    <mergeCell ref="G945:H945"/>
    <mergeCell ref="G946:H946"/>
    <mergeCell ref="I956:J956"/>
    <mergeCell ref="G949:H949"/>
    <mergeCell ref="I951:J951"/>
    <mergeCell ref="I950:J950"/>
    <mergeCell ref="I949:J949"/>
    <mergeCell ref="G960:H960"/>
    <mergeCell ref="I959:J959"/>
    <mergeCell ref="G959:H959"/>
    <mergeCell ref="G957:H957"/>
    <mergeCell ref="I961:J961"/>
    <mergeCell ref="I958:J958"/>
    <mergeCell ref="I957:J957"/>
    <mergeCell ref="G958:H958"/>
    <mergeCell ref="I967:J967"/>
    <mergeCell ref="I970:J970"/>
    <mergeCell ref="G968:H968"/>
    <mergeCell ref="G970:H970"/>
    <mergeCell ref="I963:J963"/>
    <mergeCell ref="I968:J968"/>
    <mergeCell ref="G969:H969"/>
    <mergeCell ref="I988:J988"/>
    <mergeCell ref="I999:J999"/>
    <mergeCell ref="I1015:J1015"/>
    <mergeCell ref="I1014:J1014"/>
    <mergeCell ref="I1019:J1019"/>
    <mergeCell ref="A1007:I1007"/>
    <mergeCell ref="A1006:H1006"/>
    <mergeCell ref="E999:F999"/>
    <mergeCell ref="G1014:H1014"/>
    <mergeCell ref="E1014:F1014"/>
    <mergeCell ref="G1056:H1056"/>
    <mergeCell ref="I1051:J1051"/>
    <mergeCell ref="I1022:J1022"/>
    <mergeCell ref="G1029:H1029"/>
    <mergeCell ref="G1023:H1023"/>
    <mergeCell ref="I1023:J1023"/>
    <mergeCell ref="G1043:H1043"/>
    <mergeCell ref="I1071:J1071"/>
    <mergeCell ref="G1073:H1073"/>
    <mergeCell ref="G1020:H1020"/>
    <mergeCell ref="I1032:J1032"/>
    <mergeCell ref="I1030:J1030"/>
    <mergeCell ref="I1021:J1021"/>
    <mergeCell ref="I1020:J1020"/>
    <mergeCell ref="I1064:J1064"/>
    <mergeCell ref="I1063:J1063"/>
    <mergeCell ref="I1062:J1062"/>
    <mergeCell ref="G1062:H1062"/>
    <mergeCell ref="I1076:J1076"/>
    <mergeCell ref="I1072:J1072"/>
    <mergeCell ref="G1064:H1064"/>
    <mergeCell ref="E1066:J1066"/>
    <mergeCell ref="I1065:J1065"/>
    <mergeCell ref="G1071:H1071"/>
    <mergeCell ref="E1074:F1074"/>
    <mergeCell ref="G1063:H1063"/>
    <mergeCell ref="E1065:F1065"/>
    <mergeCell ref="I1073:J1073"/>
    <mergeCell ref="G1072:H1072"/>
    <mergeCell ref="I1084:J1084"/>
    <mergeCell ref="I1083:J1083"/>
    <mergeCell ref="G1081:H1081"/>
    <mergeCell ref="G1080:H1080"/>
    <mergeCell ref="G1077:H1077"/>
    <mergeCell ref="I1090:J1090"/>
    <mergeCell ref="I1089:J1089"/>
    <mergeCell ref="I1088:J1088"/>
    <mergeCell ref="I1077:J1077"/>
    <mergeCell ref="G1076:H1076"/>
    <mergeCell ref="G1074:H1074"/>
    <mergeCell ref="I1100:J1100"/>
    <mergeCell ref="G1100:H1100"/>
    <mergeCell ref="G1099:H1099"/>
    <mergeCell ref="I1098:J1098"/>
    <mergeCell ref="G1098:H1098"/>
    <mergeCell ref="I1085:J1085"/>
    <mergeCell ref="I1097:J1097"/>
    <mergeCell ref="I1094:J1094"/>
    <mergeCell ref="G1094:H1094"/>
    <mergeCell ref="I1093:J1093"/>
    <mergeCell ref="I1102:J1102"/>
    <mergeCell ref="I1103:J1103"/>
    <mergeCell ref="I1107:J1107"/>
    <mergeCell ref="I1106:J1106"/>
    <mergeCell ref="I1101:J1101"/>
    <mergeCell ref="G1101:H1101"/>
    <mergeCell ref="G1115:H1115"/>
    <mergeCell ref="G1117:H1117"/>
    <mergeCell ref="I1132:J1132"/>
    <mergeCell ref="G1110:H1110"/>
    <mergeCell ref="G1109:H1109"/>
    <mergeCell ref="I1109:J1109"/>
    <mergeCell ref="A1129:J1129"/>
    <mergeCell ref="C1116:D1116"/>
    <mergeCell ref="C1109:D1109"/>
    <mergeCell ref="C1115:D1115"/>
    <mergeCell ref="G1141:H1141"/>
    <mergeCell ref="I1140:J1140"/>
    <mergeCell ref="G1136:H1136"/>
    <mergeCell ref="I1116:J1116"/>
    <mergeCell ref="A1124:H1124"/>
    <mergeCell ref="C1132:D1132"/>
    <mergeCell ref="C1118:D1118"/>
    <mergeCell ref="G1116:H1116"/>
    <mergeCell ref="I1136:J1136"/>
    <mergeCell ref="G1132:H1132"/>
    <mergeCell ref="I1117:J1117"/>
    <mergeCell ref="I1114:J1114"/>
    <mergeCell ref="I1162:J1162"/>
    <mergeCell ref="I1144:J1144"/>
    <mergeCell ref="I1155:J1155"/>
    <mergeCell ref="I1134:J1134"/>
    <mergeCell ref="I1142:J1142"/>
    <mergeCell ref="I1161:J1161"/>
    <mergeCell ref="I1133:J1133"/>
    <mergeCell ref="G1118:H1118"/>
    <mergeCell ref="G1154:H1154"/>
    <mergeCell ref="I1151:J1151"/>
    <mergeCell ref="I1146:J1146"/>
    <mergeCell ref="G1146:H1146"/>
    <mergeCell ref="I1154:J1154"/>
    <mergeCell ref="I1153:J1153"/>
    <mergeCell ref="G1133:H1133"/>
    <mergeCell ref="I1143:J1143"/>
    <mergeCell ref="I1141:J1141"/>
    <mergeCell ref="G1165:H1165"/>
    <mergeCell ref="I1165:J1165"/>
    <mergeCell ref="I1163:J1163"/>
    <mergeCell ref="G1163:H1163"/>
    <mergeCell ref="G1143:H1143"/>
    <mergeCell ref="I1145:J1145"/>
    <mergeCell ref="I1152:J1152"/>
    <mergeCell ref="G1169:H1169"/>
    <mergeCell ref="I1217:J1217"/>
    <mergeCell ref="G1188:H1188"/>
    <mergeCell ref="G1189:H1189"/>
    <mergeCell ref="I1197:J1197"/>
    <mergeCell ref="G1186:H1186"/>
    <mergeCell ref="I1189:J1189"/>
    <mergeCell ref="I1224:J1224"/>
    <mergeCell ref="I1219:J1219"/>
    <mergeCell ref="I1221:J1221"/>
    <mergeCell ref="I1222:J1222"/>
    <mergeCell ref="G1216:H1216"/>
    <mergeCell ref="G1220:H1220"/>
    <mergeCell ref="I1247:J1247"/>
    <mergeCell ref="G1247:H1247"/>
    <mergeCell ref="I1249:J1249"/>
    <mergeCell ref="I1268:J1268"/>
    <mergeCell ref="G1250:H1250"/>
    <mergeCell ref="I1248:J1248"/>
    <mergeCell ref="G1254:H1254"/>
    <mergeCell ref="I1254:J1254"/>
    <mergeCell ref="G1268:H1268"/>
    <mergeCell ref="G1255:H1255"/>
    <mergeCell ref="I1321:J1321"/>
    <mergeCell ref="G1321:H1321"/>
    <mergeCell ref="G1315:H1315"/>
    <mergeCell ref="I1314:J1314"/>
    <mergeCell ref="I1322:J1322"/>
    <mergeCell ref="I1323:J1323"/>
    <mergeCell ref="I1320:J1320"/>
    <mergeCell ref="G1320:H1320"/>
    <mergeCell ref="I1319:J1319"/>
    <mergeCell ref="G1319:H1319"/>
    <mergeCell ref="I1334:J1334"/>
    <mergeCell ref="G1334:H1334"/>
    <mergeCell ref="I1331:J1331"/>
    <mergeCell ref="G1331:H1331"/>
    <mergeCell ref="G1330:H1330"/>
    <mergeCell ref="I1315:J1315"/>
    <mergeCell ref="I1318:J1318"/>
    <mergeCell ref="I1330:J1330"/>
    <mergeCell ref="G1329:H1329"/>
    <mergeCell ref="I1328:J1328"/>
    <mergeCell ref="I1341:J1341"/>
    <mergeCell ref="I1338:J1338"/>
    <mergeCell ref="G1338:H1338"/>
    <mergeCell ref="I1337:J1337"/>
    <mergeCell ref="G1337:H1337"/>
    <mergeCell ref="G1342:H1342"/>
    <mergeCell ref="I1342:J1342"/>
    <mergeCell ref="G1341:H1341"/>
    <mergeCell ref="G1340:H1340"/>
    <mergeCell ref="G1397:H1397"/>
    <mergeCell ref="I1343:J1343"/>
    <mergeCell ref="G1343:H1343"/>
    <mergeCell ref="G1350:H1350"/>
    <mergeCell ref="G1352:H1352"/>
    <mergeCell ref="I1397:J1397"/>
    <mergeCell ref="I1364:J1364"/>
    <mergeCell ref="E1364:F1364"/>
    <mergeCell ref="G1364:H1364"/>
    <mergeCell ref="E1349:F1349"/>
    <mergeCell ref="C1353:D1353"/>
    <mergeCell ref="G1353:H1353"/>
    <mergeCell ref="G1351:H1351"/>
    <mergeCell ref="G1349:H1349"/>
    <mergeCell ref="G1494:H1494"/>
    <mergeCell ref="I1461:J1461"/>
    <mergeCell ref="G1451:H1451"/>
    <mergeCell ref="G1469:H1469"/>
    <mergeCell ref="I1494:J1494"/>
    <mergeCell ref="I1428:J1428"/>
    <mergeCell ref="G1481:H1481"/>
    <mergeCell ref="G1461:H1461"/>
    <mergeCell ref="I1451:J1451"/>
    <mergeCell ref="G1441:H1441"/>
    <mergeCell ref="I1660:J1660"/>
    <mergeCell ref="G1660:H1660"/>
    <mergeCell ref="I1631:J1631"/>
    <mergeCell ref="I1579:J1579"/>
    <mergeCell ref="I1555:J1555"/>
    <mergeCell ref="I1692:J1692"/>
    <mergeCell ref="A1678:J1678"/>
    <mergeCell ref="A1588:A1591"/>
    <mergeCell ref="E1563:F1563"/>
    <mergeCell ref="B1681:B1682"/>
    <mergeCell ref="I1773:J1773"/>
    <mergeCell ref="I1754:J1754"/>
    <mergeCell ref="G1754:H1754"/>
    <mergeCell ref="G1727:H1727"/>
    <mergeCell ref="G1764:H1764"/>
    <mergeCell ref="I1775:J1775"/>
    <mergeCell ref="G1738:H1738"/>
    <mergeCell ref="I1764:J1764"/>
    <mergeCell ref="G1775:H1775"/>
    <mergeCell ref="G1774:H1774"/>
    <mergeCell ref="I1782:J1782"/>
    <mergeCell ref="G1782:H1782"/>
    <mergeCell ref="I1781:J1781"/>
    <mergeCell ref="G1783:H1783"/>
    <mergeCell ref="G1788:H1788"/>
    <mergeCell ref="I1776:J1776"/>
    <mergeCell ref="G1776:H1776"/>
    <mergeCell ref="G1779:H1779"/>
    <mergeCell ref="G1781:H1781"/>
    <mergeCell ref="G625:H625"/>
    <mergeCell ref="I621:J621"/>
    <mergeCell ref="G612:H612"/>
    <mergeCell ref="G611:H611"/>
    <mergeCell ref="G654:H654"/>
    <mergeCell ref="I647:J647"/>
    <mergeCell ref="G381:H381"/>
    <mergeCell ref="G592:H592"/>
    <mergeCell ref="G590:H590"/>
    <mergeCell ref="G589:H589"/>
    <mergeCell ref="G568:H568"/>
    <mergeCell ref="I574:J574"/>
    <mergeCell ref="I567:J567"/>
    <mergeCell ref="G567:H567"/>
    <mergeCell ref="I434:J434"/>
    <mergeCell ref="I404:J404"/>
    <mergeCell ref="G61:H61"/>
    <mergeCell ref="G59:H59"/>
    <mergeCell ref="I59:J59"/>
    <mergeCell ref="G60:H60"/>
    <mergeCell ref="I58:J58"/>
    <mergeCell ref="I60:J60"/>
    <mergeCell ref="K144:L144"/>
    <mergeCell ref="K143:L143"/>
    <mergeCell ref="K142:L142"/>
    <mergeCell ref="K141:L141"/>
    <mergeCell ref="K140:L140"/>
    <mergeCell ref="K123:L123"/>
    <mergeCell ref="K166:L166"/>
    <mergeCell ref="K173:L173"/>
    <mergeCell ref="K175:L175"/>
    <mergeCell ref="K189:L189"/>
    <mergeCell ref="K186:L186"/>
    <mergeCell ref="K185:L185"/>
    <mergeCell ref="K174:L174"/>
    <mergeCell ref="K170:L170"/>
    <mergeCell ref="K171:L171"/>
    <mergeCell ref="K172:L172"/>
    <mergeCell ref="K376:L376"/>
    <mergeCell ref="K375:L375"/>
    <mergeCell ref="K374:L374"/>
    <mergeCell ref="K309:L309"/>
    <mergeCell ref="K324:L324"/>
    <mergeCell ref="K312:L312"/>
    <mergeCell ref="K322:L322"/>
    <mergeCell ref="K311:L311"/>
    <mergeCell ref="K316:L316"/>
    <mergeCell ref="K317:L317"/>
    <mergeCell ref="K334:L334"/>
    <mergeCell ref="K333:L333"/>
    <mergeCell ref="K332:L332"/>
    <mergeCell ref="K399:L399"/>
    <mergeCell ref="K323:L323"/>
    <mergeCell ref="K325:L325"/>
    <mergeCell ref="K331:L331"/>
    <mergeCell ref="K330:L330"/>
    <mergeCell ref="K378:L378"/>
    <mergeCell ref="K377:L377"/>
    <mergeCell ref="K416:L416"/>
    <mergeCell ref="K381:L381"/>
    <mergeCell ref="K380:L380"/>
    <mergeCell ref="K379:L379"/>
    <mergeCell ref="K424:L424"/>
    <mergeCell ref="K419:L419"/>
    <mergeCell ref="K418:L418"/>
    <mergeCell ref="K417:L417"/>
    <mergeCell ref="K404:L404"/>
    <mergeCell ref="K400:L400"/>
    <mergeCell ref="K474:L474"/>
    <mergeCell ref="K464:L464"/>
    <mergeCell ref="K465:L465"/>
    <mergeCell ref="K466:L466"/>
    <mergeCell ref="K463:L463"/>
    <mergeCell ref="K425:L425"/>
    <mergeCell ref="K444:L444"/>
    <mergeCell ref="K443:L443"/>
    <mergeCell ref="K432:L432"/>
    <mergeCell ref="K434:L434"/>
    <mergeCell ref="K433:L433"/>
    <mergeCell ref="K447:L447"/>
    <mergeCell ref="K473:L473"/>
    <mergeCell ref="K471:L471"/>
    <mergeCell ref="K467:L467"/>
    <mergeCell ref="K462:L462"/>
    <mergeCell ref="K470:L470"/>
    <mergeCell ref="K437:L437"/>
    <mergeCell ref="K435:L435"/>
    <mergeCell ref="K460:L460"/>
    <mergeCell ref="K491:L491"/>
    <mergeCell ref="K490:L490"/>
    <mergeCell ref="K489:L489"/>
    <mergeCell ref="K480:L480"/>
    <mergeCell ref="K481:L481"/>
    <mergeCell ref="K453:L453"/>
    <mergeCell ref="K478:L478"/>
    <mergeCell ref="K472:L472"/>
    <mergeCell ref="K459:L459"/>
    <mergeCell ref="K455:L455"/>
    <mergeCell ref="K479:L479"/>
    <mergeCell ref="K496:L496"/>
    <mergeCell ref="K822:L822"/>
    <mergeCell ref="K819:L819"/>
    <mergeCell ref="K806:L806"/>
    <mergeCell ref="K805:L805"/>
    <mergeCell ref="K501:L501"/>
    <mergeCell ref="K691:L691"/>
    <mergeCell ref="K792:L792"/>
    <mergeCell ref="K529:K537"/>
    <mergeCell ref="I891:J891"/>
    <mergeCell ref="K824:L824"/>
    <mergeCell ref="K807:L807"/>
    <mergeCell ref="K799:L799"/>
    <mergeCell ref="K821:L821"/>
    <mergeCell ref="I890:J890"/>
    <mergeCell ref="I868:J868"/>
    <mergeCell ref="I874:J874"/>
    <mergeCell ref="I881:J881"/>
    <mergeCell ref="I804:J804"/>
    <mergeCell ref="K1019:L1019"/>
    <mergeCell ref="K876:L876"/>
    <mergeCell ref="K871:L871"/>
    <mergeCell ref="K831:L831"/>
    <mergeCell ref="K830:L830"/>
    <mergeCell ref="I1016:J1016"/>
    <mergeCell ref="K832:L832"/>
    <mergeCell ref="I903:J903"/>
    <mergeCell ref="K980:L980"/>
    <mergeCell ref="I960:J960"/>
    <mergeCell ref="K1041:L1041"/>
    <mergeCell ref="K1033:L1033"/>
    <mergeCell ref="K1031:L1031"/>
    <mergeCell ref="K1030:L1030"/>
    <mergeCell ref="K1032:L1032"/>
    <mergeCell ref="K1038:L1038"/>
    <mergeCell ref="K1259:L1259"/>
    <mergeCell ref="K1254:L1254"/>
    <mergeCell ref="K1042:L1042"/>
    <mergeCell ref="K1040:L1040"/>
    <mergeCell ref="K1248:L1248"/>
    <mergeCell ref="K1247:L1247"/>
    <mergeCell ref="K1183:L1183"/>
    <mergeCell ref="K1169:L1169"/>
    <mergeCell ref="K1222:L1222"/>
    <mergeCell ref="K1168:L1168"/>
    <mergeCell ref="K1242:L1242"/>
    <mergeCell ref="K1241:L1241"/>
    <mergeCell ref="K1238:L1238"/>
    <mergeCell ref="K1228:L1228"/>
    <mergeCell ref="K1258:L1258"/>
    <mergeCell ref="K1257:L1257"/>
    <mergeCell ref="K1256:L1256"/>
    <mergeCell ref="K1239:L1239"/>
    <mergeCell ref="K1240:L1240"/>
    <mergeCell ref="K1243:L1243"/>
    <mergeCell ref="K1301:L1301"/>
    <mergeCell ref="K1261:L1261"/>
    <mergeCell ref="K1296:L1296"/>
    <mergeCell ref="K1382:L1382"/>
    <mergeCell ref="K1412:L1412"/>
    <mergeCell ref="K1395:L1395"/>
    <mergeCell ref="K1565:L1565"/>
    <mergeCell ref="J1525:M1532"/>
    <mergeCell ref="I1540:R1546"/>
    <mergeCell ref="K1428:L1428"/>
    <mergeCell ref="M1364:N1364"/>
    <mergeCell ref="M1382:N1382"/>
    <mergeCell ref="M1397:N1397"/>
    <mergeCell ref="K1364:L1364"/>
    <mergeCell ref="A1394:J1394"/>
    <mergeCell ref="M1428:N1428"/>
    <mergeCell ref="K1777:L1777"/>
    <mergeCell ref="K1776:L1776"/>
    <mergeCell ref="K1775:L1775"/>
    <mergeCell ref="K1774:L1774"/>
    <mergeCell ref="K1750:L1750"/>
    <mergeCell ref="K1740:L1740"/>
    <mergeCell ref="C332:D332"/>
    <mergeCell ref="E332:F332"/>
    <mergeCell ref="I332:J332"/>
    <mergeCell ref="C333:D333"/>
    <mergeCell ref="G333:H333"/>
    <mergeCell ref="I333:J333"/>
    <mergeCell ref="G332:H332"/>
    <mergeCell ref="C331:D331"/>
    <mergeCell ref="E331:F331"/>
    <mergeCell ref="G331:H331"/>
    <mergeCell ref="G329:H329"/>
    <mergeCell ref="G327:H327"/>
    <mergeCell ref="I331:J331"/>
    <mergeCell ref="I329:J329"/>
    <mergeCell ref="G328:H328"/>
    <mergeCell ref="E329:F329"/>
    <mergeCell ref="E327:F327"/>
    <mergeCell ref="C323:D323"/>
    <mergeCell ref="E323:F323"/>
    <mergeCell ref="G323:H323"/>
    <mergeCell ref="I326:J326"/>
    <mergeCell ref="C326:D326"/>
    <mergeCell ref="C324:D324"/>
    <mergeCell ref="G326:H326"/>
    <mergeCell ref="E325:F325"/>
    <mergeCell ref="I323:J323"/>
    <mergeCell ref="G325:H325"/>
    <mergeCell ref="K1165:L1165"/>
    <mergeCell ref="K1108:L1108"/>
    <mergeCell ref="K1107:L1107"/>
    <mergeCell ref="K1110:L1110"/>
    <mergeCell ref="K1111:L1111"/>
    <mergeCell ref="K1142:L1142"/>
    <mergeCell ref="K1154:L1154"/>
    <mergeCell ref="K1164:L1164"/>
    <mergeCell ref="K1163:L1163"/>
    <mergeCell ref="K1162:L1162"/>
    <mergeCell ref="K1140:L1140"/>
    <mergeCell ref="K1141:L1141"/>
    <mergeCell ref="K1152:L1152"/>
    <mergeCell ref="K1151:L1151"/>
    <mergeCell ref="K1146:L1146"/>
    <mergeCell ref="K1135:L1135"/>
    <mergeCell ref="E1077:F1077"/>
    <mergeCell ref="A1034:J1034"/>
    <mergeCell ref="I1111:J1111"/>
    <mergeCell ref="I1043:J1043"/>
    <mergeCell ref="G1111:H1111"/>
    <mergeCell ref="I1110:J1110"/>
    <mergeCell ref="I1108:J1108"/>
    <mergeCell ref="G1108:H1108"/>
    <mergeCell ref="G1107:H1107"/>
    <mergeCell ref="G1103:H1103"/>
    <mergeCell ref="I144:J144"/>
    <mergeCell ref="E392:F392"/>
    <mergeCell ref="E424:F424"/>
    <mergeCell ref="E390:F390"/>
    <mergeCell ref="G588:H588"/>
    <mergeCell ref="G375:H375"/>
    <mergeCell ref="I352:J352"/>
    <mergeCell ref="G339:H339"/>
    <mergeCell ref="E340:F340"/>
    <mergeCell ref="I355:J355"/>
    <mergeCell ref="I375:J375"/>
    <mergeCell ref="I351:J351"/>
    <mergeCell ref="I363:J363"/>
    <mergeCell ref="C895:D895"/>
    <mergeCell ref="C1032:D1032"/>
    <mergeCell ref="G1030:H1030"/>
    <mergeCell ref="G1019:H1019"/>
    <mergeCell ref="C373:D373"/>
    <mergeCell ref="I353:J353"/>
    <mergeCell ref="C374:D374"/>
    <mergeCell ref="C378:D378"/>
    <mergeCell ref="G376:H376"/>
    <mergeCell ref="G425:H425"/>
    <mergeCell ref="I822:J822"/>
    <mergeCell ref="I345:J345"/>
    <mergeCell ref="G352:H352"/>
    <mergeCell ref="G359:H359"/>
    <mergeCell ref="G353:H353"/>
    <mergeCell ref="I376:J376"/>
    <mergeCell ref="G356:H356"/>
    <mergeCell ref="C139:D139"/>
    <mergeCell ref="E139:F139"/>
    <mergeCell ref="I140:J140"/>
    <mergeCell ref="G138:H138"/>
    <mergeCell ref="E140:F140"/>
    <mergeCell ref="I145:J145"/>
    <mergeCell ref="I142:J142"/>
    <mergeCell ref="I141:J141"/>
    <mergeCell ref="G144:H144"/>
    <mergeCell ref="E143:F143"/>
    <mergeCell ref="I343:J343"/>
    <mergeCell ref="I330:J330"/>
    <mergeCell ref="G334:H334"/>
    <mergeCell ref="I334:J334"/>
    <mergeCell ref="I341:J341"/>
    <mergeCell ref="G342:H342"/>
    <mergeCell ref="C138:D138"/>
    <mergeCell ref="E138:F138"/>
    <mergeCell ref="C140:D140"/>
    <mergeCell ref="I138:J138"/>
    <mergeCell ref="E145:F145"/>
    <mergeCell ref="I417:J417"/>
    <mergeCell ref="G340:H340"/>
    <mergeCell ref="I340:J340"/>
    <mergeCell ref="G341:H341"/>
    <mergeCell ref="G330:H330"/>
    <mergeCell ref="K748:L748"/>
    <mergeCell ref="K747:L747"/>
    <mergeCell ref="G790:H790"/>
    <mergeCell ref="I806:J806"/>
    <mergeCell ref="I834:J834"/>
    <mergeCell ref="I819:J819"/>
    <mergeCell ref="I790:J790"/>
    <mergeCell ref="I799:J799"/>
    <mergeCell ref="K804:L804"/>
    <mergeCell ref="I829:J829"/>
    <mergeCell ref="C424:D424"/>
    <mergeCell ref="C390:D390"/>
    <mergeCell ref="E324:F324"/>
    <mergeCell ref="E432:F432"/>
    <mergeCell ref="E302:F302"/>
    <mergeCell ref="E425:F425"/>
    <mergeCell ref="C425:D425"/>
    <mergeCell ref="E420:F420"/>
    <mergeCell ref="E427:F427"/>
    <mergeCell ref="C377:D377"/>
    <mergeCell ref="A1657:J1657"/>
    <mergeCell ref="C1030:D1030"/>
    <mergeCell ref="A586:J586"/>
    <mergeCell ref="G884:H884"/>
    <mergeCell ref="G872:H872"/>
    <mergeCell ref="E837:F837"/>
    <mergeCell ref="E1030:F1030"/>
    <mergeCell ref="G836:H836"/>
    <mergeCell ref="I905:J905"/>
    <mergeCell ref="E832:F832"/>
    <mergeCell ref="I1326:J1326"/>
    <mergeCell ref="I1327:J1327"/>
    <mergeCell ref="G1327:H1327"/>
    <mergeCell ref="A1717:A1718"/>
    <mergeCell ref="B1717:B1718"/>
    <mergeCell ref="C1717:D1717"/>
    <mergeCell ref="E1717:F1717"/>
    <mergeCell ref="E1461:F1461"/>
    <mergeCell ref="C1530:D1530"/>
    <mergeCell ref="B1631:B1632"/>
    <mergeCell ref="I1336:J1336"/>
    <mergeCell ref="I1335:J1335"/>
    <mergeCell ref="C1337:D1337"/>
    <mergeCell ref="C1461:D1461"/>
    <mergeCell ref="C1336:D1336"/>
    <mergeCell ref="I1333:J1333"/>
    <mergeCell ref="I1346:J1346"/>
    <mergeCell ref="G1346:H1346"/>
    <mergeCell ref="I1382:J1382"/>
    <mergeCell ref="G1382:H1382"/>
    <mergeCell ref="E1297:F1297"/>
    <mergeCell ref="G1168:H1168"/>
    <mergeCell ref="C1342:D1342"/>
    <mergeCell ref="G1336:H1336"/>
    <mergeCell ref="E1342:F1342"/>
    <mergeCell ref="E1334:F1334"/>
    <mergeCell ref="G1328:H1328"/>
    <mergeCell ref="G1223:H1223"/>
    <mergeCell ref="G1203:H1203"/>
    <mergeCell ref="G1217:H1217"/>
    <mergeCell ref="G1323:H1323"/>
    <mergeCell ref="G1326:H1326"/>
    <mergeCell ref="G1313:H1313"/>
    <mergeCell ref="G1310:H1310"/>
    <mergeCell ref="G1294:H1294"/>
    <mergeCell ref="G1312:H1312"/>
    <mergeCell ref="C1335:D1335"/>
    <mergeCell ref="C1326:D1326"/>
    <mergeCell ref="G1335:H1335"/>
    <mergeCell ref="C1323:D1323"/>
    <mergeCell ref="E1323:F1323"/>
    <mergeCell ref="E1327:F1327"/>
    <mergeCell ref="C1327:D1327"/>
    <mergeCell ref="E1331:F1331"/>
    <mergeCell ref="E1333:F1333"/>
    <mergeCell ref="G1333:H1333"/>
    <mergeCell ref="I1296:J1296"/>
    <mergeCell ref="E1031:F1031"/>
    <mergeCell ref="C833:D833"/>
    <mergeCell ref="E833:F833"/>
    <mergeCell ref="C905:D905"/>
    <mergeCell ref="I835:J835"/>
    <mergeCell ref="C886:D886"/>
    <mergeCell ref="E910:F910"/>
    <mergeCell ref="C952:D952"/>
    <mergeCell ref="C1031:D1031"/>
    <mergeCell ref="C515:D515"/>
    <mergeCell ref="I1228:J1228"/>
    <mergeCell ref="C537:D537"/>
    <mergeCell ref="C837:D837"/>
    <mergeCell ref="I1028:J1028"/>
    <mergeCell ref="C884:D884"/>
    <mergeCell ref="G896:H896"/>
    <mergeCell ref="E1028:F1028"/>
    <mergeCell ref="G1028:H1028"/>
    <mergeCell ref="C1028:D1028"/>
    <mergeCell ref="C520:D520"/>
    <mergeCell ref="C516:D516"/>
    <mergeCell ref="C691:D691"/>
    <mergeCell ref="E666:F666"/>
    <mergeCell ref="C522:D522"/>
    <mergeCell ref="C535:D535"/>
    <mergeCell ref="C531:D531"/>
    <mergeCell ref="A676:H676"/>
    <mergeCell ref="G582:H582"/>
    <mergeCell ref="G635:H635"/>
    <mergeCell ref="C426:D426"/>
    <mergeCell ref="C437:D437"/>
    <mergeCell ref="E437:F437"/>
    <mergeCell ref="E507:F507"/>
    <mergeCell ref="E611:F611"/>
    <mergeCell ref="C514:D514"/>
    <mergeCell ref="E539:F539"/>
    <mergeCell ref="A457:J457"/>
    <mergeCell ref="I535:J535"/>
    <mergeCell ref="G519:H519"/>
    <mergeCell ref="C1033:D1033"/>
    <mergeCell ref="E1033:F1033"/>
    <mergeCell ref="G1033:H1033"/>
    <mergeCell ref="I836:J836"/>
    <mergeCell ref="E835:F835"/>
    <mergeCell ref="E670:F670"/>
    <mergeCell ref="I672:J672"/>
    <mergeCell ref="E836:F836"/>
    <mergeCell ref="C1029:D1029"/>
    <mergeCell ref="E984:F984"/>
    <mergeCell ref="K1224:L1224"/>
    <mergeCell ref="K1225:L1225"/>
    <mergeCell ref="K1226:L1226"/>
    <mergeCell ref="K1221:L1221"/>
    <mergeCell ref="K1198:L1198"/>
    <mergeCell ref="K1203:L1203"/>
    <mergeCell ref="K1202:L1202"/>
    <mergeCell ref="K1217:L1217"/>
    <mergeCell ref="K1218:L1218"/>
    <mergeCell ref="K1187:L1187"/>
    <mergeCell ref="K1189:L1189"/>
    <mergeCell ref="K1199:L1199"/>
    <mergeCell ref="K1219:L1219"/>
    <mergeCell ref="K1220:L1220"/>
    <mergeCell ref="K1223:L1223"/>
    <mergeCell ref="K1196:L1196"/>
    <mergeCell ref="K1197:L1197"/>
    <mergeCell ref="K1188:L1188"/>
    <mergeCell ref="K1200:L1200"/>
    <mergeCell ref="K1017:L1017"/>
    <mergeCell ref="K999:L999"/>
    <mergeCell ref="K996:L996"/>
    <mergeCell ref="K985:L985"/>
    <mergeCell ref="K1185:L1185"/>
    <mergeCell ref="K1184:L1184"/>
    <mergeCell ref="K1144:L1144"/>
    <mergeCell ref="K1145:L1145"/>
    <mergeCell ref="K1180:L1180"/>
    <mergeCell ref="K1153:L1153"/>
    <mergeCell ref="K1050:L1050"/>
    <mergeCell ref="K1161:L1161"/>
    <mergeCell ref="K1049:L1049"/>
    <mergeCell ref="K1175:L1175"/>
    <mergeCell ref="K1143:L1143"/>
    <mergeCell ref="K1133:L1133"/>
    <mergeCell ref="K1061:L1061"/>
    <mergeCell ref="K1065:L1065"/>
    <mergeCell ref="K1052:L1052"/>
    <mergeCell ref="K1055:L1055"/>
    <mergeCell ref="K1044:L1044"/>
    <mergeCell ref="K1156:L1156"/>
    <mergeCell ref="K1155:L1155"/>
    <mergeCell ref="K1094:L1094"/>
    <mergeCell ref="K1056:L1056"/>
    <mergeCell ref="K1051:L1051"/>
    <mergeCell ref="K1093:L1093"/>
    <mergeCell ref="K1062:L1062"/>
    <mergeCell ref="K1054:L1054"/>
    <mergeCell ref="K1057:L1057"/>
    <mergeCell ref="K994:L994"/>
    <mergeCell ref="K983:L983"/>
    <mergeCell ref="K984:L984"/>
    <mergeCell ref="K1023:L1023"/>
    <mergeCell ref="K981:L981"/>
    <mergeCell ref="K1014:L1014"/>
    <mergeCell ref="K982:L982"/>
    <mergeCell ref="K1020:L1020"/>
    <mergeCell ref="K998:L998"/>
    <mergeCell ref="K988:L988"/>
    <mergeCell ref="K1097:L1097"/>
    <mergeCell ref="K1088:L1088"/>
    <mergeCell ref="K1089:L1089"/>
    <mergeCell ref="K1063:L1063"/>
    <mergeCell ref="K1064:L1064"/>
    <mergeCell ref="K1090:L1090"/>
    <mergeCell ref="K1053:L1053"/>
    <mergeCell ref="K1099:L1099"/>
    <mergeCell ref="K1103:L1103"/>
    <mergeCell ref="K1098:L1098"/>
    <mergeCell ref="K1015:L1015"/>
    <mergeCell ref="K1016:L1016"/>
    <mergeCell ref="K1091:L1091"/>
    <mergeCell ref="K1092:L1092"/>
    <mergeCell ref="K1039:L1039"/>
    <mergeCell ref="K1021:L1021"/>
    <mergeCell ref="E298:F298"/>
    <mergeCell ref="G139:H139"/>
    <mergeCell ref="I137:J137"/>
    <mergeCell ref="I239:J239"/>
    <mergeCell ref="A209:L209"/>
    <mergeCell ref="K182:L182"/>
    <mergeCell ref="K224:L224"/>
    <mergeCell ref="K183:L183"/>
    <mergeCell ref="G145:H145"/>
    <mergeCell ref="K213:L213"/>
    <mergeCell ref="K214:L214"/>
    <mergeCell ref="K329:L329"/>
    <mergeCell ref="K328:L328"/>
    <mergeCell ref="K327:L327"/>
    <mergeCell ref="K310:L310"/>
    <mergeCell ref="K229:L229"/>
    <mergeCell ref="K255:L255"/>
    <mergeCell ref="K256:L256"/>
    <mergeCell ref="K257:L257"/>
    <mergeCell ref="K273:L273"/>
    <mergeCell ref="C141:D141"/>
    <mergeCell ref="G141:H141"/>
    <mergeCell ref="G142:H142"/>
    <mergeCell ref="G186:H186"/>
    <mergeCell ref="C142:D142"/>
    <mergeCell ref="C144:D144"/>
    <mergeCell ref="G185:H185"/>
    <mergeCell ref="G184:H184"/>
    <mergeCell ref="C175:D175"/>
    <mergeCell ref="G165:H165"/>
    <mergeCell ref="C172:D172"/>
    <mergeCell ref="C189:D189"/>
    <mergeCell ref="C185:D185"/>
    <mergeCell ref="C213:D213"/>
    <mergeCell ref="C202:D202"/>
    <mergeCell ref="A191:H191"/>
    <mergeCell ref="G182:H182"/>
    <mergeCell ref="C196:D196"/>
    <mergeCell ref="C197:D197"/>
    <mergeCell ref="E200:F200"/>
    <mergeCell ref="K152:L152"/>
    <mergeCell ref="K154:L154"/>
    <mergeCell ref="K162:L162"/>
    <mergeCell ref="K163:L163"/>
    <mergeCell ref="K326:L326"/>
    <mergeCell ref="K169:L169"/>
    <mergeCell ref="K167:L167"/>
    <mergeCell ref="K225:L225"/>
    <mergeCell ref="K226:L226"/>
    <mergeCell ref="K227:L227"/>
    <mergeCell ref="K151:L151"/>
    <mergeCell ref="K138:L138"/>
    <mergeCell ref="K114:L114"/>
    <mergeCell ref="K113:L113"/>
    <mergeCell ref="K109:L109"/>
    <mergeCell ref="K164:L164"/>
    <mergeCell ref="K139:L139"/>
    <mergeCell ref="K153:L153"/>
    <mergeCell ref="K145:L145"/>
    <mergeCell ref="K160:L160"/>
    <mergeCell ref="K105:L105"/>
    <mergeCell ref="K64:L64"/>
    <mergeCell ref="K65:L65"/>
    <mergeCell ref="K98:L98"/>
    <mergeCell ref="K80:L80"/>
    <mergeCell ref="I94:J94"/>
    <mergeCell ref="I65:J65"/>
    <mergeCell ref="K86:L86"/>
    <mergeCell ref="I86:J86"/>
    <mergeCell ref="K77:L77"/>
    <mergeCell ref="M75:N75"/>
    <mergeCell ref="M77:N77"/>
    <mergeCell ref="K99:L99"/>
    <mergeCell ref="K71:L71"/>
    <mergeCell ref="C83:D83"/>
    <mergeCell ref="C84:D84"/>
    <mergeCell ref="C85:D85"/>
    <mergeCell ref="E84:F84"/>
    <mergeCell ref="E85:F85"/>
    <mergeCell ref="C86:D86"/>
    <mergeCell ref="M79:N79"/>
    <mergeCell ref="M76:N76"/>
    <mergeCell ref="M80:N80"/>
    <mergeCell ref="M87:N87"/>
    <mergeCell ref="K46:L46"/>
    <mergeCell ref="K48:L48"/>
    <mergeCell ref="M71:N71"/>
    <mergeCell ref="M72:N72"/>
    <mergeCell ref="M73:N73"/>
    <mergeCell ref="M74:N74"/>
    <mergeCell ref="K84:L84"/>
    <mergeCell ref="K83:L83"/>
    <mergeCell ref="K82:L82"/>
    <mergeCell ref="I48:J48"/>
    <mergeCell ref="K63:L63"/>
    <mergeCell ref="I82:J82"/>
    <mergeCell ref="K75:L75"/>
    <mergeCell ref="K74:L74"/>
    <mergeCell ref="K76:L76"/>
    <mergeCell ref="I62:J62"/>
    <mergeCell ref="K55:L55"/>
    <mergeCell ref="K47:L47"/>
    <mergeCell ref="K61:L61"/>
    <mergeCell ref="K56:L56"/>
    <mergeCell ref="K57:L57"/>
    <mergeCell ref="K81:L81"/>
    <mergeCell ref="K58:L58"/>
    <mergeCell ref="K59:L59"/>
    <mergeCell ref="K62:L62"/>
    <mergeCell ref="K72:L72"/>
    <mergeCell ref="K31:L31"/>
    <mergeCell ref="K32:L32"/>
    <mergeCell ref="K33:L33"/>
    <mergeCell ref="K34:L34"/>
    <mergeCell ref="K35:L35"/>
    <mergeCell ref="K36:L36"/>
    <mergeCell ref="G576:H576"/>
    <mergeCell ref="I613:J613"/>
    <mergeCell ref="I611:J611"/>
    <mergeCell ref="I594:J594"/>
    <mergeCell ref="G552:H552"/>
    <mergeCell ref="K482:L482"/>
    <mergeCell ref="K497:L497"/>
    <mergeCell ref="K509:L509"/>
    <mergeCell ref="K492:L492"/>
    <mergeCell ref="K494:L494"/>
    <mergeCell ref="I747:J747"/>
    <mergeCell ref="C298:D298"/>
    <mergeCell ref="A547:H547"/>
    <mergeCell ref="A538:H538"/>
    <mergeCell ref="C536:D536"/>
    <mergeCell ref="E301:F301"/>
    <mergeCell ref="G301:H301"/>
    <mergeCell ref="G437:H437"/>
    <mergeCell ref="G716:H716"/>
    <mergeCell ref="I667:J667"/>
    <mergeCell ref="K495:L495"/>
    <mergeCell ref="K749:L749"/>
    <mergeCell ref="I649:J649"/>
    <mergeCell ref="K500:L500"/>
    <mergeCell ref="K499:L499"/>
    <mergeCell ref="K498:L498"/>
    <mergeCell ref="I656:J656"/>
    <mergeCell ref="I718:J718"/>
    <mergeCell ref="I576:J576"/>
    <mergeCell ref="I668:J668"/>
    <mergeCell ref="K883:L883"/>
    <mergeCell ref="K508:L508"/>
    <mergeCell ref="K869:L869"/>
    <mergeCell ref="K870:L870"/>
    <mergeCell ref="K828:L828"/>
    <mergeCell ref="K829:L829"/>
    <mergeCell ref="K827:L827"/>
    <mergeCell ref="K820:L820"/>
    <mergeCell ref="K833:L833"/>
    <mergeCell ref="K798:L798"/>
    <mergeCell ref="I886:J886"/>
    <mergeCell ref="M751:N751"/>
    <mergeCell ref="M748:N748"/>
    <mergeCell ref="G825:H825"/>
    <mergeCell ref="K875:L875"/>
    <mergeCell ref="K881:L881"/>
    <mergeCell ref="M749:N749"/>
    <mergeCell ref="K802:L802"/>
    <mergeCell ref="K788:L788"/>
    <mergeCell ref="I854:J854"/>
    <mergeCell ref="K882:L882"/>
    <mergeCell ref="K834:L834"/>
    <mergeCell ref="K837:L837"/>
    <mergeCell ref="K825:L825"/>
    <mergeCell ref="I820:J820"/>
    <mergeCell ref="M750:N750"/>
    <mergeCell ref="K785:L785"/>
    <mergeCell ref="A840:L840"/>
    <mergeCell ref="C836:D836"/>
    <mergeCell ref="E876:F876"/>
    <mergeCell ref="A942:J942"/>
    <mergeCell ref="E940:F940"/>
    <mergeCell ref="I936:J936"/>
    <mergeCell ref="I946:J946"/>
    <mergeCell ref="I901:J901"/>
    <mergeCell ref="I914:J914"/>
    <mergeCell ref="I929:J929"/>
    <mergeCell ref="I902:J902"/>
    <mergeCell ref="G929:H929"/>
    <mergeCell ref="I928:J928"/>
    <mergeCell ref="G653:H653"/>
    <mergeCell ref="I583:J583"/>
    <mergeCell ref="G583:H583"/>
    <mergeCell ref="A675:H675"/>
    <mergeCell ref="G632:H632"/>
    <mergeCell ref="G640:H640"/>
    <mergeCell ref="C672:D672"/>
    <mergeCell ref="G655:H655"/>
    <mergeCell ref="G659:H659"/>
    <mergeCell ref="G642:H642"/>
    <mergeCell ref="K507:L507"/>
    <mergeCell ref="K73:L73"/>
    <mergeCell ref="K941:L941"/>
    <mergeCell ref="I906:J906"/>
    <mergeCell ref="I909:J909"/>
    <mergeCell ref="I883:J883"/>
    <mergeCell ref="K836:L836"/>
    <mergeCell ref="K874:L874"/>
    <mergeCell ref="K893:L893"/>
    <mergeCell ref="K868:L868"/>
    <mergeCell ref="K42:L42"/>
    <mergeCell ref="E39:F39"/>
    <mergeCell ref="K43:L43"/>
    <mergeCell ref="I339:J339"/>
    <mergeCell ref="I392:J392"/>
    <mergeCell ref="I390:J390"/>
    <mergeCell ref="I381:J381"/>
    <mergeCell ref="K44:L44"/>
    <mergeCell ref="K60:L60"/>
    <mergeCell ref="K87:L87"/>
    <mergeCell ref="A1:L1"/>
    <mergeCell ref="A7:B7"/>
    <mergeCell ref="A23:H23"/>
    <mergeCell ref="A25:F25"/>
    <mergeCell ref="G45:H45"/>
    <mergeCell ref="K40:L40"/>
    <mergeCell ref="K45:L45"/>
    <mergeCell ref="A3:K3"/>
    <mergeCell ref="K37:L37"/>
    <mergeCell ref="G42:H42"/>
    <mergeCell ref="K54:L54"/>
    <mergeCell ref="G64:H64"/>
    <mergeCell ref="C57:D57"/>
    <mergeCell ref="G1090:H1090"/>
    <mergeCell ref="G1083:H1083"/>
    <mergeCell ref="C1098:D1098"/>
    <mergeCell ref="I1080:J1080"/>
    <mergeCell ref="I1082:J1082"/>
    <mergeCell ref="G1084:H1084"/>
    <mergeCell ref="I1091:J1091"/>
    <mergeCell ref="I76:J76"/>
    <mergeCell ref="C39:D39"/>
    <mergeCell ref="K38:L38"/>
    <mergeCell ref="K39:L39"/>
    <mergeCell ref="I75:J75"/>
    <mergeCell ref="C71:D71"/>
    <mergeCell ref="E72:F72"/>
    <mergeCell ref="K41:L41"/>
    <mergeCell ref="E57:F57"/>
    <mergeCell ref="C65:D65"/>
    <mergeCell ref="C1081:D1081"/>
    <mergeCell ref="C1085:D1085"/>
    <mergeCell ref="G1089:H1089"/>
    <mergeCell ref="G1085:H1085"/>
    <mergeCell ref="E1098:F1098"/>
    <mergeCell ref="E1092:F1092"/>
    <mergeCell ref="E1093:F1093"/>
    <mergeCell ref="G1092:H1092"/>
    <mergeCell ref="G1091:H1091"/>
    <mergeCell ref="E1248:F1248"/>
    <mergeCell ref="G1249:H1249"/>
    <mergeCell ref="G1248:H1248"/>
    <mergeCell ref="C1117:D1117"/>
    <mergeCell ref="E1101:F1101"/>
    <mergeCell ref="E1103:F1103"/>
    <mergeCell ref="E1243:F1243"/>
    <mergeCell ref="E1249:F1249"/>
    <mergeCell ref="G1167:H1167"/>
    <mergeCell ref="G1162:H1162"/>
    <mergeCell ref="E1253:F1253"/>
    <mergeCell ref="G1253:H1253"/>
    <mergeCell ref="I1253:J1253"/>
    <mergeCell ref="C1254:D1254"/>
    <mergeCell ref="C1255:D1255"/>
    <mergeCell ref="I1255:J1255"/>
    <mergeCell ref="E1276:F1276"/>
    <mergeCell ref="I1299:J1299"/>
    <mergeCell ref="A1305:J1305"/>
    <mergeCell ref="C1298:D1298"/>
    <mergeCell ref="C1297:D1297"/>
    <mergeCell ref="G1251:H1251"/>
    <mergeCell ref="G1256:H1256"/>
    <mergeCell ref="I1256:J1256"/>
    <mergeCell ref="E1259:F1259"/>
    <mergeCell ref="C1253:D1253"/>
    <mergeCell ref="I1312:J1312"/>
    <mergeCell ref="I1311:J1311"/>
    <mergeCell ref="I1310:J1310"/>
    <mergeCell ref="I1279:J1279"/>
    <mergeCell ref="I1281:J1281"/>
    <mergeCell ref="G1285:H1285"/>
    <mergeCell ref="G1284:H1284"/>
    <mergeCell ref="I1289:J1289"/>
    <mergeCell ref="G1290:H1290"/>
    <mergeCell ref="I1290:J1290"/>
    <mergeCell ref="C1290:D1290"/>
    <mergeCell ref="E1294:F1294"/>
    <mergeCell ref="I1293:J1293"/>
    <mergeCell ref="C1313:D1313"/>
    <mergeCell ref="G1289:H1289"/>
    <mergeCell ref="E1281:F1281"/>
    <mergeCell ref="A1308:J1308"/>
    <mergeCell ref="I1297:J1297"/>
    <mergeCell ref="I1298:J1298"/>
    <mergeCell ref="I1313:J1313"/>
    <mergeCell ref="C1330:D1330"/>
    <mergeCell ref="C1318:D1318"/>
    <mergeCell ref="G1293:H1293"/>
    <mergeCell ref="E1329:F1329"/>
    <mergeCell ref="E1312:F1312"/>
    <mergeCell ref="C1328:D1328"/>
    <mergeCell ref="C1322:D1322"/>
    <mergeCell ref="C1320:D1320"/>
    <mergeCell ref="G1311:H1311"/>
    <mergeCell ref="G1295:H1295"/>
    <mergeCell ref="C1333:D1333"/>
    <mergeCell ref="E1337:F1337"/>
    <mergeCell ref="C1248:D1248"/>
    <mergeCell ref="A1302:J1302"/>
    <mergeCell ref="C1329:D1329"/>
    <mergeCell ref="C1321:D1321"/>
    <mergeCell ref="C1311:D1311"/>
    <mergeCell ref="I1288:J1288"/>
    <mergeCell ref="G1288:H1288"/>
    <mergeCell ref="G1270:H1270"/>
    <mergeCell ref="C446:D446"/>
    <mergeCell ref="G561:H561"/>
    <mergeCell ref="I564:J564"/>
    <mergeCell ref="G672:H672"/>
    <mergeCell ref="G482:H482"/>
    <mergeCell ref="G515:H515"/>
    <mergeCell ref="I543:J543"/>
    <mergeCell ref="C652:D652"/>
    <mergeCell ref="G626:H626"/>
    <mergeCell ref="C540:D540"/>
    <mergeCell ref="E436:F436"/>
    <mergeCell ref="I502:J502"/>
    <mergeCell ref="I425:J425"/>
    <mergeCell ref="E429:F429"/>
    <mergeCell ref="I426:J426"/>
    <mergeCell ref="G432:H432"/>
    <mergeCell ref="I474:J474"/>
    <mergeCell ref="G473:H473"/>
    <mergeCell ref="I496:J496"/>
    <mergeCell ref="G496:H496"/>
    <mergeCell ref="C435:D435"/>
    <mergeCell ref="G436:H436"/>
    <mergeCell ref="I447:J447"/>
    <mergeCell ref="E445:F445"/>
    <mergeCell ref="E446:F446"/>
    <mergeCell ref="G447:H447"/>
    <mergeCell ref="I437:J437"/>
    <mergeCell ref="E443:F443"/>
    <mergeCell ref="E442:F442"/>
    <mergeCell ref="I443:J443"/>
    <mergeCell ref="C542:D542"/>
    <mergeCell ref="G585:H585"/>
    <mergeCell ref="G549:H549"/>
    <mergeCell ref="I616:J616"/>
    <mergeCell ref="I549:J549"/>
    <mergeCell ref="G550:H550"/>
    <mergeCell ref="G551:H551"/>
    <mergeCell ref="C613:D613"/>
    <mergeCell ref="C546:D546"/>
    <mergeCell ref="I575:J575"/>
    <mergeCell ref="I625:J625"/>
    <mergeCell ref="P700:Q700"/>
    <mergeCell ref="I714:J714"/>
    <mergeCell ref="I724:J724"/>
    <mergeCell ref="S729:T729"/>
    <mergeCell ref="Q726:R726"/>
    <mergeCell ref="I717:J717"/>
    <mergeCell ref="I637:J637"/>
    <mergeCell ref="I643:J643"/>
    <mergeCell ref="I716:J716"/>
    <mergeCell ref="K274:L274"/>
    <mergeCell ref="K275:L275"/>
    <mergeCell ref="K276:L276"/>
    <mergeCell ref="P744:Q744"/>
    <mergeCell ref="R744:S744"/>
    <mergeCell ref="P746:Q746"/>
    <mergeCell ref="P743:Q743"/>
    <mergeCell ref="S738:T738"/>
    <mergeCell ref="Q736:R736"/>
    <mergeCell ref="Q738:R738"/>
    <mergeCell ref="P693:Q693"/>
    <mergeCell ref="Q728:R728"/>
    <mergeCell ref="Q729:R729"/>
    <mergeCell ref="Q737:R737"/>
    <mergeCell ref="R742:S742"/>
    <mergeCell ref="P701:Q701"/>
    <mergeCell ref="P694:Q694"/>
    <mergeCell ref="S737:T737"/>
    <mergeCell ref="P741:Q741"/>
    <mergeCell ref="Q735:R735"/>
    <mergeCell ref="O918:P918"/>
    <mergeCell ref="P751:Q751"/>
    <mergeCell ref="P745:Q745"/>
    <mergeCell ref="R745:S745"/>
    <mergeCell ref="R749:S749"/>
    <mergeCell ref="P750:Q750"/>
    <mergeCell ref="R748:S748"/>
    <mergeCell ref="R747:S747"/>
    <mergeCell ref="R746:S746"/>
    <mergeCell ref="R743:S743"/>
    <mergeCell ref="R741:S741"/>
    <mergeCell ref="O1753:P1753"/>
    <mergeCell ref="R750:S750"/>
    <mergeCell ref="R751:S751"/>
    <mergeCell ref="R1411:S1411"/>
    <mergeCell ref="P749:Q749"/>
    <mergeCell ref="P1188:Q1188"/>
    <mergeCell ref="P1195:Q1195"/>
    <mergeCell ref="P1187:Q1187"/>
    <mergeCell ref="M1412:N1412"/>
    <mergeCell ref="P1338:Q1338"/>
    <mergeCell ref="R1448:S1448"/>
    <mergeCell ref="M1296:N1296"/>
    <mergeCell ref="S1485:Y1514"/>
    <mergeCell ref="T1430:Z1461"/>
    <mergeCell ref="W1414:Y1429"/>
    <mergeCell ref="R1457:S1457"/>
    <mergeCell ref="O1375:P1375"/>
    <mergeCell ref="T1411:U1411"/>
    <mergeCell ref="P1189:Q1189"/>
    <mergeCell ref="M1411:N1411"/>
    <mergeCell ref="K1249:L1249"/>
    <mergeCell ref="K1216:L1216"/>
    <mergeCell ref="K1201:L1201"/>
    <mergeCell ref="K1234:L1234"/>
    <mergeCell ref="K1250:L1250"/>
    <mergeCell ref="K1237:L1237"/>
    <mergeCell ref="K1397:L1397"/>
    <mergeCell ref="K1227:L1227"/>
    <mergeCell ref="K1255:L1255"/>
    <mergeCell ref="I1232:J1232"/>
    <mergeCell ref="G1234:H1234"/>
    <mergeCell ref="G1237:H1237"/>
    <mergeCell ref="I1261:J1261"/>
    <mergeCell ref="I1236:J1236"/>
    <mergeCell ref="K1236:L1236"/>
    <mergeCell ref="K1235:L1235"/>
    <mergeCell ref="K1251:L1251"/>
    <mergeCell ref="I1259:J1259"/>
    <mergeCell ref="G1276:H1276"/>
    <mergeCell ref="G1274:H1274"/>
    <mergeCell ref="G1280:H1280"/>
    <mergeCell ref="G1278:H1278"/>
    <mergeCell ref="G1279:H1279"/>
    <mergeCell ref="I1278:J1278"/>
    <mergeCell ref="G1277:H1277"/>
    <mergeCell ref="I1277:J1277"/>
    <mergeCell ref="G1275:H1275"/>
    <mergeCell ref="I1276:J1276"/>
    <mergeCell ref="K1260:L1260"/>
    <mergeCell ref="I1275:J1275"/>
    <mergeCell ref="P1194:Q1194"/>
    <mergeCell ref="P1191:Q1191"/>
    <mergeCell ref="G1235:H1235"/>
    <mergeCell ref="I1235:J1235"/>
    <mergeCell ref="I1234:J1234"/>
    <mergeCell ref="G1243:H1243"/>
    <mergeCell ref="I1274:J1274"/>
    <mergeCell ref="I1271:J1271"/>
    <mergeCell ref="G1041:H1041"/>
    <mergeCell ref="I1269:J1269"/>
    <mergeCell ref="G1269:H1269"/>
    <mergeCell ref="G1082:H1082"/>
    <mergeCell ref="I1031:J1031"/>
    <mergeCell ref="G1042:H1042"/>
    <mergeCell ref="I1239:J1239"/>
    <mergeCell ref="G1267:H1267"/>
    <mergeCell ref="I1033:J1033"/>
    <mergeCell ref="G1075:H1075"/>
    <mergeCell ref="I1041:J1041"/>
    <mergeCell ref="I1039:J1039"/>
    <mergeCell ref="I982:J982"/>
    <mergeCell ref="I1056:J1056"/>
    <mergeCell ref="I1055:J1055"/>
    <mergeCell ref="I1053:J1053"/>
    <mergeCell ref="I997:J997"/>
    <mergeCell ref="I1040:J1040"/>
    <mergeCell ref="I1054:J1054"/>
    <mergeCell ref="I1052:J1052"/>
    <mergeCell ref="G1229:H1229"/>
    <mergeCell ref="I1229:J1229"/>
    <mergeCell ref="I1220:J1220"/>
    <mergeCell ref="G1199:H1199"/>
    <mergeCell ref="I1049:J1049"/>
    <mergeCell ref="I1042:J1042"/>
    <mergeCell ref="I1225:J1225"/>
    <mergeCell ref="I1223:J1223"/>
    <mergeCell ref="I1203:J1203"/>
    <mergeCell ref="G1221:H1221"/>
    <mergeCell ref="E952:F952"/>
    <mergeCell ref="G961:H961"/>
    <mergeCell ref="I962:J962"/>
    <mergeCell ref="G967:H967"/>
    <mergeCell ref="I975:J975"/>
    <mergeCell ref="I973:J973"/>
    <mergeCell ref="G952:H952"/>
    <mergeCell ref="I952:J952"/>
    <mergeCell ref="G963:H963"/>
    <mergeCell ref="I969:J969"/>
    <mergeCell ref="M742:N742"/>
    <mergeCell ref="M741:N741"/>
    <mergeCell ref="M747:N747"/>
    <mergeCell ref="M744:N744"/>
    <mergeCell ref="P748:Q748"/>
    <mergeCell ref="M746:N746"/>
    <mergeCell ref="P747:Q747"/>
    <mergeCell ref="P742:Q742"/>
    <mergeCell ref="M745:N745"/>
    <mergeCell ref="S726:T726"/>
    <mergeCell ref="S728:T728"/>
    <mergeCell ref="S735:T735"/>
    <mergeCell ref="Q727:R727"/>
    <mergeCell ref="S727:T727"/>
    <mergeCell ref="S736:T736"/>
    <mergeCell ref="I302:J302"/>
    <mergeCell ref="I315:J315"/>
    <mergeCell ref="I435:J435"/>
    <mergeCell ref="I446:J446"/>
    <mergeCell ref="I537:J537"/>
    <mergeCell ref="I501:J501"/>
    <mergeCell ref="I482:J482"/>
    <mergeCell ref="I528:J528"/>
    <mergeCell ref="I433:J433"/>
    <mergeCell ref="I368:J368"/>
    <mergeCell ref="I215:J215"/>
    <mergeCell ref="G213:H213"/>
    <mergeCell ref="I214:J214"/>
    <mergeCell ref="I204:J204"/>
    <mergeCell ref="G214:H214"/>
    <mergeCell ref="I206:J206"/>
    <mergeCell ref="I207:J207"/>
    <mergeCell ref="I213:J213"/>
    <mergeCell ref="I202:J202"/>
    <mergeCell ref="G206:H206"/>
    <mergeCell ref="G205:H205"/>
    <mergeCell ref="G203:H203"/>
    <mergeCell ref="I205:J205"/>
    <mergeCell ref="I203:J203"/>
    <mergeCell ref="G204:H204"/>
    <mergeCell ref="M359:N359"/>
    <mergeCell ref="M360:N360"/>
    <mergeCell ref="M399:N399"/>
    <mergeCell ref="M362:N362"/>
    <mergeCell ref="M398:N398"/>
    <mergeCell ref="M363:N363"/>
    <mergeCell ref="A382:J382"/>
    <mergeCell ref="I391:J391"/>
    <mergeCell ref="E393:F393"/>
    <mergeCell ref="C394:D394"/>
    <mergeCell ref="C395:D395"/>
    <mergeCell ref="G402:H402"/>
    <mergeCell ref="C392:D392"/>
    <mergeCell ref="I399:J399"/>
    <mergeCell ref="G399:H399"/>
    <mergeCell ref="G401:H401"/>
    <mergeCell ref="G426:H426"/>
    <mergeCell ref="G363:H363"/>
    <mergeCell ref="M413:N413"/>
    <mergeCell ref="G408:H408"/>
    <mergeCell ref="M406:N406"/>
    <mergeCell ref="I367:J367"/>
    <mergeCell ref="I380:J380"/>
    <mergeCell ref="G377:H377"/>
    <mergeCell ref="I378:J378"/>
    <mergeCell ref="M368:N368"/>
    <mergeCell ref="G302:H302"/>
    <mergeCell ref="G365:H365"/>
    <mergeCell ref="G322:H322"/>
    <mergeCell ref="G404:H404"/>
    <mergeCell ref="I342:J342"/>
    <mergeCell ref="G344:H344"/>
    <mergeCell ref="I328:J328"/>
    <mergeCell ref="G355:H355"/>
    <mergeCell ref="G354:H354"/>
    <mergeCell ref="G367:H367"/>
    <mergeCell ref="I460:J460"/>
    <mergeCell ref="I442:J442"/>
    <mergeCell ref="G453:H453"/>
    <mergeCell ref="G454:H454"/>
    <mergeCell ref="G313:H313"/>
    <mergeCell ref="I418:J418"/>
    <mergeCell ref="I354:J354"/>
    <mergeCell ref="I410:J410"/>
    <mergeCell ref="I416:J416"/>
    <mergeCell ref="I359:J359"/>
    <mergeCell ref="C116:D116"/>
    <mergeCell ref="C95:D95"/>
    <mergeCell ref="C113:D113"/>
    <mergeCell ref="E107:F107"/>
    <mergeCell ref="E97:F97"/>
    <mergeCell ref="E116:F116"/>
    <mergeCell ref="E82:F82"/>
    <mergeCell ref="G82:H82"/>
    <mergeCell ref="C77:D77"/>
    <mergeCell ref="C94:D94"/>
    <mergeCell ref="C96:D96"/>
    <mergeCell ref="E109:F109"/>
    <mergeCell ref="C99:D99"/>
    <mergeCell ref="E95:F95"/>
    <mergeCell ref="E106:F106"/>
    <mergeCell ref="E105:F105"/>
    <mergeCell ref="G77:H77"/>
    <mergeCell ref="I83:J83"/>
    <mergeCell ref="I79:J79"/>
    <mergeCell ref="I77:J77"/>
    <mergeCell ref="I96:J96"/>
    <mergeCell ref="G95:H95"/>
    <mergeCell ref="G94:H94"/>
    <mergeCell ref="G96:H96"/>
    <mergeCell ref="I80:J80"/>
    <mergeCell ref="G83:H83"/>
    <mergeCell ref="E83:F83"/>
    <mergeCell ref="I72:J72"/>
    <mergeCell ref="C93:D93"/>
    <mergeCell ref="E92:F92"/>
    <mergeCell ref="E79:F79"/>
    <mergeCell ref="G80:H80"/>
    <mergeCell ref="E87:F87"/>
    <mergeCell ref="I84:J84"/>
    <mergeCell ref="E86:F86"/>
    <mergeCell ref="C92:D92"/>
    <mergeCell ref="G84:H84"/>
    <mergeCell ref="G86:H86"/>
    <mergeCell ref="G85:H85"/>
    <mergeCell ref="G87:H87"/>
    <mergeCell ref="G92:H92"/>
    <mergeCell ref="C97:D97"/>
    <mergeCell ref="E96:F96"/>
    <mergeCell ref="E94:F94"/>
    <mergeCell ref="C508:D508"/>
    <mergeCell ref="G455:H455"/>
    <mergeCell ref="G434:H434"/>
    <mergeCell ref="G345:H345"/>
    <mergeCell ref="G384:H384"/>
    <mergeCell ref="C482:D482"/>
    <mergeCell ref="G409:H409"/>
    <mergeCell ref="G452:H452"/>
    <mergeCell ref="G433:H433"/>
    <mergeCell ref="G417:H417"/>
    <mergeCell ref="C489:D489"/>
    <mergeCell ref="E489:F489"/>
    <mergeCell ref="C488:D488"/>
    <mergeCell ref="C502:D502"/>
    <mergeCell ref="G343:H343"/>
    <mergeCell ref="E355:F355"/>
    <mergeCell ref="E354:F354"/>
    <mergeCell ref="G351:H351"/>
    <mergeCell ref="G428:H428"/>
    <mergeCell ref="G395:H395"/>
    <mergeCell ref="G521:H521"/>
    <mergeCell ref="G520:H520"/>
    <mergeCell ref="G518:H518"/>
    <mergeCell ref="G517:H517"/>
    <mergeCell ref="C459:D459"/>
    <mergeCell ref="C472:D472"/>
    <mergeCell ref="G508:H508"/>
    <mergeCell ref="G501:H501"/>
    <mergeCell ref="G494:H494"/>
    <mergeCell ref="G480:H480"/>
    <mergeCell ref="G528:H528"/>
    <mergeCell ref="G531:H531"/>
    <mergeCell ref="G536:H536"/>
    <mergeCell ref="E541:F541"/>
    <mergeCell ref="E542:F542"/>
    <mergeCell ref="E530:F530"/>
    <mergeCell ref="E531:F531"/>
    <mergeCell ref="G535:H535"/>
    <mergeCell ref="C550:D550"/>
    <mergeCell ref="C551:D551"/>
    <mergeCell ref="G557:H557"/>
    <mergeCell ref="E535:F535"/>
    <mergeCell ref="G527:H527"/>
    <mergeCell ref="E529:F529"/>
    <mergeCell ref="G533:H533"/>
    <mergeCell ref="E540:F540"/>
    <mergeCell ref="G540:H540"/>
    <mergeCell ref="E532:F532"/>
    <mergeCell ref="C655:D655"/>
    <mergeCell ref="C619:D619"/>
    <mergeCell ref="E616:F616"/>
    <mergeCell ref="E551:F551"/>
    <mergeCell ref="E584:F584"/>
    <mergeCell ref="E618:F618"/>
    <mergeCell ref="A610:J610"/>
    <mergeCell ref="C618:D618"/>
    <mergeCell ref="E552:F552"/>
    <mergeCell ref="G578:H578"/>
    <mergeCell ref="E655:F655"/>
    <mergeCell ref="C663:D663"/>
    <mergeCell ref="C545:D545"/>
    <mergeCell ref="E640:F640"/>
    <mergeCell ref="E639:F639"/>
    <mergeCell ref="E643:F643"/>
    <mergeCell ref="E630:F630"/>
    <mergeCell ref="C611:D611"/>
    <mergeCell ref="C612:D612"/>
    <mergeCell ref="E567:F567"/>
    <mergeCell ref="E549:F549"/>
    <mergeCell ref="E632:F632"/>
    <mergeCell ref="E617:F617"/>
    <mergeCell ref="E641:F641"/>
    <mergeCell ref="E620:F620"/>
    <mergeCell ref="E581:F581"/>
    <mergeCell ref="E578:F578"/>
    <mergeCell ref="E550:F550"/>
    <mergeCell ref="E557:F557"/>
    <mergeCell ref="A599:H599"/>
    <mergeCell ref="E653:F653"/>
    <mergeCell ref="E650:F650"/>
    <mergeCell ref="E553:F553"/>
    <mergeCell ref="E638:F638"/>
    <mergeCell ref="E635:F635"/>
    <mergeCell ref="E652:F652"/>
    <mergeCell ref="E637:F637"/>
    <mergeCell ref="E642:F642"/>
    <mergeCell ref="E628:F628"/>
    <mergeCell ref="E625:F625"/>
    <mergeCell ref="C704:D704"/>
    <mergeCell ref="C714:D714"/>
    <mergeCell ref="E714:F714"/>
    <mergeCell ref="E716:F716"/>
    <mergeCell ref="G715:H715"/>
    <mergeCell ref="G704:H704"/>
    <mergeCell ref="E704:F704"/>
    <mergeCell ref="C716:D716"/>
    <mergeCell ref="A724:A725"/>
    <mergeCell ref="G717:H717"/>
    <mergeCell ref="C717:D717"/>
    <mergeCell ref="G718:H718"/>
    <mergeCell ref="E718:F718"/>
    <mergeCell ref="E717:F717"/>
    <mergeCell ref="C746:D746"/>
    <mergeCell ref="E744:F744"/>
    <mergeCell ref="C751:D751"/>
    <mergeCell ref="I744:J744"/>
    <mergeCell ref="A737:I737"/>
    <mergeCell ref="A741:H741"/>
    <mergeCell ref="I746:J746"/>
    <mergeCell ref="E750:F750"/>
    <mergeCell ref="G744:H744"/>
    <mergeCell ref="G746:H746"/>
    <mergeCell ref="I871:J871"/>
    <mergeCell ref="I787:J787"/>
    <mergeCell ref="B724:B725"/>
    <mergeCell ref="E724:F724"/>
    <mergeCell ref="C724:D724"/>
    <mergeCell ref="A735:H735"/>
    <mergeCell ref="G724:H724"/>
    <mergeCell ref="E746:F746"/>
    <mergeCell ref="C748:D748"/>
    <mergeCell ref="G819:H819"/>
    <mergeCell ref="G1032:H1032"/>
    <mergeCell ref="G1031:H1031"/>
    <mergeCell ref="I745:J745"/>
    <mergeCell ref="I824:J824"/>
    <mergeCell ref="G873:H873"/>
    <mergeCell ref="I821:J821"/>
    <mergeCell ref="I826:J826"/>
    <mergeCell ref="I971:J971"/>
    <mergeCell ref="I998:J998"/>
    <mergeCell ref="G996:H996"/>
    <mergeCell ref="C1019:D1019"/>
    <mergeCell ref="I1018:J1018"/>
    <mergeCell ref="G1018:H1018"/>
    <mergeCell ref="I1017:J1017"/>
    <mergeCell ref="G1017:H1017"/>
    <mergeCell ref="E1029:F1029"/>
    <mergeCell ref="I1029:J1029"/>
    <mergeCell ref="C1023:D1023"/>
    <mergeCell ref="E1051:F1051"/>
    <mergeCell ref="C1050:D1050"/>
    <mergeCell ref="E1043:F1043"/>
    <mergeCell ref="E1044:F1044"/>
    <mergeCell ref="G1051:H1051"/>
    <mergeCell ref="G1053:H1053"/>
    <mergeCell ref="G1049:H1049"/>
    <mergeCell ref="E1049:F1049"/>
    <mergeCell ref="C1044:D1044"/>
    <mergeCell ref="A1047:J1047"/>
    <mergeCell ref="E1082:F1082"/>
    <mergeCell ref="A1086:J1086"/>
    <mergeCell ref="C1054:D1054"/>
    <mergeCell ref="E1089:F1089"/>
    <mergeCell ref="I1168:J1168"/>
    <mergeCell ref="I1167:J1167"/>
    <mergeCell ref="G1166:H1166"/>
    <mergeCell ref="C1091:D1091"/>
    <mergeCell ref="C1082:D1082"/>
    <mergeCell ref="E1099:F1099"/>
    <mergeCell ref="C1062:D1062"/>
    <mergeCell ref="E1057:F1057"/>
    <mergeCell ref="E1062:F1062"/>
    <mergeCell ref="E1229:F1229"/>
    <mergeCell ref="A1230:J1230"/>
    <mergeCell ref="C1180:D1180"/>
    <mergeCell ref="I1074:J1074"/>
    <mergeCell ref="I1081:J1081"/>
    <mergeCell ref="C1080:D1080"/>
    <mergeCell ref="E1221:F1221"/>
    <mergeCell ref="C1469:D1469"/>
    <mergeCell ref="A1379:J1379"/>
    <mergeCell ref="E1441:F1441"/>
    <mergeCell ref="E1352:F1352"/>
    <mergeCell ref="C1364:D1364"/>
    <mergeCell ref="E1351:F1351"/>
    <mergeCell ref="C1429:D1429"/>
    <mergeCell ref="A1364:A1365"/>
    <mergeCell ref="A1469:A1470"/>
    <mergeCell ref="G1409:H1409"/>
    <mergeCell ref="C1441:D1441"/>
    <mergeCell ref="E1344:F1344"/>
    <mergeCell ref="E1345:F1345"/>
    <mergeCell ref="E1350:F1350"/>
    <mergeCell ref="E1346:F1346"/>
    <mergeCell ref="C1494:D1494"/>
    <mergeCell ref="C1382:D1382"/>
    <mergeCell ref="E1382:F1382"/>
    <mergeCell ref="C1352:D1352"/>
    <mergeCell ref="E1493:F1493"/>
    <mergeCell ref="C1774:D1774"/>
    <mergeCell ref="E1775:F1775"/>
    <mergeCell ref="G1513:H1513"/>
    <mergeCell ref="A1747:A1748"/>
    <mergeCell ref="B1747:B1748"/>
    <mergeCell ref="C1747:D1747"/>
    <mergeCell ref="B1738:B1739"/>
    <mergeCell ref="E1738:F1738"/>
    <mergeCell ref="C1523:D1523"/>
    <mergeCell ref="E1540:F1540"/>
    <mergeCell ref="E1681:F1681"/>
    <mergeCell ref="E1579:F1579"/>
    <mergeCell ref="E1631:F1631"/>
    <mergeCell ref="C1781:D1781"/>
    <mergeCell ref="C1631:D1631"/>
    <mergeCell ref="C1681:D1681"/>
    <mergeCell ref="C1702:D1702"/>
    <mergeCell ref="C1738:D1738"/>
    <mergeCell ref="E1781:F1781"/>
    <mergeCell ref="E1776:F1776"/>
    <mergeCell ref="E1523:F1523"/>
    <mergeCell ref="G1523:H1523"/>
    <mergeCell ref="A1631:A1632"/>
    <mergeCell ref="A1530:A1531"/>
    <mergeCell ref="A1540:A1541"/>
    <mergeCell ref="A1571:A1572"/>
    <mergeCell ref="E1571:F1571"/>
    <mergeCell ref="A1563:A1564"/>
    <mergeCell ref="A1586:I1586"/>
    <mergeCell ref="G1590:H1590"/>
    <mergeCell ref="A1754:A1755"/>
    <mergeCell ref="A1727:A1728"/>
    <mergeCell ref="G1773:H1773"/>
    <mergeCell ref="A1692:A1693"/>
    <mergeCell ref="A1702:A1703"/>
    <mergeCell ref="G1717:H1717"/>
    <mergeCell ref="E1702:F1702"/>
    <mergeCell ref="E1727:F1727"/>
    <mergeCell ref="E1773:F1773"/>
    <mergeCell ref="B1754:B1755"/>
    <mergeCell ref="B1727:B1728"/>
    <mergeCell ref="C1727:D1727"/>
    <mergeCell ref="C1800:D1800"/>
    <mergeCell ref="C1788:D1788"/>
    <mergeCell ref="C1775:D1775"/>
    <mergeCell ref="G1789:H1789"/>
    <mergeCell ref="C1776:D1776"/>
    <mergeCell ref="E1780:F1780"/>
    <mergeCell ref="A1777:H1777"/>
    <mergeCell ref="E1779:F1779"/>
    <mergeCell ref="G1801:H1801"/>
    <mergeCell ref="E1803:F1803"/>
    <mergeCell ref="A1827:I1827"/>
    <mergeCell ref="I1801:J1801"/>
    <mergeCell ref="I1803:J1803"/>
    <mergeCell ref="I1804:J1804"/>
    <mergeCell ref="G1805:H1805"/>
    <mergeCell ref="C1805:D1805"/>
    <mergeCell ref="C1806:D1806"/>
    <mergeCell ref="E1812:F1812"/>
    <mergeCell ref="G1804:H1804"/>
    <mergeCell ref="G1806:H1806"/>
    <mergeCell ref="G1807:H1807"/>
    <mergeCell ref="I1811:J1811"/>
    <mergeCell ref="I1807:J1807"/>
    <mergeCell ref="I1805:J1805"/>
    <mergeCell ref="A1830:H1830"/>
    <mergeCell ref="E1807:F1807"/>
    <mergeCell ref="C1804:D1804"/>
    <mergeCell ref="G1802:H1802"/>
    <mergeCell ref="C1803:D1803"/>
    <mergeCell ref="A1819:H1819"/>
    <mergeCell ref="A1826:C1826"/>
    <mergeCell ref="C1807:D1807"/>
    <mergeCell ref="A1823:B1823"/>
    <mergeCell ref="G1803:H1803"/>
    <mergeCell ref="A1822:B1822"/>
    <mergeCell ref="C1780:D1780"/>
    <mergeCell ref="A1796:I1796"/>
    <mergeCell ref="A1828:C1828"/>
    <mergeCell ref="A1821:B1821"/>
    <mergeCell ref="I1802:J1802"/>
    <mergeCell ref="G1780:H1780"/>
    <mergeCell ref="I1783:J1783"/>
    <mergeCell ref="C1802:D1802"/>
    <mergeCell ref="A1793:J1793"/>
    <mergeCell ref="G1810:H1810"/>
    <mergeCell ref="C1811:D1811"/>
    <mergeCell ref="E1814:F1814"/>
    <mergeCell ref="I1800:J1800"/>
    <mergeCell ref="I1814:J1814"/>
    <mergeCell ref="C1812:D1812"/>
    <mergeCell ref="E1801:F1801"/>
    <mergeCell ref="C1801:D1801"/>
    <mergeCell ref="I1812:J1812"/>
    <mergeCell ref="I1806:J1806"/>
    <mergeCell ref="E1614:F1614"/>
    <mergeCell ref="E1590:F1590"/>
    <mergeCell ref="G1614:H1614"/>
    <mergeCell ref="E1788:F1788"/>
    <mergeCell ref="I1792:J1792"/>
    <mergeCell ref="I1780:J1780"/>
    <mergeCell ref="E1774:F1774"/>
    <mergeCell ref="E1789:F1789"/>
    <mergeCell ref="I1702:J1702"/>
    <mergeCell ref="G1702:H1702"/>
    <mergeCell ref="C1555:D1555"/>
    <mergeCell ref="A1547:A1548"/>
    <mergeCell ref="G1579:H1579"/>
    <mergeCell ref="G1589:H1589"/>
    <mergeCell ref="E1589:F1589"/>
    <mergeCell ref="C1563:D1563"/>
    <mergeCell ref="C1481:D1481"/>
    <mergeCell ref="E1321:F1321"/>
    <mergeCell ref="G1318:H1318"/>
    <mergeCell ref="E1660:F1660"/>
    <mergeCell ref="E1338:F1338"/>
    <mergeCell ref="C1579:D1579"/>
    <mergeCell ref="A1610:H1610"/>
    <mergeCell ref="A1362:H1362"/>
    <mergeCell ref="A1382:A1383"/>
    <mergeCell ref="A1579:A1580"/>
    <mergeCell ref="E1287:F1287"/>
    <mergeCell ref="E1223:F1223"/>
    <mergeCell ref="C1279:D1279"/>
    <mergeCell ref="C1250:D1250"/>
    <mergeCell ref="E1280:F1280"/>
    <mergeCell ref="E1278:F1278"/>
    <mergeCell ref="C1281:D1281"/>
    <mergeCell ref="E1270:F1270"/>
    <mergeCell ref="C1249:D1249"/>
    <mergeCell ref="C1251:D1251"/>
    <mergeCell ref="G1055:H1055"/>
    <mergeCell ref="C1057:D1057"/>
    <mergeCell ref="C1075:D1075"/>
    <mergeCell ref="E1073:F1073"/>
    <mergeCell ref="E1084:F1084"/>
    <mergeCell ref="C1285:D1285"/>
    <mergeCell ref="C1278:D1278"/>
    <mergeCell ref="C1284:D1284"/>
    <mergeCell ref="E1107:F1107"/>
    <mergeCell ref="C1107:D1107"/>
    <mergeCell ref="G1061:H1061"/>
    <mergeCell ref="E1275:F1275"/>
    <mergeCell ref="C1276:D1276"/>
    <mergeCell ref="C1277:D1277"/>
    <mergeCell ref="C1280:D1280"/>
    <mergeCell ref="C1274:D1274"/>
    <mergeCell ref="C1110:D1110"/>
    <mergeCell ref="E1109:F1109"/>
    <mergeCell ref="E1198:F1198"/>
    <mergeCell ref="E1222:F1222"/>
    <mergeCell ref="I1061:J1061"/>
    <mergeCell ref="G1057:H1057"/>
    <mergeCell ref="E1052:F1052"/>
    <mergeCell ref="I1060:J1060"/>
    <mergeCell ref="G1052:H1052"/>
    <mergeCell ref="E1041:F1041"/>
    <mergeCell ref="E1042:F1042"/>
    <mergeCell ref="G1044:H1044"/>
    <mergeCell ref="I1044:J1044"/>
    <mergeCell ref="E1056:F1056"/>
    <mergeCell ref="I1038:J1038"/>
    <mergeCell ref="E1023:F1023"/>
    <mergeCell ref="C1041:D1041"/>
    <mergeCell ref="C984:D984"/>
    <mergeCell ref="I984:J984"/>
    <mergeCell ref="E1019:F1019"/>
    <mergeCell ref="E1016:F1016"/>
    <mergeCell ref="C1017:D1017"/>
    <mergeCell ref="C985:D985"/>
    <mergeCell ref="I996:J996"/>
    <mergeCell ref="I941:J941"/>
    <mergeCell ref="I931:J931"/>
    <mergeCell ref="I921:J921"/>
    <mergeCell ref="I930:J930"/>
    <mergeCell ref="I978:J978"/>
    <mergeCell ref="I987:J987"/>
    <mergeCell ref="I932:J932"/>
    <mergeCell ref="I981:J981"/>
    <mergeCell ref="I927:J927"/>
    <mergeCell ref="I985:J985"/>
    <mergeCell ref="I994:J994"/>
    <mergeCell ref="I986:J986"/>
    <mergeCell ref="I983:J983"/>
    <mergeCell ref="I995:J995"/>
    <mergeCell ref="I756:J756"/>
    <mergeCell ref="C762:D762"/>
    <mergeCell ref="C792:D792"/>
    <mergeCell ref="I792:J792"/>
    <mergeCell ref="I948:J948"/>
    <mergeCell ref="I923:J923"/>
    <mergeCell ref="I913:J913"/>
    <mergeCell ref="I972:J972"/>
    <mergeCell ref="I938:J938"/>
    <mergeCell ref="C662:D662"/>
    <mergeCell ref="I825:J825"/>
    <mergeCell ref="I869:J869"/>
    <mergeCell ref="A738:H738"/>
    <mergeCell ref="I823:J823"/>
    <mergeCell ref="I764:J764"/>
    <mergeCell ref="E786:F786"/>
    <mergeCell ref="E922:F922"/>
    <mergeCell ref="C757:D757"/>
    <mergeCell ref="E761:F761"/>
    <mergeCell ref="C755:D755"/>
    <mergeCell ref="E758:F758"/>
    <mergeCell ref="C873:D873"/>
    <mergeCell ref="I805:J805"/>
    <mergeCell ref="I798:J798"/>
    <mergeCell ref="C832:D832"/>
    <mergeCell ref="C831:D831"/>
    <mergeCell ref="G834:H834"/>
    <mergeCell ref="G835:H835"/>
    <mergeCell ref="C824:D824"/>
    <mergeCell ref="C801:D801"/>
    <mergeCell ref="G822:H822"/>
    <mergeCell ref="E789:F789"/>
    <mergeCell ref="E805:F805"/>
    <mergeCell ref="C661:D661"/>
    <mergeCell ref="E671:F671"/>
    <mergeCell ref="C767:D767"/>
    <mergeCell ref="C745:D745"/>
    <mergeCell ref="E766:F766"/>
    <mergeCell ref="C760:D760"/>
    <mergeCell ref="E745:F745"/>
    <mergeCell ref="C763:D763"/>
    <mergeCell ref="E920:F920"/>
    <mergeCell ref="E918:F918"/>
    <mergeCell ref="M441:N441"/>
    <mergeCell ref="G446:H446"/>
    <mergeCell ref="K446:L446"/>
    <mergeCell ref="A779:J779"/>
    <mergeCell ref="E793:F793"/>
    <mergeCell ref="C660:D660"/>
    <mergeCell ref="E448:F448"/>
    <mergeCell ref="E660:F660"/>
    <mergeCell ref="G756:H756"/>
    <mergeCell ref="G764:H764"/>
    <mergeCell ref="G757:H757"/>
    <mergeCell ref="G761:H761"/>
    <mergeCell ref="G762:H762"/>
    <mergeCell ref="G791:H791"/>
    <mergeCell ref="G971:H971"/>
    <mergeCell ref="E975:F975"/>
    <mergeCell ref="G981:H981"/>
    <mergeCell ref="G979:H979"/>
    <mergeCell ref="G758:H758"/>
    <mergeCell ref="G869:H869"/>
    <mergeCell ref="G821:H821"/>
    <mergeCell ref="G820:H820"/>
    <mergeCell ref="G962:H962"/>
    <mergeCell ref="A877:H877"/>
    <mergeCell ref="G988:H988"/>
    <mergeCell ref="G972:H972"/>
    <mergeCell ref="G975:H975"/>
    <mergeCell ref="G973:H973"/>
    <mergeCell ref="G983:H983"/>
    <mergeCell ref="E972:F972"/>
    <mergeCell ref="E1015:F1015"/>
    <mergeCell ref="A1005:H1005"/>
    <mergeCell ref="G998:H998"/>
    <mergeCell ref="C1018:D1018"/>
    <mergeCell ref="C1014:D1014"/>
    <mergeCell ref="G984:H984"/>
    <mergeCell ref="C1016:D1016"/>
    <mergeCell ref="E994:F994"/>
    <mergeCell ref="C995:D995"/>
    <mergeCell ref="G985:H985"/>
    <mergeCell ref="E1288:F1288"/>
    <mergeCell ref="C1038:D1038"/>
    <mergeCell ref="E1039:F1039"/>
    <mergeCell ref="A1045:J1045"/>
    <mergeCell ref="E1053:F1053"/>
    <mergeCell ref="E1063:F1063"/>
    <mergeCell ref="C1071:D1071"/>
    <mergeCell ref="C1043:D1043"/>
    <mergeCell ref="C1049:D1049"/>
    <mergeCell ref="C1052:D1052"/>
    <mergeCell ref="C1331:D1331"/>
    <mergeCell ref="E1326:F1326"/>
    <mergeCell ref="E1343:F1343"/>
    <mergeCell ref="C1288:D1288"/>
    <mergeCell ref="C1294:D1294"/>
    <mergeCell ref="E1293:F1293"/>
    <mergeCell ref="E1296:F1296"/>
    <mergeCell ref="C1319:D1319"/>
    <mergeCell ref="C1310:D1310"/>
    <mergeCell ref="C1289:D1289"/>
    <mergeCell ref="I1329:J1329"/>
    <mergeCell ref="A1359:H1359"/>
    <mergeCell ref="C1338:D1338"/>
    <mergeCell ref="E1336:F1336"/>
    <mergeCell ref="C1349:D1349"/>
    <mergeCell ref="C1345:D1345"/>
    <mergeCell ref="E1341:F1341"/>
    <mergeCell ref="E1353:F1353"/>
    <mergeCell ref="C1350:D1350"/>
    <mergeCell ref="C1346:D1346"/>
    <mergeCell ref="G1296:H1296"/>
    <mergeCell ref="G1298:H1298"/>
    <mergeCell ref="C1293:D1293"/>
    <mergeCell ref="C1299:D1299"/>
    <mergeCell ref="E1295:F1295"/>
    <mergeCell ref="G1322:H1322"/>
    <mergeCell ref="C1315:D1315"/>
    <mergeCell ref="E1315:F1315"/>
    <mergeCell ref="C1295:D1295"/>
    <mergeCell ref="C1312:D1312"/>
    <mergeCell ref="I1241:J1241"/>
    <mergeCell ref="A1245:H1245"/>
    <mergeCell ref="C1243:D1243"/>
    <mergeCell ref="G1286:H1286"/>
    <mergeCell ref="G1287:H1287"/>
    <mergeCell ref="I1285:J1285"/>
    <mergeCell ref="C1287:D1287"/>
    <mergeCell ref="C1275:D1275"/>
    <mergeCell ref="C1286:D1286"/>
    <mergeCell ref="C1268:D1268"/>
    <mergeCell ref="I1251:J1251"/>
    <mergeCell ref="I1267:J1267"/>
    <mergeCell ref="E1269:F1269"/>
    <mergeCell ref="E1254:F1254"/>
    <mergeCell ref="I1243:J1243"/>
    <mergeCell ref="I1260:J1260"/>
    <mergeCell ref="E1250:F1250"/>
    <mergeCell ref="E1251:F1251"/>
    <mergeCell ref="A1262:J1262"/>
    <mergeCell ref="E1255:F1255"/>
    <mergeCell ref="G1240:H1240"/>
    <mergeCell ref="G1238:H1238"/>
    <mergeCell ref="E1239:F1239"/>
    <mergeCell ref="C1235:D1235"/>
    <mergeCell ref="G1224:H1224"/>
    <mergeCell ref="C1239:D1239"/>
    <mergeCell ref="C1236:D1236"/>
    <mergeCell ref="E1227:F1227"/>
    <mergeCell ref="G1226:H1226"/>
    <mergeCell ref="G1227:H1227"/>
    <mergeCell ref="C1220:D1220"/>
    <mergeCell ref="C1221:D1221"/>
    <mergeCell ref="I1237:J1237"/>
    <mergeCell ref="C1175:D1175"/>
    <mergeCell ref="E1143:F1143"/>
    <mergeCell ref="C1143:D1143"/>
    <mergeCell ref="C1198:D1198"/>
    <mergeCell ref="I1218:J1218"/>
    <mergeCell ref="A1214:J1214"/>
    <mergeCell ref="I1188:J1188"/>
    <mergeCell ref="G99:H99"/>
    <mergeCell ref="G97:H97"/>
    <mergeCell ref="E98:F98"/>
    <mergeCell ref="C105:D105"/>
    <mergeCell ref="C127:D127"/>
    <mergeCell ref="E121:F121"/>
    <mergeCell ref="C117:D117"/>
    <mergeCell ref="G121:H121"/>
    <mergeCell ref="C98:D98"/>
    <mergeCell ref="E99:F99"/>
    <mergeCell ref="C119:D119"/>
    <mergeCell ref="E117:F117"/>
    <mergeCell ref="G114:H114"/>
    <mergeCell ref="C109:D109"/>
    <mergeCell ref="C107:D107"/>
    <mergeCell ref="G119:H119"/>
    <mergeCell ref="C118:D118"/>
    <mergeCell ref="E114:F114"/>
    <mergeCell ref="C115:D115"/>
    <mergeCell ref="C114:D114"/>
    <mergeCell ref="I118:J118"/>
    <mergeCell ref="I117:J117"/>
    <mergeCell ref="I119:J119"/>
    <mergeCell ref="E113:F113"/>
    <mergeCell ref="E115:F115"/>
    <mergeCell ref="I122:J122"/>
    <mergeCell ref="I115:J115"/>
    <mergeCell ref="G116:H116"/>
    <mergeCell ref="G118:H118"/>
    <mergeCell ref="G120:H120"/>
    <mergeCell ref="I120:J120"/>
    <mergeCell ref="C123:D123"/>
    <mergeCell ref="C120:D120"/>
    <mergeCell ref="E123:F123"/>
    <mergeCell ref="C130:D130"/>
    <mergeCell ref="G152:H152"/>
    <mergeCell ref="C137:D137"/>
    <mergeCell ref="E128:F128"/>
    <mergeCell ref="E122:F122"/>
    <mergeCell ref="E127:F127"/>
    <mergeCell ref="I197:J197"/>
    <mergeCell ref="I190:J190"/>
    <mergeCell ref="E142:F142"/>
    <mergeCell ref="G140:H140"/>
    <mergeCell ref="E151:F151"/>
    <mergeCell ref="E137:F137"/>
    <mergeCell ref="G137:H137"/>
    <mergeCell ref="G190:H190"/>
    <mergeCell ref="G196:H196"/>
    <mergeCell ref="I143:J143"/>
    <mergeCell ref="E198:F198"/>
    <mergeCell ref="E197:F197"/>
    <mergeCell ref="E196:F196"/>
    <mergeCell ref="G312:H312"/>
    <mergeCell ref="C190:D190"/>
    <mergeCell ref="C299:D299"/>
    <mergeCell ref="G257:H257"/>
    <mergeCell ref="E260:F260"/>
    <mergeCell ref="E311:F311"/>
    <mergeCell ref="G202:H202"/>
    <mergeCell ref="I198:J198"/>
    <mergeCell ref="I241:J241"/>
    <mergeCell ref="I238:J238"/>
    <mergeCell ref="A231:J231"/>
    <mergeCell ref="G225:H225"/>
    <mergeCell ref="E222:F222"/>
    <mergeCell ref="C203:D203"/>
    <mergeCell ref="E206:F206"/>
    <mergeCell ref="I236:J236"/>
    <mergeCell ref="E241:F241"/>
    <mergeCell ref="C1240:D1240"/>
    <mergeCell ref="E1237:F1237"/>
    <mergeCell ref="I196:J196"/>
    <mergeCell ref="C357:D357"/>
    <mergeCell ref="E345:F345"/>
    <mergeCell ref="C355:D355"/>
    <mergeCell ref="C296:D296"/>
    <mergeCell ref="E341:F341"/>
    <mergeCell ref="C201:D201"/>
    <mergeCell ref="C205:D205"/>
    <mergeCell ref="G1145:H1145"/>
    <mergeCell ref="E830:F830"/>
    <mergeCell ref="A1211:H1211"/>
    <mergeCell ref="G1050:H1050"/>
    <mergeCell ref="C1099:D1099"/>
    <mergeCell ref="C1101:D1101"/>
    <mergeCell ref="C1093:D1093"/>
    <mergeCell ref="C1097:D1097"/>
    <mergeCell ref="E1100:F1100"/>
    <mergeCell ref="E1061:F1061"/>
    <mergeCell ref="C340:D340"/>
    <mergeCell ref="E358:F358"/>
    <mergeCell ref="C1065:D1065"/>
    <mergeCell ref="E1083:F1083"/>
    <mergeCell ref="C1076:D1076"/>
    <mergeCell ref="C1084:D1084"/>
    <mergeCell ref="C999:D999"/>
    <mergeCell ref="E1018:F1018"/>
    <mergeCell ref="A1008:H1008"/>
    <mergeCell ref="G1016:H1016"/>
    <mergeCell ref="E330:F330"/>
    <mergeCell ref="C334:D334"/>
    <mergeCell ref="E334:F334"/>
    <mergeCell ref="C329:D329"/>
    <mergeCell ref="C316:D316"/>
    <mergeCell ref="C353:D353"/>
    <mergeCell ref="C345:D345"/>
    <mergeCell ref="E352:F352"/>
    <mergeCell ref="E351:F351"/>
    <mergeCell ref="E342:F342"/>
    <mergeCell ref="I189:J189"/>
    <mergeCell ref="E187:F187"/>
    <mergeCell ref="I187:J187"/>
    <mergeCell ref="C183:D183"/>
    <mergeCell ref="C184:D184"/>
    <mergeCell ref="I191:J191"/>
    <mergeCell ref="C187:D187"/>
    <mergeCell ref="G188:H188"/>
    <mergeCell ref="E186:F186"/>
    <mergeCell ref="I185:J185"/>
    <mergeCell ref="E188:F188"/>
    <mergeCell ref="G189:H189"/>
    <mergeCell ref="I166:J166"/>
    <mergeCell ref="C186:D186"/>
    <mergeCell ref="C188:D188"/>
    <mergeCell ref="E182:F182"/>
    <mergeCell ref="E172:F172"/>
    <mergeCell ref="C171:D171"/>
    <mergeCell ref="C173:D173"/>
    <mergeCell ref="C174:D174"/>
    <mergeCell ref="E175:F175"/>
    <mergeCell ref="E170:F170"/>
    <mergeCell ref="E166:F166"/>
    <mergeCell ref="E174:F174"/>
    <mergeCell ref="G175:H175"/>
    <mergeCell ref="G169:H169"/>
    <mergeCell ref="G170:H170"/>
    <mergeCell ref="C182:D182"/>
    <mergeCell ref="C169:D169"/>
    <mergeCell ref="G167:H167"/>
    <mergeCell ref="G173:H173"/>
    <mergeCell ref="E173:F173"/>
    <mergeCell ref="G160:H160"/>
    <mergeCell ref="C167:D167"/>
    <mergeCell ref="C162:D162"/>
    <mergeCell ref="E163:F163"/>
    <mergeCell ref="E162:F162"/>
    <mergeCell ref="E183:F183"/>
    <mergeCell ref="E169:F169"/>
    <mergeCell ref="C358:D358"/>
    <mergeCell ref="C161:D161"/>
    <mergeCell ref="C166:D166"/>
    <mergeCell ref="E299:F299"/>
    <mergeCell ref="C237:D237"/>
    <mergeCell ref="C342:D342"/>
    <mergeCell ref="C310:D310"/>
    <mergeCell ref="C317:D317"/>
    <mergeCell ref="C312:D312"/>
    <mergeCell ref="C366:D366"/>
    <mergeCell ref="C352:D352"/>
    <mergeCell ref="C322:D322"/>
    <mergeCell ref="C350:D350"/>
    <mergeCell ref="C344:D344"/>
    <mergeCell ref="C328:D328"/>
    <mergeCell ref="C351:D351"/>
    <mergeCell ref="C343:D343"/>
    <mergeCell ref="C341:D341"/>
    <mergeCell ref="C359:D359"/>
    <mergeCell ref="C314:D314"/>
    <mergeCell ref="C315:D315"/>
    <mergeCell ref="C367:D367"/>
    <mergeCell ref="C313:D313"/>
    <mergeCell ref="C354:D354"/>
    <mergeCell ref="C330:D330"/>
    <mergeCell ref="C327:D327"/>
    <mergeCell ref="C339:D339"/>
    <mergeCell ref="C325:D325"/>
    <mergeCell ref="I303:J303"/>
    <mergeCell ref="I313:J313"/>
    <mergeCell ref="E374:F374"/>
    <mergeCell ref="E444:F444"/>
    <mergeCell ref="E418:F418"/>
    <mergeCell ref="C303:D303"/>
    <mergeCell ref="C401:D401"/>
    <mergeCell ref="C428:D428"/>
    <mergeCell ref="C404:D404"/>
    <mergeCell ref="C311:D311"/>
    <mergeCell ref="I300:J300"/>
    <mergeCell ref="I312:J312"/>
    <mergeCell ref="C356:D356"/>
    <mergeCell ref="E386:F386"/>
    <mergeCell ref="C368:D368"/>
    <mergeCell ref="C385:D385"/>
    <mergeCell ref="E385:F385"/>
    <mergeCell ref="E315:F315"/>
    <mergeCell ref="E377:F377"/>
    <mergeCell ref="I384:J384"/>
    <mergeCell ref="I316:J316"/>
    <mergeCell ref="I245:J245"/>
    <mergeCell ref="G285:H285"/>
    <mergeCell ref="G260:H260"/>
    <mergeCell ref="I290:J290"/>
    <mergeCell ref="G297:H297"/>
    <mergeCell ref="G277:H277"/>
    <mergeCell ref="G264:H264"/>
    <mergeCell ref="G276:H276"/>
    <mergeCell ref="G311:H311"/>
    <mergeCell ref="C427:D427"/>
    <mergeCell ref="C391:D391"/>
    <mergeCell ref="C409:D409"/>
    <mergeCell ref="C403:D403"/>
    <mergeCell ref="C402:D402"/>
    <mergeCell ref="C443:D443"/>
    <mergeCell ref="C400:D400"/>
    <mergeCell ref="C415:D415"/>
    <mergeCell ref="C399:D399"/>
    <mergeCell ref="C393:D393"/>
    <mergeCell ref="C764:D764"/>
    <mergeCell ref="E491:F491"/>
    <mergeCell ref="E471:F471"/>
    <mergeCell ref="C492:D492"/>
    <mergeCell ref="E508:F508"/>
    <mergeCell ref="C499:D499"/>
    <mergeCell ref="C478:D478"/>
    <mergeCell ref="E543:F543"/>
    <mergeCell ref="C529:D529"/>
    <mergeCell ref="C528:D528"/>
    <mergeCell ref="C1227:D1227"/>
    <mergeCell ref="G885:H885"/>
    <mergeCell ref="G1218:H1218"/>
    <mergeCell ref="I1184:J1184"/>
    <mergeCell ref="G1185:H1185"/>
    <mergeCell ref="I1187:J1187"/>
    <mergeCell ref="C1111:D1111"/>
    <mergeCell ref="E1117:F1117"/>
    <mergeCell ref="E1108:F1108"/>
    <mergeCell ref="C1161:D1161"/>
    <mergeCell ref="C1203:D1203"/>
    <mergeCell ref="E1216:F1216"/>
    <mergeCell ref="A1209:J1209"/>
    <mergeCell ref="E1218:F1218"/>
    <mergeCell ref="I1186:J1186"/>
    <mergeCell ref="C1189:D1189"/>
    <mergeCell ref="I1199:J1199"/>
    <mergeCell ref="I1200:J1200"/>
    <mergeCell ref="G1187:H1187"/>
    <mergeCell ref="A1207:J1207"/>
    <mergeCell ref="C1225:D1225"/>
    <mergeCell ref="C1224:D1224"/>
    <mergeCell ref="C1226:D1226"/>
    <mergeCell ref="I1202:J1202"/>
    <mergeCell ref="C1088:D1088"/>
    <mergeCell ref="C1102:D1102"/>
    <mergeCell ref="E1102:F1102"/>
    <mergeCell ref="G1102:H1102"/>
    <mergeCell ref="G1088:H1088"/>
    <mergeCell ref="C1217:D1217"/>
    <mergeCell ref="C1090:D1090"/>
    <mergeCell ref="C1106:D1106"/>
    <mergeCell ref="C1141:D1141"/>
    <mergeCell ref="C1092:D1092"/>
    <mergeCell ref="C1083:D1083"/>
    <mergeCell ref="C1089:D1089"/>
    <mergeCell ref="C1136:D1136"/>
    <mergeCell ref="C1134:D1134"/>
    <mergeCell ref="C1094:D1094"/>
    <mergeCell ref="C1103:D1103"/>
    <mergeCell ref="E1080:F1080"/>
    <mergeCell ref="C1072:D1072"/>
    <mergeCell ref="C1073:D1073"/>
    <mergeCell ref="E948:F948"/>
    <mergeCell ref="C996:D996"/>
    <mergeCell ref="C949:D949"/>
    <mergeCell ref="C1074:D1074"/>
    <mergeCell ref="E1075:F1075"/>
    <mergeCell ref="A1004:H1004"/>
    <mergeCell ref="A1011:H1011"/>
    <mergeCell ref="G785:H785"/>
    <mergeCell ref="I765:J765"/>
    <mergeCell ref="E802:F802"/>
    <mergeCell ref="E767:F767"/>
    <mergeCell ref="C1064:D1064"/>
    <mergeCell ref="G1065:H1065"/>
    <mergeCell ref="E803:F803"/>
    <mergeCell ref="E791:F791"/>
    <mergeCell ref="G999:H999"/>
    <mergeCell ref="E1017:F1017"/>
    <mergeCell ref="I758:J758"/>
    <mergeCell ref="I786:J786"/>
    <mergeCell ref="I788:J788"/>
    <mergeCell ref="G765:H765"/>
    <mergeCell ref="E823:F823"/>
    <mergeCell ref="G799:H799"/>
    <mergeCell ref="G788:H788"/>
    <mergeCell ref="E801:F801"/>
    <mergeCell ref="I785:J785"/>
    <mergeCell ref="A768:J768"/>
    <mergeCell ref="E790:F790"/>
    <mergeCell ref="C800:D800"/>
    <mergeCell ref="E787:F787"/>
    <mergeCell ref="G786:H786"/>
    <mergeCell ref="E759:F759"/>
    <mergeCell ref="E914:F914"/>
    <mergeCell ref="C765:D765"/>
    <mergeCell ref="C788:D788"/>
    <mergeCell ref="G890:H890"/>
    <mergeCell ref="C804:D804"/>
    <mergeCell ref="G775:H775"/>
    <mergeCell ref="E776:F776"/>
    <mergeCell ref="C775:D775"/>
    <mergeCell ref="E775:F775"/>
    <mergeCell ref="G778:H778"/>
    <mergeCell ref="E798:F798"/>
    <mergeCell ref="E788:F788"/>
    <mergeCell ref="C786:D786"/>
    <mergeCell ref="G793:H793"/>
    <mergeCell ref="E785:F785"/>
    <mergeCell ref="G802:H802"/>
    <mergeCell ref="C798:D798"/>
    <mergeCell ref="C791:D791"/>
    <mergeCell ref="C787:D787"/>
    <mergeCell ref="C790:D790"/>
    <mergeCell ref="C785:D785"/>
    <mergeCell ref="G800:H800"/>
    <mergeCell ref="G787:H787"/>
    <mergeCell ref="G798:H798"/>
    <mergeCell ref="G801:H801"/>
    <mergeCell ref="C1042:D1042"/>
    <mergeCell ref="C1039:D1039"/>
    <mergeCell ref="C998:D998"/>
    <mergeCell ref="C883:D883"/>
    <mergeCell ref="C891:D891"/>
    <mergeCell ref="A838:J838"/>
    <mergeCell ref="A933:J933"/>
    <mergeCell ref="G997:H997"/>
    <mergeCell ref="G948:H948"/>
    <mergeCell ref="G1038:H1038"/>
    <mergeCell ref="E1110:F1110"/>
    <mergeCell ref="G1106:H1106"/>
    <mergeCell ref="A1126:H1126"/>
    <mergeCell ref="E1106:F1106"/>
    <mergeCell ref="C896:D896"/>
    <mergeCell ref="C1114:D1114"/>
    <mergeCell ref="C1108:D1108"/>
    <mergeCell ref="C1061:D1061"/>
    <mergeCell ref="C1063:D1063"/>
    <mergeCell ref="C973:D973"/>
    <mergeCell ref="G1114:H1114"/>
    <mergeCell ref="E1116:F1116"/>
    <mergeCell ref="C1187:D1187"/>
    <mergeCell ref="C1218:D1218"/>
    <mergeCell ref="E997:F997"/>
    <mergeCell ref="C1053:D1053"/>
    <mergeCell ref="E1064:F1064"/>
    <mergeCell ref="E1085:F1085"/>
    <mergeCell ref="C1140:D1140"/>
    <mergeCell ref="E1134:F1134"/>
    <mergeCell ref="E995:F995"/>
    <mergeCell ref="E996:F996"/>
    <mergeCell ref="C997:D997"/>
    <mergeCell ref="E971:F971"/>
    <mergeCell ref="C980:D980"/>
    <mergeCell ref="C978:D978"/>
    <mergeCell ref="C981:D981"/>
    <mergeCell ref="C975:D975"/>
    <mergeCell ref="C971:D971"/>
    <mergeCell ref="E982:F982"/>
    <mergeCell ref="G914:H914"/>
    <mergeCell ref="G913:H913"/>
    <mergeCell ref="C972:D972"/>
    <mergeCell ref="G994:H994"/>
    <mergeCell ref="I980:J980"/>
    <mergeCell ref="C987:D987"/>
    <mergeCell ref="E969:F969"/>
    <mergeCell ref="C988:D988"/>
    <mergeCell ref="E981:F981"/>
    <mergeCell ref="I979:J979"/>
    <mergeCell ref="I827:J827"/>
    <mergeCell ref="E871:F871"/>
    <mergeCell ref="C874:D874"/>
    <mergeCell ref="I912:J912"/>
    <mergeCell ref="I918:J918"/>
    <mergeCell ref="G902:H902"/>
    <mergeCell ref="I904:J904"/>
    <mergeCell ref="I894:J894"/>
    <mergeCell ref="I910:J910"/>
    <mergeCell ref="I911:J911"/>
    <mergeCell ref="C806:D806"/>
    <mergeCell ref="C802:D802"/>
    <mergeCell ref="C805:D805"/>
    <mergeCell ref="E826:F826"/>
    <mergeCell ref="C820:D820"/>
    <mergeCell ref="C822:D822"/>
    <mergeCell ref="C819:D819"/>
    <mergeCell ref="C821:D821"/>
    <mergeCell ref="C825:D825"/>
    <mergeCell ref="C807:D807"/>
    <mergeCell ref="C389:D389"/>
    <mergeCell ref="C766:D766"/>
    <mergeCell ref="G803:H803"/>
    <mergeCell ref="E822:F822"/>
    <mergeCell ref="C749:D749"/>
    <mergeCell ref="C669:D669"/>
    <mergeCell ref="G714:H714"/>
    <mergeCell ref="G750:H750"/>
    <mergeCell ref="C756:D756"/>
    <mergeCell ref="A680:H680"/>
    <mergeCell ref="C375:D375"/>
    <mergeCell ref="E380:F380"/>
    <mergeCell ref="E373:F373"/>
    <mergeCell ref="C384:D384"/>
    <mergeCell ref="E375:F375"/>
    <mergeCell ref="C380:D380"/>
    <mergeCell ref="E379:F379"/>
    <mergeCell ref="C379:D379"/>
    <mergeCell ref="C381:D381"/>
    <mergeCell ref="C376:D376"/>
    <mergeCell ref="C431:D431"/>
    <mergeCell ref="C416:D416"/>
    <mergeCell ref="C429:D429"/>
    <mergeCell ref="E404:F404"/>
    <mergeCell ref="E417:F417"/>
    <mergeCell ref="E756:F756"/>
    <mergeCell ref="A736:H736"/>
    <mergeCell ref="G751:H751"/>
    <mergeCell ref="G620:H620"/>
    <mergeCell ref="C411:D411"/>
    <mergeCell ref="E363:F363"/>
    <mergeCell ref="E381:F381"/>
    <mergeCell ref="G393:H393"/>
    <mergeCell ref="G368:H368"/>
    <mergeCell ref="E389:F389"/>
    <mergeCell ref="E367:F367"/>
    <mergeCell ref="E378:F378"/>
    <mergeCell ref="E366:F366"/>
    <mergeCell ref="E376:F376"/>
    <mergeCell ref="G364:H364"/>
    <mergeCell ref="E296:F296"/>
    <mergeCell ref="E286:F286"/>
    <mergeCell ref="E275:F275"/>
    <mergeCell ref="G229:H229"/>
    <mergeCell ref="G223:H223"/>
    <mergeCell ref="G245:H245"/>
    <mergeCell ref="G236:H236"/>
    <mergeCell ref="G238:H238"/>
    <mergeCell ref="E225:F225"/>
    <mergeCell ref="E254:F254"/>
    <mergeCell ref="E238:F238"/>
    <mergeCell ref="E229:F229"/>
    <mergeCell ref="G241:H241"/>
    <mergeCell ref="E129:F129"/>
    <mergeCell ref="C153:D153"/>
    <mergeCell ref="E160:F160"/>
    <mergeCell ref="E144:F144"/>
    <mergeCell ref="C155:D155"/>
    <mergeCell ref="A149:F149"/>
    <mergeCell ref="E141:F141"/>
    <mergeCell ref="E228:F228"/>
    <mergeCell ref="C198:D198"/>
    <mergeCell ref="E214:F214"/>
    <mergeCell ref="E217:F217"/>
    <mergeCell ref="E213:F213"/>
    <mergeCell ref="E216:F216"/>
    <mergeCell ref="C199:D199"/>
    <mergeCell ref="E219:F219"/>
    <mergeCell ref="C206:D206"/>
    <mergeCell ref="E199:F199"/>
    <mergeCell ref="C204:D204"/>
    <mergeCell ref="G217:H217"/>
    <mergeCell ref="C207:D207"/>
    <mergeCell ref="E207:F207"/>
    <mergeCell ref="G216:H216"/>
    <mergeCell ref="G215:H215"/>
    <mergeCell ref="E205:F205"/>
    <mergeCell ref="E204:F204"/>
    <mergeCell ref="G207:H207"/>
    <mergeCell ref="E224:F224"/>
    <mergeCell ref="I154:J154"/>
    <mergeCell ref="I217:J217"/>
    <mergeCell ref="C218:D218"/>
    <mergeCell ref="C214:D214"/>
    <mergeCell ref="C217:D217"/>
    <mergeCell ref="I175:J175"/>
    <mergeCell ref="G166:H166"/>
    <mergeCell ref="E167:F167"/>
    <mergeCell ref="C219:D219"/>
    <mergeCell ref="I223:J223"/>
    <mergeCell ref="I220:J220"/>
    <mergeCell ref="I221:J221"/>
    <mergeCell ref="I219:J219"/>
    <mergeCell ref="G219:H219"/>
    <mergeCell ref="I183:J183"/>
    <mergeCell ref="G198:H198"/>
    <mergeCell ref="G197:H197"/>
    <mergeCell ref="G220:H220"/>
    <mergeCell ref="G221:H221"/>
    <mergeCell ref="G143:H143"/>
    <mergeCell ref="C145:D145"/>
    <mergeCell ref="C136:D136"/>
    <mergeCell ref="C143:D143"/>
    <mergeCell ref="E65:F65"/>
    <mergeCell ref="E62:F62"/>
    <mergeCell ref="C122:D122"/>
    <mergeCell ref="G106:H106"/>
    <mergeCell ref="C108:D108"/>
    <mergeCell ref="E120:F120"/>
    <mergeCell ref="E80:F80"/>
    <mergeCell ref="C80:D80"/>
    <mergeCell ref="G62:H62"/>
    <mergeCell ref="G47:H47"/>
    <mergeCell ref="G56:H56"/>
    <mergeCell ref="E48:F48"/>
    <mergeCell ref="C61:D61"/>
    <mergeCell ref="G76:H76"/>
    <mergeCell ref="G79:H79"/>
    <mergeCell ref="C79:D79"/>
    <mergeCell ref="C75:D75"/>
    <mergeCell ref="C76:D76"/>
    <mergeCell ref="I41:J41"/>
    <mergeCell ref="C42:D42"/>
    <mergeCell ref="C44:D44"/>
    <mergeCell ref="E46:F46"/>
    <mergeCell ref="E45:F45"/>
    <mergeCell ref="I55:J55"/>
    <mergeCell ref="C64:D64"/>
    <mergeCell ref="E63:F63"/>
    <mergeCell ref="E47:F47"/>
    <mergeCell ref="G48:H48"/>
    <mergeCell ref="C54:D54"/>
    <mergeCell ref="E55:F55"/>
    <mergeCell ref="E64:F64"/>
    <mergeCell ref="I64:J64"/>
    <mergeCell ref="E60:F60"/>
    <mergeCell ref="C62:D62"/>
    <mergeCell ref="E59:F59"/>
    <mergeCell ref="G58:H58"/>
    <mergeCell ref="E77:F77"/>
    <mergeCell ref="A66:H66"/>
    <mergeCell ref="C73:D73"/>
    <mergeCell ref="C45:D45"/>
    <mergeCell ref="I56:J56"/>
    <mergeCell ref="I54:J54"/>
    <mergeCell ref="C47:D47"/>
    <mergeCell ref="C63:D63"/>
    <mergeCell ref="I45:J45"/>
    <mergeCell ref="I73:J73"/>
    <mergeCell ref="I44:J44"/>
    <mergeCell ref="G43:H43"/>
    <mergeCell ref="I57:J57"/>
    <mergeCell ref="A78:J78"/>
    <mergeCell ref="G75:H75"/>
    <mergeCell ref="I61:J61"/>
    <mergeCell ref="G65:H65"/>
    <mergeCell ref="G71:H71"/>
    <mergeCell ref="C60:D60"/>
    <mergeCell ref="C74:D74"/>
    <mergeCell ref="I29:J29"/>
    <mergeCell ref="G31:H31"/>
    <mergeCell ref="I36:J36"/>
    <mergeCell ref="I43:J43"/>
    <mergeCell ref="G37:H37"/>
    <mergeCell ref="G38:H38"/>
    <mergeCell ref="I33:J33"/>
    <mergeCell ref="I31:J31"/>
    <mergeCell ref="G35:H35"/>
    <mergeCell ref="I42:J42"/>
    <mergeCell ref="I37:J37"/>
    <mergeCell ref="C34:D34"/>
    <mergeCell ref="C55:D55"/>
    <mergeCell ref="C59:D59"/>
    <mergeCell ref="C58:D58"/>
    <mergeCell ref="C48:D48"/>
    <mergeCell ref="C36:D36"/>
    <mergeCell ref="C56:D56"/>
    <mergeCell ref="G57:H57"/>
    <mergeCell ref="G44:H44"/>
    <mergeCell ref="C41:D41"/>
    <mergeCell ref="C46:D46"/>
    <mergeCell ref="C37:D37"/>
    <mergeCell ref="C38:D38"/>
    <mergeCell ref="C40:D40"/>
    <mergeCell ref="E41:F41"/>
    <mergeCell ref="C43:D43"/>
    <mergeCell ref="E38:F38"/>
    <mergeCell ref="E43:F43"/>
    <mergeCell ref="E44:F44"/>
    <mergeCell ref="I71:J71"/>
    <mergeCell ref="I74:J74"/>
    <mergeCell ref="G73:H73"/>
    <mergeCell ref="E74:F74"/>
    <mergeCell ref="G74:H74"/>
    <mergeCell ref="C72:D72"/>
    <mergeCell ref="G72:H72"/>
    <mergeCell ref="E155:F155"/>
    <mergeCell ref="C160:D160"/>
    <mergeCell ref="E130:F130"/>
    <mergeCell ref="E136:F136"/>
    <mergeCell ref="C129:D129"/>
    <mergeCell ref="C152:D152"/>
    <mergeCell ref="C151:D151"/>
    <mergeCell ref="A146:H146"/>
    <mergeCell ref="G130:H130"/>
    <mergeCell ref="E153:F153"/>
    <mergeCell ref="C165:D165"/>
    <mergeCell ref="E218:F218"/>
    <mergeCell ref="C200:D200"/>
    <mergeCell ref="C216:D216"/>
    <mergeCell ref="C220:D220"/>
    <mergeCell ref="C221:D221"/>
    <mergeCell ref="E189:F189"/>
    <mergeCell ref="C215:D215"/>
    <mergeCell ref="E215:F215"/>
    <mergeCell ref="E165:F165"/>
    <mergeCell ref="C222:D222"/>
    <mergeCell ref="A208:J208"/>
    <mergeCell ref="I226:J226"/>
    <mergeCell ref="E227:F227"/>
    <mergeCell ref="I216:J216"/>
    <mergeCell ref="G227:H227"/>
    <mergeCell ref="I227:J227"/>
    <mergeCell ref="E226:F226"/>
    <mergeCell ref="E220:F220"/>
    <mergeCell ref="C226:D226"/>
    <mergeCell ref="C445:D445"/>
    <mergeCell ref="E246:F246"/>
    <mergeCell ref="E256:F256"/>
    <mergeCell ref="C243:D243"/>
    <mergeCell ref="C245:D245"/>
    <mergeCell ref="C364:D364"/>
    <mergeCell ref="C432:D432"/>
    <mergeCell ref="C258:D258"/>
    <mergeCell ref="E313:F313"/>
    <mergeCell ref="E312:F312"/>
    <mergeCell ref="C228:D228"/>
    <mergeCell ref="C223:D223"/>
    <mergeCell ref="C254:D254"/>
    <mergeCell ref="C261:D261"/>
    <mergeCell ref="C227:D227"/>
    <mergeCell ref="C236:D236"/>
    <mergeCell ref="C224:D224"/>
    <mergeCell ref="C225:D225"/>
    <mergeCell ref="C239:D239"/>
    <mergeCell ref="C454:D454"/>
    <mergeCell ref="C442:D442"/>
    <mergeCell ref="C452:D452"/>
    <mergeCell ref="C276:D276"/>
    <mergeCell ref="C257:D257"/>
    <mergeCell ref="C244:D244"/>
    <mergeCell ref="C277:D277"/>
    <mergeCell ref="C263:D263"/>
    <mergeCell ref="C266:D266"/>
    <mergeCell ref="C447:D447"/>
    <mergeCell ref="C444:D444"/>
    <mergeCell ref="C229:D229"/>
    <mergeCell ref="E258:F258"/>
    <mergeCell ref="C242:D242"/>
    <mergeCell ref="E257:F257"/>
    <mergeCell ref="C256:D256"/>
    <mergeCell ref="C363:D363"/>
    <mergeCell ref="C365:D365"/>
    <mergeCell ref="C418:D418"/>
    <mergeCell ref="C241:D241"/>
    <mergeCell ref="G299:H299"/>
    <mergeCell ref="E245:F245"/>
    <mergeCell ref="C246:D246"/>
    <mergeCell ref="C260:D260"/>
    <mergeCell ref="C462:D462"/>
    <mergeCell ref="C255:D255"/>
    <mergeCell ref="C369:D369"/>
    <mergeCell ref="C386:D386"/>
    <mergeCell ref="E365:F365"/>
    <mergeCell ref="C417:D417"/>
    <mergeCell ref="E243:F243"/>
    <mergeCell ref="E242:F242"/>
    <mergeCell ref="C410:D410"/>
    <mergeCell ref="C287:D287"/>
    <mergeCell ref="C286:D286"/>
    <mergeCell ref="C288:D288"/>
    <mergeCell ref="C301:D301"/>
    <mergeCell ref="C290:D290"/>
    <mergeCell ref="C289:D289"/>
    <mergeCell ref="C274:D274"/>
    <mergeCell ref="C519:D519"/>
    <mergeCell ref="E533:F533"/>
    <mergeCell ref="E460:F460"/>
    <mergeCell ref="E452:F452"/>
    <mergeCell ref="C460:D460"/>
    <mergeCell ref="C470:D470"/>
    <mergeCell ref="C487:D487"/>
    <mergeCell ref="C490:D490"/>
    <mergeCell ref="C461:D461"/>
    <mergeCell ref="C501:D501"/>
    <mergeCell ref="C549:D549"/>
    <mergeCell ref="C507:D507"/>
    <mergeCell ref="C544:D544"/>
    <mergeCell ref="C543:D543"/>
    <mergeCell ref="C527:D527"/>
    <mergeCell ref="C240:D240"/>
    <mergeCell ref="C500:D500"/>
    <mergeCell ref="C504:D504"/>
    <mergeCell ref="C521:D521"/>
    <mergeCell ref="C541:D541"/>
    <mergeCell ref="C539:D539"/>
    <mergeCell ref="E585:F585"/>
    <mergeCell ref="E544:F544"/>
    <mergeCell ref="E627:F627"/>
    <mergeCell ref="E626:F626"/>
    <mergeCell ref="C506:D506"/>
    <mergeCell ref="A523:H523"/>
    <mergeCell ref="E571:F571"/>
    <mergeCell ref="C564:D564"/>
    <mergeCell ref="E568:F568"/>
    <mergeCell ref="E649:F649"/>
    <mergeCell ref="G622:H622"/>
    <mergeCell ref="G621:H621"/>
    <mergeCell ref="E629:F629"/>
    <mergeCell ref="C631:D631"/>
    <mergeCell ref="G628:H628"/>
    <mergeCell ref="C641:D641"/>
    <mergeCell ref="C628:D628"/>
    <mergeCell ref="C642:D642"/>
    <mergeCell ref="C625:D625"/>
    <mergeCell ref="E647:F647"/>
    <mergeCell ref="C646:D646"/>
    <mergeCell ref="E648:F648"/>
    <mergeCell ref="C621:D621"/>
    <mergeCell ref="C630:D630"/>
    <mergeCell ref="E621:F621"/>
    <mergeCell ref="C622:D622"/>
    <mergeCell ref="E631:F631"/>
    <mergeCell ref="C627:D627"/>
    <mergeCell ref="C639:D639"/>
    <mergeCell ref="G637:H637"/>
    <mergeCell ref="I666:J666"/>
    <mergeCell ref="G823:H823"/>
    <mergeCell ref="G766:H766"/>
    <mergeCell ref="G767:H767"/>
    <mergeCell ref="G647:H647"/>
    <mergeCell ref="G638:H638"/>
    <mergeCell ref="G639:H639"/>
    <mergeCell ref="G776:H776"/>
    <mergeCell ref="I757:J757"/>
    <mergeCell ref="G828:H828"/>
    <mergeCell ref="A847:H847"/>
    <mergeCell ref="A845:H845"/>
    <mergeCell ref="E828:F828"/>
    <mergeCell ref="E890:F890"/>
    <mergeCell ref="G831:H831"/>
    <mergeCell ref="G874:H874"/>
    <mergeCell ref="C872:D872"/>
    <mergeCell ref="G871:H871"/>
    <mergeCell ref="G883:H883"/>
    <mergeCell ref="G892:H892"/>
    <mergeCell ref="E886:F886"/>
    <mergeCell ref="E874:F874"/>
    <mergeCell ref="C890:D890"/>
    <mergeCell ref="E870:F870"/>
    <mergeCell ref="C876:D876"/>
    <mergeCell ref="C875:D875"/>
    <mergeCell ref="G875:H875"/>
    <mergeCell ref="G870:H870"/>
    <mergeCell ref="G891:H891"/>
    <mergeCell ref="E240:F240"/>
    <mergeCell ref="E400:F400"/>
    <mergeCell ref="C408:D408"/>
    <mergeCell ref="E419:F419"/>
    <mergeCell ref="E416:F416"/>
    <mergeCell ref="E409:F409"/>
    <mergeCell ref="E410:F410"/>
    <mergeCell ref="E403:F403"/>
    <mergeCell ref="E402:F402"/>
    <mergeCell ref="E399:F399"/>
    <mergeCell ref="E636:F636"/>
    <mergeCell ref="A849:H849"/>
    <mergeCell ref="C827:D827"/>
    <mergeCell ref="G827:H827"/>
    <mergeCell ref="E829:F829"/>
    <mergeCell ref="C829:D829"/>
    <mergeCell ref="G833:H833"/>
    <mergeCell ref="G636:H636"/>
    <mergeCell ref="C667:D667"/>
    <mergeCell ref="C653:D653"/>
    <mergeCell ref="C945:D945"/>
    <mergeCell ref="C946:D946"/>
    <mergeCell ref="E946:F946"/>
    <mergeCell ref="C938:D938"/>
    <mergeCell ref="A678:H678"/>
    <mergeCell ref="E777:F777"/>
    <mergeCell ref="A690:H690"/>
    <mergeCell ref="C918:D918"/>
    <mergeCell ref="C882:D882"/>
    <mergeCell ref="G876:H876"/>
    <mergeCell ref="C940:D940"/>
    <mergeCell ref="C931:D931"/>
    <mergeCell ref="E931:F931"/>
    <mergeCell ref="G940:H940"/>
    <mergeCell ref="C932:D932"/>
    <mergeCell ref="C936:D936"/>
    <mergeCell ref="C937:D937"/>
    <mergeCell ref="E937:F937"/>
    <mergeCell ref="G938:H938"/>
    <mergeCell ref="G936:H936"/>
    <mergeCell ref="C947:D947"/>
    <mergeCell ref="C950:D950"/>
    <mergeCell ref="C948:D948"/>
    <mergeCell ref="C956:D956"/>
    <mergeCell ref="C983:D983"/>
    <mergeCell ref="G987:H987"/>
    <mergeCell ref="G982:H982"/>
    <mergeCell ref="C963:D963"/>
    <mergeCell ref="C969:D969"/>
    <mergeCell ref="C959:D959"/>
    <mergeCell ref="C967:D967"/>
    <mergeCell ref="C962:D962"/>
    <mergeCell ref="C960:D960"/>
    <mergeCell ref="C970:D970"/>
    <mergeCell ref="C957:D957"/>
    <mergeCell ref="C961:D961"/>
    <mergeCell ref="C968:D968"/>
    <mergeCell ref="C928:D928"/>
    <mergeCell ref="E928:F928"/>
    <mergeCell ref="C921:D921"/>
    <mergeCell ref="C911:D911"/>
    <mergeCell ref="C893:D893"/>
    <mergeCell ref="E930:F930"/>
    <mergeCell ref="C922:D922"/>
    <mergeCell ref="C923:D923"/>
    <mergeCell ref="C902:D902"/>
    <mergeCell ref="C894:D894"/>
    <mergeCell ref="C648:D648"/>
    <mergeCell ref="C869:D869"/>
    <mergeCell ref="G643:H643"/>
    <mergeCell ref="C761:D761"/>
    <mergeCell ref="C777:D777"/>
    <mergeCell ref="C793:D793"/>
    <mergeCell ref="G830:H830"/>
    <mergeCell ref="C670:D670"/>
    <mergeCell ref="G666:H666"/>
    <mergeCell ref="G829:H829"/>
    <mergeCell ref="C565:D565"/>
    <mergeCell ref="C552:D552"/>
    <mergeCell ref="C557:D557"/>
    <mergeCell ref="C553:D553"/>
    <mergeCell ref="C568:D568"/>
    <mergeCell ref="G629:H629"/>
    <mergeCell ref="E556:F556"/>
    <mergeCell ref="G553:H553"/>
    <mergeCell ref="G556:H556"/>
    <mergeCell ref="G577:H577"/>
    <mergeCell ref="E520:F520"/>
    <mergeCell ref="C518:D518"/>
    <mergeCell ref="C517:D517"/>
    <mergeCell ref="E519:F519"/>
    <mergeCell ref="E517:F517"/>
    <mergeCell ref="C903:D903"/>
    <mergeCell ref="C566:D566"/>
    <mergeCell ref="C567:D567"/>
    <mergeCell ref="C569:D569"/>
    <mergeCell ref="C532:D532"/>
    <mergeCell ref="E505:F505"/>
    <mergeCell ref="C505:D505"/>
    <mergeCell ref="E521:F521"/>
    <mergeCell ref="E518:F518"/>
    <mergeCell ref="C533:D533"/>
    <mergeCell ref="G506:H506"/>
    <mergeCell ref="A525:H525"/>
    <mergeCell ref="E506:F506"/>
    <mergeCell ref="E527:F527"/>
    <mergeCell ref="E522:F522"/>
    <mergeCell ref="C503:D503"/>
    <mergeCell ref="C530:D530"/>
    <mergeCell ref="E528:F528"/>
    <mergeCell ref="G532:H532"/>
    <mergeCell ref="A513:H513"/>
    <mergeCell ref="C481:D481"/>
    <mergeCell ref="C491:D491"/>
    <mergeCell ref="E516:F516"/>
    <mergeCell ref="E515:F515"/>
    <mergeCell ref="E514:F514"/>
    <mergeCell ref="C473:D473"/>
    <mergeCell ref="C493:D493"/>
    <mergeCell ref="C479:D479"/>
    <mergeCell ref="C534:D534"/>
    <mergeCell ref="E534:F534"/>
    <mergeCell ref="A509:H509"/>
    <mergeCell ref="E504:F504"/>
    <mergeCell ref="G504:H504"/>
    <mergeCell ref="G534:H534"/>
    <mergeCell ref="G505:H505"/>
    <mergeCell ref="C419:D419"/>
    <mergeCell ref="C420:D420"/>
    <mergeCell ref="C448:D448"/>
    <mergeCell ref="C436:D436"/>
    <mergeCell ref="C494:D494"/>
    <mergeCell ref="C453:D453"/>
    <mergeCell ref="C471:D471"/>
    <mergeCell ref="C486:D486"/>
    <mergeCell ref="C474:D474"/>
    <mergeCell ref="C455:D455"/>
    <mergeCell ref="C578:D578"/>
    <mergeCell ref="E576:F576"/>
    <mergeCell ref="C576:D576"/>
    <mergeCell ref="C575:D575"/>
    <mergeCell ref="C495:D495"/>
    <mergeCell ref="C497:D497"/>
    <mergeCell ref="C556:D556"/>
    <mergeCell ref="C558:D558"/>
    <mergeCell ref="C560:D560"/>
    <mergeCell ref="E564:F564"/>
    <mergeCell ref="G584:H584"/>
    <mergeCell ref="C581:D581"/>
    <mergeCell ref="C584:D584"/>
    <mergeCell ref="G581:H581"/>
    <mergeCell ref="E472:F472"/>
    <mergeCell ref="E474:F474"/>
    <mergeCell ref="E495:F495"/>
    <mergeCell ref="C480:D480"/>
    <mergeCell ref="C496:D496"/>
    <mergeCell ref="C498:D498"/>
    <mergeCell ref="C561:D561"/>
    <mergeCell ref="E559:F559"/>
    <mergeCell ref="C583:D583"/>
    <mergeCell ref="C582:D582"/>
    <mergeCell ref="E561:F561"/>
    <mergeCell ref="G559:H559"/>
    <mergeCell ref="E577:F577"/>
    <mergeCell ref="C570:D570"/>
    <mergeCell ref="E575:F575"/>
    <mergeCell ref="C574:D574"/>
    <mergeCell ref="C559:D559"/>
    <mergeCell ref="G575:H575"/>
    <mergeCell ref="G569:H569"/>
    <mergeCell ref="E570:F570"/>
    <mergeCell ref="E590:F590"/>
    <mergeCell ref="C588:D588"/>
    <mergeCell ref="E588:F588"/>
    <mergeCell ref="C589:D589"/>
    <mergeCell ref="E574:F574"/>
    <mergeCell ref="C577:D577"/>
    <mergeCell ref="C585:D585"/>
    <mergeCell ref="C617:D617"/>
    <mergeCell ref="I612:J612"/>
    <mergeCell ref="I590:J590"/>
    <mergeCell ref="C594:D594"/>
    <mergeCell ref="C590:D590"/>
    <mergeCell ref="C592:D592"/>
    <mergeCell ref="G591:H591"/>
    <mergeCell ref="C591:D591"/>
    <mergeCell ref="C600:D600"/>
    <mergeCell ref="I585:J585"/>
    <mergeCell ref="I589:J589"/>
    <mergeCell ref="I581:J581"/>
    <mergeCell ref="I557:J557"/>
    <mergeCell ref="I536:J536"/>
    <mergeCell ref="I533:J533"/>
    <mergeCell ref="I534:J534"/>
    <mergeCell ref="I556:J556"/>
    <mergeCell ref="I539:J539"/>
    <mergeCell ref="I559:J559"/>
    <mergeCell ref="C616:D616"/>
    <mergeCell ref="E560:F560"/>
    <mergeCell ref="G564:H564"/>
    <mergeCell ref="E583:F583"/>
    <mergeCell ref="E582:F582"/>
    <mergeCell ref="C668:D668"/>
    <mergeCell ref="G574:H574"/>
    <mergeCell ref="C635:D635"/>
    <mergeCell ref="C632:D632"/>
    <mergeCell ref="C629:D629"/>
    <mergeCell ref="I640:J640"/>
    <mergeCell ref="I638:J638"/>
    <mergeCell ref="I639:J639"/>
    <mergeCell ref="E592:F592"/>
    <mergeCell ref="C626:D626"/>
    <mergeCell ref="C637:D637"/>
    <mergeCell ref="C636:D636"/>
    <mergeCell ref="C638:D638"/>
    <mergeCell ref="C640:D640"/>
    <mergeCell ref="C620:D620"/>
    <mergeCell ref="G641:H641"/>
    <mergeCell ref="C643:D643"/>
    <mergeCell ref="C651:D651"/>
    <mergeCell ref="E651:F651"/>
    <mergeCell ref="E654:F654"/>
    <mergeCell ref="C666:D666"/>
    <mergeCell ref="C659:D659"/>
    <mergeCell ref="C656:D656"/>
    <mergeCell ref="C649:D649"/>
    <mergeCell ref="E661:F661"/>
    <mergeCell ref="I646:J646"/>
    <mergeCell ref="C750:D750"/>
    <mergeCell ref="C759:D759"/>
    <mergeCell ref="A674:H674"/>
    <mergeCell ref="E646:F646"/>
    <mergeCell ref="C647:D647"/>
    <mergeCell ref="C650:D650"/>
    <mergeCell ref="A704:A705"/>
    <mergeCell ref="E668:F668"/>
    <mergeCell ref="C654:D654"/>
    <mergeCell ref="A691:A692"/>
    <mergeCell ref="A703:J703"/>
    <mergeCell ref="I715:J715"/>
    <mergeCell ref="A682:A683"/>
    <mergeCell ref="C682:D682"/>
    <mergeCell ref="E663:F663"/>
    <mergeCell ref="G670:H670"/>
    <mergeCell ref="G671:H671"/>
    <mergeCell ref="E691:F691"/>
    <mergeCell ref="C671:D671"/>
    <mergeCell ref="I636:J636"/>
    <mergeCell ref="I778:J778"/>
    <mergeCell ref="I704:J704"/>
    <mergeCell ref="E853:F853"/>
    <mergeCell ref="I857:J857"/>
    <mergeCell ref="E682:F682"/>
    <mergeCell ref="G682:H682"/>
    <mergeCell ref="I691:J691"/>
    <mergeCell ref="I828:J828"/>
    <mergeCell ref="E778:F778"/>
    <mergeCell ref="C929:D929"/>
    <mergeCell ref="E929:F929"/>
    <mergeCell ref="E715:F715"/>
    <mergeCell ref="E858:F858"/>
    <mergeCell ref="C778:D778"/>
    <mergeCell ref="E903:F903"/>
    <mergeCell ref="A846:H846"/>
    <mergeCell ref="G804:H804"/>
    <mergeCell ref="C803:D803"/>
    <mergeCell ref="E792:F792"/>
    <mergeCell ref="I298:J298"/>
    <mergeCell ref="G826:H826"/>
    <mergeCell ref="C776:D776"/>
    <mergeCell ref="C291:D291"/>
    <mergeCell ref="I580:J580"/>
    <mergeCell ref="I542:J542"/>
    <mergeCell ref="I509:J509"/>
    <mergeCell ref="C758:D758"/>
    <mergeCell ref="A752:J752"/>
    <mergeCell ref="I487:J487"/>
    <mergeCell ref="G462:H462"/>
    <mergeCell ref="G492:H492"/>
    <mergeCell ref="G503:H503"/>
    <mergeCell ref="G502:H502"/>
    <mergeCell ref="I467:J467"/>
    <mergeCell ref="G474:H474"/>
    <mergeCell ref="G498:H498"/>
    <mergeCell ref="G500:H500"/>
    <mergeCell ref="G471:H471"/>
    <mergeCell ref="I503:J503"/>
    <mergeCell ref="M357:N357"/>
    <mergeCell ref="M442:N442"/>
    <mergeCell ref="M364:N364"/>
    <mergeCell ref="M266:N266"/>
    <mergeCell ref="I265:J265"/>
    <mergeCell ref="K289:L289"/>
    <mergeCell ref="I301:J301"/>
    <mergeCell ref="I288:J288"/>
    <mergeCell ref="I299:J299"/>
    <mergeCell ref="I286:J286"/>
    <mergeCell ref="M260:N260"/>
    <mergeCell ref="M262:N262"/>
    <mergeCell ref="I277:J277"/>
    <mergeCell ref="K288:L288"/>
    <mergeCell ref="I364:J364"/>
    <mergeCell ref="G291:H291"/>
    <mergeCell ref="I276:J276"/>
    <mergeCell ref="I287:J287"/>
    <mergeCell ref="G290:H290"/>
    <mergeCell ref="G274:H274"/>
    <mergeCell ref="C275:D275"/>
    <mergeCell ref="C278:D278"/>
    <mergeCell ref="G278:H278"/>
    <mergeCell ref="G275:H275"/>
    <mergeCell ref="M27:N27"/>
    <mergeCell ref="G32:H32"/>
    <mergeCell ref="A27:J27"/>
    <mergeCell ref="I263:J263"/>
    <mergeCell ref="C33:D33"/>
    <mergeCell ref="C31:D31"/>
    <mergeCell ref="M263:N263"/>
    <mergeCell ref="M28:N28"/>
    <mergeCell ref="E34:F34"/>
    <mergeCell ref="E236:F236"/>
    <mergeCell ref="M25:N25"/>
    <mergeCell ref="M26:N26"/>
    <mergeCell ref="A28:J28"/>
    <mergeCell ref="I35:J35"/>
    <mergeCell ref="E35:F35"/>
    <mergeCell ref="E31:F31"/>
    <mergeCell ref="C35:D35"/>
    <mergeCell ref="C32:D32"/>
    <mergeCell ref="M29:N29"/>
    <mergeCell ref="M31:N31"/>
    <mergeCell ref="I163:J163"/>
    <mergeCell ref="K95:L95"/>
    <mergeCell ref="K92:L92"/>
    <mergeCell ref="K93:L93"/>
    <mergeCell ref="K161:L161"/>
    <mergeCell ref="I153:J153"/>
    <mergeCell ref="K165:L165"/>
    <mergeCell ref="I161:J161"/>
    <mergeCell ref="K96:L96"/>
    <mergeCell ref="K97:L97"/>
    <mergeCell ref="I32:J32"/>
    <mergeCell ref="I357:J357"/>
    <mergeCell ref="I255:J255"/>
    <mergeCell ref="I228:J228"/>
    <mergeCell ref="I350:J350"/>
    <mergeCell ref="I99:J99"/>
    <mergeCell ref="G256:H256"/>
    <mergeCell ref="G261:H261"/>
    <mergeCell ref="I278:J278"/>
    <mergeCell ref="G289:H289"/>
    <mergeCell ref="G288:H288"/>
    <mergeCell ref="I258:J258"/>
    <mergeCell ref="I256:J256"/>
    <mergeCell ref="I266:J266"/>
    <mergeCell ref="I257:J257"/>
    <mergeCell ref="I260:J260"/>
    <mergeCell ref="K431:L431"/>
    <mergeCell ref="E433:F433"/>
    <mergeCell ref="M439:N439"/>
    <mergeCell ref="M358:N358"/>
    <mergeCell ref="I358:J358"/>
    <mergeCell ref="G310:H310"/>
    <mergeCell ref="I311:J311"/>
    <mergeCell ref="G357:H357"/>
    <mergeCell ref="G358:H358"/>
    <mergeCell ref="I356:J356"/>
    <mergeCell ref="M415:N415"/>
    <mergeCell ref="A456:J456"/>
    <mergeCell ref="M404:N404"/>
    <mergeCell ref="M407:N407"/>
    <mergeCell ref="M431:N431"/>
    <mergeCell ref="C433:D433"/>
    <mergeCell ref="C434:D434"/>
    <mergeCell ref="E435:F435"/>
    <mergeCell ref="E431:F431"/>
    <mergeCell ref="E426:F426"/>
    <mergeCell ref="K442:L442"/>
    <mergeCell ref="K454:L454"/>
    <mergeCell ref="K448:L448"/>
    <mergeCell ref="I459:J459"/>
    <mergeCell ref="I455:J455"/>
    <mergeCell ref="I445:J445"/>
    <mergeCell ref="I448:J448"/>
    <mergeCell ref="K445:L445"/>
    <mergeCell ref="K452:L452"/>
    <mergeCell ref="I527:J527"/>
    <mergeCell ref="I494:J494"/>
    <mergeCell ref="I588:J588"/>
    <mergeCell ref="I632:J632"/>
    <mergeCell ref="I627:J627"/>
    <mergeCell ref="I622:J622"/>
    <mergeCell ref="I578:J578"/>
    <mergeCell ref="I617:J617"/>
    <mergeCell ref="I550:J550"/>
    <mergeCell ref="I532:J532"/>
    <mergeCell ref="I366:J366"/>
    <mergeCell ref="I620:J620"/>
    <mergeCell ref="A598:J598"/>
    <mergeCell ref="E589:F589"/>
    <mergeCell ref="E545:F545"/>
    <mergeCell ref="C919:D919"/>
    <mergeCell ref="E869:F869"/>
    <mergeCell ref="C854:D854"/>
    <mergeCell ref="C900:D900"/>
    <mergeCell ref="E892:F892"/>
    <mergeCell ref="E854:F854"/>
    <mergeCell ref="C906:D906"/>
    <mergeCell ref="E911:F911"/>
    <mergeCell ref="E909:F909"/>
    <mergeCell ref="E905:F905"/>
    <mergeCell ref="C901:D901"/>
    <mergeCell ref="C856:D856"/>
    <mergeCell ref="E895:F895"/>
    <mergeCell ref="E893:F893"/>
    <mergeCell ref="E901:F901"/>
    <mergeCell ref="C912:D912"/>
    <mergeCell ref="C868:D868"/>
    <mergeCell ref="C909:D909"/>
    <mergeCell ref="C871:D871"/>
    <mergeCell ref="C892:D892"/>
    <mergeCell ref="C881:D881"/>
    <mergeCell ref="C910:D910"/>
    <mergeCell ref="C904:D904"/>
    <mergeCell ref="C870:D870"/>
    <mergeCell ref="C994:D994"/>
    <mergeCell ref="E988:F988"/>
    <mergeCell ref="E973:F973"/>
    <mergeCell ref="G886:H886"/>
    <mergeCell ref="G930:H930"/>
    <mergeCell ref="G932:H932"/>
    <mergeCell ref="G931:H931"/>
    <mergeCell ref="G918:H918"/>
    <mergeCell ref="E936:F936"/>
    <mergeCell ref="E921:F921"/>
    <mergeCell ref="C982:D982"/>
    <mergeCell ref="E987:F987"/>
    <mergeCell ref="E985:F985"/>
    <mergeCell ref="G980:H980"/>
    <mergeCell ref="E983:F983"/>
    <mergeCell ref="E986:F986"/>
    <mergeCell ref="E1168:F1168"/>
    <mergeCell ref="E1132:F1132"/>
    <mergeCell ref="C1135:D1135"/>
    <mergeCell ref="E1141:F1141"/>
    <mergeCell ref="E1145:F1145"/>
    <mergeCell ref="C823:D823"/>
    <mergeCell ref="C920:D920"/>
    <mergeCell ref="E825:F825"/>
    <mergeCell ref="E875:F875"/>
    <mergeCell ref="C914:D914"/>
    <mergeCell ref="C1186:D1186"/>
    <mergeCell ref="C1188:D1188"/>
    <mergeCell ref="G1198:H1198"/>
    <mergeCell ref="C986:D986"/>
    <mergeCell ref="C1163:D1163"/>
    <mergeCell ref="E1153:F1153"/>
    <mergeCell ref="C1056:D1056"/>
    <mergeCell ref="C1168:D1168"/>
    <mergeCell ref="C1020:D1020"/>
    <mergeCell ref="G1021:H1021"/>
    <mergeCell ref="C1202:D1202"/>
    <mergeCell ref="E1201:F1201"/>
    <mergeCell ref="E1202:F1202"/>
    <mergeCell ref="C1195:D1195"/>
    <mergeCell ref="G1197:H1197"/>
    <mergeCell ref="I1196:J1196"/>
    <mergeCell ref="I1198:J1198"/>
    <mergeCell ref="I1201:J1201"/>
    <mergeCell ref="E1195:F1195"/>
    <mergeCell ref="C1196:D1196"/>
    <mergeCell ref="C1269:D1269"/>
    <mergeCell ref="E1311:F1311"/>
    <mergeCell ref="I1216:J1216"/>
    <mergeCell ref="C1228:D1228"/>
    <mergeCell ref="G1225:H1225"/>
    <mergeCell ref="C1229:D1229"/>
    <mergeCell ref="G1228:H1228"/>
    <mergeCell ref="E1225:F1225"/>
    <mergeCell ref="C1223:D1223"/>
    <mergeCell ref="C1219:D1219"/>
    <mergeCell ref="C1247:D1247"/>
    <mergeCell ref="E1234:F1234"/>
    <mergeCell ref="C1216:D1216"/>
    <mergeCell ref="G1241:H1241"/>
    <mergeCell ref="G1219:H1219"/>
    <mergeCell ref="G1222:H1222"/>
    <mergeCell ref="C1222:D1222"/>
    <mergeCell ref="E1219:F1219"/>
    <mergeCell ref="E1226:F1226"/>
    <mergeCell ref="G1236:H1236"/>
    <mergeCell ref="C1341:D1341"/>
    <mergeCell ref="C1417:D1417"/>
    <mergeCell ref="I1417:J1417"/>
    <mergeCell ref="G1428:H1428"/>
    <mergeCell ref="I1429:J1429"/>
    <mergeCell ref="I1409:J1409"/>
    <mergeCell ref="G1344:H1344"/>
    <mergeCell ref="C1397:D1397"/>
    <mergeCell ref="C1344:D1344"/>
    <mergeCell ref="G1345:H1345"/>
    <mergeCell ref="C1343:D1343"/>
    <mergeCell ref="A1357:H1357"/>
    <mergeCell ref="A1461:A1462"/>
    <mergeCell ref="C1351:D1351"/>
    <mergeCell ref="G1555:H1555"/>
    <mergeCell ref="A1441:A1442"/>
    <mergeCell ref="A1406:J1406"/>
    <mergeCell ref="E1428:F1428"/>
    <mergeCell ref="A1409:A1410"/>
    <mergeCell ref="A1397:A1398"/>
    <mergeCell ref="E1267:F1267"/>
    <mergeCell ref="O1786:P1786"/>
    <mergeCell ref="O1785:P1785"/>
    <mergeCell ref="O1784:P1784"/>
    <mergeCell ref="O1783:P1783"/>
    <mergeCell ref="O1755:P1755"/>
    <mergeCell ref="G1314:H1314"/>
    <mergeCell ref="I1270:J1270"/>
    <mergeCell ref="E1299:F1299"/>
    <mergeCell ref="I1294:J1294"/>
    <mergeCell ref="E1268:F1268"/>
    <mergeCell ref="B1409:B1410"/>
    <mergeCell ref="C1409:D1409"/>
    <mergeCell ref="I1250:J1250"/>
    <mergeCell ref="I1344:J1344"/>
    <mergeCell ref="I1340:J1340"/>
    <mergeCell ref="C1334:D1334"/>
    <mergeCell ref="C1340:D1340"/>
    <mergeCell ref="I1284:J1284"/>
    <mergeCell ref="C1267:D1267"/>
    <mergeCell ref="E1144:F1144"/>
    <mergeCell ref="K1778:L1778"/>
    <mergeCell ref="O1754:P1754"/>
    <mergeCell ref="C1692:D1692"/>
    <mergeCell ref="G986:H986"/>
    <mergeCell ref="E1203:F1203"/>
    <mergeCell ref="C1428:D1428"/>
    <mergeCell ref="C1237:D1237"/>
    <mergeCell ref="C1234:D1234"/>
    <mergeCell ref="G1299:H1299"/>
    <mergeCell ref="I875:J875"/>
    <mergeCell ref="G1039:H1039"/>
    <mergeCell ref="G1015:H1015"/>
    <mergeCell ref="C1040:D1040"/>
    <mergeCell ref="C1015:D1015"/>
    <mergeCell ref="C1169:D1169"/>
    <mergeCell ref="C1151:D1151"/>
    <mergeCell ref="C1146:D1146"/>
    <mergeCell ref="C1142:D1142"/>
    <mergeCell ref="C1145:D1145"/>
    <mergeCell ref="I940:J940"/>
    <mergeCell ref="E958:F958"/>
    <mergeCell ref="E980:F980"/>
    <mergeCell ref="G978:H978"/>
    <mergeCell ref="E960:F960"/>
    <mergeCell ref="E968:F968"/>
    <mergeCell ref="E962:F962"/>
    <mergeCell ref="E961:F961"/>
    <mergeCell ref="E978:F978"/>
    <mergeCell ref="E963:F963"/>
    <mergeCell ref="I641:J641"/>
    <mergeCell ref="G824:H824"/>
    <mergeCell ref="I856:J856"/>
    <mergeCell ref="G646:H646"/>
    <mergeCell ref="I650:J650"/>
    <mergeCell ref="G789:H789"/>
    <mergeCell ref="A677:H677"/>
    <mergeCell ref="G691:H691"/>
    <mergeCell ref="G656:H656"/>
    <mergeCell ref="G649:H649"/>
    <mergeCell ref="I635:J635"/>
    <mergeCell ref="G619:H619"/>
    <mergeCell ref="I630:J630"/>
    <mergeCell ref="I628:J628"/>
    <mergeCell ref="I618:J618"/>
    <mergeCell ref="G627:H627"/>
    <mergeCell ref="G630:H630"/>
    <mergeCell ref="I631:J631"/>
    <mergeCell ref="I626:J626"/>
    <mergeCell ref="I619:J619"/>
    <mergeCell ref="K1182:L1182"/>
    <mergeCell ref="K1181:L1181"/>
    <mergeCell ref="G1178:H1178"/>
    <mergeCell ref="G1179:H1179"/>
    <mergeCell ref="I1181:J1181"/>
    <mergeCell ref="B4:G4"/>
    <mergeCell ref="C799:D799"/>
    <mergeCell ref="E799:F799"/>
    <mergeCell ref="G631:H631"/>
    <mergeCell ref="I789:J789"/>
    <mergeCell ref="K1186:L1186"/>
    <mergeCell ref="G1183:H1183"/>
    <mergeCell ref="C1164:D1164"/>
    <mergeCell ref="C1167:D1167"/>
    <mergeCell ref="E1175:F1175"/>
    <mergeCell ref="K1177:L1177"/>
    <mergeCell ref="K1178:L1178"/>
    <mergeCell ref="K1179:L1179"/>
    <mergeCell ref="E1179:F1179"/>
    <mergeCell ref="G1176:H1176"/>
    <mergeCell ref="I1176:J1176"/>
    <mergeCell ref="I1177:J1177"/>
    <mergeCell ref="E1181:F1181"/>
    <mergeCell ref="G1175:H1175"/>
    <mergeCell ref="I1178:J1178"/>
    <mergeCell ref="E1176:F1176"/>
    <mergeCell ref="E1177:F1177"/>
    <mergeCell ref="I1175:J1175"/>
    <mergeCell ref="I1180:J1180"/>
    <mergeCell ref="I1179:J1179"/>
    <mergeCell ref="K1176:L1176"/>
    <mergeCell ref="I1185:J1185"/>
    <mergeCell ref="C1182:D1182"/>
    <mergeCell ref="E1180:F1180"/>
    <mergeCell ref="C1181:D1181"/>
    <mergeCell ref="G1182:H1182"/>
    <mergeCell ref="E1182:F1182"/>
    <mergeCell ref="C1179:D1179"/>
    <mergeCell ref="I1183:J1183"/>
    <mergeCell ref="I1182:J1182"/>
    <mergeCell ref="C1185:D1185"/>
    <mergeCell ref="C1184:D1184"/>
    <mergeCell ref="C1177:D1177"/>
    <mergeCell ref="G1177:H1177"/>
    <mergeCell ref="E1184:F1184"/>
    <mergeCell ref="G1184:H1184"/>
    <mergeCell ref="G1181:H1181"/>
    <mergeCell ref="E1183:F1183"/>
    <mergeCell ref="C1178:D1178"/>
    <mergeCell ref="I1050:J1050"/>
    <mergeCell ref="A1024:L1024"/>
    <mergeCell ref="E1038:F1038"/>
    <mergeCell ref="I1075:J1075"/>
    <mergeCell ref="I1099:J1099"/>
    <mergeCell ref="I1115:J1115"/>
    <mergeCell ref="G1054:H1054"/>
    <mergeCell ref="G1093:H1093"/>
    <mergeCell ref="E1115:F1115"/>
    <mergeCell ref="E1114:F1114"/>
    <mergeCell ref="E1136:F1136"/>
    <mergeCell ref="G1142:H1142"/>
    <mergeCell ref="G1144:H1144"/>
    <mergeCell ref="C1162:D1162"/>
    <mergeCell ref="E1154:F1154"/>
    <mergeCell ref="C1155:D1155"/>
    <mergeCell ref="G1155:H1155"/>
    <mergeCell ref="C1154:D1154"/>
    <mergeCell ref="C1144:D1144"/>
    <mergeCell ref="G1161:H1161"/>
    <mergeCell ref="E1111:F1111"/>
    <mergeCell ref="E998:F998"/>
    <mergeCell ref="E979:F979"/>
    <mergeCell ref="E1133:F1133"/>
    <mergeCell ref="E1021:F1021"/>
    <mergeCell ref="E1090:F1090"/>
    <mergeCell ref="E1020:F1020"/>
    <mergeCell ref="E1054:F1054"/>
    <mergeCell ref="E1118:F1118"/>
    <mergeCell ref="A1127:H1127"/>
    <mergeCell ref="C1077:D1077"/>
    <mergeCell ref="E1072:F1072"/>
    <mergeCell ref="E927:F927"/>
    <mergeCell ref="C1021:D1021"/>
    <mergeCell ref="C930:D930"/>
    <mergeCell ref="G941:H941"/>
    <mergeCell ref="E938:F938"/>
    <mergeCell ref="G1040:H1040"/>
    <mergeCell ref="G947:H947"/>
    <mergeCell ref="G995:H995"/>
    <mergeCell ref="G928:H928"/>
    <mergeCell ref="G792:H792"/>
    <mergeCell ref="A781:J781"/>
    <mergeCell ref="C826:D826"/>
    <mergeCell ref="G777:H777"/>
    <mergeCell ref="E762:F762"/>
    <mergeCell ref="C828:D828"/>
    <mergeCell ref="C789:D789"/>
    <mergeCell ref="C913:D913"/>
    <mergeCell ref="I800:J800"/>
    <mergeCell ref="E819:F819"/>
    <mergeCell ref="G303:H303"/>
    <mergeCell ref="I386:J386"/>
    <mergeCell ref="I454:J454"/>
    <mergeCell ref="I492:J492"/>
    <mergeCell ref="E800:F800"/>
    <mergeCell ref="E748:F748"/>
    <mergeCell ref="E751:F751"/>
    <mergeCell ref="G616:H616"/>
    <mergeCell ref="G617:H617"/>
    <mergeCell ref="C774:D774"/>
    <mergeCell ref="E774:F774"/>
    <mergeCell ref="G774:H774"/>
    <mergeCell ref="I774:J774"/>
    <mergeCell ref="I682:J682"/>
    <mergeCell ref="G613:H613"/>
    <mergeCell ref="E757:F757"/>
    <mergeCell ref="E622:F622"/>
    <mergeCell ref="E619:F619"/>
    <mergeCell ref="E613:F613"/>
    <mergeCell ref="E1547:F1547"/>
    <mergeCell ref="A1660:A1661"/>
    <mergeCell ref="G1530:H1530"/>
    <mergeCell ref="G1540:H1540"/>
    <mergeCell ref="C1547:D1547"/>
    <mergeCell ref="A1555:A1556"/>
    <mergeCell ref="B1660:B1661"/>
    <mergeCell ref="C1571:D1571"/>
    <mergeCell ref="G1547:H1547"/>
    <mergeCell ref="C1589:D1589"/>
    <mergeCell ref="B1588:B1591"/>
    <mergeCell ref="A1842:H1842"/>
    <mergeCell ref="G1814:H1814"/>
    <mergeCell ref="A1833:J1833"/>
    <mergeCell ref="E1810:F1810"/>
    <mergeCell ref="A1831:J1831"/>
    <mergeCell ref="A1832:J1832"/>
    <mergeCell ref="A1681:A1682"/>
    <mergeCell ref="G1631:H1631"/>
    <mergeCell ref="C1773:D1773"/>
    <mergeCell ref="A1764:A1765"/>
    <mergeCell ref="C1764:D1764"/>
    <mergeCell ref="E1764:F1764"/>
    <mergeCell ref="I1788:J1788"/>
    <mergeCell ref="C1789:D1789"/>
    <mergeCell ref="G1813:H1813"/>
    <mergeCell ref="C1810:D1810"/>
    <mergeCell ref="E1806:F1806"/>
    <mergeCell ref="I1813:J1813"/>
    <mergeCell ref="I1810:J1810"/>
    <mergeCell ref="E1800:F1800"/>
    <mergeCell ref="A1840:H1840"/>
    <mergeCell ref="C1792:D1792"/>
    <mergeCell ref="G1791:H1791"/>
    <mergeCell ref="E1811:F1811"/>
    <mergeCell ref="C1814:D1814"/>
    <mergeCell ref="E1805:F1805"/>
    <mergeCell ref="E1804:F1804"/>
    <mergeCell ref="A1829:H1829"/>
    <mergeCell ref="G1812:H1812"/>
    <mergeCell ref="E1792:F1792"/>
    <mergeCell ref="G1792:H1792"/>
    <mergeCell ref="A1851:H1851"/>
    <mergeCell ref="G1811:H1811"/>
    <mergeCell ref="A1835:J1835"/>
    <mergeCell ref="A1834:J1834"/>
    <mergeCell ref="A1841:H1841"/>
    <mergeCell ref="A1798:J1798"/>
    <mergeCell ref="E1802:F1802"/>
    <mergeCell ref="G1800:H1800"/>
    <mergeCell ref="A1860:H1860"/>
    <mergeCell ref="A1853:H1853"/>
    <mergeCell ref="A1857:H1857"/>
    <mergeCell ref="A1858:H1858"/>
    <mergeCell ref="A1859:H1859"/>
    <mergeCell ref="A1854:H1854"/>
    <mergeCell ref="A1852:H1852"/>
    <mergeCell ref="G1571:H1571"/>
    <mergeCell ref="C1813:D1813"/>
    <mergeCell ref="E1813:F1813"/>
    <mergeCell ref="A1738:A1739"/>
    <mergeCell ref="C1790:D1790"/>
    <mergeCell ref="A1843:I1843"/>
    <mergeCell ref="C1791:D1791"/>
    <mergeCell ref="E1791:F1791"/>
    <mergeCell ref="G1588:H1588"/>
    <mergeCell ref="C1783:D1783"/>
    <mergeCell ref="I1774:J1774"/>
    <mergeCell ref="C1754:D1754"/>
    <mergeCell ref="C1614:D1614"/>
    <mergeCell ref="C1779:D1779"/>
    <mergeCell ref="C1782:D1782"/>
    <mergeCell ref="E1754:F1754"/>
    <mergeCell ref="E1783:F1783"/>
    <mergeCell ref="E1782:F1782"/>
    <mergeCell ref="C1660:D1660"/>
    <mergeCell ref="G153:H153"/>
    <mergeCell ref="I160:J160"/>
    <mergeCell ref="G927:H927"/>
    <mergeCell ref="I275:J275"/>
    <mergeCell ref="K94:L94"/>
    <mergeCell ref="I165:J165"/>
    <mergeCell ref="G882:H882"/>
    <mergeCell ref="I246:J246"/>
    <mergeCell ref="G618:H618"/>
    <mergeCell ref="K215:L215"/>
    <mergeCell ref="C81:D81"/>
    <mergeCell ref="E81:F81"/>
    <mergeCell ref="G81:H81"/>
    <mergeCell ref="I81:J81"/>
    <mergeCell ref="C82:D82"/>
    <mergeCell ref="E93:F93"/>
    <mergeCell ref="I87:J87"/>
    <mergeCell ref="I92:J92"/>
    <mergeCell ref="I85:J85"/>
    <mergeCell ref="C87:D87"/>
    <mergeCell ref="C163:D163"/>
    <mergeCell ref="I164:J164"/>
    <mergeCell ref="C106:D106"/>
    <mergeCell ref="C121:D121"/>
    <mergeCell ref="I170:J170"/>
    <mergeCell ref="C170:D170"/>
    <mergeCell ref="E108:F108"/>
    <mergeCell ref="C154:D154"/>
    <mergeCell ref="E154:F154"/>
    <mergeCell ref="E118:F118"/>
    <mergeCell ref="C927:D927"/>
    <mergeCell ref="C1166:D1166"/>
    <mergeCell ref="C1100:D1100"/>
    <mergeCell ref="C979:D979"/>
    <mergeCell ref="E1152:F1152"/>
    <mergeCell ref="G1152:H1152"/>
    <mergeCell ref="G1135:H1135"/>
    <mergeCell ref="E1094:F1094"/>
    <mergeCell ref="E1091:F1091"/>
    <mergeCell ref="E1076:F1076"/>
    <mergeCell ref="C941:D941"/>
    <mergeCell ref="C1152:D1152"/>
    <mergeCell ref="C1156:D1156"/>
    <mergeCell ref="C1133:D1133"/>
    <mergeCell ref="C1153:D1153"/>
    <mergeCell ref="A1147:H1147"/>
    <mergeCell ref="G1140:H1140"/>
    <mergeCell ref="E1022:F1022"/>
    <mergeCell ref="G1097:H1097"/>
    <mergeCell ref="C1051:D1051"/>
    <mergeCell ref="I1286:J1286"/>
    <mergeCell ref="I939:J939"/>
    <mergeCell ref="E1156:F1156"/>
    <mergeCell ref="G1156:H1156"/>
    <mergeCell ref="I1156:J1156"/>
    <mergeCell ref="G1153:H1153"/>
    <mergeCell ref="I1135:J1135"/>
    <mergeCell ref="I1118:J1118"/>
    <mergeCell ref="G1022:H1022"/>
    <mergeCell ref="E1050:F1050"/>
    <mergeCell ref="I1164:J1164"/>
    <mergeCell ref="G1180:H1180"/>
    <mergeCell ref="E1178:F1178"/>
    <mergeCell ref="A1210:I1210"/>
    <mergeCell ref="C1176:D1176"/>
    <mergeCell ref="E1185:F1185"/>
    <mergeCell ref="C1183:D1183"/>
    <mergeCell ref="I1169:J1169"/>
    <mergeCell ref="E1189:F1189"/>
    <mergeCell ref="C1165:D1165"/>
    <mergeCell ref="G1202:H1202"/>
    <mergeCell ref="G1200:H1200"/>
    <mergeCell ref="A1213:J1213"/>
    <mergeCell ref="E1167:F1167"/>
    <mergeCell ref="G1164:H1164"/>
    <mergeCell ref="I1287:J1287"/>
    <mergeCell ref="I1166:J1166"/>
    <mergeCell ref="E1164:F1164"/>
    <mergeCell ref="G1271:H1271"/>
    <mergeCell ref="G1281:H1281"/>
    <mergeCell ref="E1286:F1286"/>
    <mergeCell ref="B1493:B1494"/>
    <mergeCell ref="A1513:A1514"/>
    <mergeCell ref="C1513:D1513"/>
    <mergeCell ref="C1493:D1493"/>
    <mergeCell ref="E1555:F1555"/>
    <mergeCell ref="C1451:D1451"/>
    <mergeCell ref="C1540:D1540"/>
    <mergeCell ref="E1530:F1530"/>
    <mergeCell ref="A1523:A1524"/>
    <mergeCell ref="C1271:D1271"/>
    <mergeCell ref="C1270:D1270"/>
    <mergeCell ref="A1304:J1304"/>
    <mergeCell ref="A1493:A1495"/>
    <mergeCell ref="E1494:F1494"/>
    <mergeCell ref="E1790:F1790"/>
    <mergeCell ref="E1513:F1513"/>
    <mergeCell ref="E1588:F1588"/>
    <mergeCell ref="A1451:A1452"/>
    <mergeCell ref="G1692:H1692"/>
    <mergeCell ref="K216:L216"/>
    <mergeCell ref="K217:L217"/>
    <mergeCell ref="K218:L218"/>
    <mergeCell ref="K219:L219"/>
    <mergeCell ref="K221:L221"/>
    <mergeCell ref="K220:L220"/>
    <mergeCell ref="K265:L265"/>
    <mergeCell ref="I261:J261"/>
    <mergeCell ref="I259:J259"/>
    <mergeCell ref="G255:H255"/>
    <mergeCell ref="G258:H258"/>
    <mergeCell ref="I254:J254"/>
    <mergeCell ref="K261:L261"/>
    <mergeCell ref="G263:H263"/>
    <mergeCell ref="G262:H262"/>
    <mergeCell ref="I262:J262"/>
    <mergeCell ref="K222:L222"/>
    <mergeCell ref="K223:L223"/>
    <mergeCell ref="K228:L228"/>
    <mergeCell ref="I264:J264"/>
    <mergeCell ref="G266:H266"/>
    <mergeCell ref="K263:L263"/>
    <mergeCell ref="K258:L258"/>
    <mergeCell ref="K259:L259"/>
    <mergeCell ref="K260:L260"/>
    <mergeCell ref="K264:L264"/>
    <mergeCell ref="K266:L266"/>
    <mergeCell ref="K262:L262"/>
    <mergeCell ref="C264:D264"/>
    <mergeCell ref="C285:D285"/>
    <mergeCell ref="C265:D265"/>
    <mergeCell ref="E265:F265"/>
    <mergeCell ref="G265:H265"/>
    <mergeCell ref="E264:F264"/>
    <mergeCell ref="E278:F278"/>
    <mergeCell ref="E277:F277"/>
    <mergeCell ref="G856:H856"/>
    <mergeCell ref="G853:H853"/>
    <mergeCell ref="E760:F760"/>
    <mergeCell ref="E873:F873"/>
    <mergeCell ref="E872:F872"/>
    <mergeCell ref="E856:F856"/>
    <mergeCell ref="E834:F834"/>
    <mergeCell ref="G807:H807"/>
    <mergeCell ref="E827:F827"/>
    <mergeCell ref="E824:F824"/>
    <mergeCell ref="E1188:F1188"/>
    <mergeCell ref="E1187:F1187"/>
    <mergeCell ref="K277:L277"/>
    <mergeCell ref="K278:L278"/>
    <mergeCell ref="K297:L297"/>
    <mergeCell ref="K296:L296"/>
    <mergeCell ref="I777:J777"/>
    <mergeCell ref="G600:H600"/>
    <mergeCell ref="I853:J853"/>
    <mergeCell ref="G854:H854"/>
    <mergeCell ref="I1092:J1092"/>
    <mergeCell ref="G1134:H1134"/>
    <mergeCell ref="I937:J937"/>
    <mergeCell ref="K940:L940"/>
    <mergeCell ref="C939:D939"/>
    <mergeCell ref="E939:F939"/>
    <mergeCell ref="G939:H939"/>
    <mergeCell ref="C1022:D1022"/>
    <mergeCell ref="G937:H937"/>
    <mergeCell ref="K979:L979"/>
    <mergeCell ref="G1151:H1151"/>
    <mergeCell ref="E1236:F1236"/>
    <mergeCell ref="E1235:F1235"/>
    <mergeCell ref="E1228:F1228"/>
    <mergeCell ref="E1224:F1224"/>
    <mergeCell ref="E1163:F1163"/>
    <mergeCell ref="E1196:F1196"/>
    <mergeCell ref="G1196:H1196"/>
    <mergeCell ref="E1169:F1169"/>
    <mergeCell ref="E1155:F1155"/>
    <mergeCell ref="K986:L986"/>
    <mergeCell ref="K987:L987"/>
    <mergeCell ref="C1314:D1314"/>
    <mergeCell ref="E1322:F1322"/>
    <mergeCell ref="E1320:F1320"/>
    <mergeCell ref="E1319:F1319"/>
    <mergeCell ref="E1238:F1238"/>
    <mergeCell ref="E1271:F1271"/>
    <mergeCell ref="E1241:F1241"/>
    <mergeCell ref="E1318:F1318"/>
    <mergeCell ref="K853:L853"/>
    <mergeCell ref="K854:L854"/>
    <mergeCell ref="G858:H858"/>
    <mergeCell ref="I858:J858"/>
    <mergeCell ref="K858:L858"/>
    <mergeCell ref="C855:D855"/>
    <mergeCell ref="E855:F855"/>
    <mergeCell ref="G855:H855"/>
    <mergeCell ref="I855:J855"/>
    <mergeCell ref="K855:L855"/>
    <mergeCell ref="K856:L856"/>
    <mergeCell ref="C858:D858"/>
    <mergeCell ref="C860:D860"/>
    <mergeCell ref="E860:F860"/>
    <mergeCell ref="G860:H860"/>
    <mergeCell ref="I860:J860"/>
    <mergeCell ref="K860:L860"/>
    <mergeCell ref="C857:D857"/>
    <mergeCell ref="E857:F857"/>
    <mergeCell ref="G857:H857"/>
    <mergeCell ref="K857:L857"/>
    <mergeCell ref="C863:D863"/>
    <mergeCell ref="E863:F863"/>
    <mergeCell ref="G863:H863"/>
    <mergeCell ref="I863:J863"/>
    <mergeCell ref="K863:L863"/>
    <mergeCell ref="C859:D859"/>
    <mergeCell ref="E859:F859"/>
    <mergeCell ref="G859:H859"/>
    <mergeCell ref="I859:J859"/>
    <mergeCell ref="K859:L859"/>
    <mergeCell ref="C862:D862"/>
    <mergeCell ref="E862:F862"/>
    <mergeCell ref="G862:H862"/>
    <mergeCell ref="I862:J862"/>
    <mergeCell ref="K862:L862"/>
    <mergeCell ref="I861:J861"/>
    <mergeCell ref="K861:L861"/>
    <mergeCell ref="C861:D861"/>
    <mergeCell ref="E861:F861"/>
    <mergeCell ref="C1588:D1588"/>
    <mergeCell ref="G1563:H1563"/>
    <mergeCell ref="I1789:J1789"/>
    <mergeCell ref="I1791:J1791"/>
    <mergeCell ref="E1469:F1469"/>
    <mergeCell ref="E1451:F1451"/>
    <mergeCell ref="G1790:H1790"/>
    <mergeCell ref="I1790:J1790"/>
    <mergeCell ref="G1681:H1681"/>
    <mergeCell ref="E1692:F1692"/>
    <mergeCell ref="E1335:F1335"/>
    <mergeCell ref="E1328:F1328"/>
    <mergeCell ref="E1481:F1481"/>
    <mergeCell ref="E1397:F1397"/>
    <mergeCell ref="E1417:F1417"/>
    <mergeCell ref="E1409:F1409"/>
    <mergeCell ref="E1330:F1330"/>
    <mergeCell ref="E1340:F1340"/>
    <mergeCell ref="E1310:F1310"/>
    <mergeCell ref="E1298:F1298"/>
    <mergeCell ref="E1290:F1290"/>
    <mergeCell ref="E1289:F1289"/>
    <mergeCell ref="E1314:F1314"/>
    <mergeCell ref="E1313:F1313"/>
    <mergeCell ref="A1303:J1303"/>
    <mergeCell ref="I1295:J1295"/>
    <mergeCell ref="G1297:H1297"/>
    <mergeCell ref="C1296:D1296"/>
    <mergeCell ref="E1284:F1284"/>
    <mergeCell ref="E1220:F1220"/>
    <mergeCell ref="E1217:F1217"/>
    <mergeCell ref="E1200:F1200"/>
    <mergeCell ref="E1197:F1197"/>
    <mergeCell ref="E1285:F1285"/>
    <mergeCell ref="E1279:F1279"/>
    <mergeCell ref="E1277:F1277"/>
    <mergeCell ref="E1247:F1247"/>
    <mergeCell ref="A1208:H1208"/>
    <mergeCell ref="C1201:D1201"/>
    <mergeCell ref="C1199:D1199"/>
    <mergeCell ref="A1191:N1191"/>
    <mergeCell ref="C1197:D1197"/>
    <mergeCell ref="K1195:L1195"/>
    <mergeCell ref="G1201:H1201"/>
    <mergeCell ref="C1200:D1200"/>
    <mergeCell ref="I1195:J1195"/>
    <mergeCell ref="G1195:H1195"/>
    <mergeCell ref="E1199:F1199"/>
    <mergeCell ref="E1186:F1186"/>
    <mergeCell ref="E1166:F1166"/>
    <mergeCell ref="E1142:F1142"/>
    <mergeCell ref="E1135:F1135"/>
    <mergeCell ref="E1161:F1161"/>
    <mergeCell ref="E1162:F1162"/>
    <mergeCell ref="E1140:F1140"/>
    <mergeCell ref="E1146:F1146"/>
    <mergeCell ref="E1151:F1151"/>
    <mergeCell ref="E1165:F1165"/>
    <mergeCell ref="E1088:F1088"/>
    <mergeCell ref="E1081:F1081"/>
    <mergeCell ref="E1097:F1097"/>
    <mergeCell ref="E1071:F1071"/>
    <mergeCell ref="E1055:F1055"/>
    <mergeCell ref="E1032:F1032"/>
    <mergeCell ref="E1040:F1040"/>
    <mergeCell ref="A1058:J1058"/>
    <mergeCell ref="I1057:J1057"/>
    <mergeCell ref="C1055:D1055"/>
    <mergeCell ref="E959:F959"/>
    <mergeCell ref="E957:F957"/>
    <mergeCell ref="E967:F967"/>
    <mergeCell ref="E970:F970"/>
    <mergeCell ref="A924:J924"/>
    <mergeCell ref="E956:F956"/>
    <mergeCell ref="E950:F950"/>
    <mergeCell ref="E951:F951"/>
    <mergeCell ref="A955:J955"/>
    <mergeCell ref="C958:D958"/>
    <mergeCell ref="C951:D951"/>
    <mergeCell ref="G956:H956"/>
    <mergeCell ref="G951:H951"/>
    <mergeCell ref="G950:H950"/>
    <mergeCell ref="E882:F882"/>
    <mergeCell ref="E949:F949"/>
    <mergeCell ref="E947:F947"/>
    <mergeCell ref="E945:F945"/>
    <mergeCell ref="E919:F919"/>
    <mergeCell ref="E913:F913"/>
    <mergeCell ref="E912:F912"/>
    <mergeCell ref="E941:F941"/>
    <mergeCell ref="E932:F932"/>
    <mergeCell ref="E923:F923"/>
    <mergeCell ref="E894:F894"/>
    <mergeCell ref="E891:F891"/>
    <mergeCell ref="E906:F906"/>
    <mergeCell ref="E904:F904"/>
    <mergeCell ref="E900:F900"/>
    <mergeCell ref="E896:F896"/>
    <mergeCell ref="E902:F902"/>
    <mergeCell ref="I831:J831"/>
    <mergeCell ref="C830:D830"/>
    <mergeCell ref="C853:D853"/>
    <mergeCell ref="G861:H861"/>
    <mergeCell ref="G832:H832"/>
    <mergeCell ref="C835:D835"/>
    <mergeCell ref="E831:F831"/>
    <mergeCell ref="I830:J830"/>
    <mergeCell ref="I833:J833"/>
    <mergeCell ref="I832:J832"/>
    <mergeCell ref="E807:F807"/>
    <mergeCell ref="E806:F806"/>
    <mergeCell ref="E804:F804"/>
    <mergeCell ref="E821:F821"/>
    <mergeCell ref="E820:F820"/>
    <mergeCell ref="A817:J817"/>
    <mergeCell ref="G805:H805"/>
    <mergeCell ref="G806:H806"/>
    <mergeCell ref="A808:J808"/>
    <mergeCell ref="E755:F755"/>
    <mergeCell ref="E749:F749"/>
    <mergeCell ref="E656:F656"/>
    <mergeCell ref="E667:F667"/>
    <mergeCell ref="E763:F763"/>
    <mergeCell ref="E765:F765"/>
    <mergeCell ref="E764:F764"/>
    <mergeCell ref="E659:F659"/>
    <mergeCell ref="E669:F669"/>
    <mergeCell ref="E662:F662"/>
    <mergeCell ref="E594:F594"/>
    <mergeCell ref="E593:F593"/>
    <mergeCell ref="E612:F612"/>
    <mergeCell ref="E600:F600"/>
    <mergeCell ref="A595:J595"/>
    <mergeCell ref="G593:H593"/>
    <mergeCell ref="A600:A601"/>
    <mergeCell ref="C593:D593"/>
    <mergeCell ref="G594:H594"/>
    <mergeCell ref="E537:F537"/>
    <mergeCell ref="E536:F536"/>
    <mergeCell ref="E591:F591"/>
    <mergeCell ref="E566:F566"/>
    <mergeCell ref="E546:F546"/>
    <mergeCell ref="E558:F558"/>
    <mergeCell ref="E565:F565"/>
    <mergeCell ref="A579:J579"/>
    <mergeCell ref="G566:H566"/>
    <mergeCell ref="C571:D571"/>
    <mergeCell ref="E501:F501"/>
    <mergeCell ref="E502:F502"/>
    <mergeCell ref="E503:F503"/>
    <mergeCell ref="E500:F500"/>
    <mergeCell ref="E499:F499"/>
    <mergeCell ref="E497:F497"/>
    <mergeCell ref="E498:F498"/>
    <mergeCell ref="E496:F496"/>
    <mergeCell ref="E488:F488"/>
    <mergeCell ref="E494:F494"/>
    <mergeCell ref="E490:F490"/>
    <mergeCell ref="E492:F492"/>
    <mergeCell ref="E493:F493"/>
    <mergeCell ref="E487:F487"/>
    <mergeCell ref="E482:F482"/>
    <mergeCell ref="E481:F481"/>
    <mergeCell ref="E480:F480"/>
    <mergeCell ref="E479:F479"/>
    <mergeCell ref="E473:F473"/>
    <mergeCell ref="E478:F478"/>
    <mergeCell ref="E486:F486"/>
    <mergeCell ref="E470:F470"/>
    <mergeCell ref="E462:F462"/>
    <mergeCell ref="E459:F459"/>
    <mergeCell ref="E454:F454"/>
    <mergeCell ref="E447:F447"/>
    <mergeCell ref="E461:F461"/>
    <mergeCell ref="E455:F455"/>
    <mergeCell ref="E453:F453"/>
    <mergeCell ref="E434:F434"/>
    <mergeCell ref="E428:F428"/>
    <mergeCell ref="E408:F408"/>
    <mergeCell ref="E411:F411"/>
    <mergeCell ref="E415:F415"/>
    <mergeCell ref="E395:F395"/>
    <mergeCell ref="E401:F401"/>
    <mergeCell ref="E394:F394"/>
    <mergeCell ref="E369:F369"/>
    <mergeCell ref="E368:F368"/>
    <mergeCell ref="E364:F364"/>
    <mergeCell ref="E391:F391"/>
    <mergeCell ref="E384:F384"/>
    <mergeCell ref="A387:J387"/>
    <mergeCell ref="I394:J394"/>
    <mergeCell ref="G394:H394"/>
    <mergeCell ref="G389:H389"/>
    <mergeCell ref="E356:F356"/>
    <mergeCell ref="E350:F350"/>
    <mergeCell ref="E339:F339"/>
    <mergeCell ref="E359:F359"/>
    <mergeCell ref="E344:F344"/>
    <mergeCell ref="E333:F333"/>
    <mergeCell ref="E343:F343"/>
    <mergeCell ref="E353:F353"/>
    <mergeCell ref="E357:F357"/>
    <mergeCell ref="E322:F322"/>
    <mergeCell ref="E314:F314"/>
    <mergeCell ref="E328:F328"/>
    <mergeCell ref="E326:F326"/>
    <mergeCell ref="E317:F317"/>
    <mergeCell ref="E316:F316"/>
    <mergeCell ref="E310:F310"/>
    <mergeCell ref="E303:F303"/>
    <mergeCell ref="E300:F300"/>
    <mergeCell ref="E288:F288"/>
    <mergeCell ref="E287:F287"/>
    <mergeCell ref="E285:F285"/>
    <mergeCell ref="E291:F291"/>
    <mergeCell ref="E289:F289"/>
    <mergeCell ref="E290:F290"/>
    <mergeCell ref="E297:F297"/>
    <mergeCell ref="E276:F276"/>
    <mergeCell ref="E274:F274"/>
    <mergeCell ref="E263:F263"/>
    <mergeCell ref="E261:F261"/>
    <mergeCell ref="E262:F262"/>
    <mergeCell ref="E266:F266"/>
    <mergeCell ref="E273:F273"/>
    <mergeCell ref="E259:F259"/>
    <mergeCell ref="E255:F255"/>
    <mergeCell ref="E244:F244"/>
    <mergeCell ref="E237:F237"/>
    <mergeCell ref="E223:F223"/>
    <mergeCell ref="E221:F221"/>
    <mergeCell ref="A249:J249"/>
    <mergeCell ref="G246:H246"/>
    <mergeCell ref="E239:F239"/>
    <mergeCell ref="C238:D238"/>
    <mergeCell ref="E203:F203"/>
    <mergeCell ref="E202:F202"/>
    <mergeCell ref="E201:F201"/>
    <mergeCell ref="E190:F190"/>
    <mergeCell ref="E152:F152"/>
    <mergeCell ref="E119:F119"/>
    <mergeCell ref="E184:F184"/>
    <mergeCell ref="A168:H168"/>
    <mergeCell ref="E161:F161"/>
    <mergeCell ref="G154:H154"/>
    <mergeCell ref="E164:F164"/>
    <mergeCell ref="C164:D164"/>
    <mergeCell ref="E185:F185"/>
    <mergeCell ref="E171:F171"/>
    <mergeCell ref="E40:F40"/>
    <mergeCell ref="E76:F76"/>
    <mergeCell ref="E75:F75"/>
    <mergeCell ref="E42:F42"/>
    <mergeCell ref="E56:F56"/>
    <mergeCell ref="E54:F54"/>
    <mergeCell ref="K1579:L1579"/>
    <mergeCell ref="E37:F37"/>
    <mergeCell ref="E36:F36"/>
    <mergeCell ref="E33:F33"/>
    <mergeCell ref="E32:F32"/>
    <mergeCell ref="G1417:H1424"/>
    <mergeCell ref="E73:F73"/>
    <mergeCell ref="E71:F71"/>
    <mergeCell ref="E61:F61"/>
    <mergeCell ref="E58:F58"/>
  </mergeCells>
  <hyperlinks>
    <hyperlink ref="A8" location="'Зима 19-20, Весна 20'!A1390" display="Гавана (осн. часть)"/>
    <hyperlink ref="A9" location="'Зима 19-20, Весна 20'!A1620" display=" - Историческая часть Гаваны"/>
    <hyperlink ref="A10" location="'Зима 19-20, Весна 20'!A1795" display=" - Восточные пляжи Гаваны"/>
    <hyperlink ref="A13" location="'Зима 19-20, Весна 20'!A620" display="Тринидад"/>
    <hyperlink ref="A14" location="'Зима 19-20, Весна 20'!A710" display="Сьенфуэгос"/>
    <hyperlink ref="A16" location="'Зима 19-20, Весна 20'!A766" display="Кайо Ларго"/>
    <hyperlink ref="A17" location="'Зима 19-20, Весна 20'!A840" display="Кайо Энсеначос"/>
    <hyperlink ref="A18" location="'Зима 19-20, Весна 20'!A880" display="Кайо Санта Мария"/>
    <hyperlink ref="A19" location="'Зима 19-20, Весна 20'!A1040" display="Кайо Коко"/>
    <hyperlink ref="A20" location="'Зима 19-20, Весна 20'!A1150" display="Кайо Гильермо"/>
    <hyperlink ref="A22" location="'Зима 19-20, Весна 20'!A1333" display="Сантьяго-де-Куба"/>
    <hyperlink ref="A21" location="'Зима 19-20, Весна 20'!A1238" display="Ольгин"/>
    <hyperlink ref="A23:D23" location="'Зима 18-19, Весна 19'!A1767" display="Трансферы Гавана, Варадеро (цены на остальные трансферы указаны после каждого курорта)"/>
    <hyperlink ref="A11" location="'Зима 19-20, Весна 20'!A1818" display=" - Хибакоа"/>
    <hyperlink ref="A1:D1" location="'Зима 18-19, Весна 19'!A2" display="СТОИМОСТЬ УКАЗАНА В  ДОЛЛАРАХ США НА ОДНОГО ЧЕЛОВЕКА В НОМЕРЕ!!! СТОИМОСТЬ EXTRA BED И CHD ДАНЫ ТОЛЬКО ДЛЯ СТАНДАРТНЫХ НОМЕРОВ!!!                                                                  &gt;&gt;&gt;  ПУТЕВОДИТЕЛЬ  &lt;&lt;&lt;"/>
    <hyperlink ref="A12" location="'Зима 19-20, Весна 20'!A51" display="Варадеро"/>
    <hyperlink ref="A1:L1" location="'Зима 19-20, Весна 20'!A2" display="СТОИМОСТЬ УКАЗАНА В  ДОЛЛАРАХ США НА ОДНОГО ЧЕЛОВЕКА В НОМЕРЕ!!! СТОИМОСТЬ EXTRA BED И CHD ДАНЫ ТОЛЬКО ДЛЯ СТАНДАРТНЫХ НОМЕРОВ!!!                                                                  &gt;&gt;&gt;  ПУТЕВОДИТЕЛЬ  &lt;&lt;&lt;"/>
    <hyperlink ref="A23:H23" location="'Зима 19-20, Весна 20'!A1836" display="Трансферы Гавана, Варадеро (цены на остальные трансферы указаны после каждого курорта)"/>
  </hyperlinks>
  <printOptions/>
  <pageMargins left="0.7" right="0.7" top="0.75" bottom="0.75" header="0.3" footer="0.3"/>
  <pageSetup horizontalDpi="600" verticalDpi="600" orientation="portrait" paperSize="9" r:id="rId1"/>
  <ignoredErrors>
    <ignoredError sqref="I799 E1707 E693 E715 E726 E1577:H1577 I1455:I1456 E1455:E1456 E1433:E1434 E1414 E1411 E1758 E1421:E1422 G1433:G1434 D40 D43 D122 D189 G1455:G1456 F1323 F1327 F1328 E1329:F1329 E1336:F1336 F607 D260 D226 D203 D1186 F1115 D1202 C763:J763 I444:J445 E445:F445 L81 J81 H81 F81 D81 G81 I81 K81 C153:F153 J189 D39 D44:F44 D57 D56:F56 C57 E57:L57 C121:F121 C1055:L1055 J766 H766 F766 D766 J764 H764 F764 D764 C765:J765 C764 C767:J767 E764 G764 C766 E766 G766 G1028:H1031 G890:H894 G896:H896 C870:D870 G881:H881 C1240:L1240 I1234:J1238 C1228:D1228 G693 I437:J437 D380 G1163:H1165 E913 E1575:E1576 E550:F553 F557 E558:F561 E557 F565 E566:F571 E565 E575:F578 E582:F585 E589:F590 F1351 E1352:F1352 F1350 E1351 E1350 E1711 E1696:E1697 D805 C803:L804 C806:L807 C805 E805:L805 I802 G726 E728:E729 G728:G729 E1592 D1608:E1609 C329:L334 C316:L316 G1758 G1414 G1411 E1527 F515 F522 F516 D516 H516 E531:F532 E544:F544 C984:L984 E1343:F1344 G928:H932 G1789:H1792 F39 H39 H44 J39 J44:L44 L39 H56:L56 H121 J121 L121 H153:L153 J184 J185 J186 J187 J188 F203 H203 J203 D219 D220 D221 D222 D223 D224 D225 F219 F220 F221 F222 F223:H223 F224 F225 F226 H219 H220 H221 H222 H224 H225 H226 J219 J220 J221 J222 J223 J225 J226 J224 F260 H260 J260 F380 H607:I607 F528 F529 F530 E536:F536 F533 F534 F535 F1319 F1320 F1321 F1322 F1331 F1330 F1334 F1335 F1338 F1337 F1346 F1341 F1342 F1345 C1221:L1221 C1223:L1223 D1222 C1225:L1225 D1224 D1229 F1222 F1224:H1224 F1228:L1228 F1229 H1222 H1229 J1222 J1224 J1229 L1222 L1224 L1229 F870:H870 J870 L870 G883:H885 H882 F1202:H1202 J1202 D1182 D1183 D1184 D1185 F1182 F1183 F1184 F1185 F1186 H1182 H1183 H1184 H1185 H1186 J1182 J1183 J1184 J1185 J1186 L1185 L1182 L1183 L1184 L1186 C762:H762 J762 C1643:H1644 D1639:D1642 C1647:H1648 D1645:D1646 C1653:D1653 D1649:D1652 D1654 F1639:F1642 F1645:F1646 C1655:D1656 F1649:F1656 H1639:H1642 H1645:H1646 H1649:H1656 D1668:D1677 F1668:F1677 H1668:H1677 G1032:H1032 H1033 I435:J435 J432 F448 F446 F447 F444 J443 J448 J446 J447 F517 F518 F519 F520 F521 F541 F542 F543 F546 F545 E1594:E1607 H1162 G1167:H1167 H1166 G1169:H1169 H11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2016-09-02T07:38:38Z</cp:lastPrinted>
  <dcterms:created xsi:type="dcterms:W3CDTF">2012-09-03T07:18:34Z</dcterms:created>
  <dcterms:modified xsi:type="dcterms:W3CDTF">2019-08-07T15:30:48Z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